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65521" windowWidth="8295" windowHeight="9750" tabRatio="254" activeTab="0"/>
  </bookViews>
  <sheets>
    <sheet name="Sheet1" sheetId="1" r:id="rId1"/>
    <sheet name="Modification History" sheetId="2" state="hidden" r:id="rId2"/>
  </sheets>
  <definedNames>
    <definedName name="Account_tree">'Modification History'!$C$5</definedName>
    <definedName name="BU_Name">'Modification History'!$C$2</definedName>
    <definedName name="Business_Unit">'Modification History'!$C$6</definedName>
    <definedName name="Category">'Modification History'!$C$14</definedName>
    <definedName name="Comments">'Modification History'!$C$12</definedName>
    <definedName name="Contact_Person">'Modification History'!$C$3</definedName>
    <definedName name="CSA">'Sheet1'!$F$597</definedName>
    <definedName name="CSO">'Sheet1'!$F$598</definedName>
    <definedName name="Department_Owner">'Modification History'!$C$4</definedName>
    <definedName name="Keywords">'Modification History'!$C$15</definedName>
    <definedName name="NvsASD">"V2011-09-30"</definedName>
    <definedName name="NvsAutoDrillOk">"VN"</definedName>
    <definedName name="NvsDrillHyperLink" localSheetId="0">"http://psfinweb.aepsc.com/psp/fcm90prd_newwin/EMPLOYEE/ERP/c/REPORT_BOOKS.IC_RUN_DRILLDOWN.GBL?Action=A&amp;NVS_INSTANCE=3157406_3235349"</definedName>
    <definedName name="NvsElapsedTime">0.00074074073927477</definedName>
    <definedName name="NvsEndTime">40826.5934143519</definedName>
    <definedName name="NvsInstanceHook" localSheetId="0">"NvsMacro1"</definedName>
    <definedName name="NvsInstanceHook">"""nvsMacro"""</definedName>
    <definedName name="NvsInstLang">"VENG"</definedName>
    <definedName name="NvsInstSpec">"%,FBUSINESS_UNIT,TGL_PRPT_CONS,NKYP_CORP_CONSOL"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"V102"</definedName>
    <definedName name="NvsReqBUOnly">"VN"</definedName>
    <definedName name="NvsSheetType" localSheetId="0">"M"</definedName>
    <definedName name="NvsTransLed">"VN"</definedName>
    <definedName name="NvsTree.GL_PRPT_CONS" localSheetId="0">"YSNYN"</definedName>
    <definedName name="NvsTree.PRPT_ACCOUNT" localSheetId="0">"YSNYN"</definedName>
    <definedName name="NvsTree.REGIONAL_A_CONS" localSheetId="0">"YSNYN"</definedName>
    <definedName name="NvsTreeASD">"V2099-01-01"</definedName>
    <definedName name="NvsValTbl.ACCOUNT">"GL_ACCOUNT_TBL"</definedName>
    <definedName name="NvsValTbl.AFFILIATE">"BUS_UNIT_TBL_GL"</definedName>
    <definedName name="NvsValTbl.CURRENCY_CD">"CURRENCY_CD_TBL"</definedName>
    <definedName name="_xlnm.Print_Area" localSheetId="0">'Sheet1'!$B$2:$Q$572</definedName>
    <definedName name="_xlnm.Print_Titles" localSheetId="0">'Sheet1'!$B:$D,'Sheet1'!$2:$7</definedName>
    <definedName name="Report_Author">'Modification History'!$C$11</definedName>
    <definedName name="Report_Comments">'Modification History'!$C$13</definedName>
    <definedName name="Report_Description">'Modification History'!$C$9</definedName>
    <definedName name="Report_Stmt_Type">'Modification History'!$C$8</definedName>
    <definedName name="Report_Title">'Modification History'!$C$10</definedName>
    <definedName name="Reserved_Section">'Sheet1'!$B$754</definedName>
    <definedName name="search_directory_name">"R:\fcm90prd\nvision\rpts\Fin_Reports\"</definedName>
    <definedName name="Sunset_Date">'Modification History'!$C$7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F276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F299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F462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F523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F525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G276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H276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O276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P276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G299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H299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O299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P299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G462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H462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O462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P462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G523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H523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O523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P523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G525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H525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O525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P525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E572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F597" authorId="0">
      <text>
        <r>
          <rPr>
            <sz val="8"/>
            <rFont val="Tahoma"/>
            <family val="0"/>
          </rPr>
          <t>Common Stock Authorized (shown in report in number of shares).</t>
        </r>
      </text>
    </comment>
    <comment ref="F598" authorId="0">
      <text>
        <r>
          <rPr>
            <sz val="8"/>
            <rFont val="Tahoma"/>
            <family val="0"/>
          </rPr>
          <t>Common Stock Outstanding (shown in report in number of shares).</t>
        </r>
      </text>
    </comment>
    <comment ref="K276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L276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K299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L299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K462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L462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K523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L523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K525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L525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H545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P545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</commentList>
</comments>
</file>

<file path=xl/sharedStrings.xml><?xml version="1.0" encoding="utf-8"?>
<sst xmlns="http://schemas.openxmlformats.org/spreadsheetml/2006/main" count="1412" uniqueCount="1331">
  <si>
    <t>%,ATT,FDESCR,UDESCR</t>
  </si>
  <si>
    <t>BU_Name</t>
  </si>
  <si>
    <t>Contact Person</t>
  </si>
  <si>
    <t>Department Owner</t>
  </si>
  <si>
    <t>Account Tree</t>
  </si>
  <si>
    <t>Business Unit Tree</t>
  </si>
  <si>
    <t>Sunset Date</t>
  </si>
  <si>
    <t>Report Statement Type</t>
  </si>
  <si>
    <t>Report Description</t>
  </si>
  <si>
    <t>Title (Builtin)</t>
  </si>
  <si>
    <t>Author (Builtin)</t>
  </si>
  <si>
    <t>Comments (Builtin)</t>
  </si>
  <si>
    <t>Subject (Builtin)</t>
  </si>
  <si>
    <t>Category (Builtin)</t>
  </si>
  <si>
    <t>Keywords (Builtin)</t>
  </si>
  <si>
    <t>Neal Hartley</t>
  </si>
  <si>
    <t>Financial Reporting</t>
  </si>
  <si>
    <t>Financial Reporting / Neal Hartley</t>
  </si>
  <si>
    <t xml:space="preserve"> </t>
  </si>
  <si>
    <t>Reserved Section</t>
  </si>
  <si>
    <t>11/20/2005</t>
  </si>
  <si>
    <t>Modified existing GLR80xx report to conform to 2005 10K presentation. Nodes were added and deleted. Basically moved non-operating income/expense to Revenue and Expense.</t>
  </si>
  <si>
    <t>01/12/2006</t>
  </si>
  <si>
    <t>modified title on Memo: Other affi rev and fixed formula on Memo Affil Rev to include Other Retail Sales Aff</t>
  </si>
  <si>
    <t>06/30/2006</t>
  </si>
  <si>
    <t>01/31/2007</t>
  </si>
  <si>
    <t>ARO_REG_CREDIT was moved from Amortization to O&amp;M: Accretion. This required a report change for Income Statements by clearing row in amortization, account will flow naturally into O&amp;M. There is no change on Balance sheets, but all reports versions were indexed to 07B.</t>
  </si>
  <si>
    <t>07/25/2005</t>
  </si>
  <si>
    <t>changed any reference to (WTU) or (CPL) to TNC and TCC - Titles only. no changes to report</t>
  </si>
  <si>
    <t>7/27/2005</t>
  </si>
  <si>
    <t>Centered all titles</t>
  </si>
  <si>
    <t>12/07/2005</t>
  </si>
  <si>
    <t>Modified 06C to eliminate groupings at level 3 , now report will have 3 levels.</t>
  </si>
  <si>
    <t>Added two subtotal memo lines for Total Operating Revenues. In addition added tic-tie codes for Revenue nodes.</t>
  </si>
  <si>
    <t>Modified TNC to include Int Consolidated</t>
  </si>
  <si>
    <t>01/21/2007</t>
  </si>
  <si>
    <t>Merchant Generation name changed to NonUtil Generation and Marketing</t>
  </si>
  <si>
    <t>Renamed the MEMCO segment to AEP River</t>
  </si>
  <si>
    <t>12/04/2008</t>
  </si>
  <si>
    <t>Made cosmetic changes to RESERVED_SECTION to move to left edge</t>
  </si>
  <si>
    <t>Feb 17, 2009</t>
  </si>
  <si>
    <t>Added 3 subtotals to the fuel Grand Total.</t>
  </si>
  <si>
    <t>Apr 07, 2009</t>
  </si>
  <si>
    <t>Simple changes to cross reference in Column B for Revenue.</t>
  </si>
  <si>
    <t>May 12, 2009</t>
  </si>
  <si>
    <t>Min Interest moved below Net Income. This version referred to as "09B" . Changes due to new year FAS160</t>
  </si>
  <si>
    <t>%,C</t>
  </si>
  <si>
    <t>$</t>
  </si>
  <si>
    <t>%</t>
  </si>
  <si>
    <t xml:space="preserve">Report as of Date: </t>
  </si>
  <si>
    <t>Rounding Tolerance:</t>
  </si>
  <si>
    <t>Error Message Counter</t>
  </si>
  <si>
    <t>Total Error Message Count</t>
  </si>
  <si>
    <t>RID   Report ID</t>
  </si>
  <si>
    <t>LYN   Report Layout</t>
  </si>
  <si>
    <t>RBN   Report Request</t>
  </si>
  <si>
    <t>RBU   Request Bus Unit</t>
  </si>
  <si>
    <t>SCN   Scope Decrip</t>
  </si>
  <si>
    <t>SCD   Scope Description</t>
  </si>
  <si>
    <t>SFD   Scope Field Descr</t>
  </si>
  <si>
    <t>SFV   Scope Field Value</t>
  </si>
  <si>
    <t>STN   Scope Tree Name</t>
  </si>
  <si>
    <t>Elapsed Run Time</t>
  </si>
  <si>
    <t>BUN   Business Unit</t>
  </si>
  <si>
    <t>Variance</t>
  </si>
  <si>
    <t xml:space="preserve">  </t>
  </si>
  <si>
    <t>NET ELECTRIC UTILITY PLANT</t>
  </si>
  <si>
    <t>REGULATORY ASSETS</t>
  </si>
  <si>
    <t>TOTAL DEFERRED CHARGES</t>
  </si>
  <si>
    <t>TOTAL ASSETS</t>
  </si>
  <si>
    <t>ASSETS</t>
  </si>
  <si>
    <t>Construction Work-In-Progress</t>
  </si>
  <si>
    <t>General Plant</t>
  </si>
  <si>
    <t>Plant In Service</t>
  </si>
  <si>
    <t>ELECTRIC UTILITY PLANT</t>
  </si>
  <si>
    <t>less Accum Provision - Depre, Depl, Amort.</t>
  </si>
  <si>
    <t>Net NonUtility Property</t>
  </si>
  <si>
    <t>Investment in Subsidiary &amp; Associated</t>
  </si>
  <si>
    <t>Other Investments</t>
  </si>
  <si>
    <t>Other Special Funds</t>
  </si>
  <si>
    <t>Allowance - NonCurrent</t>
  </si>
  <si>
    <t>Long Term Energy Trading Contracts</t>
  </si>
  <si>
    <t>Gross NonUtility Property</t>
  </si>
  <si>
    <t>Less Depr &amp; Amort NonUtility Property</t>
  </si>
  <si>
    <t>Other Property Investments</t>
  </si>
  <si>
    <t>%,LACTUALS,SBAL</t>
  </si>
  <si>
    <t>%,LACTUALS,SADJBAL-1YR</t>
  </si>
  <si>
    <t>Cash and Cash Equivalents</t>
  </si>
  <si>
    <t>Special Deposits</t>
  </si>
  <si>
    <t>Miscellaneous Working Funds</t>
  </si>
  <si>
    <t>Other Intercompany Adj Working Funds</t>
  </si>
  <si>
    <t>Temporary Cash Investments</t>
  </si>
  <si>
    <t>Special Deposits and Working Funds</t>
  </si>
  <si>
    <t>Advances to Affiliates</t>
  </si>
  <si>
    <t>Acct Rec - Customers</t>
  </si>
  <si>
    <t>Acct Rec - Miscellaneous</t>
  </si>
  <si>
    <t>Acct Rec - AP for Uncollectible Accounts</t>
  </si>
  <si>
    <t>Acct Rec - Associated Companies</t>
  </si>
  <si>
    <t>Fuel Stock</t>
  </si>
  <si>
    <t>Materials and Supplies</t>
  </si>
  <si>
    <t>Accrued Utility Revenues</t>
  </si>
  <si>
    <t>Energy Trading</t>
  </si>
  <si>
    <t>Prepayments</t>
  </si>
  <si>
    <t>Other Current Assets</t>
  </si>
  <si>
    <t>NJH%,FACCOUNT,TPRPT_ACCOUNT,NELEC_UTIL_PLNT_TOT</t>
  </si>
  <si>
    <t>NJH%,FACCOUNT,TPRPT_ACCOUNT,NELEC_UTILITY_PLT</t>
  </si>
  <si>
    <t>NJH%,FACCOUNT,TPRPT_ACCOUNT,NCURRENT_ASSETS</t>
  </si>
  <si>
    <t>NJH%,FACCOUNT,TPRPT_ACCOUNT,NOTHER_PROP&amp;INVEST</t>
  </si>
  <si>
    <t>%,FACCOUNT,X,TPRPT_ACCOUNT,NCONSOL_SUBS_EQUITY</t>
  </si>
  <si>
    <t xml:space="preserve"> Investment in Consol Subsidiaries</t>
  </si>
  <si>
    <t xml:space="preserve"> Investment in NonConsol Subsidiaries</t>
  </si>
  <si>
    <t xml:space="preserve"> Investment in NonConsol Subs Cost Basis</t>
  </si>
  <si>
    <t>%,FACCOUNT,X,TPRPT_ACCOUNT,NNONCONSOL_SUB_EQUITY</t>
  </si>
  <si>
    <t>%,FACCOUNT,X,TPRPT_ACCOUNT,NNONCONSOL_COST_BASIS</t>
  </si>
  <si>
    <t>%,AFF,FACCOUNT,UACCOUNT</t>
  </si>
  <si>
    <t>Plant Materials and Supplies</t>
  </si>
  <si>
    <t>Merchandise</t>
  </si>
  <si>
    <t>Allowance Inventory</t>
  </si>
  <si>
    <t>Stores Expenses</t>
  </si>
  <si>
    <t>%,FACCOUNT,TPRPT_ACCOUNT,X,NFUEL</t>
  </si>
  <si>
    <t>%,FACCOUNT,TPRPT_ACCOUNT,X,NOTHER_MAT_&amp;_SUPPLIES</t>
  </si>
  <si>
    <t>%,FACCOUNT,TPRPT_ACCOUNT,X,NMERCHANDISE</t>
  </si>
  <si>
    <t>%,FACCOUNT,TPRPT_ACCOUNT,X,NALLOWANCES_CURRENT</t>
  </si>
  <si>
    <t>%,FACCOUNT,TPRPT_ACCOUNT,X,NSTORES_EXPENSE</t>
  </si>
  <si>
    <t>%,FACCOUNT,TPRPT_ACCOUNT,X,NACCR_UTL_REVENUES</t>
  </si>
  <si>
    <t>%,FACCOUNT,TPRPT_ACCOUNT,X,NENERGY_TRADING</t>
  </si>
  <si>
    <t>%,FACCOUNT,TPRPT_ACCOUNT,X,NPREPAYMENTS</t>
  </si>
  <si>
    <t>%,FACCOUNT,TPRPT_ACCOUNT,X,NOTHR_CURR_ASSETS</t>
  </si>
  <si>
    <t>%,FACCOUNT,TPRPT_ACCOUNT,X,NCASH</t>
  </si>
  <si>
    <t>%,FACCOUNT,TPRPT_ACCOUNT,X,NSPECIAL_DEPOSITS</t>
  </si>
  <si>
    <t>%,FACCOUNT,TPRPT_ACCOUNT,X,NOICA_WORKING_FUNDS</t>
  </si>
  <si>
    <t>%,FACCOUNT,TPRPT_ACCOUNT,X,NMISC_WORKING_FUNDS</t>
  </si>
  <si>
    <t>%,FACCOUNT,TPRPT_ACCOUNT,X,NTEMPORARY_INVESTMENT</t>
  </si>
  <si>
    <t>%,FACCOUNT,TPRPT_ACCOUNT,X,NADV_TO_AFFILIATES</t>
  </si>
  <si>
    <t>%,FACCOUNT,TPRPT_ACCOUNT,X,NCUSTOMERS</t>
  </si>
  <si>
    <t>%,FACCOUNT,TPRPT_ACCOUNT,X,NMISC_ACCOUNTS_REC</t>
  </si>
  <si>
    <t>%,FACCOUNT,TPRPT_ACCOUNT,X,NACCM_PROV_UNCOL_ACCT</t>
  </si>
  <si>
    <t>%,FACCOUNT,TPRPT_ACCOUNT,X,NASSOCIATED_COMPANIES</t>
  </si>
  <si>
    <t>OTHER PROPERTY AND INVESTMENTS</t>
  </si>
  <si>
    <t>CURRENT ASSETS</t>
  </si>
  <si>
    <t>Miscellaneous Regulatory Assets</t>
  </si>
  <si>
    <t>Unamortized Loss on Reacquired Debt</t>
  </si>
  <si>
    <t>%,FACCOUNT,TPRPT_ACCOUNT,X,NOTHER_REG_ASSETS</t>
  </si>
  <si>
    <t>%,FACCOUNT,TPRPT_ACCOUNT,X,NUNAM_L_REAQ_DEBT</t>
  </si>
  <si>
    <t>Unamortized Debt Expense</t>
  </si>
  <si>
    <t>Clearing Accounts</t>
  </si>
  <si>
    <t>Other Deferred Debits</t>
  </si>
  <si>
    <t>Accumulated Deferred Income Taxes</t>
  </si>
  <si>
    <t>%,FACCOUNT,TPRPT_ACCOUNT,X,NDFIT_DSIT_RECLASS</t>
  </si>
  <si>
    <t>%,FACCOUNT,TPRPT_ACCOUNT,X,NOTHR_DEFERRED_DEBITS</t>
  </si>
  <si>
    <t>%,FACCOUNT,TPRPT_ACCOUNT,X,NCLEARING_ACCOUNTS</t>
  </si>
  <si>
    <t>NJH%,FACCOUNT,TPRPT_ACCOUNT,NOTH_DEFERRED_DR</t>
  </si>
  <si>
    <t>NJH%,FACCOUNT,TPRPT_ACCOUNT,NTOTAL_REG_ASSETS</t>
  </si>
  <si>
    <t>%,FACCOUNT,TPRPT_ACCOUNT,NASSETS</t>
  </si>
  <si>
    <t>%,FACCOUNT,TPRPT_ACCOUNT,X,N1210_NONUTILITY_PROP</t>
  </si>
  <si>
    <t>%,FACCOUNT,TPRPT_ACCOUNT,X,NACCM_PROV_DEP_DEPL_A</t>
  </si>
  <si>
    <t>%,FACCOUNT,TPRPT_ACCOUNT,X,N1240_OTHER_PROP</t>
  </si>
  <si>
    <t>%,FACCOUNT,TPRPT_ACCOUNT,X,NOTHER_INVESTMENTS</t>
  </si>
  <si>
    <t>%,FACCOUNT,TPRPT_ACCOUNT,X,NOTHER_SPECIAL_FUNDS</t>
  </si>
  <si>
    <t>%,FACCOUNT,TPRPT_ACCOUNT,X,NALLOWANCE_NONCURRENT</t>
  </si>
  <si>
    <t>%,FACCOUNT,TPRPT_ACCOUNT,XDYYNYN00,NLT_TRADING_CONTRACT</t>
  </si>
  <si>
    <t>%,FACCOUNT,TPRPT_ACCOUNT,X,NCUM_PRV_DEP_DPL_AMRT</t>
  </si>
  <si>
    <t>%,FACCOUNT,TPRPT_ACCOUNT,X,NGENERAL_LEASED,NGENERAL_FUTURE,NGENERAL_OWNED</t>
  </si>
  <si>
    <t>%,FACCOUNT,TPRPT_ACCOUNT,X,NCONST_WORK_IN_PROG</t>
  </si>
  <si>
    <t>%,FACCOUNT,TPRPT_ACCOUNT,X,NUNAMT_DEBT_EXPENSE</t>
  </si>
  <si>
    <t>ERROR does not foot</t>
  </si>
  <si>
    <t>1st Error Message Shown:</t>
  </si>
  <si>
    <t>2ndError Message Shown:</t>
  </si>
  <si>
    <t>C</t>
  </si>
  <si>
    <t>CAPITALIZATION</t>
  </si>
  <si>
    <t>COMMON STOCK</t>
  </si>
  <si>
    <t>COMMON SHAREHOLDERS' EQUITY</t>
  </si>
  <si>
    <t>CUMULATIVE PREFERRED STOCK</t>
  </si>
  <si>
    <t>TRUST PREFERRED SECURITIES</t>
  </si>
  <si>
    <t/>
  </si>
  <si>
    <t>Common Stock</t>
  </si>
  <si>
    <t>Premium on Capital Stock</t>
  </si>
  <si>
    <t>Paid-In-Capital</t>
  </si>
  <si>
    <t>PS Subject To Mandatory Redemption</t>
  </si>
  <si>
    <t>PS Not Subject Mandatory Redemption</t>
  </si>
  <si>
    <t>Long-Term Debt Less Amt Due 1 Yr</t>
  </si>
  <si>
    <t>CAPITALIZATION and LIABILITIES</t>
  </si>
  <si>
    <t>Other NonCurrent Liabilities</t>
  </si>
  <si>
    <t>Obligations Under Capital  Lease-NonCurrent</t>
  </si>
  <si>
    <t>Accumulated Provision Rate Relief</t>
  </si>
  <si>
    <t>Accumlated Provision - Miscellanous</t>
  </si>
  <si>
    <t>Preferred Stock Due Within 1 Year</t>
  </si>
  <si>
    <t>Long-Term Debt Due Within 1 Year</t>
  </si>
  <si>
    <t>Accumulated Provision Due Within 1 Year</t>
  </si>
  <si>
    <t>Short-Term Debt</t>
  </si>
  <si>
    <t>Advances from Affiliates</t>
  </si>
  <si>
    <t>A/P General</t>
  </si>
  <si>
    <t>A/P Associated Companies</t>
  </si>
  <si>
    <t>Customer Deposits</t>
  </si>
  <si>
    <t>Taxes Accrued</t>
  </si>
  <si>
    <t>Interest Accrued</t>
  </si>
  <si>
    <t>Dividends Accrued</t>
  </si>
  <si>
    <t>Obligation Under Capital Leases</t>
  </si>
  <si>
    <t>Energy Contracts Current</t>
  </si>
  <si>
    <t>Other Current and Accrued Liabilities</t>
  </si>
  <si>
    <t>Tax Collections Payable</t>
  </si>
  <si>
    <t>Revenue Refunds Accured</t>
  </si>
  <si>
    <t>Accrued Rents - Affiliated</t>
  </si>
  <si>
    <t>Accrued Rents - NonAffiliated</t>
  </si>
  <si>
    <t>Accrued Rents</t>
  </si>
  <si>
    <t>Accrued Vacations</t>
  </si>
  <si>
    <t>Miscellaneous Employee Benefits</t>
  </si>
  <si>
    <t>Employee Benefits</t>
  </si>
  <si>
    <t>Payroll Deductions</t>
  </si>
  <si>
    <t>Accrued Workers' Compensation</t>
  </si>
  <si>
    <t>Miscellaneous Current and Accrued Liab</t>
  </si>
  <si>
    <t>Deferred Income Taxes</t>
  </si>
  <si>
    <t>Deferred Investment Tax Credits</t>
  </si>
  <si>
    <t>Regulatory Liabilities</t>
  </si>
  <si>
    <t>Long-Term Energy Trading Contracts</t>
  </si>
  <si>
    <t>Customer Advances for Construction</t>
  </si>
  <si>
    <t>Deferred Gains on Sale/Leaseback</t>
  </si>
  <si>
    <t>Deferred Gains on Dispostion of Utility Plant</t>
  </si>
  <si>
    <t>Other Deferred Credits</t>
  </si>
  <si>
    <t>Deferred Credits</t>
  </si>
  <si>
    <t>Current Liabilities</t>
  </si>
  <si>
    <t>CAPITAL &amp; LIABILITIES</t>
  </si>
  <si>
    <t>Over Recover of Fuel Cost</t>
  </si>
  <si>
    <t>SFAS 106 OPEB</t>
  </si>
  <si>
    <t>Demand Side Management Credit</t>
  </si>
  <si>
    <t>Other Regulatory Liabablity</t>
  </si>
  <si>
    <t>FAS109 DFIT Reclass (Acct 254)</t>
  </si>
  <si>
    <t>Unamortized Gain on Reacquired Debt</t>
  </si>
  <si>
    <t>Retained Earnings</t>
  </si>
  <si>
    <t>NJH%,FACCOUNT,TPRPT_ACCOUNT,X,NNET_NONUTIL_PROP</t>
  </si>
  <si>
    <t>NJH%,FACCOUNT,TPRPT_ACCOUNT,NSUBSIDIARIES</t>
  </si>
  <si>
    <t>NJH%,FACCOUNT,TPRPT_ACCOUNT,NTOTAL_SPEC_AND_WRKG</t>
  </si>
  <si>
    <t>NJH%,FACCOUNT,TPRPT_ACCOUNT,X,NCASH_EQUIV</t>
  </si>
  <si>
    <t>NJH%,FACCOUNT,TPRPT_ACCOUNT,X,NMATERIAL_&amp;_SUPPLIES</t>
  </si>
  <si>
    <t>OPR   Operator ID</t>
  </si>
  <si>
    <t>%,LACTUALS,SBAL-1YR</t>
  </si>
  <si>
    <t>December Balances</t>
  </si>
  <si>
    <t>Last Year</t>
  </si>
  <si>
    <t>Month End Balances</t>
  </si>
  <si>
    <t>%,FACCOUNT,TPRPT_ACCOUNT,X,NAUCTION_RATE_SECUR</t>
  </si>
  <si>
    <t>Auction Rate Securities</t>
  </si>
  <si>
    <t>%,R,FACCOUNT,TPRPT_ACCOUNT,X,NCOMMON_STOCK</t>
  </si>
  <si>
    <t>%,R,FACCOUNT,TPRPT_ACCOUNT,X,NPREMIUM_CAPITAL_STK</t>
  </si>
  <si>
    <t>%,R,FACCOUNT,TPRPT_ACCOUNT,X,NOTH_PAID-IN_CAPITAL</t>
  </si>
  <si>
    <t>%,R,FACCOUNT,TPRPT_ACCOUNT,NRETAINED_EARNINGS,NNET_INCOME</t>
  </si>
  <si>
    <t>%,R,FACCOUNT,TPRPT_ACCOUNT,NCOMM_SHAROWN_EQUITY,NNET_INCOME</t>
  </si>
  <si>
    <t>%,R,FACCOUNT,TPRPT_ACCOUNT,X,NPS_SUBJ_MAND_REDEMP</t>
  </si>
  <si>
    <t>%,R,FACCOUNT,TPRPT_ACCOUNT,X,NPS_NOT_SUBJ_MAND,NPREF_STK_SUBSCR_CONV</t>
  </si>
  <si>
    <t>%,R,FACCOUNT,TPRPT_ACCOUNT,X,NLTD_TRUST_PREF_SEC</t>
  </si>
  <si>
    <t>%,R,FACCOUNT,TPRPT_ACCOUNT,X,NTOTAL_LTD_LESS_CURR</t>
  </si>
  <si>
    <t>%,R,FACCOUNT,TPRPT_ACCOUNT,NCAPITALIZATION,NNET_INCOME</t>
  </si>
  <si>
    <t>%,R,FACCOUNT,TPRPT_ACCOUNT,X,NOBLGTN_UNDR_CAP_LEA</t>
  </si>
  <si>
    <t>%,R,FACCOUNT,TPRPT_ACCOUNT,X,NACCUM_PROV_RATE_REF</t>
  </si>
  <si>
    <t>%,R,FACCOUNT,TPRPT_ACCOUNT,X,NACCUM_PROV_-_MISC</t>
  </si>
  <si>
    <t>%,R,FACCOUNT,TPRPT_ACCOUNT,NOTH_NONCURR_LIAB</t>
  </si>
  <si>
    <t>%,R,FACCOUNT,TPRPT_ACCOUNT,X,NPS_DUE_ONE_YEAR</t>
  </si>
  <si>
    <t>%,R,FACCOUNT,TPRPT_ACCOUNT,X,NLTD_DUE_ONE_YEAR</t>
  </si>
  <si>
    <t>%,R,FACCOUNT,TPRPT_ACCOUNT,X,NACCM_PROV_DUE_ONE_YR</t>
  </si>
  <si>
    <t>%,R,FACCOUNT,TPRPT_ACCOUNT,X,NSHORT_TERM_DEBT</t>
  </si>
  <si>
    <t>%,R,FACCOUNT,TPRPT_ACCOUNT,X,NADV_FROM_AFFILIATES</t>
  </si>
  <si>
    <t>%,R,FACCOUNT,TPRPT_ACCOUNT,X,NGENERAL</t>
  </si>
  <si>
    <t>%,R,FACCOUNT,TPRPT_ACCOUNT,X,NACCTS_PAY_AFFIL,NNOTES_PAYABLE_AFFIL</t>
  </si>
  <si>
    <t>%,R,FACCOUNT,TPRPT_ACCOUNT,X,NCUSTOMER_DEPOSITS</t>
  </si>
  <si>
    <t>%,R,FACCOUNT,TPRPT_ACCOUNT,X,NTAXES_ACCRUED</t>
  </si>
  <si>
    <t>%,R,FACCOUNT,TPRPT_ACCOUNT,X,NINTEREST_ACCRUED</t>
  </si>
  <si>
    <t>%,R,FACCOUNT,TPRPT_ACCOUNT,X,NDIVIDENDS_DECLARED</t>
  </si>
  <si>
    <t>%,R,FACCOUNT,TPRPT_ACCOUNT,X,NOBLGTN_UNDR_CAP_LSES</t>
  </si>
  <si>
    <t>%,R,FACCOUNT,TPRPT_ACCOUNT,X,NENERGY_CONTRACTS_CUR</t>
  </si>
  <si>
    <t>%,R,FACCOUNT,TPRPT_ACCOUNT,X,NTAX_COLLECT_PAYABLE</t>
  </si>
  <si>
    <t>%,R,FACCOUNT,TPRPT_ACCOUNT,X,NREVENUE_REFUNDS_ACCR</t>
  </si>
  <si>
    <t>%,R,FACCOUNT,TPRPT_ACCOUNT,X,NACCRUED_RENTS_AFFIL</t>
  </si>
  <si>
    <t>%,R,FACCOUNT,TPRPT_ACCOUNT,X,NACCRD_RENTS_NONAFIL</t>
  </si>
  <si>
    <t>%,R,FACCOUNT,TPRPT_ACCOUNT,NACCRUED_RENTS</t>
  </si>
  <si>
    <t>%,R,FACCOUNT,TPRPT_ACCOUNT,X,NACCRUED_VACATIONS</t>
  </si>
  <si>
    <t>%,R,FACCOUNT,TPRPT_ACCOUNT,X,NMISC_EMPLOYEE_BENEF</t>
  </si>
  <si>
    <t>%,R,FACCOUNT,TPRPT_ACCOUNT,NEMPLOYEE_BENEFITS</t>
  </si>
  <si>
    <t>%,R,FACCOUNT,TPRPT_ACCOUNT,X,NPAYROLL_DEDUCTIONS</t>
  </si>
  <si>
    <t>%,R,FACCOUNT,TPRPT_ACCOUNT,X,NACCRD_WORKERS'_COMP</t>
  </si>
  <si>
    <t>%,R,FACCOUNT,TPRPT_ACCOUNT,X,NMISC_CURR_AND_ACCRD</t>
  </si>
  <si>
    <t>%,R,FACCOUNT,TPRPT_ACCOUNT,NCURRENT_LIABILITY</t>
  </si>
  <si>
    <t>%,R,FACCOUNT,TPRPT_ACCOUNT,X,NNET_DEF_INCOME_TAXES</t>
  </si>
  <si>
    <t>%,R,FACCOUNT,TPRPT_ACCOUNT,X,NACCUM_DFRD_INVEST_CR</t>
  </si>
  <si>
    <t>%,R,FACCOUNT,TPRPT_ACCOUNT,X,NOVER_RECOVERY_FUEL</t>
  </si>
  <si>
    <t>%,R,FACCOUNT,TPRPT_ACCOUNT,X,NSFAS106_OPEB</t>
  </si>
  <si>
    <t>%,R,FACCOUNT,TPRPT_ACCOUNT,X,NDEMAND_SIDE_MGMT_CR</t>
  </si>
  <si>
    <t>%,R,FACCOUNT,TPRPT_ACCOUNT,X,NOTH_REG_LIABILITIES</t>
  </si>
  <si>
    <t>%,R,FACCOUNT,TPRPT_ACCOUNT,X,NFAS109_RECLASS</t>
  </si>
  <si>
    <t>%,R,FACCOUNT,TPRPT_ACCOUNT,X,NUNAM_G_REAQ_DEBT</t>
  </si>
  <si>
    <t>%,R,FACCOUNT,TPRPT_ACCOUNT,XDYYNYN00,NLT_ENERGY_TRADING</t>
  </si>
  <si>
    <t>%,R,FACCOUNT,TPRPT_ACCOUNT,XDYYNYN00,NCUST_ADV_FOR_CONST</t>
  </si>
  <si>
    <t>%,R,FACCOUNT,TPRPT_ACCOUNT,XDYYNYN00,NDEF_GAIN_SALE_LEASEB</t>
  </si>
  <si>
    <t>%,R,FACCOUNT,TPRPT_ACCOUNT,XDYYNYN00,NDEF_GN_DISP_UTIL_PLT</t>
  </si>
  <si>
    <t>%,R,FACCOUNT,TPRPT_ACCOUNT,XDYYNYN00,NOTHER_DEFERRED_CR</t>
  </si>
  <si>
    <t>%,R,FACCOUNT,TPRPT_ACCOUNT,NTOTAL_DEF_CREDITS</t>
  </si>
  <si>
    <t>%,R,FACCOUNT,TPRPT_ACCOUNT,NNET_DEF_INCOME_TAXES,NACCUM_DFRD_INVEST_CR,NTOTAL_REG_LIAB,NTOTAL_DEF_CREDITS</t>
  </si>
  <si>
    <t>%,R,FACCOUNT,TPRPT_ACCOUNT,NCAPITALIZATION,NLIABILITIES,NNET_INCOME</t>
  </si>
  <si>
    <t>BALANCE AT BEGINNING OF YEAR</t>
  </si>
  <si>
    <t>BALANCE AT END OF PERIOD (A)</t>
  </si>
  <si>
    <t>Appropriated Retained Earnings</t>
  </si>
  <si>
    <t>Appr Retnd Erngs - Amrt Rsv, Fed</t>
  </si>
  <si>
    <t>Unapprp Retained Earnings Unrestr</t>
  </si>
  <si>
    <t>Unapprp Retained Earnings Restr</t>
  </si>
  <si>
    <t>Net Income Transferred</t>
  </si>
  <si>
    <t>216.1</t>
  </si>
  <si>
    <t>TOTAL RETAINED EARNINGS</t>
  </si>
  <si>
    <t>Statement of Retained Earnings</t>
  </si>
  <si>
    <t>Dividend Declared On Preferred Stock</t>
  </si>
  <si>
    <t>Dividend Declared On Common Stock</t>
  </si>
  <si>
    <t>Net Income (Loss)</t>
  </si>
  <si>
    <t>Total Appropriated Retained Earnings</t>
  </si>
  <si>
    <t>Current-Yr</t>
  </si>
  <si>
    <t>Prior-Yr</t>
  </si>
  <si>
    <t>DecPrYr</t>
  </si>
  <si>
    <t>Special Formulas for Retained Earnings</t>
  </si>
  <si>
    <t>(A) Represents The Following Balances At End Of Period</t>
  </si>
  <si>
    <t>Total Unappropriated Retained Earnings</t>
  </si>
  <si>
    <t>Total Unapprop Undistributed Sub Earnings</t>
  </si>
  <si>
    <t>Equity Earnings of Subsidiary Co</t>
  </si>
  <si>
    <t>Unapprop Undistributed Sub Earnings</t>
  </si>
  <si>
    <t>%,R,FACCOUNT,TPRPT_ACCOUNT,NNET_INCOME</t>
  </si>
  <si>
    <t>%,R,FACCOUNT,TPRPT_ACCOUNT,X,NDIV_DECL_ON_COMMON</t>
  </si>
  <si>
    <t>%,R,FACCOUNT,TPRPT_ACCOUNT,X,NDIV_DECL_PREFERRED</t>
  </si>
  <si>
    <t>%,R,FACCOUNT,TPRPT_ACCOUNT,NEQTY_ERNGS_SUBS</t>
  </si>
  <si>
    <t>Comparative Balance Sheet</t>
  </si>
  <si>
    <t>Deductions:</t>
  </si>
  <si>
    <t>Total Deductions</t>
  </si>
  <si>
    <t>Adjustment in Retained Earnings</t>
  </si>
  <si>
    <t>418.1</t>
  </si>
  <si>
    <t>njh%,R,FACCOUNT,TPRPT_ACCOUNT,NADJ_TO_RET_EARNINGS,NDIV_DECLARED,NAPP_RET_EAR_AMOR_FED,NAPPRO_RET_EARNINGS,NUNAPP_RET_EARNINGS,NAPPROPRIATIONS_OF_RE</t>
  </si>
  <si>
    <t>215.0</t>
  </si>
  <si>
    <t>215.1</t>
  </si>
  <si>
    <t>2160002+</t>
  </si>
  <si>
    <t>2160000-1</t>
  </si>
  <si>
    <t>less: Equity Earnings of Subsidiary Co</t>
  </si>
  <si>
    <t>Total Net Income</t>
  </si>
  <si>
    <t>CSA</t>
  </si>
  <si>
    <t>CSO</t>
  </si>
  <si>
    <t>Total Other Retained Earnings Accounts</t>
  </si>
  <si>
    <t>%,R,FACCOUNT,TPRPT_ACCOUNT,NOTH_CURR_&amp;_ACCR_LIAB</t>
  </si>
  <si>
    <t>%,R,FACCOUNT,TPRPT_ACCOUNT,NTOTAL_REG_LIAB</t>
  </si>
  <si>
    <t>%,R,FACCOUNT,TPRPT_ACCOUNT,XDYYNYN00,NRETAINED_EARNINGS</t>
  </si>
  <si>
    <t>%,FACCOUNT,TPRPT_ACCOUNT,X,NPRODUCTION_LEASED,NPRODUCTION_FUTURE,NPRODUCTION_OWNED,NTRANSMISSION_FUTURE,NDISTRIBUTION_FUTURE,NTRANSMISSION_LEASED,NDISTRIBUTION_LEASED,NTRANSMISSION_OWNED,NDISTRIBUTION_OWNED</t>
  </si>
  <si>
    <t>Prior Month</t>
  </si>
  <si>
    <t>%,LACTUALS,SBAL-1MTH</t>
  </si>
  <si>
    <t>DEFERRED CREDITS &amp; REGULATED LIABILITIES</t>
  </si>
  <si>
    <t>njh%,R,SYTD,FACCOUNT,TPRPT_ACCOUNT,NADJ_TO_RET_EARNINGS</t>
  </si>
  <si>
    <t>Scope-based</t>
  </si>
  <si>
    <t>PRPT_ACCOUNT</t>
  </si>
  <si>
    <t>Comparative Regulatory Balance Sheet</t>
  </si>
  <si>
    <t>Scope-based  Comparative Regulatory Balance Sheet</t>
  </si>
  <si>
    <t>ACCT: PRPT_ACCOUNT  BU: Scope-based</t>
  </si>
  <si>
    <t>210.0</t>
  </si>
  <si>
    <t>Gain on Reacquired Pref Stock</t>
  </si>
  <si>
    <t>%,V1010001</t>
  </si>
  <si>
    <t>1010001</t>
  </si>
  <si>
    <t>Plant in Service</t>
  </si>
  <si>
    <t>%,V1011001</t>
  </si>
  <si>
    <t>1011001</t>
  </si>
  <si>
    <t>Capital Leases</t>
  </si>
  <si>
    <t>%,V1050001</t>
  </si>
  <si>
    <t>1050001</t>
  </si>
  <si>
    <t>Held For Fut Use</t>
  </si>
  <si>
    <t>%,V1060001</t>
  </si>
  <si>
    <t>1060001</t>
  </si>
  <si>
    <t>Const Not Classifd</t>
  </si>
  <si>
    <t>%,V1011012</t>
  </si>
  <si>
    <t>1011012</t>
  </si>
  <si>
    <t>Accrued Capital Leases</t>
  </si>
  <si>
    <t>%,V1070001</t>
  </si>
  <si>
    <t>1070001</t>
  </si>
  <si>
    <t>CWIP - Project</t>
  </si>
  <si>
    <t>%,V1011006</t>
  </si>
  <si>
    <t>1011006</t>
  </si>
  <si>
    <t>Prov-Leased Assets</t>
  </si>
  <si>
    <t>%,V1080001</t>
  </si>
  <si>
    <t>1080001</t>
  </si>
  <si>
    <t>A/P for Deprec of Plt</t>
  </si>
  <si>
    <t>%,V1080005</t>
  </si>
  <si>
    <t>1080005</t>
  </si>
  <si>
    <t>RWIP - Project Detail</t>
  </si>
  <si>
    <t>%,V1080011</t>
  </si>
  <si>
    <t>1080011</t>
  </si>
  <si>
    <t>Cost of Removal Reserve</t>
  </si>
  <si>
    <t>%,V1080013</t>
  </si>
  <si>
    <t>1080013</t>
  </si>
  <si>
    <t>ARO Removal Deprec - Accretion</t>
  </si>
  <si>
    <t>%,V1110001</t>
  </si>
  <si>
    <t>1110001</t>
  </si>
  <si>
    <t>A/P for Amort of Plt</t>
  </si>
  <si>
    <t>%,V1210001</t>
  </si>
  <si>
    <t>1210001</t>
  </si>
  <si>
    <t>Nonutility Property - Owned</t>
  </si>
  <si>
    <t>%,V1220001</t>
  </si>
  <si>
    <t>1220001</t>
  </si>
  <si>
    <t>Depr&amp;Amrt of Nonutl Prop-Ownd</t>
  </si>
  <si>
    <t>%,V1240029</t>
  </si>
  <si>
    <t>1240029</t>
  </si>
  <si>
    <t>Other Property - CPR</t>
  </si>
  <si>
    <t>%,V1240002</t>
  </si>
  <si>
    <t>1240002</t>
  </si>
  <si>
    <t>Oth Investments-Nonassociated</t>
  </si>
  <si>
    <t>%,V1240007</t>
  </si>
  <si>
    <t>1240007</t>
  </si>
  <si>
    <t>Deferred Compensation Benefits</t>
  </si>
  <si>
    <t>%,V1240092</t>
  </si>
  <si>
    <t>1240092</t>
  </si>
  <si>
    <t>Fbr Opt Lns-In Kind Sv-Invest</t>
  </si>
  <si>
    <t>%,V1581000</t>
  </si>
  <si>
    <t>1581000</t>
  </si>
  <si>
    <t>SO2 Allowance Inventory</t>
  </si>
  <si>
    <t>%,V1750002</t>
  </si>
  <si>
    <t>1750002</t>
  </si>
  <si>
    <t>Long-Term Unreal Gns - Non Aff</t>
  </si>
  <si>
    <t>%,V1750022</t>
  </si>
  <si>
    <t>1750022</t>
  </si>
  <si>
    <t>L/T Asset MTM Collateral</t>
  </si>
  <si>
    <t>%,V1760011</t>
  </si>
  <si>
    <t>1760011</t>
  </si>
  <si>
    <t>L/T Asset for Commodity Hedges</t>
  </si>
  <si>
    <t>%,V1310000</t>
  </si>
  <si>
    <t>1310000</t>
  </si>
  <si>
    <t>Cash</t>
  </si>
  <si>
    <t>%,V1340050</t>
  </si>
  <si>
    <t>1340050</t>
  </si>
  <si>
    <t>Spec Deposit Mizuho Securities</t>
  </si>
  <si>
    <t>%,V1350002</t>
  </si>
  <si>
    <t>1350002</t>
  </si>
  <si>
    <t>Petty Cash</t>
  </si>
  <si>
    <t>%,V1450000</t>
  </si>
  <si>
    <t>1450000</t>
  </si>
  <si>
    <t>Corp Borrow Prg (NR-Assoc)</t>
  </si>
  <si>
    <t>%,V1420001</t>
  </si>
  <si>
    <t>1420001</t>
  </si>
  <si>
    <t>Customer A/R - Electric</t>
  </si>
  <si>
    <t>%,V1420014</t>
  </si>
  <si>
    <t>1420014</t>
  </si>
  <si>
    <t>Customer A/R-System Sales</t>
  </si>
  <si>
    <t>%,V1420019</t>
  </si>
  <si>
    <t>1420019</t>
  </si>
  <si>
    <t>Transmission Sales Receivable</t>
  </si>
  <si>
    <t>%,V1420022</t>
  </si>
  <si>
    <t>1420022</t>
  </si>
  <si>
    <t>Cust A/R - Factored</t>
  </si>
  <si>
    <t>%,V1420023</t>
  </si>
  <si>
    <t>1420023</t>
  </si>
  <si>
    <t>Cust A/R-System Sales - MLR</t>
  </si>
  <si>
    <t>%,V1420024</t>
  </si>
  <si>
    <t>1420024</t>
  </si>
  <si>
    <t>Cust A/R-Options &amp; Swaps - MLR</t>
  </si>
  <si>
    <t>%,V1420027</t>
  </si>
  <si>
    <t>1420027</t>
  </si>
  <si>
    <t>Low Inc Energy Asst Pr (LIEAP)</t>
  </si>
  <si>
    <t>%,V1420028</t>
  </si>
  <si>
    <t>1420028</t>
  </si>
  <si>
    <t>Emergency LIEAP</t>
  </si>
  <si>
    <t>%,V1420044</t>
  </si>
  <si>
    <t>1420044</t>
  </si>
  <si>
    <t>Customer A/R - Estimated</t>
  </si>
  <si>
    <t>%,V1420050</t>
  </si>
  <si>
    <t>1420050</t>
  </si>
  <si>
    <t>PJM AR Accrual</t>
  </si>
  <si>
    <t>%,V1420052</t>
  </si>
  <si>
    <t>1420052</t>
  </si>
  <si>
    <t>Gas Accruals</t>
  </si>
  <si>
    <t>%,V1420053</t>
  </si>
  <si>
    <t>1420053</t>
  </si>
  <si>
    <t>AR Coal Trading</t>
  </si>
  <si>
    <t>%,V1420054</t>
  </si>
  <si>
    <t>1420054</t>
  </si>
  <si>
    <t>Accrued Power Brokers</t>
  </si>
  <si>
    <t>%,V1420101</t>
  </si>
  <si>
    <t>1420101</t>
  </si>
  <si>
    <t>Other Accounts Rec - Cust</t>
  </si>
  <si>
    <t>%,V1420102</t>
  </si>
  <si>
    <t>1420102</t>
  </si>
  <si>
    <t>AR Peoplesoft Billing - Cust</t>
  </si>
  <si>
    <t>%,V1410002</t>
  </si>
  <si>
    <t>1410002</t>
  </si>
  <si>
    <t>P/R Ded - Misc Loan Repayments</t>
  </si>
  <si>
    <t>%,V1430022</t>
  </si>
  <si>
    <t>1430022</t>
  </si>
  <si>
    <t>2001 Employee Biweekly Pay Cnv</t>
  </si>
  <si>
    <t>%,V1430023</t>
  </si>
  <si>
    <t>1430023</t>
  </si>
  <si>
    <t>A/R PeopleSoft Billing System</t>
  </si>
  <si>
    <t>%,V1430081</t>
  </si>
  <si>
    <t>1430081</t>
  </si>
  <si>
    <t>Damage Recovery - Third Party</t>
  </si>
  <si>
    <t>%,V1430083</t>
  </si>
  <si>
    <t>1430083</t>
  </si>
  <si>
    <t>Damage Recovery Offset Demand</t>
  </si>
  <si>
    <t>%,V1430089</t>
  </si>
  <si>
    <t>1430089</t>
  </si>
  <si>
    <t>A/R - Benefits Billing</t>
  </si>
  <si>
    <t>%,V1430101</t>
  </si>
  <si>
    <t>1430101</t>
  </si>
  <si>
    <t>Other Accounts Rec - Misc</t>
  </si>
  <si>
    <t>%,V1430102</t>
  </si>
  <si>
    <t>1430102</t>
  </si>
  <si>
    <t>AR Peoplesoft Billing - Misc</t>
  </si>
  <si>
    <t>%,V1710048</t>
  </si>
  <si>
    <t>1710048</t>
  </si>
  <si>
    <t>Interest Receivable -FIT -LT</t>
  </si>
  <si>
    <t>%,V1710248</t>
  </si>
  <si>
    <t>1710248</t>
  </si>
  <si>
    <t>Interest Receivable -FIT -ST</t>
  </si>
  <si>
    <t>%,V1710448</t>
  </si>
  <si>
    <t>1710448</t>
  </si>
  <si>
    <t>Interest Receivable. -SIT -ST</t>
  </si>
  <si>
    <t>%,V1720000</t>
  </si>
  <si>
    <t>1720000</t>
  </si>
  <si>
    <t>Rents Receivable</t>
  </si>
  <si>
    <t>%,V1440002</t>
  </si>
  <si>
    <t>1440002</t>
  </si>
  <si>
    <t>Uncoll Accts-Other Receivables</t>
  </si>
  <si>
    <t>%,V1440003</t>
  </si>
  <si>
    <t>1440003</t>
  </si>
  <si>
    <t>Uncoll Accts-Power Trading</t>
  </si>
  <si>
    <t>%,V1460001</t>
  </si>
  <si>
    <t>1460001</t>
  </si>
  <si>
    <t>A/R Assoc Co - InterUnit G/L</t>
  </si>
  <si>
    <t>%,V1460002</t>
  </si>
  <si>
    <t>1460002</t>
  </si>
  <si>
    <t>A/R Assoc Co - Allowances</t>
  </si>
  <si>
    <t>%,V1460006</t>
  </si>
  <si>
    <t>1460006</t>
  </si>
  <si>
    <t>A/R Assoc Co - Intercompany</t>
  </si>
  <si>
    <t>%,V1460009</t>
  </si>
  <si>
    <t>1460009</t>
  </si>
  <si>
    <t>A/R Assoc Co - InterUnit A/P</t>
  </si>
  <si>
    <t>%,V1460011</t>
  </si>
  <si>
    <t>1460011</t>
  </si>
  <si>
    <t>A/R Assoc Co - Multi Pmts</t>
  </si>
  <si>
    <t>%,V1460012</t>
  </si>
  <si>
    <t>1460012</t>
  </si>
  <si>
    <t>A/R Assoc Co - Transmissn Agmt</t>
  </si>
  <si>
    <t>%,V1460019</t>
  </si>
  <si>
    <t>1460019</t>
  </si>
  <si>
    <t>A/R-Assoc Co-AEPSC-Agent</t>
  </si>
  <si>
    <t>%,V1460024</t>
  </si>
  <si>
    <t>1460024</t>
  </si>
  <si>
    <t>A/R Assoc Co - System Sales</t>
  </si>
  <si>
    <t>%,V1460025</t>
  </si>
  <si>
    <t>1460025</t>
  </si>
  <si>
    <t>Fleet - M4 - A/R</t>
  </si>
  <si>
    <t>%,V1460045</t>
  </si>
  <si>
    <t>1460045</t>
  </si>
  <si>
    <t>A/R Assc Co-Realization Sharng</t>
  </si>
  <si>
    <t>%,V1510001</t>
  </si>
  <si>
    <t>1510001</t>
  </si>
  <si>
    <t>Fuel Stock - Coal</t>
  </si>
  <si>
    <t>%,V1510002</t>
  </si>
  <si>
    <t>1510002</t>
  </si>
  <si>
    <t>Fuel Stock - Oil</t>
  </si>
  <si>
    <t>%,V1510020</t>
  </si>
  <si>
    <t>1510020</t>
  </si>
  <si>
    <t>Fuel Stock Coal - Intransit</t>
  </si>
  <si>
    <t>%,V1520000</t>
  </si>
  <si>
    <t>1520000</t>
  </si>
  <si>
    <t>Fuel Stock Exp Undistributed</t>
  </si>
  <si>
    <t>%,V1540001</t>
  </si>
  <si>
    <t>1540001</t>
  </si>
  <si>
    <t>M&amp;S - Regular</t>
  </si>
  <si>
    <t>%,V1540004</t>
  </si>
  <si>
    <t>1540004</t>
  </si>
  <si>
    <t>M&amp;S -  Exempt Material</t>
  </si>
  <si>
    <t>%,V1540012</t>
  </si>
  <si>
    <t>1540012</t>
  </si>
  <si>
    <t>Materials &amp; Supplies - Urea</t>
  </si>
  <si>
    <t>%,V1540013</t>
  </si>
  <si>
    <t>1540013</t>
  </si>
  <si>
    <t>Transportation Inventory</t>
  </si>
  <si>
    <t>%,V1540023</t>
  </si>
  <si>
    <t>1540023</t>
  </si>
  <si>
    <t>M&amp;S Inv - Urea In-Transit</t>
  </si>
  <si>
    <t>%,V1581003</t>
  </si>
  <si>
    <t>1581003</t>
  </si>
  <si>
    <t>SO2 Allowance Inventory - Curr</t>
  </si>
  <si>
    <t>%,V1581006</t>
  </si>
  <si>
    <t>1581006</t>
  </si>
  <si>
    <t>An. NOx Comp lnv - Curr</t>
  </si>
  <si>
    <t>%,V1730000</t>
  </si>
  <si>
    <t>1730000</t>
  </si>
  <si>
    <t>%,V1730002</t>
  </si>
  <si>
    <t>1730002</t>
  </si>
  <si>
    <t>Acrd Utility Rev-Factored-Assc</t>
  </si>
  <si>
    <t>%,V1750001</t>
  </si>
  <si>
    <t>1750001</t>
  </si>
  <si>
    <t>Curr. Unreal Gains - NonAffil</t>
  </si>
  <si>
    <t>%,V1750009</t>
  </si>
  <si>
    <t>1750009</t>
  </si>
  <si>
    <t>S/T Option Premium Purchases</t>
  </si>
  <si>
    <t>%,V1750021</t>
  </si>
  <si>
    <t>1750021</t>
  </si>
  <si>
    <t>S/T Asset MTM Collateral</t>
  </si>
  <si>
    <t>%,V1760010</t>
  </si>
  <si>
    <t>1760010</t>
  </si>
  <si>
    <t>S/T Asset for Commodity Hedges</t>
  </si>
  <si>
    <t>%,V1650001</t>
  </si>
  <si>
    <t>1650001</t>
  </si>
  <si>
    <t>Prepaid Insurance</t>
  </si>
  <si>
    <t>%,V165000210</t>
  </si>
  <si>
    <t>165000210</t>
  </si>
  <si>
    <t>Prepaid Taxes</t>
  </si>
  <si>
    <t>%,V165000211</t>
  </si>
  <si>
    <t>165000211</t>
  </si>
  <si>
    <t>%,V1650009</t>
  </si>
  <si>
    <t>1650009</t>
  </si>
  <si>
    <t>Prepaid Carry Cost-Factored AR</t>
  </si>
  <si>
    <t>%,V1650010</t>
  </si>
  <si>
    <t>1650010</t>
  </si>
  <si>
    <t>Prepaid Pension Benefits</t>
  </si>
  <si>
    <t>%,V165001110</t>
  </si>
  <si>
    <t>165001110</t>
  </si>
  <si>
    <t>Prepaid Sales Taxes</t>
  </si>
  <si>
    <t>%,V165001111</t>
  </si>
  <si>
    <t>165001111</t>
  </si>
  <si>
    <t>%,V165001210</t>
  </si>
  <si>
    <t>165001210</t>
  </si>
  <si>
    <t>Prepaid Use Taxes</t>
  </si>
  <si>
    <t>%,V165001211</t>
  </si>
  <si>
    <t>165001211</t>
  </si>
  <si>
    <t>%,V1650014</t>
  </si>
  <si>
    <t>1650014</t>
  </si>
  <si>
    <t>FAS 158 Qual Contra Asset</t>
  </si>
  <si>
    <t>%,V1650021</t>
  </si>
  <si>
    <t>1650021</t>
  </si>
  <si>
    <t>Prepaid Insurance - EIS</t>
  </si>
  <si>
    <t>%,V1650023</t>
  </si>
  <si>
    <t>1650023</t>
  </si>
  <si>
    <t>Prepaid Lease</t>
  </si>
  <si>
    <t>%,V1240005</t>
  </si>
  <si>
    <t>1240005</t>
  </si>
  <si>
    <t>Spec Allowance Inv NOx</t>
  </si>
  <si>
    <t>%,V1240044</t>
  </si>
  <si>
    <t>1240044</t>
  </si>
  <si>
    <t>Spec Allowances Inv SO2</t>
  </si>
  <si>
    <t>%,V1240050</t>
  </si>
  <si>
    <t>1240050</t>
  </si>
  <si>
    <t>Spec Allowance Inventory CO2</t>
  </si>
  <si>
    <t>%,V1340018</t>
  </si>
  <si>
    <t>1340018</t>
  </si>
  <si>
    <t>Spec Deposits - Elect Trading</t>
  </si>
  <si>
    <t>%,V1340043</t>
  </si>
  <si>
    <t>1340043</t>
  </si>
  <si>
    <t>Spec Deposit UBS Securities</t>
  </si>
  <si>
    <t>%,V1340048</t>
  </si>
  <si>
    <t>1340048</t>
  </si>
  <si>
    <t>Spec Deposits-Trading Contra</t>
  </si>
  <si>
    <t>%,V1740000</t>
  </si>
  <si>
    <t>1740000</t>
  </si>
  <si>
    <t>Misc Current &amp; Accrued Assets</t>
  </si>
  <si>
    <t>%,V174001108</t>
  </si>
  <si>
    <t>174001108</t>
  </si>
  <si>
    <t>Non-Highway Fuel Tx Credt-2008</t>
  </si>
  <si>
    <t>%,V174001109</t>
  </si>
  <si>
    <t>174001109</t>
  </si>
  <si>
    <t>Non-Highway Fuel Tx Credt-2009</t>
  </si>
  <si>
    <t>%,V174001110</t>
  </si>
  <si>
    <t>174001110</t>
  </si>
  <si>
    <t>Non-Highway Fuel Tx Credt-2010</t>
  </si>
  <si>
    <t>%,V1860007</t>
  </si>
  <si>
    <t>1860007</t>
  </si>
  <si>
    <t>Billings and Deferred Projects</t>
  </si>
  <si>
    <t>%,V1823007</t>
  </si>
  <si>
    <t>1823007</t>
  </si>
  <si>
    <t>SFAS 112 Postemployment Benef</t>
  </si>
  <si>
    <t>%,V1823009</t>
  </si>
  <si>
    <t>1823009</t>
  </si>
  <si>
    <t>DSM Incentives</t>
  </si>
  <si>
    <t>%,V1823010</t>
  </si>
  <si>
    <t>1823010</t>
  </si>
  <si>
    <t>DSM Recovery</t>
  </si>
  <si>
    <t>%,V1823011</t>
  </si>
  <si>
    <t>1823011</t>
  </si>
  <si>
    <t>DSM Lost Revenues</t>
  </si>
  <si>
    <t>%,V1823012</t>
  </si>
  <si>
    <t>1823012</t>
  </si>
  <si>
    <t>DSM Program Costs</t>
  </si>
  <si>
    <t>%,V1823022</t>
  </si>
  <si>
    <t>1823022</t>
  </si>
  <si>
    <t>HRJ 765kV Post Service AFUDC</t>
  </si>
  <si>
    <t>%,V1823054</t>
  </si>
  <si>
    <t>1823054</t>
  </si>
  <si>
    <t>HRJ 765kV Depreciation Expense</t>
  </si>
  <si>
    <t>%,V1823063</t>
  </si>
  <si>
    <t>1823063</t>
  </si>
  <si>
    <t>Unrecovered Fuel Cost</t>
  </si>
  <si>
    <t>%,V1823077</t>
  </si>
  <si>
    <t>1823077</t>
  </si>
  <si>
    <t>Unreal Loss on Fwd Commitments</t>
  </si>
  <si>
    <t>%,V1823078</t>
  </si>
  <si>
    <t>1823078</t>
  </si>
  <si>
    <t>Deferred Storm Expense</t>
  </si>
  <si>
    <t>%,V1823115</t>
  </si>
  <si>
    <t>1823115</t>
  </si>
  <si>
    <t>Defd Equity Carry Chg-Non Fuel</t>
  </si>
  <si>
    <t>%,V1823118</t>
  </si>
  <si>
    <t>1823118</t>
  </si>
  <si>
    <t>BridgeCo TO Funding</t>
  </si>
  <si>
    <t>%,V1823119</t>
  </si>
  <si>
    <t>1823119</t>
  </si>
  <si>
    <t>PJM Integration Payments</t>
  </si>
  <si>
    <t>%,V1823120</t>
  </si>
  <si>
    <t>1823120</t>
  </si>
  <si>
    <t>Other PJM Integration</t>
  </si>
  <si>
    <t>%,V1823121</t>
  </si>
  <si>
    <t>1823121</t>
  </si>
  <si>
    <t>Carry Chgs-RTO Startup Costs</t>
  </si>
  <si>
    <t>%,V1823122</t>
  </si>
  <si>
    <t>1823122</t>
  </si>
  <si>
    <t>Alliance RTO Deferred Expense</t>
  </si>
  <si>
    <t>%,V1823152</t>
  </si>
  <si>
    <t>1823152</t>
  </si>
  <si>
    <t>Unrecovered Fuel Cost - WV</t>
  </si>
  <si>
    <t>%,V1823165</t>
  </si>
  <si>
    <t>1823165</t>
  </si>
  <si>
    <t>REG ASSET FAS 158 QUAL PLAN</t>
  </si>
  <si>
    <t>%,V1823166</t>
  </si>
  <si>
    <t>1823166</t>
  </si>
  <si>
    <t>REG ASSET FAS 158 OPEB PLAN</t>
  </si>
  <si>
    <t>%,V1823167</t>
  </si>
  <si>
    <t>1823167</t>
  </si>
  <si>
    <t>REG Asset FAS 158 SERP Plan</t>
  </si>
  <si>
    <t>%,V1823188</t>
  </si>
  <si>
    <t>1823188</t>
  </si>
  <si>
    <t>Deferred Carbon Mgmt Research</t>
  </si>
  <si>
    <t>%,V1823301</t>
  </si>
  <si>
    <t>1823301</t>
  </si>
  <si>
    <t>SFAS 109 Flow Thru Defd FIT</t>
  </si>
  <si>
    <t>%,V1823302</t>
  </si>
  <si>
    <t>1823302</t>
  </si>
  <si>
    <t>SFAS 109 Flow Thru Defrd SIT</t>
  </si>
  <si>
    <t>%,V1823306</t>
  </si>
  <si>
    <t>1823306</t>
  </si>
  <si>
    <t>Net CCS FEED Study Costs</t>
  </si>
  <si>
    <t>%,V1890004</t>
  </si>
  <si>
    <t>1890004</t>
  </si>
  <si>
    <t>Loss Rec Debt-Debentures</t>
  </si>
  <si>
    <t>%,V1810006</t>
  </si>
  <si>
    <t>1810006</t>
  </si>
  <si>
    <t>Unamort Debt Exp - Sr Unsec Nt</t>
  </si>
  <si>
    <t>%,V1840002</t>
  </si>
  <si>
    <t>1840002</t>
  </si>
  <si>
    <t>Accounts Pay Adj - Clearing</t>
  </si>
  <si>
    <t>%,V1840029</t>
  </si>
  <si>
    <t>1840029</t>
  </si>
  <si>
    <t>Transp-Assigned Vehicles</t>
  </si>
  <si>
    <t>%,V1830000</t>
  </si>
  <si>
    <t>1830000</t>
  </si>
  <si>
    <t>Prelimin Surv&amp;Investgtn Chrgs</t>
  </si>
  <si>
    <t>%,V1860001</t>
  </si>
  <si>
    <t>1860001</t>
  </si>
  <si>
    <t>Allowances</t>
  </si>
  <si>
    <t>%,V186000309</t>
  </si>
  <si>
    <t>186000309</t>
  </si>
  <si>
    <t>Deferred Property Taxes</t>
  </si>
  <si>
    <t>%,V186000310</t>
  </si>
  <si>
    <t>186000310</t>
  </si>
  <si>
    <t>%,V1860005</t>
  </si>
  <si>
    <t>1860005</t>
  </si>
  <si>
    <t>Unidentified Cash Receipts</t>
  </si>
  <si>
    <t>%,V1860077</t>
  </si>
  <si>
    <t>1860077</t>
  </si>
  <si>
    <t>Agency Fees - Factored A/R</t>
  </si>
  <si>
    <t>%,V186008110</t>
  </si>
  <si>
    <t>186008110</t>
  </si>
  <si>
    <t>Defd Property Tax - Cap Leases</t>
  </si>
  <si>
    <t>%,V186008111</t>
  </si>
  <si>
    <t>186008111</t>
  </si>
  <si>
    <t>%,V1860153</t>
  </si>
  <si>
    <t>1860153</t>
  </si>
  <si>
    <t>Unamortized Credit Line Fees</t>
  </si>
  <si>
    <t>%,V1860160</t>
  </si>
  <si>
    <t>1860160</t>
  </si>
  <si>
    <t>Deferred Expenses - Current</t>
  </si>
  <si>
    <t>%,V1860166</t>
  </si>
  <si>
    <t>1860166</t>
  </si>
  <si>
    <t>Def Lease Assets - Non Taxable</t>
  </si>
  <si>
    <t>%,V1900006</t>
  </si>
  <si>
    <t>1900006</t>
  </si>
  <si>
    <t>ADIT Federal - SFAS 133 Nonaff</t>
  </si>
  <si>
    <t>%,V1900015</t>
  </si>
  <si>
    <t>1900015</t>
  </si>
  <si>
    <t>ADIT-Fed-Hdg-CF-Int Rate</t>
  </si>
  <si>
    <t>%,V1901001</t>
  </si>
  <si>
    <t>1901001</t>
  </si>
  <si>
    <t>Accum Deferred FIT - Other</t>
  </si>
  <si>
    <t>%,V1902001</t>
  </si>
  <si>
    <t>1902001</t>
  </si>
  <si>
    <t>Accum Defd FIT - Oth Inc &amp; Ded</t>
  </si>
  <si>
    <t>%,V1903001</t>
  </si>
  <si>
    <t>1903001</t>
  </si>
  <si>
    <t>Acc Dfd FIT - FAS109 Flow Thru</t>
  </si>
  <si>
    <t>%,V1904001</t>
  </si>
  <si>
    <t>1904001</t>
  </si>
  <si>
    <t>Accum Dfd FIT - FAS 109 Excess</t>
  </si>
  <si>
    <t>%,V2010001</t>
  </si>
  <si>
    <t>2010001</t>
  </si>
  <si>
    <t>Common Stock Issued-Affiliated</t>
  </si>
  <si>
    <t>%,V2080000</t>
  </si>
  <si>
    <t>2080000</t>
  </si>
  <si>
    <t>Donations Recvd from Stckhldrs</t>
  </si>
  <si>
    <t>%,V2190010</t>
  </si>
  <si>
    <t>2190010</t>
  </si>
  <si>
    <t>OCI for Commodity Hedges</t>
  </si>
  <si>
    <t>%,V2190015</t>
  </si>
  <si>
    <t>2190015</t>
  </si>
  <si>
    <t>Accum OCI-Hdg-CF-Int Rate</t>
  </si>
  <si>
    <t>%,V2230000</t>
  </si>
  <si>
    <t>2230000</t>
  </si>
  <si>
    <t>Advances from Associated Co</t>
  </si>
  <si>
    <t>%,V2240006</t>
  </si>
  <si>
    <t>2240006</t>
  </si>
  <si>
    <t>Senior Unsecured Notes</t>
  </si>
  <si>
    <t>%,V2260006</t>
  </si>
  <si>
    <t>2260006</t>
  </si>
  <si>
    <t>Unam Disc LTD-Dr-Sr Unsec Note</t>
  </si>
  <si>
    <t>%,V2270001</t>
  </si>
  <si>
    <t>2270001</t>
  </si>
  <si>
    <t>Obligatns Undr Cap Lse-Noncurr</t>
  </si>
  <si>
    <t>%,V2270003</t>
  </si>
  <si>
    <t>2270003</t>
  </si>
  <si>
    <t>Accrued Noncur Lease Oblig</t>
  </si>
  <si>
    <t>%,V2282003</t>
  </si>
  <si>
    <t>2282003</t>
  </si>
  <si>
    <t>Accm Prv I/D - Worker's Com</t>
  </si>
  <si>
    <t>%,V2283000</t>
  </si>
  <si>
    <t>2283000</t>
  </si>
  <si>
    <t>Accm Prv for Pensions&amp;Benefits</t>
  </si>
  <si>
    <t>%,V2283002</t>
  </si>
  <si>
    <t>2283002</t>
  </si>
  <si>
    <t>Supplemental Savings Plan</t>
  </si>
  <si>
    <t>%,V2283003</t>
  </si>
  <si>
    <t>2283003</t>
  </si>
  <si>
    <t>SFAS 106 Post Retirement Benef</t>
  </si>
  <si>
    <t>%,V2283005</t>
  </si>
  <si>
    <t>2283005</t>
  </si>
  <si>
    <t>%,V2283006</t>
  </si>
  <si>
    <t>2283006</t>
  </si>
  <si>
    <t>SFAS 87 - Pensions</t>
  </si>
  <si>
    <t>%,V2283007</t>
  </si>
  <si>
    <t>2283007</t>
  </si>
  <si>
    <t>Perf Share Incentive Plan</t>
  </si>
  <si>
    <t>%,V2283013</t>
  </si>
  <si>
    <t>2283013</t>
  </si>
  <si>
    <t>Incentive Comp Deferral Plan</t>
  </si>
  <si>
    <t>%,V2283015</t>
  </si>
  <si>
    <t>2283015</t>
  </si>
  <si>
    <t>FAS 158 SERP Payable Long Term</t>
  </si>
  <si>
    <t>%,V2283016</t>
  </si>
  <si>
    <t>2283016</t>
  </si>
  <si>
    <t>FAS 158 Qual Payable Long Term</t>
  </si>
  <si>
    <t>%,V2283017</t>
  </si>
  <si>
    <t>2283017</t>
  </si>
  <si>
    <t>FAS 158 OPEB Payable Long Term</t>
  </si>
  <si>
    <t>%,V2283018</t>
  </si>
  <si>
    <t>2283018</t>
  </si>
  <si>
    <t>SFAS 106 Med Part-D</t>
  </si>
  <si>
    <t>%,V2300001</t>
  </si>
  <si>
    <t>2300001</t>
  </si>
  <si>
    <t>Asset Retirement Obligations</t>
  </si>
  <si>
    <t>%,V2320001</t>
  </si>
  <si>
    <t>2320001</t>
  </si>
  <si>
    <t>Accounts Payable - Regular</t>
  </si>
  <si>
    <t>%,V2320002</t>
  </si>
  <si>
    <t>2320002</t>
  </si>
  <si>
    <t>Unvouchered Invoices</t>
  </si>
  <si>
    <t>%,V2320003</t>
  </si>
  <si>
    <t>2320003</t>
  </si>
  <si>
    <t>Retention</t>
  </si>
  <si>
    <t>%,V2320006</t>
  </si>
  <si>
    <t>2320006</t>
  </si>
  <si>
    <t>Allowance Settlements</t>
  </si>
  <si>
    <t>%,V2320011</t>
  </si>
  <si>
    <t>2320011</t>
  </si>
  <si>
    <t>Uninvoiced Fuel</t>
  </si>
  <si>
    <t>%,V2320050</t>
  </si>
  <si>
    <t>2320050</t>
  </si>
  <si>
    <t>Coal Trading</t>
  </si>
  <si>
    <t>%,V2320052</t>
  </si>
  <si>
    <t>2320052</t>
  </si>
  <si>
    <t>Accounts Payable - Purch Power</t>
  </si>
  <si>
    <t>%,V2320053</t>
  </si>
  <si>
    <t>2320053</t>
  </si>
  <si>
    <t>Elect Trad-Options&amp;Swaps</t>
  </si>
  <si>
    <t>%,V2320054</t>
  </si>
  <si>
    <t>2320054</t>
  </si>
  <si>
    <t>Emission Allowance Trading</t>
  </si>
  <si>
    <t>%,V2320056</t>
  </si>
  <si>
    <t>2320056</t>
  </si>
  <si>
    <t>Gas Physicals</t>
  </si>
  <si>
    <t>%,V2320062</t>
  </si>
  <si>
    <t>2320062</t>
  </si>
  <si>
    <t>Broker Fees Payable</t>
  </si>
  <si>
    <t>%,V2320071</t>
  </si>
  <si>
    <t>2320071</t>
  </si>
  <si>
    <t>Gas Accruals GDA Trans-Payable</t>
  </si>
  <si>
    <t>%,V2320073</t>
  </si>
  <si>
    <t>2320073</t>
  </si>
  <si>
    <t>A/P Misc Dedic. Power</t>
  </si>
  <si>
    <t>%,V2320076</t>
  </si>
  <si>
    <t>2320076</t>
  </si>
  <si>
    <t>Corporate Credit Card Liab</t>
  </si>
  <si>
    <t>%,V2320077</t>
  </si>
  <si>
    <t>2320077</t>
  </si>
  <si>
    <t>INDUS Unvouchered Liabilities</t>
  </si>
  <si>
    <t>%,V2320079</t>
  </si>
  <si>
    <t>2320079</t>
  </si>
  <si>
    <t>Broker Commisn Spark/Merch Gen</t>
  </si>
  <si>
    <t>%,V2320083</t>
  </si>
  <si>
    <t>2320083</t>
  </si>
  <si>
    <t>PJM Net AP Accrual</t>
  </si>
  <si>
    <t>%,V2320084</t>
  </si>
  <si>
    <t>2320084</t>
  </si>
  <si>
    <t>Uninvoiced OVEC Purch Power</t>
  </si>
  <si>
    <t>%,V2320086</t>
  </si>
  <si>
    <t>2320086</t>
  </si>
  <si>
    <t>Accrued Broker - Power</t>
  </si>
  <si>
    <t>%,V2320090</t>
  </si>
  <si>
    <t>2320090</t>
  </si>
  <si>
    <t>MISO AP Accrual</t>
  </si>
  <si>
    <t>%,V2340001</t>
  </si>
  <si>
    <t>2340001</t>
  </si>
  <si>
    <t>A/P Assoc Co - InterUnit G/L</t>
  </si>
  <si>
    <t>%,V2340005</t>
  </si>
  <si>
    <t>2340005</t>
  </si>
  <si>
    <t>A/P Assoc Co - Allowances</t>
  </si>
  <si>
    <t>%,V2340011</t>
  </si>
  <si>
    <t>2340011</t>
  </si>
  <si>
    <t>A/P-Assc Co-AEPSC-Agent</t>
  </si>
  <si>
    <t>%,V2340025</t>
  </si>
  <si>
    <t>2340025</t>
  </si>
  <si>
    <t>A/P Assoc Co - CM Bills</t>
  </si>
  <si>
    <t>%,V2340027</t>
  </si>
  <si>
    <t>2340027</t>
  </si>
  <si>
    <t>A/P Assoc Co - Intercompany</t>
  </si>
  <si>
    <t>%,V2340029</t>
  </si>
  <si>
    <t>2340029</t>
  </si>
  <si>
    <t>A/P Assoc Co - AEPSC Bills</t>
  </si>
  <si>
    <t>%,V2340030</t>
  </si>
  <si>
    <t>2340030</t>
  </si>
  <si>
    <t>A/P Assoc Co - InterUnit A/P</t>
  </si>
  <si>
    <t>%,V2340032</t>
  </si>
  <si>
    <t>2340032</t>
  </si>
  <si>
    <t>A/P Assoc Co - Multi Pmts</t>
  </si>
  <si>
    <t>%,V2340034</t>
  </si>
  <si>
    <t>2340034</t>
  </si>
  <si>
    <t>A/P Assoc Co - System Sales</t>
  </si>
  <si>
    <t>%,V2340035</t>
  </si>
  <si>
    <t>2340035</t>
  </si>
  <si>
    <t>Fleet - M4 - A/P</t>
  </si>
  <si>
    <t>%,V2340037</t>
  </si>
  <si>
    <t>2340037</t>
  </si>
  <si>
    <t>A/P Assoc-Global Borrowing Int</t>
  </si>
  <si>
    <t>%,V2340049</t>
  </si>
  <si>
    <t>2340049</t>
  </si>
  <si>
    <t>A/P Assoc -Realization Sharing</t>
  </si>
  <si>
    <t>%,V2350001</t>
  </si>
  <si>
    <t>2350001</t>
  </si>
  <si>
    <t>Customer Deposits-Active</t>
  </si>
  <si>
    <t>%,V2350003</t>
  </si>
  <si>
    <t>2350003</t>
  </si>
  <si>
    <t>Deposits - Trading Activity</t>
  </si>
  <si>
    <t>%,V2350005</t>
  </si>
  <si>
    <t>2350005</t>
  </si>
  <si>
    <t>Deposits - Trading Contra</t>
  </si>
  <si>
    <t>%,V2360001</t>
  </si>
  <si>
    <t>2360001</t>
  </si>
  <si>
    <t>Federal Income Tax</t>
  </si>
  <si>
    <t>%,V236000209</t>
  </si>
  <si>
    <t>236000209</t>
  </si>
  <si>
    <t>State Income Taxes</t>
  </si>
  <si>
    <t>%,V236000210</t>
  </si>
  <si>
    <t>236000210</t>
  </si>
  <si>
    <t>%,V236000211</t>
  </si>
  <si>
    <t>236000211</t>
  </si>
  <si>
    <t>%,V2360004</t>
  </si>
  <si>
    <t>2360004</t>
  </si>
  <si>
    <t>FICA</t>
  </si>
  <si>
    <t>%,V2360005</t>
  </si>
  <si>
    <t>2360005</t>
  </si>
  <si>
    <t>Federal Unemployment Tax</t>
  </si>
  <si>
    <t>%,V2360006</t>
  </si>
  <si>
    <t>2360006</t>
  </si>
  <si>
    <t>State Unemployment Tax</t>
  </si>
  <si>
    <t>%,V236000710</t>
  </si>
  <si>
    <t>236000710</t>
  </si>
  <si>
    <t>State Sales and Use Taxes</t>
  </si>
  <si>
    <t>%,V236000711</t>
  </si>
  <si>
    <t>236000711</t>
  </si>
  <si>
    <t>%,V236000808</t>
  </si>
  <si>
    <t>236000808</t>
  </si>
  <si>
    <t>Real &amp; Personal Property Taxes</t>
  </si>
  <si>
    <t>%,V236000809</t>
  </si>
  <si>
    <t>236000809</t>
  </si>
  <si>
    <t>%,V236000810</t>
  </si>
  <si>
    <t>236000810</t>
  </si>
  <si>
    <t>Real Personal Property Taxes</t>
  </si>
  <si>
    <t>%,V236000911</t>
  </si>
  <si>
    <t>236000911</t>
  </si>
  <si>
    <t>Federal Excise Taxes</t>
  </si>
  <si>
    <t>%,V236001209</t>
  </si>
  <si>
    <t>236001209</t>
  </si>
  <si>
    <t>State Franchise Taxes</t>
  </si>
  <si>
    <t>%,V236001210</t>
  </si>
  <si>
    <t>236001210</t>
  </si>
  <si>
    <t>%,V236001211</t>
  </si>
  <si>
    <t>236001211</t>
  </si>
  <si>
    <t>%,V236001610</t>
  </si>
  <si>
    <t>236001610</t>
  </si>
  <si>
    <t>State Gross Receipts Tax</t>
  </si>
  <si>
    <t>%,V236001611</t>
  </si>
  <si>
    <t>236001611</t>
  </si>
  <si>
    <t>%,V236003309</t>
  </si>
  <si>
    <t>236003309</t>
  </si>
  <si>
    <t>Pers Prop Tax-Cap Leases</t>
  </si>
  <si>
    <t>%,V236003310</t>
  </si>
  <si>
    <t>236003310</t>
  </si>
  <si>
    <t>%,V236003311</t>
  </si>
  <si>
    <t>236003311</t>
  </si>
  <si>
    <t>%,V236003509</t>
  </si>
  <si>
    <t>236003509</t>
  </si>
  <si>
    <t>Real Prop Tax-Cap Leases</t>
  </si>
  <si>
    <t>%,V236003510</t>
  </si>
  <si>
    <t>236003510</t>
  </si>
  <si>
    <t>%,V236003511</t>
  </si>
  <si>
    <t>236003511</t>
  </si>
  <si>
    <t>%,V2360037</t>
  </si>
  <si>
    <t>2360037</t>
  </si>
  <si>
    <t>FICA - Incentive accrual</t>
  </si>
  <si>
    <t>%,V2360038</t>
  </si>
  <si>
    <t>2360038</t>
  </si>
  <si>
    <t>Reorg Payroll Tax Accrual</t>
  </si>
  <si>
    <t>%,V2360501</t>
  </si>
  <si>
    <t>2360501</t>
  </si>
  <si>
    <t>Fed Inc Tax-Short Term FIN48</t>
  </si>
  <si>
    <t>%,V2360502</t>
  </si>
  <si>
    <t>2360502</t>
  </si>
  <si>
    <t>State Inc Tax-Short Term FIN48</t>
  </si>
  <si>
    <t>%,V2360601</t>
  </si>
  <si>
    <t>2360601</t>
  </si>
  <si>
    <t>Fed Inc Tax-Long Term FIN48</t>
  </si>
  <si>
    <t>%,V2360602</t>
  </si>
  <si>
    <t>2360602</t>
  </si>
  <si>
    <t>State Inc Tax-Long Term FIN48</t>
  </si>
  <si>
    <t>%,V2360701</t>
  </si>
  <si>
    <t>2360701</t>
  </si>
  <si>
    <t>SEC Accum Defd FIT-Util FIN 48</t>
  </si>
  <si>
    <t>%,V2360702</t>
  </si>
  <si>
    <t>2360702</t>
  </si>
  <si>
    <t>SEC Accum Defd SIT - FIN 48</t>
  </si>
  <si>
    <t>%,V2370006</t>
  </si>
  <si>
    <t>2370006</t>
  </si>
  <si>
    <t>Interest Accrd-Sen Unsec Notes</t>
  </si>
  <si>
    <t>%,V2370007</t>
  </si>
  <si>
    <t>2370007</t>
  </si>
  <si>
    <t>Interest Accrd-Customer Depsts</t>
  </si>
  <si>
    <t>%,V2370018</t>
  </si>
  <si>
    <t>2370018</t>
  </si>
  <si>
    <t>Accrued Margin Interest</t>
  </si>
  <si>
    <t>%,V2370048</t>
  </si>
  <si>
    <t>2370048</t>
  </si>
  <si>
    <t>Acrd Int.- FIT Reserve - LT</t>
  </si>
  <si>
    <t>%,V2370348</t>
  </si>
  <si>
    <t>2370348</t>
  </si>
  <si>
    <t>Acrd Int. - SIT Reserve - LT</t>
  </si>
  <si>
    <t>%,V2370448</t>
  </si>
  <si>
    <t>2370448</t>
  </si>
  <si>
    <t>Acrd Int. - SIT Reserve - ST</t>
  </si>
  <si>
    <t>%,V2430001</t>
  </si>
  <si>
    <t>2430001</t>
  </si>
  <si>
    <t>Oblig Under Cap Leases - Curr</t>
  </si>
  <si>
    <t>%,V2430003</t>
  </si>
  <si>
    <t>2430003</t>
  </si>
  <si>
    <t>Accrued Cur Lease Oblig</t>
  </si>
  <si>
    <t>%,V2440001</t>
  </si>
  <si>
    <t>2440001</t>
  </si>
  <si>
    <t>Curr. Unreal Losses - NonAffil</t>
  </si>
  <si>
    <t>%,V2440003</t>
  </si>
  <si>
    <t>2440003</t>
  </si>
  <si>
    <t>Curr. Unreal Losses - Affil</t>
  </si>
  <si>
    <t>%,V2440009</t>
  </si>
  <si>
    <t>2440009</t>
  </si>
  <si>
    <t>S/T Option Premium Receipts</t>
  </si>
  <si>
    <t>%,V2440021</t>
  </si>
  <si>
    <t>2440021</t>
  </si>
  <si>
    <t>S/T Liability MTM Collateral</t>
  </si>
  <si>
    <t>%,V2450010</t>
  </si>
  <si>
    <t>2450010</t>
  </si>
  <si>
    <t>S/T Liability-Commodity Hedges</t>
  </si>
  <si>
    <t>%,V2410001</t>
  </si>
  <si>
    <t>2410001</t>
  </si>
  <si>
    <t>Federal Income Tax Withheld</t>
  </si>
  <si>
    <t>%,V2410002</t>
  </si>
  <si>
    <t>2410002</t>
  </si>
  <si>
    <t>State Income Tax Withheld</t>
  </si>
  <si>
    <t>%,V2410003</t>
  </si>
  <si>
    <t>2410003</t>
  </si>
  <si>
    <t>Local Income Tax Withheld</t>
  </si>
  <si>
    <t>%,V2410004</t>
  </si>
  <si>
    <t>2410004</t>
  </si>
  <si>
    <t>State Sales Tax Collected</t>
  </si>
  <si>
    <t>%,V2410005</t>
  </si>
  <si>
    <t>2410005</t>
  </si>
  <si>
    <t>FICA Tax Withheld</t>
  </si>
  <si>
    <t>%,V2410008</t>
  </si>
  <si>
    <t>2410008</t>
  </si>
  <si>
    <t>Franchise Fee Collected</t>
  </si>
  <si>
    <t>%,V2410009</t>
  </si>
  <si>
    <t>2410009</t>
  </si>
  <si>
    <t>KY Utility Gr Receipts Lic Tax</t>
  </si>
  <si>
    <t>%,V2420514</t>
  </si>
  <si>
    <t>2420514</t>
  </si>
  <si>
    <t>Revenue Refunds Accrued</t>
  </si>
  <si>
    <t>%,V2420504</t>
  </si>
  <si>
    <t>2420504</t>
  </si>
  <si>
    <t>Accrued Lease Expense</t>
  </si>
  <si>
    <t>%,V2420020</t>
  </si>
  <si>
    <t>2420020</t>
  </si>
  <si>
    <t>Vacation Pay - This Year</t>
  </si>
  <si>
    <t>%,V2420021</t>
  </si>
  <si>
    <t>2420021</t>
  </si>
  <si>
    <t>Vacation Pay - Next Year</t>
  </si>
  <si>
    <t>%,V2420051</t>
  </si>
  <si>
    <t>2420051</t>
  </si>
  <si>
    <t>Non-Productive Payroll</t>
  </si>
  <si>
    <t>%,V2420053</t>
  </si>
  <si>
    <t>2420053</t>
  </si>
  <si>
    <t>%,V2420002</t>
  </si>
  <si>
    <t>2420002</t>
  </si>
  <si>
    <t>P/R Ded - Medical Insurance</t>
  </si>
  <si>
    <t>%,V2420003</t>
  </si>
  <si>
    <t>2420003</t>
  </si>
  <si>
    <t>P/R Ded - Dental Insurance</t>
  </si>
  <si>
    <t>%,V2420044</t>
  </si>
  <si>
    <t>2420044</t>
  </si>
  <si>
    <t>P/R Withholdings</t>
  </si>
  <si>
    <t>%,V2420554</t>
  </si>
  <si>
    <t>2420554</t>
  </si>
  <si>
    <t>P/R Ded - Stock Purchase Plan</t>
  </si>
  <si>
    <t>%,V2420532</t>
  </si>
  <si>
    <t>2420532</t>
  </si>
  <si>
    <t>Adm Liab-Cur-S/Ins-W/C</t>
  </si>
  <si>
    <t>%,V2420027</t>
  </si>
  <si>
    <t>2420027</t>
  </si>
  <si>
    <t>FAS 112 CURRENT LIAB</t>
  </si>
  <si>
    <t>%,V2420046</t>
  </si>
  <si>
    <t>2420046</t>
  </si>
  <si>
    <t>FAS 158 SERP Payable - Current</t>
  </si>
  <si>
    <t>%,V2420071</t>
  </si>
  <si>
    <t>2420071</t>
  </si>
  <si>
    <t>P/R Ded - Vision Plan</t>
  </si>
  <si>
    <t>%,V2420072</t>
  </si>
  <si>
    <t>2420072</t>
  </si>
  <si>
    <t>P/R - Payroll Adjustment</t>
  </si>
  <si>
    <t>%,V2420076</t>
  </si>
  <si>
    <t>2420076</t>
  </si>
  <si>
    <t>P/R Savings Plan - Incentive</t>
  </si>
  <si>
    <t>%,V2420083</t>
  </si>
  <si>
    <t>2420083</t>
  </si>
  <si>
    <t>Active Med and Dental IBNR</t>
  </si>
  <si>
    <t>%,V2420511</t>
  </si>
  <si>
    <t>2420511</t>
  </si>
  <si>
    <t>Control Cash Disburse Account</t>
  </si>
  <si>
    <t>%,V2420512</t>
  </si>
  <si>
    <t>2420512</t>
  </si>
  <si>
    <t>Unclaimed Funds</t>
  </si>
  <si>
    <t>%,V2420542</t>
  </si>
  <si>
    <t>2420542</t>
  </si>
  <si>
    <t>Acc Cash Franchise Req</t>
  </si>
  <si>
    <t>%,V2420558</t>
  </si>
  <si>
    <t>2420558</t>
  </si>
  <si>
    <t>Admitted Liab NC-Self/Ins-W/C</t>
  </si>
  <si>
    <t>%,V242059210</t>
  </si>
  <si>
    <t>242059210</t>
  </si>
  <si>
    <t>Sales Use Tax - Leased Equip</t>
  </si>
  <si>
    <t>%,V242059211</t>
  </si>
  <si>
    <t>242059211</t>
  </si>
  <si>
    <t>%,V2420618</t>
  </si>
  <si>
    <t>2420618</t>
  </si>
  <si>
    <t>Accrued Payroll</t>
  </si>
  <si>
    <t>%,V2420623</t>
  </si>
  <si>
    <t>2420623</t>
  </si>
  <si>
    <t>Energy Delivery Incentive Plan</t>
  </si>
  <si>
    <t>%,V2420624</t>
  </si>
  <si>
    <t>2420624</t>
  </si>
  <si>
    <t>Corp &amp; Shrd Srv Incentive Plan</t>
  </si>
  <si>
    <t>%,V2420635</t>
  </si>
  <si>
    <t>2420635</t>
  </si>
  <si>
    <t>Fossil and Hydro Gen ICP</t>
  </si>
  <si>
    <t>%,V2420643</t>
  </si>
  <si>
    <t>2420643</t>
  </si>
  <si>
    <t>Accrued Audit Fees</t>
  </si>
  <si>
    <t>%,V2420651</t>
  </si>
  <si>
    <t>2420651</t>
  </si>
  <si>
    <t>Reorg Severance Accrual</t>
  </si>
  <si>
    <t>%,V2420653</t>
  </si>
  <si>
    <t>2420653</t>
  </si>
  <si>
    <t>Reorg Misc HR Exp Accrual</t>
  </si>
  <si>
    <t>%,V2420656</t>
  </si>
  <si>
    <t>2420656</t>
  </si>
  <si>
    <t>Federal Mitigation Accru (NSR)</t>
  </si>
  <si>
    <t>%,V2420658</t>
  </si>
  <si>
    <t>2420658</t>
  </si>
  <si>
    <t>Accrued Prof. Tax Services</t>
  </si>
  <si>
    <t>%,V2420660</t>
  </si>
  <si>
    <t>2420660</t>
  </si>
  <si>
    <t>AEP Transmission ICP</t>
  </si>
  <si>
    <t>%,V2420661</t>
  </si>
  <si>
    <t>2420661</t>
  </si>
  <si>
    <t>COO Other ICP</t>
  </si>
  <si>
    <t>%,V2420664</t>
  </si>
  <si>
    <t>2420664</t>
  </si>
  <si>
    <t>ST State Mitigation Def (NSR)</t>
  </si>
  <si>
    <t>%,V2811001</t>
  </si>
  <si>
    <t>2811001</t>
  </si>
  <si>
    <t>Acc Dfd FIT - Accel Amort Prop</t>
  </si>
  <si>
    <t>%,V2821001</t>
  </si>
  <si>
    <t>2821001</t>
  </si>
  <si>
    <t>Accum Defd FIT - Utility Prop</t>
  </si>
  <si>
    <t>%,V2823001</t>
  </si>
  <si>
    <t>2823001</t>
  </si>
  <si>
    <t>Acc Dfrd FIT FAS 109 Flow Thru</t>
  </si>
  <si>
    <t>%,V2824001</t>
  </si>
  <si>
    <t>2824001</t>
  </si>
  <si>
    <t>Acc Dfrd FIT - SFAS 109 Excess</t>
  </si>
  <si>
    <t>%,V2830006</t>
  </si>
  <si>
    <t>2830006</t>
  </si>
  <si>
    <t>%,V2831001</t>
  </si>
  <si>
    <t>2831001</t>
  </si>
  <si>
    <t>%,V2832001</t>
  </si>
  <si>
    <t>2832001</t>
  </si>
  <si>
    <t>Accum Dfrd FIT - Oth Inc &amp; Ded</t>
  </si>
  <si>
    <t>%,V2833001</t>
  </si>
  <si>
    <t>2833001</t>
  </si>
  <si>
    <t>Acc Dfd FIT FAS 109 Flow Thru</t>
  </si>
  <si>
    <t>%,V2833002</t>
  </si>
  <si>
    <t>2833002</t>
  </si>
  <si>
    <t>Acc Dfrd SIT FAS 109 Flow Thru</t>
  </si>
  <si>
    <t>%,V2550001</t>
  </si>
  <si>
    <t>2550001</t>
  </si>
  <si>
    <t>Accum Deferred ITC - Federal</t>
  </si>
  <si>
    <t>%,V2540011</t>
  </si>
  <si>
    <t>2540011</t>
  </si>
  <si>
    <t>Over Recovered Fuel Cost</t>
  </si>
  <si>
    <t>%,V2540000</t>
  </si>
  <si>
    <t>2540000</t>
  </si>
  <si>
    <t>Other Regulatory Liabilities</t>
  </si>
  <si>
    <t>%,V2540047</t>
  </si>
  <si>
    <t>2540047</t>
  </si>
  <si>
    <t>Unreal Gain on Fwd Commitments</t>
  </si>
  <si>
    <t>%,V2540071</t>
  </si>
  <si>
    <t>2540071</t>
  </si>
  <si>
    <t>KY Enhanced Reliability Liab</t>
  </si>
  <si>
    <t>%,V2540105</t>
  </si>
  <si>
    <t>2540105</t>
  </si>
  <si>
    <t>Home Energy Assist Prgm - KPCO</t>
  </si>
  <si>
    <t>%,V2540173</t>
  </si>
  <si>
    <t>2540173</t>
  </si>
  <si>
    <t>Green Pricing Option</t>
  </si>
  <si>
    <t>%,V2543001</t>
  </si>
  <si>
    <t>2543001</t>
  </si>
  <si>
    <t>SFAS109 Flow Thru Def FIT Liab</t>
  </si>
  <si>
    <t>%,V2544001</t>
  </si>
  <si>
    <t>2544001</t>
  </si>
  <si>
    <t>SFAS 109 Exces Deferred FIT</t>
  </si>
  <si>
    <t>%,V2440002</t>
  </si>
  <si>
    <t>2440002</t>
  </si>
  <si>
    <t>LT Unreal Losses - Non Affil</t>
  </si>
  <si>
    <t>%,V2440004</t>
  </si>
  <si>
    <t>2440004</t>
  </si>
  <si>
    <t>LT Unreal Losses - Affil</t>
  </si>
  <si>
    <t>%,V2440010</t>
  </si>
  <si>
    <t>2440010</t>
  </si>
  <si>
    <t>L/T Option Premium Receipts</t>
  </si>
  <si>
    <t>%,V2440022</t>
  </si>
  <si>
    <t>2440022</t>
  </si>
  <si>
    <t>L/T Liability MTM Collateral</t>
  </si>
  <si>
    <t>%,V2450011</t>
  </si>
  <si>
    <t>2450011</t>
  </si>
  <si>
    <t>L/T Liability-Commodity Hedges</t>
  </si>
  <si>
    <t>%,V2520000</t>
  </si>
  <si>
    <t>2520000</t>
  </si>
  <si>
    <t>Customer Adv for Construction</t>
  </si>
  <si>
    <t>%,V2530000</t>
  </si>
  <si>
    <t>2530000</t>
  </si>
  <si>
    <t>%,V2530022</t>
  </si>
  <si>
    <t>2530022</t>
  </si>
  <si>
    <t>Customer Advance Receipts</t>
  </si>
  <si>
    <t>%,V2530050</t>
  </si>
  <si>
    <t>2530050</t>
  </si>
  <si>
    <t>Deferred Rev -Pole Attachments</t>
  </si>
  <si>
    <t>%,V2530067</t>
  </si>
  <si>
    <t>2530067</t>
  </si>
  <si>
    <t>IPP - System Upgrade Credits</t>
  </si>
  <si>
    <t>%,V2530092</t>
  </si>
  <si>
    <t>2530092</t>
  </si>
  <si>
    <t>Fbr Opt Lns-In Kind Sv-Dfd Gns</t>
  </si>
  <si>
    <t>%,V2530112</t>
  </si>
  <si>
    <t>2530112</t>
  </si>
  <si>
    <t>Other Deferred Credits-Curr</t>
  </si>
  <si>
    <t>%,V2530113</t>
  </si>
  <si>
    <t>2530113</t>
  </si>
  <si>
    <t>State Mitigation Deferal (NSR)</t>
  </si>
  <si>
    <t>%,V2530114</t>
  </si>
  <si>
    <t>2530114</t>
  </si>
  <si>
    <t>Federl Mitigation Deferal(NSR)</t>
  </si>
  <si>
    <t>%,V2530137</t>
  </si>
  <si>
    <t>2530137</t>
  </si>
  <si>
    <t>Fbr Opt Lns-Sold-Defd Rev</t>
  </si>
  <si>
    <t>%,V2530148</t>
  </si>
  <si>
    <t>2530148</t>
  </si>
  <si>
    <t>Accrued Penalties-Tax Reserves</t>
  </si>
  <si>
    <t>%,V2160001</t>
  </si>
  <si>
    <t>2160001</t>
  </si>
  <si>
    <t>Unapprp Retnd Erngs-Unrstrictd</t>
  </si>
  <si>
    <t>%,V4380001</t>
  </si>
  <si>
    <t>4380001</t>
  </si>
  <si>
    <t>Div Declrd - Common Stk - Asso</t>
  </si>
  <si>
    <t>2011-09-30</t>
  </si>
  <si>
    <t>GLR2200V</t>
  </si>
  <si>
    <t>Error</t>
  </si>
  <si>
    <t>AEP Enterprises</t>
  </si>
  <si>
    <t>102</t>
  </si>
  <si>
    <t>X_OPR_COS</t>
  </si>
  <si>
    <t>Legal Tree: Operating Co.s</t>
  </si>
  <si>
    <t>Kentucky Power Corp Consol</t>
  </si>
  <si>
    <t>KYP_CORP_CONSOL</t>
  </si>
  <si>
    <t>GL_PRPT_CONS</t>
  </si>
  <si>
    <t>S144234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</si>
</sst>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 yyyy"/>
    <numFmt numFmtId="165" formatCode="mmmm\ yyyy"/>
    <numFmt numFmtId="166" formatCode="mmmm\,\ yyyy"/>
    <numFmt numFmtId="167" formatCode="mmmm\ d\,\ yyyy"/>
    <numFmt numFmtId="168" formatCode="0%_);[Red]\(0%\)"/>
    <numFmt numFmtId="169" formatCode="mmmm\ dd\,\ yyyy"/>
    <numFmt numFmtId="170" formatCode="0_);[Red]\(0\)"/>
    <numFmt numFmtId="171" formatCode="0.00%_);[Red]\(0.00%\)"/>
    <numFmt numFmtId="172" formatCode="0.00_);[Red]\(0.00\)"/>
    <numFmt numFmtId="173" formatCode="_(* #,##0_);_(* \(#,##0\);_(* &quot;-&quot;??_);_(@_)"/>
    <numFmt numFmtId="174" formatCode="#,##0.00_);[Red]\(#,##0.00\);&quot;&quot;"/>
    <numFmt numFmtId="175" formatCode="0.000000"/>
    <numFmt numFmtId="176" formatCode="&quot;Layout: &quot;\ @"/>
    <numFmt numFmtId="177" formatCode="&quot;Layout: &quot;@"/>
    <numFmt numFmtId="178" formatCode="#,##0_);\(#,##0\);&quot;&quot;"/>
    <numFmt numFmtId="179" formatCode="#,##0_);\(#,##0\);&quot;-&quot;"/>
    <numFmt numFmtId="180" formatCode="[$-409]h:mm:ss\ AM/PM"/>
    <numFmt numFmtId="181" formatCode="[$-409]dddd\,\ mmmm\ dd\,\ yyyy"/>
    <numFmt numFmtId="182" formatCode="[$-409]m/d/yy\ h:mm\ AM/PM;@"/>
    <numFmt numFmtId="183" formatCode="#,##0.0_);[Red]\(#,##0.0\)"/>
    <numFmt numFmtId="184" formatCode="_(* #,##0.0_);_(* \(#,##0.0\);_(* &quot;-&quot;??_);_(@_)"/>
    <numFmt numFmtId="185" formatCode="#,##0_);[Red]\(#,##0\);&quot;-&quot;"/>
    <numFmt numFmtId="186" formatCode="&quot;Tolerance: &quot;#,##0_);[Red]\(#,##0\)"/>
    <numFmt numFmtId="187" formatCode="&quot;ID: &quot;\ #,##0"/>
    <numFmt numFmtId="188" formatCode="0.0%"/>
    <numFmt numFmtId="189" formatCode="0.0%;\(0.0\)%"/>
    <numFmt numFmtId="190" formatCode="0.0%;[Red]\(0.0\)%"/>
    <numFmt numFmtId="191" formatCode="yyyy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0"/>
      <color indexed="33"/>
      <name val="Arial"/>
      <family val="2"/>
    </font>
    <font>
      <u val="single"/>
      <sz val="6.8"/>
      <color indexed="12"/>
      <name val="Arial"/>
      <family val="0"/>
    </font>
    <font>
      <u val="single"/>
      <sz val="6.8"/>
      <color indexed="36"/>
      <name val="Arial"/>
      <family val="0"/>
    </font>
    <font>
      <sz val="8"/>
      <name val="Arial"/>
      <family val="2"/>
    </font>
    <font>
      <sz val="10"/>
      <name val="MS Sans Serif"/>
      <family val="0"/>
    </font>
    <font>
      <b/>
      <sz val="10"/>
      <name val="MS Sans Serif"/>
      <family val="0"/>
    </font>
    <font>
      <b/>
      <sz val="10"/>
      <color indexed="14"/>
      <name val="Arial"/>
      <family val="2"/>
    </font>
    <font>
      <sz val="10"/>
      <color indexed="14"/>
      <name val="Arial"/>
      <family val="0"/>
    </font>
    <font>
      <sz val="10"/>
      <color indexed="33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9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9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6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2" borderId="1" applyNumberFormat="0" applyAlignment="0" applyProtection="0"/>
    <xf numFmtId="0" fontId="26" fillId="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6" borderId="1" applyNumberFormat="0" applyAlignment="0" applyProtection="0"/>
    <xf numFmtId="0" fontId="33" fillId="0" borderId="6" applyNumberFormat="0" applyFill="0" applyAlignment="0" applyProtection="0"/>
    <xf numFmtId="0" fontId="34" fillId="9" borderId="0" applyNumberFormat="0" applyBorder="0" applyAlignment="0" applyProtection="0"/>
    <xf numFmtId="0" fontId="0" fillId="4" borderId="1" applyNumberFormat="0" applyFont="0" applyAlignment="0" applyProtection="0"/>
    <xf numFmtId="0" fontId="35" fillId="2" borderId="7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10" fillId="0" borderId="8">
      <alignment horizontal="center"/>
      <protection/>
    </xf>
    <xf numFmtId="3" fontId="9" fillId="0" borderId="0" applyFont="0" applyFill="0" applyBorder="0" applyAlignment="0" applyProtection="0"/>
    <xf numFmtId="0" fontId="9" fillId="18" borderId="0" applyNumberFormat="0" applyFont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Alignment="1">
      <alignment vertical="top" wrapText="1"/>
    </xf>
    <xf numFmtId="0" fontId="0" fillId="6" borderId="10" xfId="0" applyFill="1" applyBorder="1" applyAlignment="1">
      <alignment horizontal="left" vertical="top" wrapText="1"/>
    </xf>
    <xf numFmtId="14" fontId="0" fillId="6" borderId="10" xfId="0" applyNumberFormat="1" applyFill="1" applyBorder="1" applyAlignment="1">
      <alignment horizontal="left" vertical="top" wrapText="1"/>
    </xf>
    <xf numFmtId="40" fontId="1" fillId="0" borderId="11" xfId="0" applyNumberFormat="1" applyFont="1" applyBorder="1" applyAlignment="1">
      <alignment horizontal="center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40" fontId="1" fillId="0" borderId="0" xfId="0" applyNumberFormat="1" applyFont="1" applyAlignment="1">
      <alignment horizontal="centerContinuous"/>
    </xf>
    <xf numFmtId="3" fontId="8" fillId="0" borderId="11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0" fillId="19" borderId="0" xfId="0" applyNumberFormat="1" applyFont="1" applyFill="1" applyAlignment="1">
      <alignment/>
    </xf>
    <xf numFmtId="40" fontId="0" fillId="19" borderId="0" xfId="0" applyNumberFormat="1" applyFont="1" applyFill="1" applyAlignment="1">
      <alignment/>
    </xf>
    <xf numFmtId="38" fontId="1" fillId="0" borderId="0" xfId="0" applyNumberFormat="1" applyFont="1" applyAlignment="1">
      <alignment horizontal="centerContinuous"/>
    </xf>
    <xf numFmtId="40" fontId="0" fillId="0" borderId="0" xfId="0" applyNumberFormat="1" applyFont="1" applyAlignment="1">
      <alignment/>
    </xf>
    <xf numFmtId="40" fontId="0" fillId="0" borderId="0" xfId="0" applyNumberFormat="1" applyFont="1" applyAlignment="1">
      <alignment horizontal="centerContinuous"/>
    </xf>
    <xf numFmtId="40" fontId="5" fillId="0" borderId="0" xfId="0" applyNumberFormat="1" applyFont="1" applyBorder="1" applyAlignment="1" quotePrefix="1">
      <alignment horizontal="center"/>
    </xf>
    <xf numFmtId="3" fontId="8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/>
    </xf>
    <xf numFmtId="8" fontId="1" fillId="0" borderId="11" xfId="0" applyNumberFormat="1" applyFont="1" applyFill="1" applyBorder="1" applyAlignment="1">
      <alignment horizontal="center"/>
    </xf>
    <xf numFmtId="40" fontId="1" fillId="0" borderId="11" xfId="0" applyNumberFormat="1" applyFont="1" applyFill="1" applyBorder="1" applyAlignment="1">
      <alignment horizontal="center"/>
    </xf>
    <xf numFmtId="40" fontId="1" fillId="0" borderId="11" xfId="0" applyNumberFormat="1" applyFont="1" applyFill="1" applyBorder="1" applyAlignment="1">
      <alignment/>
    </xf>
    <xf numFmtId="8" fontId="1" fillId="0" borderId="11" xfId="0" applyNumberFormat="1" applyFont="1" applyFill="1" applyBorder="1" applyAlignment="1">
      <alignment/>
    </xf>
    <xf numFmtId="187" fontId="8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40" fontId="4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40" fontId="1" fillId="0" borderId="0" xfId="0" applyNumberFormat="1" applyFont="1" applyAlignment="1">
      <alignment/>
    </xf>
    <xf numFmtId="40" fontId="0" fillId="0" borderId="0" xfId="0" applyNumberFormat="1" applyFont="1" applyFill="1" applyAlignment="1">
      <alignment/>
    </xf>
    <xf numFmtId="3" fontId="0" fillId="9" borderId="0" xfId="0" applyNumberFormat="1" applyFont="1" applyFill="1" applyAlignment="1">
      <alignment/>
    </xf>
    <xf numFmtId="0" fontId="0" fillId="9" borderId="0" xfId="0" applyFont="1" applyFill="1" applyAlignment="1">
      <alignment/>
    </xf>
    <xf numFmtId="40" fontId="0" fillId="9" borderId="0" xfId="0" applyNumberFormat="1" applyFont="1" applyFill="1" applyAlignment="1">
      <alignment/>
    </xf>
    <xf numFmtId="38" fontId="14" fillId="9" borderId="0" xfId="0" applyNumberFormat="1" applyFont="1" applyFill="1" applyBorder="1" applyAlignment="1">
      <alignment horizontal="left"/>
    </xf>
    <xf numFmtId="38" fontId="0" fillId="9" borderId="0" xfId="0" applyNumberFormat="1" applyFill="1" applyAlignment="1">
      <alignment/>
    </xf>
    <xf numFmtId="38" fontId="0" fillId="9" borderId="0" xfId="0" applyNumberFormat="1" applyFont="1" applyFill="1" applyAlignment="1" applyProtection="1">
      <alignment horizontal="centerContinuous"/>
      <protection hidden="1"/>
    </xf>
    <xf numFmtId="38" fontId="0" fillId="9" borderId="0" xfId="0" applyNumberFormat="1" applyFont="1" applyFill="1" applyAlignment="1">
      <alignment/>
    </xf>
    <xf numFmtId="0" fontId="14" fillId="9" borderId="0" xfId="0" applyFont="1" applyFill="1" applyAlignment="1">
      <alignment horizontal="left"/>
    </xf>
    <xf numFmtId="0" fontId="0" fillId="9" borderId="0" xfId="0" applyFont="1" applyFill="1" applyAlignment="1">
      <alignment horizontal="centerContinuous"/>
    </xf>
    <xf numFmtId="3" fontId="8" fillId="0" borderId="0" xfId="0" applyNumberFormat="1" applyFont="1" applyFill="1" applyAlignment="1">
      <alignment horizontal="center"/>
    </xf>
    <xf numFmtId="3" fontId="14" fillId="9" borderId="0" xfId="0" applyNumberFormat="1" applyFont="1" applyFill="1" applyAlignment="1">
      <alignment horizontal="right"/>
    </xf>
    <xf numFmtId="38" fontId="14" fillId="9" borderId="0" xfId="0" applyNumberFormat="1" applyFont="1" applyFill="1" applyAlignment="1">
      <alignment horizontal="right"/>
    </xf>
    <xf numFmtId="40" fontId="14" fillId="9" borderId="0" xfId="0" applyNumberFormat="1" applyFont="1" applyFill="1" applyBorder="1" applyAlignment="1">
      <alignment horizontal="right"/>
    </xf>
    <xf numFmtId="0" fontId="14" fillId="9" borderId="0" xfId="0" applyFont="1" applyFill="1" applyAlignment="1">
      <alignment horizontal="right"/>
    </xf>
    <xf numFmtId="3" fontId="8" fillId="0" borderId="8" xfId="0" applyNumberFormat="1" applyFont="1" applyBorder="1" applyAlignment="1">
      <alignment horizontal="left"/>
    </xf>
    <xf numFmtId="40" fontId="1" fillId="0" borderId="0" xfId="0" applyNumberFormat="1" applyFont="1" applyAlignment="1">
      <alignment horizontal="center"/>
    </xf>
    <xf numFmtId="40" fontId="0" fillId="0" borderId="0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horizontal="left" indent="3"/>
    </xf>
    <xf numFmtId="190" fontId="0" fillId="19" borderId="0" xfId="0" applyNumberFormat="1" applyFont="1" applyFill="1" applyAlignment="1">
      <alignment horizontal="right"/>
    </xf>
    <xf numFmtId="190" fontId="1" fillId="0" borderId="11" xfId="0" applyNumberFormat="1" applyFont="1" applyFill="1" applyBorder="1" applyAlignment="1">
      <alignment horizontal="right"/>
    </xf>
    <xf numFmtId="190" fontId="0" fillId="0" borderId="0" xfId="0" applyNumberFormat="1" applyFont="1" applyFill="1" applyAlignment="1">
      <alignment horizontal="right"/>
    </xf>
    <xf numFmtId="3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center"/>
    </xf>
    <xf numFmtId="40" fontId="1" fillId="0" borderId="0" xfId="0" applyNumberFormat="1" applyFont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3" fontId="17" fillId="20" borderId="0" xfId="0" applyNumberFormat="1" applyFont="1" applyFill="1" applyAlignment="1">
      <alignment/>
    </xf>
    <xf numFmtId="3" fontId="16" fillId="20" borderId="0" xfId="0" applyNumberFormat="1" applyFont="1" applyFill="1" applyAlignment="1">
      <alignment/>
    </xf>
    <xf numFmtId="40" fontId="18" fillId="20" borderId="0" xfId="0" applyNumberFormat="1" applyFont="1" applyFill="1" applyAlignment="1">
      <alignment horizontal="center"/>
    </xf>
    <xf numFmtId="190" fontId="17" fillId="20" borderId="0" xfId="0" applyNumberFormat="1" applyFont="1" applyFill="1" applyAlignment="1">
      <alignment horizontal="right"/>
    </xf>
    <xf numFmtId="40" fontId="4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Fill="1" applyBorder="1" applyAlignment="1">
      <alignment/>
    </xf>
    <xf numFmtId="8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0" fontId="15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 indent="3"/>
    </xf>
    <xf numFmtId="40" fontId="14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 horizontal="left"/>
    </xf>
    <xf numFmtId="3" fontId="14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 horizontal="left" indent="2"/>
    </xf>
    <xf numFmtId="3" fontId="0" fillId="0" borderId="0" xfId="0" applyNumberFormat="1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 horizontal="left" indent="2"/>
    </xf>
    <xf numFmtId="3" fontId="0" fillId="0" borderId="12" xfId="0" applyNumberFormat="1" applyFont="1" applyFill="1" applyBorder="1" applyAlignment="1">
      <alignment horizontal="left" indent="2"/>
    </xf>
    <xf numFmtId="3" fontId="0" fillId="0" borderId="12" xfId="0" applyNumberFormat="1" applyFont="1" applyFill="1" applyBorder="1" applyAlignment="1">
      <alignment horizontal="left" inden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 horizontal="left" indent="2"/>
    </xf>
    <xf numFmtId="40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40" fontId="20" fillId="0" borderId="0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horizontal="left" indent="1"/>
    </xf>
    <xf numFmtId="3" fontId="1" fillId="0" borderId="0" xfId="0" applyNumberFormat="1" applyFont="1" applyAlignment="1">
      <alignment/>
    </xf>
    <xf numFmtId="4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Fill="1" applyAlignment="1">
      <alignment horizontal="left"/>
    </xf>
    <xf numFmtId="40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40" fontId="1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40" fontId="1" fillId="0" borderId="0" xfId="0" applyNumberFormat="1" applyFont="1" applyAlignment="1">
      <alignment/>
    </xf>
    <xf numFmtId="188" fontId="1" fillId="0" borderId="0" xfId="0" applyNumberFormat="1" applyFont="1" applyAlignment="1">
      <alignment horizontal="left" indent="2"/>
    </xf>
    <xf numFmtId="3" fontId="1" fillId="0" borderId="0" xfId="0" applyNumberFormat="1" applyFont="1" applyAlignment="1">
      <alignment horizontal="left" indent="2"/>
    </xf>
    <xf numFmtId="188" fontId="0" fillId="0" borderId="0" xfId="0" applyNumberFormat="1" applyFont="1" applyAlignment="1">
      <alignment horizontal="left" indent="3"/>
    </xf>
    <xf numFmtId="188" fontId="0" fillId="0" borderId="12" xfId="0" applyNumberFormat="1" applyFont="1" applyBorder="1" applyAlignment="1">
      <alignment horizontal="left" indent="3"/>
    </xf>
    <xf numFmtId="188" fontId="0" fillId="0" borderId="12" xfId="0" applyNumberFormat="1" applyFont="1" applyBorder="1" applyAlignment="1">
      <alignment/>
    </xf>
    <xf numFmtId="3" fontId="0" fillId="0" borderId="0" xfId="0" applyNumberFormat="1" applyFont="1" applyFill="1" applyAlignment="1">
      <alignment horizontal="left" indent="5"/>
    </xf>
    <xf numFmtId="3" fontId="0" fillId="0" borderId="12" xfId="0" applyNumberFormat="1" applyFont="1" applyFill="1" applyBorder="1" applyAlignment="1">
      <alignment horizontal="left" indent="5"/>
    </xf>
    <xf numFmtId="3" fontId="1" fillId="0" borderId="13" xfId="0" applyNumberFormat="1" applyFont="1" applyBorder="1" applyAlignment="1">
      <alignment/>
    </xf>
    <xf numFmtId="4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left" indent="1"/>
    </xf>
    <xf numFmtId="188" fontId="0" fillId="0" borderId="0" xfId="0" applyNumberFormat="1" applyFont="1" applyAlignment="1">
      <alignment horizontal="left" indent="4"/>
    </xf>
    <xf numFmtId="188" fontId="0" fillId="0" borderId="12" xfId="0" applyNumberFormat="1" applyFont="1" applyBorder="1" applyAlignment="1">
      <alignment horizontal="left" indent="4"/>
    </xf>
    <xf numFmtId="40" fontId="11" fillId="0" borderId="0" xfId="0" applyNumberFormat="1" applyFont="1" applyAlignment="1">
      <alignment horizontal="left" indent="1"/>
    </xf>
    <xf numFmtId="3" fontId="0" fillId="0" borderId="0" xfId="0" applyNumberFormat="1" applyAlignment="1">
      <alignment horizontal="left" indent="4"/>
    </xf>
    <xf numFmtId="3" fontId="0" fillId="0" borderId="0" xfId="0" applyNumberFormat="1" applyFont="1" applyFill="1" applyAlignment="1">
      <alignment horizontal="left" indent="6"/>
    </xf>
    <xf numFmtId="3" fontId="0" fillId="0" borderId="12" xfId="0" applyNumberFormat="1" applyFont="1" applyFill="1" applyBorder="1" applyAlignment="1">
      <alignment horizontal="left" indent="6"/>
    </xf>
    <xf numFmtId="3" fontId="0" fillId="0" borderId="0" xfId="0" applyNumberFormat="1" applyFont="1" applyAlignment="1">
      <alignment horizontal="left" indent="1"/>
    </xf>
    <xf numFmtId="3" fontId="0" fillId="0" borderId="0" xfId="0" applyNumberFormat="1" applyFont="1" applyAlignment="1">
      <alignment horizontal="left" indent="1"/>
    </xf>
    <xf numFmtId="3" fontId="0" fillId="0" borderId="0" xfId="0" applyNumberFormat="1" applyFont="1" applyAlignment="1">
      <alignment horizontal="left" indent="3"/>
    </xf>
    <xf numFmtId="3" fontId="0" fillId="0" borderId="12" xfId="0" applyNumberFormat="1" applyFont="1" applyBorder="1" applyAlignment="1">
      <alignment horizontal="left" indent="3"/>
    </xf>
    <xf numFmtId="3" fontId="1" fillId="0" borderId="14" xfId="0" applyNumberFormat="1" applyFont="1" applyBorder="1" applyAlignment="1">
      <alignment horizontal="left" indent="2"/>
    </xf>
    <xf numFmtId="39" fontId="0" fillId="0" borderId="0" xfId="0" applyNumberFormat="1" applyFont="1" applyFill="1" applyAlignment="1">
      <alignment horizontal="right"/>
    </xf>
    <xf numFmtId="39" fontId="0" fillId="0" borderId="12" xfId="0" applyNumberFormat="1" applyFont="1" applyBorder="1" applyAlignment="1">
      <alignment/>
    </xf>
    <xf numFmtId="3" fontId="0" fillId="9" borderId="0" xfId="0" applyNumberFormat="1" applyFont="1" applyFill="1" applyAlignment="1">
      <alignment horizontal="right"/>
    </xf>
    <xf numFmtId="3" fontId="0" fillId="19" borderId="0" xfId="0" applyNumberFormat="1" applyFont="1" applyFill="1" applyAlignment="1">
      <alignment horizontal="left" indent="4"/>
    </xf>
    <xf numFmtId="190" fontId="1" fillId="0" borderId="0" xfId="0" applyNumberFormat="1" applyFont="1" applyFill="1" applyBorder="1" applyAlignment="1">
      <alignment horizontal="right"/>
    </xf>
    <xf numFmtId="190" fontId="0" fillId="0" borderId="0" xfId="59" applyNumberFormat="1" applyFont="1" applyFill="1" applyBorder="1" applyAlignment="1">
      <alignment horizontal="right"/>
    </xf>
    <xf numFmtId="190" fontId="1" fillId="0" borderId="0" xfId="59" applyNumberFormat="1" applyFont="1" applyFill="1" applyBorder="1" applyAlignment="1">
      <alignment horizontal="right"/>
    </xf>
    <xf numFmtId="190" fontId="0" fillId="0" borderId="12" xfId="59" applyNumberFormat="1" applyFont="1" applyFill="1" applyBorder="1" applyAlignment="1">
      <alignment horizontal="right"/>
    </xf>
    <xf numFmtId="190" fontId="14" fillId="0" borderId="0" xfId="59" applyNumberFormat="1" applyFont="1" applyFill="1" applyBorder="1" applyAlignment="1">
      <alignment horizontal="right"/>
    </xf>
    <xf numFmtId="190" fontId="11" fillId="0" borderId="0" xfId="59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188" fontId="1" fillId="0" borderId="0" xfId="0" applyNumberFormat="1" applyFont="1" applyAlignment="1">
      <alignment horizontal="right"/>
    </xf>
    <xf numFmtId="3" fontId="0" fillId="0" borderId="12" xfId="0" applyNumberFormat="1" applyFont="1" applyBorder="1" applyAlignment="1">
      <alignment horizontal="right"/>
    </xf>
    <xf numFmtId="190" fontId="1" fillId="0" borderId="14" xfId="59" applyNumberFormat="1" applyFont="1" applyFill="1" applyBorder="1" applyAlignment="1">
      <alignment horizontal="right"/>
    </xf>
    <xf numFmtId="190" fontId="0" fillId="0" borderId="13" xfId="59" applyNumberFormat="1" applyFont="1" applyFill="1" applyBorder="1" applyAlignment="1">
      <alignment horizontal="right"/>
    </xf>
    <xf numFmtId="190" fontId="0" fillId="9" borderId="0" xfId="0" applyNumberFormat="1" applyFont="1" applyFill="1" applyAlignment="1">
      <alignment horizontal="right"/>
    </xf>
    <xf numFmtId="40" fontId="1" fillId="0" borderId="15" xfId="0" applyNumberFormat="1" applyFont="1" applyBorder="1" applyAlignment="1">
      <alignment horizontal="centerContinuous"/>
    </xf>
    <xf numFmtId="169" fontId="1" fillId="0" borderId="16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0" fontId="0" fillId="9" borderId="15" xfId="0" applyFont="1" applyFill="1" applyBorder="1" applyAlignment="1">
      <alignment/>
    </xf>
    <xf numFmtId="38" fontId="0" fillId="9" borderId="15" xfId="0" applyNumberFormat="1" applyFont="1" applyFill="1" applyBorder="1" applyAlignment="1" applyProtection="1">
      <alignment horizontal="centerContinuous"/>
      <protection hidden="1"/>
    </xf>
    <xf numFmtId="3" fontId="0" fillId="9" borderId="15" xfId="0" applyNumberFormat="1" applyFont="1" applyFill="1" applyBorder="1" applyAlignment="1">
      <alignment/>
    </xf>
    <xf numFmtId="40" fontId="0" fillId="9" borderId="15" xfId="0" applyNumberFormat="1" applyFont="1" applyFill="1" applyBorder="1" applyAlignment="1">
      <alignment/>
    </xf>
    <xf numFmtId="3" fontId="0" fillId="9" borderId="15" xfId="0" applyNumberFormat="1" applyFont="1" applyFill="1" applyBorder="1" applyAlignment="1">
      <alignment horizontal="centerContinuous"/>
    </xf>
    <xf numFmtId="40" fontId="0" fillId="0" borderId="15" xfId="0" applyNumberFormat="1" applyFont="1" applyBorder="1" applyAlignment="1">
      <alignment/>
    </xf>
    <xf numFmtId="8" fontId="0" fillId="0" borderId="17" xfId="0" applyNumberFormat="1" applyFont="1" applyFill="1" applyBorder="1" applyAlignment="1">
      <alignment/>
    </xf>
    <xf numFmtId="8" fontId="17" fillId="20" borderId="17" xfId="0" applyNumberFormat="1" applyFont="1" applyFill="1" applyBorder="1" applyAlignment="1">
      <alignment/>
    </xf>
    <xf numFmtId="171" fontId="0" fillId="0" borderId="17" xfId="0" applyNumberFormat="1" applyFont="1" applyFill="1" applyBorder="1" applyAlignment="1">
      <alignment horizontal="right"/>
    </xf>
    <xf numFmtId="8" fontId="1" fillId="0" borderId="17" xfId="0" applyNumberFormat="1" applyFont="1" applyFill="1" applyBorder="1" applyAlignment="1">
      <alignment/>
    </xf>
    <xf numFmtId="0" fontId="14" fillId="0" borderId="17" xfId="0" applyNumberFormat="1" applyFont="1" applyFill="1" applyBorder="1" applyAlignment="1" quotePrefix="1">
      <alignment horizontal="left"/>
    </xf>
    <xf numFmtId="0" fontId="13" fillId="0" borderId="17" xfId="0" applyNumberFormat="1" applyFont="1" applyFill="1" applyBorder="1" applyAlignment="1" quotePrefix="1">
      <alignment horizontal="left"/>
    </xf>
    <xf numFmtId="0" fontId="5" fillId="0" borderId="17" xfId="0" applyNumberFormat="1" applyFont="1" applyFill="1" applyBorder="1" applyAlignment="1" quotePrefix="1">
      <alignment horizontal="left"/>
    </xf>
    <xf numFmtId="8" fontId="17" fillId="0" borderId="17" xfId="0" applyNumberFormat="1" applyFont="1" applyFill="1" applyBorder="1" applyAlignment="1">
      <alignment/>
    </xf>
    <xf numFmtId="40" fontId="12" fillId="0" borderId="17" xfId="0" applyNumberFormat="1" applyFont="1" applyFill="1" applyBorder="1" applyAlignment="1">
      <alignment horizontal="center"/>
    </xf>
    <xf numFmtId="3" fontId="0" fillId="0" borderId="17" xfId="0" applyNumberFormat="1" applyFont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188" fontId="1" fillId="0" borderId="17" xfId="0" applyNumberFormat="1" applyFont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190" fontId="0" fillId="0" borderId="0" xfId="0" applyNumberFormat="1" applyFont="1" applyFill="1" applyBorder="1" applyAlignment="1">
      <alignment horizontal="right"/>
    </xf>
    <xf numFmtId="8" fontId="0" fillId="0" borderId="0" xfId="0" applyNumberFormat="1" applyFont="1" applyFill="1" applyBorder="1" applyAlignment="1">
      <alignment horizontal="centerContinuous"/>
    </xf>
    <xf numFmtId="8" fontId="0" fillId="19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8" fontId="0" fillId="9" borderId="0" xfId="0" applyNumberFormat="1" applyFont="1" applyFill="1" applyBorder="1" applyAlignment="1">
      <alignment/>
    </xf>
    <xf numFmtId="40" fontId="1" fillId="0" borderId="18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40" fontId="1" fillId="0" borderId="0" xfId="42" applyNumberFormat="1" applyFont="1" applyAlignment="1">
      <alignment/>
    </xf>
    <xf numFmtId="40" fontId="0" fillId="0" borderId="0" xfId="42" applyNumberFormat="1" applyFont="1" applyAlignment="1">
      <alignment/>
    </xf>
    <xf numFmtId="40" fontId="0" fillId="0" borderId="0" xfId="42" applyNumberFormat="1" applyFont="1" applyFill="1" applyAlignment="1">
      <alignment/>
    </xf>
    <xf numFmtId="40" fontId="1" fillId="0" borderId="0" xfId="42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Alignment="1">
      <alignment horizontal="left" indent="1"/>
    </xf>
    <xf numFmtId="3" fontId="1" fillId="0" borderId="0" xfId="0" applyNumberFormat="1" applyFont="1" applyFill="1" applyAlignment="1">
      <alignment horizontal="left" indent="1"/>
    </xf>
    <xf numFmtId="3" fontId="1" fillId="0" borderId="13" xfId="0" applyNumberFormat="1" applyFont="1" applyFill="1" applyBorder="1" applyAlignment="1">
      <alignment/>
    </xf>
    <xf numFmtId="40" fontId="1" fillId="0" borderId="13" xfId="42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40" fontId="11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 quotePrefix="1">
      <alignment/>
    </xf>
    <xf numFmtId="3" fontId="0" fillId="0" borderId="0" xfId="0" applyNumberFormat="1" applyFont="1" applyFill="1" applyAlignment="1">
      <alignment horizontal="left" indent="3"/>
    </xf>
    <xf numFmtId="3" fontId="0" fillId="0" borderId="0" xfId="0" applyNumberFormat="1" applyFont="1" applyFill="1" applyAlignment="1">
      <alignment horizontal="left" indent="1"/>
    </xf>
    <xf numFmtId="3" fontId="0" fillId="0" borderId="12" xfId="0" applyNumberFormat="1" applyFont="1" applyFill="1" applyBorder="1" applyAlignment="1">
      <alignment/>
    </xf>
    <xf numFmtId="40" fontId="0" fillId="0" borderId="12" xfId="0" applyNumberFormat="1" applyFont="1" applyFill="1" applyBorder="1" applyAlignment="1">
      <alignment/>
    </xf>
    <xf numFmtId="39" fontId="0" fillId="0" borderId="12" xfId="0" applyNumberFormat="1" applyFont="1" applyFill="1" applyBorder="1" applyAlignment="1">
      <alignment horizontal="right"/>
    </xf>
    <xf numFmtId="39" fontId="0" fillId="0" borderId="0" xfId="0" applyNumberFormat="1" applyFont="1" applyAlignment="1">
      <alignment horizontal="right"/>
    </xf>
    <xf numFmtId="39" fontId="0" fillId="0" borderId="0" xfId="0" applyNumberFormat="1" applyFont="1" applyBorder="1" applyAlignment="1">
      <alignment/>
    </xf>
    <xf numFmtId="39" fontId="0" fillId="0" borderId="13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horizontal="left" indent="2"/>
    </xf>
    <xf numFmtId="3" fontId="0" fillId="0" borderId="0" xfId="0" applyNumberFormat="1" applyFont="1" applyFill="1" applyAlignment="1">
      <alignment horizontal="left" indent="2"/>
    </xf>
    <xf numFmtId="39" fontId="0" fillId="0" borderId="0" xfId="0" applyNumberFormat="1" applyBorder="1" applyAlignment="1">
      <alignment/>
    </xf>
    <xf numFmtId="40" fontId="0" fillId="0" borderId="12" xfId="42" applyNumberFormat="1" applyFont="1" applyFill="1" applyBorder="1" applyAlignment="1">
      <alignment/>
    </xf>
    <xf numFmtId="39" fontId="0" fillId="0" borderId="12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left"/>
    </xf>
    <xf numFmtId="3" fontId="0" fillId="0" borderId="19" xfId="0" applyNumberFormat="1" applyFont="1" applyFill="1" applyBorder="1" applyAlignment="1">
      <alignment/>
    </xf>
    <xf numFmtId="40" fontId="0" fillId="0" borderId="19" xfId="42" applyNumberFormat="1" applyFont="1" applyFill="1" applyBorder="1" applyAlignment="1">
      <alignment/>
    </xf>
    <xf numFmtId="39" fontId="0" fillId="0" borderId="0" xfId="0" applyNumberFormat="1" applyFont="1" applyFill="1" applyBorder="1" applyAlignment="1">
      <alignment horizontal="right"/>
    </xf>
    <xf numFmtId="39" fontId="0" fillId="0" borderId="0" xfId="42" applyNumberFormat="1" applyFont="1" applyFill="1" applyAlignment="1">
      <alignment horizontal="right"/>
    </xf>
    <xf numFmtId="40" fontId="1" fillId="0" borderId="0" xfId="42" applyNumberFormat="1" applyFont="1" applyFill="1" applyAlignment="1">
      <alignment horizontal="right"/>
    </xf>
    <xf numFmtId="40" fontId="0" fillId="0" borderId="0" xfId="42" applyNumberFormat="1" applyFont="1" applyFill="1" applyAlignment="1">
      <alignment horizontal="right"/>
    </xf>
    <xf numFmtId="40" fontId="0" fillId="0" borderId="12" xfId="0" applyNumberFormat="1" applyFont="1" applyFill="1" applyBorder="1" applyAlignment="1">
      <alignment horizontal="right"/>
    </xf>
    <xf numFmtId="39" fontId="0" fillId="0" borderId="0" xfId="0" applyNumberFormat="1" applyFont="1" applyBorder="1" applyAlignment="1">
      <alignment horizontal="right"/>
    </xf>
    <xf numFmtId="39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Alignment="1" quotePrefix="1">
      <alignment/>
    </xf>
    <xf numFmtId="3" fontId="0" fillId="0" borderId="0" xfId="0" applyNumberFormat="1" applyFont="1" applyFill="1" applyAlignment="1">
      <alignment horizontal="left" indent="4"/>
    </xf>
    <xf numFmtId="39" fontId="0" fillId="0" borderId="0" xfId="42" applyNumberFormat="1" applyFont="1" applyFill="1" applyBorder="1" applyAlignment="1">
      <alignment horizontal="right"/>
    </xf>
    <xf numFmtId="39" fontId="0" fillId="0" borderId="12" xfId="42" applyNumberFormat="1" applyFont="1" applyFill="1" applyBorder="1" applyAlignment="1">
      <alignment horizontal="right"/>
    </xf>
    <xf numFmtId="39" fontId="0" fillId="0" borderId="0" xfId="42" applyNumberFormat="1" applyFont="1" applyAlignment="1">
      <alignment horizontal="right"/>
    </xf>
    <xf numFmtId="39" fontId="0" fillId="0" borderId="0" xfId="42" applyNumberFormat="1" applyFont="1" applyBorder="1" applyAlignment="1">
      <alignment horizontal="right"/>
    </xf>
    <xf numFmtId="3" fontId="1" fillId="21" borderId="0" xfId="0" applyNumberFormat="1" applyFont="1" applyFill="1" applyAlignment="1">
      <alignment/>
    </xf>
    <xf numFmtId="0" fontId="0" fillId="21" borderId="0" xfId="0" applyFill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 indent="4"/>
    </xf>
    <xf numFmtId="0" fontId="0" fillId="0" borderId="17" xfId="0" applyFont="1" applyBorder="1" applyAlignment="1">
      <alignment/>
    </xf>
    <xf numFmtId="3" fontId="0" fillId="0" borderId="12" xfId="0" applyNumberFormat="1" applyFont="1" applyBorder="1" applyAlignment="1">
      <alignment horizontal="left" indent="4"/>
    </xf>
    <xf numFmtId="40" fontId="16" fillId="20" borderId="0" xfId="0" applyNumberFormat="1" applyFont="1" applyFill="1" applyAlignment="1">
      <alignment/>
    </xf>
    <xf numFmtId="40" fontId="19" fillId="0" borderId="0" xfId="0" applyNumberFormat="1" applyFont="1" applyFill="1" applyBorder="1" applyAlignment="1">
      <alignment/>
    </xf>
    <xf numFmtId="40" fontId="11" fillId="0" borderId="0" xfId="0" applyNumberFormat="1" applyFont="1" applyAlignment="1">
      <alignment horizontal="center"/>
    </xf>
    <xf numFmtId="40" fontId="0" fillId="0" borderId="12" xfId="0" applyNumberFormat="1" applyFont="1" applyBorder="1" applyAlignment="1">
      <alignment/>
    </xf>
    <xf numFmtId="40" fontId="0" fillId="0" borderId="12" xfId="0" applyNumberFormat="1" applyFont="1" applyBorder="1" applyAlignment="1">
      <alignment/>
    </xf>
    <xf numFmtId="40" fontId="1" fillId="0" borderId="14" xfId="0" applyNumberFormat="1" applyFont="1" applyBorder="1" applyAlignment="1">
      <alignment/>
    </xf>
    <xf numFmtId="40" fontId="1" fillId="0" borderId="13" xfId="0" applyNumberFormat="1" applyFont="1" applyBorder="1" applyAlignment="1">
      <alignment/>
    </xf>
    <xf numFmtId="40" fontId="1" fillId="0" borderId="0" xfId="0" applyNumberFormat="1" applyFont="1" applyFill="1" applyAlignment="1">
      <alignment horizontal="right"/>
    </xf>
    <xf numFmtId="40" fontId="0" fillId="0" borderId="0" xfId="0" applyNumberFormat="1" applyFont="1" applyFill="1" applyAlignment="1">
      <alignment horizontal="right"/>
    </xf>
    <xf numFmtId="40" fontId="0" fillId="0" borderId="19" xfId="0" applyNumberFormat="1" applyFont="1" applyFill="1" applyBorder="1" applyAlignment="1">
      <alignment/>
    </xf>
    <xf numFmtId="40" fontId="1" fillId="0" borderId="0" xfId="0" applyNumberFormat="1" applyFont="1" applyFill="1" applyAlignment="1">
      <alignment horizontal="right"/>
    </xf>
    <xf numFmtId="40" fontId="0" fillId="0" borderId="12" xfId="42" applyNumberFormat="1" applyFont="1" applyFill="1" applyBorder="1" applyAlignment="1">
      <alignment horizontal="right"/>
    </xf>
    <xf numFmtId="40" fontId="1" fillId="0" borderId="13" xfId="42" applyNumberFormat="1" applyFont="1" applyFill="1" applyBorder="1" applyAlignment="1">
      <alignment horizontal="right"/>
    </xf>
    <xf numFmtId="40" fontId="17" fillId="20" borderId="0" xfId="0" applyNumberFormat="1" applyFont="1" applyFill="1" applyAlignment="1">
      <alignment/>
    </xf>
    <xf numFmtId="40" fontId="1" fillId="0" borderId="14" xfId="0" applyNumberFormat="1" applyFont="1" applyFill="1" applyBorder="1" applyAlignment="1">
      <alignment/>
    </xf>
    <xf numFmtId="40" fontId="0" fillId="0" borderId="13" xfId="0" applyNumberFormat="1" applyFont="1" applyFill="1" applyBorder="1" applyAlignment="1">
      <alignment/>
    </xf>
    <xf numFmtId="40" fontId="0" fillId="0" borderId="0" xfId="0" applyNumberFormat="1" applyFont="1" applyFill="1" applyBorder="1" applyAlignment="1">
      <alignment horizontal="right"/>
    </xf>
    <xf numFmtId="40" fontId="11" fillId="0" borderId="0" xfId="0" applyNumberFormat="1" applyFont="1" applyAlignment="1">
      <alignment horizontal="right"/>
    </xf>
    <xf numFmtId="40" fontId="12" fillId="0" borderId="0" xfId="0" applyNumberFormat="1" applyFont="1" applyAlignment="1">
      <alignment horizontal="right"/>
    </xf>
    <xf numFmtId="40" fontId="12" fillId="0" borderId="12" xfId="0" applyNumberFormat="1" applyFont="1" applyBorder="1" applyAlignment="1">
      <alignment horizontal="right"/>
    </xf>
    <xf numFmtId="40" fontId="1" fillId="0" borderId="0" xfId="0" applyNumberFormat="1" applyFont="1" applyAlignment="1">
      <alignment horizontal="right"/>
    </xf>
    <xf numFmtId="40" fontId="0" fillId="0" borderId="0" xfId="42" applyNumberFormat="1" applyFont="1" applyAlignment="1">
      <alignment horizontal="right"/>
    </xf>
    <xf numFmtId="40" fontId="0" fillId="0" borderId="0" xfId="0" applyNumberFormat="1" applyFont="1" applyAlignment="1">
      <alignment horizontal="right"/>
    </xf>
    <xf numFmtId="40" fontId="11" fillId="0" borderId="0" xfId="0" applyNumberFormat="1" applyFont="1" applyFill="1" applyAlignment="1">
      <alignment horizontal="right"/>
    </xf>
    <xf numFmtId="40" fontId="0" fillId="0" borderId="13" xfId="0" applyNumberFormat="1" applyFont="1" applyFill="1" applyBorder="1" applyAlignment="1">
      <alignment horizontal="right"/>
    </xf>
    <xf numFmtId="40" fontId="0" fillId="19" borderId="15" xfId="0" applyNumberFormat="1" applyFont="1" applyFill="1" applyBorder="1" applyAlignment="1">
      <alignment/>
    </xf>
    <xf numFmtId="3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9" fontId="1" fillId="0" borderId="0" xfId="0" applyNumberFormat="1" applyFont="1" applyAlignment="1">
      <alignment horizontal="center"/>
    </xf>
    <xf numFmtId="40" fontId="0" fillId="0" borderId="0" xfId="42" applyNumberFormat="1" applyFont="1" applyBorder="1" applyAlignment="1">
      <alignment/>
    </xf>
    <xf numFmtId="40" fontId="0" fillId="0" borderId="12" xfId="42" applyNumberFormat="1" applyFont="1" applyBorder="1" applyAlignment="1">
      <alignment/>
    </xf>
    <xf numFmtId="40" fontId="1" fillId="7" borderId="0" xfId="42" applyNumberFormat="1" applyFont="1" applyFill="1" applyAlignment="1">
      <alignment/>
    </xf>
    <xf numFmtId="40" fontId="0" fillId="7" borderId="0" xfId="0" applyNumberFormat="1" applyFont="1" applyFill="1" applyBorder="1" applyAlignment="1">
      <alignment horizontal="right"/>
    </xf>
    <xf numFmtId="40" fontId="0" fillId="7" borderId="0" xfId="0" applyNumberFormat="1" applyFont="1" applyFill="1" applyAlignment="1">
      <alignment/>
    </xf>
    <xf numFmtId="40" fontId="0" fillId="7" borderId="0" xfId="0" applyNumberFormat="1" applyFont="1" applyFill="1" applyBorder="1" applyAlignment="1">
      <alignment/>
    </xf>
    <xf numFmtId="40" fontId="11" fillId="7" borderId="0" xfId="0" applyNumberFormat="1" applyFont="1" applyFill="1" applyAlignment="1">
      <alignment horizontal="center"/>
    </xf>
    <xf numFmtId="40" fontId="11" fillId="7" borderId="0" xfId="0" applyNumberFormat="1" applyFont="1" applyFill="1" applyAlignment="1">
      <alignment horizontal="right"/>
    </xf>
    <xf numFmtId="40" fontId="0" fillId="7" borderId="0" xfId="42" applyNumberFormat="1" applyFont="1" applyFill="1" applyAlignment="1">
      <alignment/>
    </xf>
    <xf numFmtId="40" fontId="12" fillId="7" borderId="0" xfId="0" applyNumberFormat="1" applyFont="1" applyFill="1" applyAlignment="1">
      <alignment horizontal="right"/>
    </xf>
    <xf numFmtId="40" fontId="0" fillId="7" borderId="0" xfId="42" applyNumberFormat="1" applyFont="1" applyFill="1" applyBorder="1" applyAlignment="1">
      <alignment horizontal="right"/>
    </xf>
    <xf numFmtId="40" fontId="0" fillId="7" borderId="12" xfId="0" applyNumberFormat="1" applyFont="1" applyFill="1" applyBorder="1" applyAlignment="1">
      <alignment horizontal="right"/>
    </xf>
    <xf numFmtId="40" fontId="12" fillId="7" borderId="12" xfId="0" applyNumberFormat="1" applyFont="1" applyFill="1" applyBorder="1" applyAlignment="1">
      <alignment horizontal="right"/>
    </xf>
    <xf numFmtId="40" fontId="1" fillId="7" borderId="0" xfId="0" applyNumberFormat="1" applyFont="1" applyFill="1" applyAlignment="1">
      <alignment horizontal="right"/>
    </xf>
    <xf numFmtId="40" fontId="0" fillId="7" borderId="0" xfId="0" applyNumberFormat="1" applyFont="1" applyFill="1" applyAlignment="1">
      <alignment horizontal="right"/>
    </xf>
    <xf numFmtId="40" fontId="1" fillId="7" borderId="0" xfId="42" applyNumberFormat="1" applyFont="1" applyFill="1" applyAlignment="1">
      <alignment horizontal="right"/>
    </xf>
    <xf numFmtId="40" fontId="11" fillId="7" borderId="0" xfId="0" applyNumberFormat="1" applyFont="1" applyFill="1" applyAlignment="1">
      <alignment horizontal="center"/>
    </xf>
    <xf numFmtId="40" fontId="0" fillId="7" borderId="19" xfId="0" applyNumberFormat="1" applyFont="1" applyFill="1" applyBorder="1" applyAlignment="1">
      <alignment/>
    </xf>
    <xf numFmtId="40" fontId="1" fillId="7" borderId="0" xfId="0" applyNumberFormat="1" applyFont="1" applyFill="1" applyAlignment="1">
      <alignment horizontal="right"/>
    </xf>
    <xf numFmtId="40" fontId="0" fillId="7" borderId="0" xfId="42" applyNumberFormat="1" applyFont="1" applyFill="1" applyAlignment="1">
      <alignment horizontal="right"/>
    </xf>
    <xf numFmtId="40" fontId="0" fillId="7" borderId="12" xfId="42" applyNumberFormat="1" applyFont="1" applyFill="1" applyBorder="1" applyAlignment="1">
      <alignment horizontal="right"/>
    </xf>
    <xf numFmtId="40" fontId="1" fillId="7" borderId="13" xfId="42" applyNumberFormat="1" applyFont="1" applyFill="1" applyBorder="1" applyAlignment="1">
      <alignment horizontal="right"/>
    </xf>
    <xf numFmtId="40" fontId="0" fillId="7" borderId="13" xfId="0" applyNumberFormat="1" applyFont="1" applyFill="1" applyBorder="1" applyAlignment="1">
      <alignment horizontal="right"/>
    </xf>
    <xf numFmtId="40" fontId="0" fillId="9" borderId="0" xfId="0" applyNumberFormat="1" applyFont="1" applyFill="1" applyBorder="1" applyAlignment="1">
      <alignment horizontal="right"/>
    </xf>
    <xf numFmtId="39" fontId="0" fillId="9" borderId="0" xfId="0" applyNumberFormat="1" applyFont="1" applyFill="1" applyAlignment="1">
      <alignment horizontal="right"/>
    </xf>
    <xf numFmtId="39" fontId="0" fillId="9" borderId="0" xfId="0" applyNumberFormat="1" applyFont="1" applyFill="1" applyBorder="1" applyAlignment="1">
      <alignment/>
    </xf>
    <xf numFmtId="3" fontId="0" fillId="9" borderId="0" xfId="0" applyNumberFormat="1" applyFont="1" applyFill="1" applyBorder="1" applyAlignment="1">
      <alignment/>
    </xf>
    <xf numFmtId="40" fontId="0" fillId="9" borderId="0" xfId="0" applyNumberFormat="1" applyFont="1" applyFill="1" applyBorder="1" applyAlignment="1">
      <alignment/>
    </xf>
    <xf numFmtId="40" fontId="0" fillId="9" borderId="0" xfId="42" applyNumberFormat="1" applyFont="1" applyFill="1" applyAlignment="1">
      <alignment/>
    </xf>
    <xf numFmtId="40" fontId="0" fillId="9" borderId="0" xfId="42" applyNumberFormat="1" applyFont="1" applyFill="1" applyBorder="1" applyAlignment="1">
      <alignment/>
    </xf>
    <xf numFmtId="40" fontId="12" fillId="9" borderId="0" xfId="0" applyNumberFormat="1" applyFont="1" applyFill="1" applyAlignment="1">
      <alignment horizontal="right"/>
    </xf>
    <xf numFmtId="40" fontId="0" fillId="9" borderId="0" xfId="42" applyNumberFormat="1" applyFont="1" applyFill="1" applyBorder="1" applyAlignment="1">
      <alignment horizontal="right"/>
    </xf>
    <xf numFmtId="3" fontId="0" fillId="9" borderId="0" xfId="0" applyNumberFormat="1" applyFont="1" applyFill="1" applyAlignment="1" quotePrefix="1">
      <alignment/>
    </xf>
    <xf numFmtId="38" fontId="14" fillId="9" borderId="0" xfId="0" applyNumberFormat="1" applyFont="1" applyFill="1" applyAlignment="1" quotePrefix="1">
      <alignment horizontal="right"/>
    </xf>
    <xf numFmtId="40" fontId="14" fillId="9" borderId="0" xfId="0" applyNumberFormat="1" applyFont="1" applyFill="1" applyBorder="1" applyAlignment="1" quotePrefix="1">
      <alignment horizontal="righ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SChar" xfId="60"/>
    <cellStyle name="PSDate" xfId="61"/>
    <cellStyle name="PSDec" xfId="62"/>
    <cellStyle name="PSHeading" xfId="63"/>
    <cellStyle name="PSInt" xfId="64"/>
    <cellStyle name="PSSpacer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8D0F7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8E3"/>
      <rgbColor rgb="00CC99FF"/>
      <rgbColor rgb="00FFE5CB"/>
      <rgbColor rgb="003366FF"/>
      <rgbColor rgb="0033CCCC"/>
      <rgbColor rgb="00FFFFCC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outlinePr summaryRight="0"/>
  </sheetPr>
  <dimension ref="A1:Q599"/>
  <sheetViews>
    <sheetView tabSelected="1" zoomScaleSheetLayoutView="100" zoomScalePageLayoutView="0" workbookViewId="0" topLeftCell="A1">
      <pane xSplit="4" ySplit="7" topLeftCell="E8" activePane="bottomRight" state="frozen"/>
      <selection pane="topLeft" activeCell="A2" sqref="A2"/>
      <selection pane="topRight" activeCell="E2" sqref="E2"/>
      <selection pane="bottomLeft" activeCell="A8" sqref="A8"/>
      <selection pane="bottomRight" activeCell="E8" sqref="E8"/>
    </sheetView>
  </sheetViews>
  <sheetFormatPr defaultColWidth="9.140625" defaultRowHeight="12.75" outlineLevelRow="2" outlineLevelCol="1"/>
  <cols>
    <col min="1" max="1" width="7.421875" style="11" hidden="1" customWidth="1"/>
    <col min="2" max="2" width="10.140625" style="11" customWidth="1"/>
    <col min="3" max="3" width="46.28125" style="11" customWidth="1"/>
    <col min="4" max="4" width="1.421875" style="18" customWidth="1"/>
    <col min="5" max="5" width="0.85546875" style="18" customWidth="1"/>
    <col min="6" max="7" width="18.8515625" style="18" customWidth="1"/>
    <col min="8" max="8" width="18.8515625" style="34" customWidth="1" collapsed="1"/>
    <col min="9" max="9" width="11.421875" style="55" hidden="1" customWidth="1" outlineLevel="1"/>
    <col min="10" max="10" width="1.28515625" style="70" customWidth="1"/>
    <col min="11" max="11" width="18.8515625" style="156" customWidth="1"/>
    <col min="12" max="12" width="18.8515625" style="34" customWidth="1" collapsed="1"/>
    <col min="13" max="13" width="10.8515625" style="55" hidden="1" customWidth="1" outlineLevel="1"/>
    <col min="14" max="14" width="1.28515625" style="70" customWidth="1"/>
    <col min="15" max="15" width="18.8515625" style="156" customWidth="1"/>
    <col min="16" max="16" width="18.8515625" style="34" customWidth="1" collapsed="1"/>
    <col min="17" max="17" width="10.8515625" style="55" hidden="1" customWidth="1" outlineLevel="1"/>
    <col min="18" max="16384" width="9.140625" style="11" customWidth="1"/>
  </cols>
  <sheetData>
    <row r="1" spans="1:17" s="15" customFormat="1" ht="11.25" customHeight="1" hidden="1">
      <c r="A1" s="15" t="s">
        <v>85</v>
      </c>
      <c r="B1" s="15" t="s">
        <v>114</v>
      </c>
      <c r="C1" s="134" t="s">
        <v>0</v>
      </c>
      <c r="D1" s="16"/>
      <c r="E1" s="16"/>
      <c r="F1" s="16" t="s">
        <v>85</v>
      </c>
      <c r="G1" s="16" t="s">
        <v>235</v>
      </c>
      <c r="H1" s="16" t="s">
        <v>46</v>
      </c>
      <c r="I1" s="53" t="s">
        <v>46</v>
      </c>
      <c r="J1" s="174"/>
      <c r="K1" s="256" t="s">
        <v>343</v>
      </c>
      <c r="L1" s="16" t="s">
        <v>46</v>
      </c>
      <c r="M1" s="53" t="s">
        <v>46</v>
      </c>
      <c r="N1" s="174"/>
      <c r="O1" s="256" t="s">
        <v>86</v>
      </c>
      <c r="P1" s="16" t="s">
        <v>46</v>
      </c>
      <c r="Q1" s="53" t="s">
        <v>46</v>
      </c>
    </row>
    <row r="2" spans="3:16" ht="12.75">
      <c r="C2" s="17"/>
      <c r="F2" s="257" t="str">
        <f>IF($C$585="Error",$C$590,IF($C$591="Error",$C$587&amp;" - "&amp;$C$586,IF($C$591=$C$590,$C$591&amp;" - "&amp;$C$585,$C$591&amp;" - "&amp;$C$590)))</f>
        <v>Kentucky Power Corp Consol</v>
      </c>
      <c r="G2" s="257"/>
      <c r="H2" s="257"/>
      <c r="I2" s="257"/>
      <c r="J2" s="11"/>
      <c r="K2" s="11"/>
      <c r="L2" s="11"/>
      <c r="N2" s="257"/>
      <c r="O2" s="257"/>
      <c r="P2" s="257"/>
    </row>
    <row r="3" spans="3:16" ht="12.75">
      <c r="C3" s="20">
        <f>IF(C581&gt;0,"REPORT HAS "&amp;C581&amp;" DATA ERROR(S)","")</f>
      </c>
      <c r="F3" s="258" t="s">
        <v>323</v>
      </c>
      <c r="G3" s="258"/>
      <c r="H3" s="258"/>
      <c r="I3" s="258"/>
      <c r="J3" s="11"/>
      <c r="K3" s="11"/>
      <c r="L3" s="11"/>
      <c r="N3" s="258"/>
      <c r="O3" s="258"/>
      <c r="P3" s="258"/>
    </row>
    <row r="4" spans="3:16" ht="12.75">
      <c r="C4" s="28"/>
      <c r="F4" s="259" t="str">
        <f>TEXT(+$C$575,"MMMM dd, YYYY")</f>
        <v>September 30, 2011</v>
      </c>
      <c r="G4" s="259"/>
      <c r="H4" s="259"/>
      <c r="I4" s="259"/>
      <c r="J4" s="11"/>
      <c r="K4" s="11"/>
      <c r="L4" s="11"/>
      <c r="N4" s="259"/>
      <c r="O4" s="259"/>
      <c r="P4" s="259"/>
    </row>
    <row r="5" spans="2:17" ht="13.5" thickBot="1">
      <c r="B5" s="49" t="str">
        <f>"Run Date: "&amp;TEXT(NvsEndTime,"MM/DD/YYYY  hh:mm")</f>
        <v>Run Date: 10/10/2011  14:14</v>
      </c>
      <c r="C5" s="22"/>
      <c r="D5" s="23"/>
      <c r="E5" s="23"/>
      <c r="F5" s="24"/>
      <c r="G5" s="24"/>
      <c r="H5" s="25"/>
      <c r="I5" s="54"/>
      <c r="J5" s="26"/>
      <c r="K5" s="24"/>
      <c r="L5" s="25"/>
      <c r="M5" s="54"/>
      <c r="N5" s="26"/>
      <c r="O5" s="24"/>
      <c r="P5" s="25"/>
      <c r="Q5" s="54"/>
    </row>
    <row r="6" spans="2:16" ht="12.75">
      <c r="B6" s="27" t="str">
        <f>IF(C588&lt;&gt;"Error",C588,"")</f>
        <v>X_OPR_COS</v>
      </c>
      <c r="C6" s="44" t="str">
        <f>"Rpt ID: "&amp;C583&amp;"      Layout: "&amp;C584</f>
        <v>Rpt ID: GLR2200V      Layout: GLR2200V</v>
      </c>
      <c r="D6" s="19"/>
      <c r="E6" s="19"/>
      <c r="F6" s="8" t="s">
        <v>238</v>
      </c>
      <c r="G6" s="19"/>
      <c r="H6" s="50" t="s">
        <v>64</v>
      </c>
      <c r="I6" s="172"/>
      <c r="J6" s="173"/>
      <c r="K6" s="148" t="s">
        <v>342</v>
      </c>
      <c r="L6" s="50" t="s">
        <v>64</v>
      </c>
      <c r="N6" s="173"/>
      <c r="O6" s="148" t="s">
        <v>236</v>
      </c>
      <c r="P6" s="50" t="s">
        <v>64</v>
      </c>
    </row>
    <row r="7" spans="1:17" s="13" customFormat="1" ht="13.5" thickBot="1">
      <c r="A7" s="11"/>
      <c r="B7" s="21" t="str">
        <f>IF(C585="Error",""&amp;C591,IF(C591="Error",""&amp;C587,""&amp;C591))</f>
        <v>KYP_CORP_CONSOL</v>
      </c>
      <c r="C7" s="9" t="str">
        <f>IF($C$585="Error",NvsTreeASD&amp;" Acct: PRPT_ACCOUNT      BU: "&amp;+$C$592,IF(C591="Error",NvsTreeASD&amp;" Acct: PRPT_ACCOUNT     BU: "&amp;+$C$587,NvsTreeASD&amp;"  Acct: PRPT_ACCOUNT    BU: "&amp;+$C$591))</f>
        <v>V2099-01-01 Acct: PRPT_ACCOUNT      BU: GL_PRPT_CONS</v>
      </c>
      <c r="D7" s="5"/>
      <c r="E7" s="5"/>
      <c r="F7" s="29" t="str">
        <f>TEXT($C$575,"YYYY")</f>
        <v>2011</v>
      </c>
      <c r="G7" s="10">
        <f>+F7-1</f>
        <v>2010</v>
      </c>
      <c r="H7" s="24" t="s">
        <v>47</v>
      </c>
      <c r="I7" s="54" t="s">
        <v>48</v>
      </c>
      <c r="J7" s="24"/>
      <c r="K7" s="149"/>
      <c r="L7" s="24" t="s">
        <v>47</v>
      </c>
      <c r="M7" s="54" t="s">
        <v>48</v>
      </c>
      <c r="N7" s="24"/>
      <c r="O7" s="149" t="s">
        <v>237</v>
      </c>
      <c r="P7" s="24" t="s">
        <v>47</v>
      </c>
      <c r="Q7" s="54" t="s">
        <v>48</v>
      </c>
    </row>
    <row r="8" spans="1:17" s="13" customFormat="1" ht="13.5" thickTop="1">
      <c r="A8" s="11"/>
      <c r="B8" s="56"/>
      <c r="C8" s="57"/>
      <c r="D8" s="58"/>
      <c r="E8" s="58"/>
      <c r="F8" s="59"/>
      <c r="G8" s="60"/>
      <c r="H8" s="61"/>
      <c r="I8" s="135"/>
      <c r="J8" s="177"/>
      <c r="K8" s="150"/>
      <c r="L8" s="61"/>
      <c r="M8" s="135"/>
      <c r="N8" s="177"/>
      <c r="O8" s="150"/>
      <c r="P8" s="61"/>
      <c r="Q8" s="135"/>
    </row>
    <row r="9" spans="3:17" s="63" customFormat="1" ht="12.75">
      <c r="C9" s="62" t="s">
        <v>70</v>
      </c>
      <c r="D9" s="64"/>
      <c r="E9" s="64"/>
      <c r="F9" s="231"/>
      <c r="G9" s="231"/>
      <c r="H9" s="244"/>
      <c r="I9" s="65"/>
      <c r="J9" s="158"/>
      <c r="K9" s="231"/>
      <c r="L9" s="244"/>
      <c r="M9" s="65"/>
      <c r="N9" s="158"/>
      <c r="O9" s="231"/>
      <c r="P9" s="244"/>
      <c r="Q9" s="65"/>
    </row>
    <row r="10" spans="3:16" ht="8.25" customHeight="1" hidden="1" outlineLevel="1">
      <c r="C10" s="12"/>
      <c r="D10" s="30"/>
      <c r="E10" s="30"/>
      <c r="H10" s="239"/>
      <c r="J10" s="159"/>
      <c r="K10" s="18"/>
      <c r="L10" s="239"/>
      <c r="N10" s="159"/>
      <c r="O10" s="18"/>
      <c r="P10" s="239"/>
    </row>
    <row r="11" spans="1:17" s="15" customFormat="1" ht="12.75" hidden="1" outlineLevel="2">
      <c r="A11" s="15" t="s">
        <v>353</v>
      </c>
      <c r="B11" s="15" t="s">
        <v>354</v>
      </c>
      <c r="C11" s="134" t="s">
        <v>355</v>
      </c>
      <c r="D11" s="16"/>
      <c r="E11" s="16"/>
      <c r="F11" s="16">
        <v>1636403750.63</v>
      </c>
      <c r="G11" s="16">
        <v>1601115292.01</v>
      </c>
      <c r="H11" s="16">
        <f>+F11-G11</f>
        <v>35288458.620000124</v>
      </c>
      <c r="I11" s="53">
        <f>IF(G11&lt;0,IF(H11=0,0,IF(OR(G11=0,F11=0),"N.M.",IF(ABS(H11/G11)&gt;=10,"N.M.",H11/(-G11)))),IF(H11=0,0,IF(OR(G11=0,F11=0),"N.M.",IF(ABS(H11/G11)&gt;=10,"N.M.",H11/G11))))</f>
        <v>0.022039923543357005</v>
      </c>
      <c r="J11" s="174"/>
      <c r="K11" s="256">
        <v>1633500755.03</v>
      </c>
      <c r="L11" s="16">
        <f>+F11-K11</f>
        <v>2902995.600000143</v>
      </c>
      <c r="M11" s="53" t="str">
        <f>IF(K11&lt;0,IF(L11=0,0,IF(OR(K11=0,N11=0),"N.M.",IF(ABS(L11/K11)&gt;=10,"N.M.",L11/(-K11)))),IF(L11=0,0,IF(OR(K11=0,N11=0),"N.M.",IF(ABS(L11/K11)&gt;=10,"N.M.",L11/K11))))</f>
        <v>N.M.</v>
      </c>
      <c r="N11" s="174"/>
      <c r="O11" s="256">
        <v>1610127823.01</v>
      </c>
      <c r="P11" s="16">
        <f>+F11-O11</f>
        <v>26275927.620000124</v>
      </c>
      <c r="Q11" s="53">
        <f>IF(O11&lt;0,IF(P11=0,0,IF(OR(O11=0,F11=0),"N.M.",IF(ABS(P11/O11)&gt;=10,"N.M.",P11/(-O11)))),IF(P11=0,0,IF(OR(O11=0,F11=0),"N.M.",IF(ABS(P11/O11)&gt;=10,"N.M.",P11/O11))))</f>
        <v>0.01631915630827338</v>
      </c>
    </row>
    <row r="12" spans="1:17" s="15" customFormat="1" ht="12.75" hidden="1" outlineLevel="2">
      <c r="A12" s="15" t="s">
        <v>356</v>
      </c>
      <c r="B12" s="15" t="s">
        <v>357</v>
      </c>
      <c r="C12" s="134" t="s">
        <v>358</v>
      </c>
      <c r="D12" s="16"/>
      <c r="E12" s="16"/>
      <c r="F12" s="16">
        <v>6403493.98</v>
      </c>
      <c r="G12" s="16">
        <v>6742571.91</v>
      </c>
      <c r="H12" s="16">
        <f>+F12-G12</f>
        <v>-339077.9299999997</v>
      </c>
      <c r="I12" s="53">
        <f>IF(G12&lt;0,IF(H12=0,0,IF(OR(G12=0,F12=0),"N.M.",IF(ABS(H12/G12)&gt;=10,"N.M.",H12/(-G12)))),IF(H12=0,0,IF(OR(G12=0,F12=0),"N.M.",IF(ABS(H12/G12)&gt;=10,"N.M.",H12/G12))))</f>
        <v>-0.0502891084479364</v>
      </c>
      <c r="J12" s="174"/>
      <c r="K12" s="256">
        <v>6408126.58</v>
      </c>
      <c r="L12" s="16">
        <f>+F12-K12</f>
        <v>-4632.5999999996275</v>
      </c>
      <c r="M12" s="53" t="str">
        <f>IF(K12&lt;0,IF(L12=0,0,IF(OR(K12=0,N12=0),"N.M.",IF(ABS(L12/K12)&gt;=10,"N.M.",L12/(-K12)))),IF(L12=0,0,IF(OR(K12=0,N12=0),"N.M.",IF(ABS(L12/K12)&gt;=10,"N.M.",L12/K12))))</f>
        <v>N.M.</v>
      </c>
      <c r="N12" s="174"/>
      <c r="O12" s="256">
        <v>7193396.24</v>
      </c>
      <c r="P12" s="16">
        <f>+F12-O12</f>
        <v>-789902.2599999998</v>
      </c>
      <c r="Q12" s="53">
        <f>IF(O12&lt;0,IF(P12=0,0,IF(OR(O12=0,F12=0),"N.M.",IF(ABS(P12/O12)&gt;=10,"N.M.",P12/(-O12)))),IF(P12=0,0,IF(OR(O12=0,F12=0),"N.M.",IF(ABS(P12/O12)&gt;=10,"N.M.",P12/O12))))</f>
        <v>-0.10980936314999933</v>
      </c>
    </row>
    <row r="13" spans="1:17" s="15" customFormat="1" ht="12.75" hidden="1" outlineLevel="2">
      <c r="A13" s="15" t="s">
        <v>359</v>
      </c>
      <c r="B13" s="15" t="s">
        <v>360</v>
      </c>
      <c r="C13" s="134" t="s">
        <v>361</v>
      </c>
      <c r="D13" s="16"/>
      <c r="E13" s="16"/>
      <c r="F13" s="16">
        <v>7436550.73</v>
      </c>
      <c r="G13" s="16">
        <v>7436550.73</v>
      </c>
      <c r="H13" s="16">
        <f>+F13-G13</f>
        <v>0</v>
      </c>
      <c r="I13" s="53">
        <f>IF(G13&lt;0,IF(H13=0,0,IF(OR(G13=0,F13=0),"N.M.",IF(ABS(H13/G13)&gt;=10,"N.M.",H13/(-G13)))),IF(H13=0,0,IF(OR(G13=0,F13=0),"N.M.",IF(ABS(H13/G13)&gt;=10,"N.M.",H13/G13))))</f>
        <v>0</v>
      </c>
      <c r="J13" s="174"/>
      <c r="K13" s="256">
        <v>7436550.73</v>
      </c>
      <c r="L13" s="16">
        <f>+F13-K13</f>
        <v>0</v>
      </c>
      <c r="M13" s="53">
        <f>IF(K13&lt;0,IF(L13=0,0,IF(OR(K13=0,N13=0),"N.M.",IF(ABS(L13/K13)&gt;=10,"N.M.",L13/(-K13)))),IF(L13=0,0,IF(OR(K13=0,N13=0),"N.M.",IF(ABS(L13/K13)&gt;=10,"N.M.",L13/K13))))</f>
        <v>0</v>
      </c>
      <c r="N13" s="174"/>
      <c r="O13" s="256">
        <v>7436550.73</v>
      </c>
      <c r="P13" s="16">
        <f>+F13-O13</f>
        <v>0</v>
      </c>
      <c r="Q13" s="53">
        <f>IF(O13&lt;0,IF(P13=0,0,IF(OR(O13=0,F13=0),"N.M.",IF(ABS(P13/O13)&gt;=10,"N.M.",P13/(-O13)))),IF(P13=0,0,IF(OR(O13=0,F13=0),"N.M.",IF(ABS(P13/O13)&gt;=10,"N.M.",P13/O13))))</f>
        <v>0</v>
      </c>
    </row>
    <row r="14" spans="1:17" s="15" customFormat="1" ht="12.75" hidden="1" outlineLevel="2">
      <c r="A14" s="15" t="s">
        <v>362</v>
      </c>
      <c r="B14" s="15" t="s">
        <v>363</v>
      </c>
      <c r="C14" s="134" t="s">
        <v>364</v>
      </c>
      <c r="D14" s="16"/>
      <c r="E14" s="16"/>
      <c r="F14" s="16">
        <v>25092986.28</v>
      </c>
      <c r="G14" s="16">
        <v>25354302.7</v>
      </c>
      <c r="H14" s="16">
        <f>+F14-G14</f>
        <v>-261316.41999999806</v>
      </c>
      <c r="I14" s="53">
        <f>IF(G14&lt;0,IF(H14=0,0,IF(OR(G14=0,F14=0),"N.M.",IF(ABS(H14/G14)&gt;=10,"N.M.",H14/(-G14)))),IF(H14=0,0,IF(OR(G14=0,F14=0),"N.M.",IF(ABS(H14/G14)&gt;=10,"N.M.",H14/G14))))</f>
        <v>-0.010306590683718472</v>
      </c>
      <c r="J14" s="174"/>
      <c r="K14" s="256">
        <v>25934678.06</v>
      </c>
      <c r="L14" s="16">
        <f>+F14-K14</f>
        <v>-841691.7799999975</v>
      </c>
      <c r="M14" s="53" t="str">
        <f>IF(K14&lt;0,IF(L14=0,0,IF(OR(K14=0,N14=0),"N.M.",IF(ABS(L14/K14)&gt;=10,"N.M.",L14/(-K14)))),IF(L14=0,0,IF(OR(K14=0,N14=0),"N.M.",IF(ABS(L14/K14)&gt;=10,"N.M.",L14/K14))))</f>
        <v>N.M.</v>
      </c>
      <c r="N14" s="174"/>
      <c r="O14" s="256">
        <v>22021909.03</v>
      </c>
      <c r="P14" s="16">
        <f>+F14-O14</f>
        <v>3071077.25</v>
      </c>
      <c r="Q14" s="53">
        <f>IF(O14&lt;0,IF(P14=0,0,IF(OR(O14=0,F14=0),"N.M.",IF(ABS(P14/O14)&gt;=10,"N.M.",P14/(-O14)))),IF(P14=0,0,IF(OR(O14=0,F14=0),"N.M.",IF(ABS(P14/O14)&gt;=10,"N.M.",P14/O14))))</f>
        <v>0.13945554156164816</v>
      </c>
    </row>
    <row r="15" spans="1:17" s="67" customFormat="1" ht="12.75" collapsed="1">
      <c r="A15" s="67" t="s">
        <v>341</v>
      </c>
      <c r="B15" s="68"/>
      <c r="C15" s="81" t="s">
        <v>73</v>
      </c>
      <c r="D15" s="66"/>
      <c r="E15" s="66"/>
      <c r="F15" s="51">
        <v>1675336781.6200001</v>
      </c>
      <c r="G15" s="51">
        <v>1640648717.3500001</v>
      </c>
      <c r="H15" s="51">
        <f>+F15-G15</f>
        <v>34688064.26999998</v>
      </c>
      <c r="I15" s="136">
        <f>IF(G15&lt;0,IF(H15=0,0,IF(OR(G15=0,F15=0),"N.M.",IF(ABS(H15/G15)&gt;=10,"N.M.",H15/(-G15)))),IF(H15=0,0,IF(OR(G15=0,F15=0),"N.M.",IF(ABS(H15/G15)&gt;=10,"N.M.",H15/G15))))</f>
        <v>0.021142895431039407</v>
      </c>
      <c r="J15" s="157"/>
      <c r="K15" s="51">
        <v>1673280110.3999999</v>
      </c>
      <c r="L15" s="51">
        <f>+F15-K15</f>
        <v>2056671.220000267</v>
      </c>
      <c r="M15" s="136" t="str">
        <f>IF(K15&lt;0,IF(L15=0,0,IF(OR(K15=0,N15=0),"N.M.",IF(ABS(L15/K15)&gt;=10,"N.M.",L15/(-K15)))),IF(L15=0,0,IF(OR(K15=0,N15=0),"N.M.",IF(ABS(L15/K15)&gt;=10,"N.M.",L15/K15))))</f>
        <v>N.M.</v>
      </c>
      <c r="N15" s="157"/>
      <c r="O15" s="51">
        <v>1646779679.01</v>
      </c>
      <c r="P15" s="51">
        <f>+F15-O15</f>
        <v>28557102.610000134</v>
      </c>
      <c r="Q15" s="136">
        <f>IF(O15&lt;0,IF(P15=0,0,IF(OR(O15=0,F15=0),"N.M.",IF(ABS(P15/O15)&gt;=10,"N.M.",P15/(-O15)))),IF(P15=0,0,IF(OR(O15=0,F15=0),"N.M.",IF(ABS(P15/O15)&gt;=10,"N.M.",P15/O15))))</f>
        <v>0.017341179863943852</v>
      </c>
    </row>
    <row r="16" spans="2:17" s="67" customFormat="1" ht="0.75" customHeight="1" hidden="1" outlineLevel="1">
      <c r="B16" s="68"/>
      <c r="C16" s="81"/>
      <c r="D16" s="66"/>
      <c r="E16" s="66"/>
      <c r="F16" s="51"/>
      <c r="G16" s="51"/>
      <c r="H16" s="51"/>
      <c r="I16" s="136"/>
      <c r="J16" s="157"/>
      <c r="K16" s="51"/>
      <c r="L16" s="51"/>
      <c r="M16" s="136"/>
      <c r="N16" s="157"/>
      <c r="O16" s="51"/>
      <c r="P16" s="51"/>
      <c r="Q16" s="136"/>
    </row>
    <row r="17" spans="1:17" s="15" customFormat="1" ht="12.75" hidden="1" outlineLevel="2">
      <c r="A17" s="15" t="s">
        <v>365</v>
      </c>
      <c r="B17" s="15" t="s">
        <v>366</v>
      </c>
      <c r="C17" s="134" t="s">
        <v>367</v>
      </c>
      <c r="D17" s="16"/>
      <c r="E17" s="16"/>
      <c r="F17" s="16">
        <v>804.95</v>
      </c>
      <c r="G17" s="16">
        <v>9565.23</v>
      </c>
      <c r="H17" s="16">
        <f>+F17-G17</f>
        <v>-8760.279999999999</v>
      </c>
      <c r="I17" s="53">
        <f>IF(G17&lt;0,IF(H17=0,0,IF(OR(G17=0,F17=0),"N.M.",IF(ABS(H17/G17)&gt;=10,"N.M.",H17/(-G17)))),IF(H17=0,0,IF(OR(G17=0,F17=0),"N.M.",IF(ABS(H17/G17)&gt;=10,"N.M.",H17/G17))))</f>
        <v>-0.915846247293583</v>
      </c>
      <c r="J17" s="174"/>
      <c r="K17" s="256">
        <v>759.39</v>
      </c>
      <c r="L17" s="16">
        <f>+F17-K17</f>
        <v>45.56000000000006</v>
      </c>
      <c r="M17" s="53" t="str">
        <f>IF(K17&lt;0,IF(L17=0,0,IF(OR(K17=0,N17=0),"N.M.",IF(ABS(L17/K17)&gt;=10,"N.M.",L17/(-K17)))),IF(L17=0,0,IF(OR(K17=0,N17=0),"N.M.",IF(ABS(L17/K17)&gt;=10,"N.M.",L17/K17))))</f>
        <v>N.M.</v>
      </c>
      <c r="N17" s="174"/>
      <c r="O17" s="256">
        <v>555.66</v>
      </c>
      <c r="P17" s="16">
        <f>+F17-O17</f>
        <v>249.29000000000008</v>
      </c>
      <c r="Q17" s="53">
        <f>IF(O17&lt;0,IF(P17=0,0,IF(OR(O17=0,F17=0),"N.M.",IF(ABS(P17/O17)&gt;=10,"N.M.",P17/(-O17)))),IF(P17=0,0,IF(OR(O17=0,F17=0),"N.M.",IF(ABS(P17/O17)&gt;=10,"N.M.",P17/O17))))</f>
        <v>0.4486376561206495</v>
      </c>
    </row>
    <row r="18" spans="1:17" s="67" customFormat="1" ht="12.75" collapsed="1">
      <c r="A18" s="67" t="s">
        <v>162</v>
      </c>
      <c r="B18" s="68"/>
      <c r="C18" s="81" t="s">
        <v>72</v>
      </c>
      <c r="D18" s="66"/>
      <c r="E18" s="66"/>
      <c r="F18" s="51">
        <v>804.95</v>
      </c>
      <c r="G18" s="51">
        <v>9565.23</v>
      </c>
      <c r="H18" s="51">
        <f>+F18-G18</f>
        <v>-8760.279999999999</v>
      </c>
      <c r="I18" s="136">
        <f>IF(G18&lt;0,IF(H18=0,0,IF(OR(G18=0,F18=0),"N.M.",IF(ABS(H18/G18)&gt;=10,"N.M.",H18/(-G18)))),IF(H18=0,0,IF(OR(G18=0,F18=0),"N.M.",IF(ABS(H18/G18)&gt;=10,"N.M.",H18/G18))))</f>
        <v>-0.915846247293583</v>
      </c>
      <c r="J18" s="157"/>
      <c r="K18" s="51">
        <v>759.39</v>
      </c>
      <c r="L18" s="51">
        <f>+F18-K18</f>
        <v>45.56000000000006</v>
      </c>
      <c r="M18" s="136" t="str">
        <f>IF(K18&lt;0,IF(L18=0,0,IF(OR(K18=0,N18=0),"N.M.",IF(ABS(L18/K18)&gt;=10,"N.M.",L18/(-K18)))),IF(L18=0,0,IF(OR(K18=0,N18=0),"N.M.",IF(ABS(L18/K18)&gt;=10,"N.M.",L18/K18))))</f>
        <v>N.M.</v>
      </c>
      <c r="N18" s="157"/>
      <c r="O18" s="51">
        <v>555.66</v>
      </c>
      <c r="P18" s="51">
        <f>+F18-O18</f>
        <v>249.29000000000008</v>
      </c>
      <c r="Q18" s="136">
        <f>IF(O18&lt;0,IF(P18=0,0,IF(OR(O18=0,F18=0),"N.M.",IF(ABS(P18/O18)&gt;=10,"N.M.",P18/(-O18)))),IF(P18=0,0,IF(OR(O18=0,F18=0),"N.M.",IF(ABS(P18/O18)&gt;=10,"N.M.",P18/O18))))</f>
        <v>0.4486376561206495</v>
      </c>
    </row>
    <row r="19" spans="2:17" s="67" customFormat="1" ht="0.75" customHeight="1" hidden="1" outlineLevel="1">
      <c r="B19" s="68"/>
      <c r="C19" s="81"/>
      <c r="D19" s="66"/>
      <c r="E19" s="66"/>
      <c r="F19" s="51"/>
      <c r="G19" s="51"/>
      <c r="H19" s="51"/>
      <c r="I19" s="136"/>
      <c r="J19" s="157"/>
      <c r="K19" s="51"/>
      <c r="L19" s="51"/>
      <c r="M19" s="136"/>
      <c r="N19" s="157"/>
      <c r="O19" s="51"/>
      <c r="P19" s="51"/>
      <c r="Q19" s="136"/>
    </row>
    <row r="20" spans="1:17" s="15" customFormat="1" ht="12.75" hidden="1" outlineLevel="2">
      <c r="A20" s="15" t="s">
        <v>368</v>
      </c>
      <c r="B20" s="15" t="s">
        <v>369</v>
      </c>
      <c r="C20" s="134" t="s">
        <v>370</v>
      </c>
      <c r="D20" s="16"/>
      <c r="E20" s="16"/>
      <c r="F20" s="16">
        <v>38885858.188</v>
      </c>
      <c r="G20" s="16">
        <v>25315678.448</v>
      </c>
      <c r="H20" s="16">
        <f>+F20-G20</f>
        <v>13570179.740000002</v>
      </c>
      <c r="I20" s="53">
        <f>IF(G20&lt;0,IF(H20=0,0,IF(OR(G20=0,F20=0),"N.M.",IF(ABS(H20/G20)&gt;=10,"N.M.",H20/(-G20)))),IF(H20=0,0,IF(OR(G20=0,F20=0),"N.M.",IF(ABS(H20/G20)&gt;=10,"N.M.",H20/G20))))</f>
        <v>0.5360385568126885</v>
      </c>
      <c r="J20" s="174"/>
      <c r="K20" s="256">
        <v>33291356.988</v>
      </c>
      <c r="L20" s="16">
        <f>+F20-K20</f>
        <v>5594501.199999999</v>
      </c>
      <c r="M20" s="53" t="str">
        <f>IF(K20&lt;0,IF(L20=0,0,IF(OR(K20=0,N20=0),"N.M.",IF(ABS(L20/K20)&gt;=10,"N.M.",L20/(-K20)))),IF(L20=0,0,IF(OR(K20=0,N20=0),"N.M.",IF(ABS(L20/K20)&gt;=10,"N.M.",L20/K20))))</f>
        <v>N.M.</v>
      </c>
      <c r="N20" s="174"/>
      <c r="O20" s="256">
        <v>34092976.368</v>
      </c>
      <c r="P20" s="16">
        <f>+F20-O20</f>
        <v>4792881.82</v>
      </c>
      <c r="Q20" s="53">
        <f>IF(O20&lt;0,IF(P20=0,0,IF(OR(O20=0,F20=0),"N.M.",IF(ABS(P20/O20)&gt;=10,"N.M.",P20/(-O20)))),IF(P20=0,0,IF(OR(O20=0,F20=0),"N.M.",IF(ABS(P20/O20)&gt;=10,"N.M.",P20/O20))))</f>
        <v>0.14058267510192057</v>
      </c>
    </row>
    <row r="21" spans="1:17" s="67" customFormat="1" ht="12.75" collapsed="1">
      <c r="A21" s="67" t="s">
        <v>163</v>
      </c>
      <c r="B21" s="68"/>
      <c r="C21" s="81" t="s">
        <v>71</v>
      </c>
      <c r="D21" s="66"/>
      <c r="E21" s="66"/>
      <c r="F21" s="51">
        <v>38885858.188</v>
      </c>
      <c r="G21" s="51">
        <v>25315678.448</v>
      </c>
      <c r="H21" s="51">
        <f>+F21-G21</f>
        <v>13570179.740000002</v>
      </c>
      <c r="I21" s="136">
        <f>IF(G21&lt;0,IF(H21=0,0,IF(OR(G21=0,F21=0),"N.M.",IF(ABS(H21/G21)&gt;=10,"N.M.",H21/(-G21)))),IF(H21=0,0,IF(OR(G21=0,F21=0),"N.M.",IF(ABS(H21/G21)&gt;=10,"N.M.",H21/G21))))</f>
        <v>0.5360385568126885</v>
      </c>
      <c r="J21" s="157"/>
      <c r="K21" s="51">
        <v>33291356.988</v>
      </c>
      <c r="L21" s="51">
        <f>+F21-K21</f>
        <v>5594501.199999999</v>
      </c>
      <c r="M21" s="136" t="str">
        <f>IF(K21&lt;0,IF(L21=0,0,IF(OR(K21=0,N21=0),"N.M.",IF(ABS(L21/K21)&gt;=10,"N.M.",L21/(-K21)))),IF(L21=0,0,IF(OR(K21=0,N21=0),"N.M.",IF(ABS(L21/K21)&gt;=10,"N.M.",L21/K21))))</f>
        <v>N.M.</v>
      </c>
      <c r="N21" s="157"/>
      <c r="O21" s="51">
        <v>34092976.368</v>
      </c>
      <c r="P21" s="51">
        <f>+F21-O21</f>
        <v>4792881.82</v>
      </c>
      <c r="Q21" s="136">
        <f>IF(O21&lt;0,IF(P21=0,0,IF(OR(O21=0,F21=0),"N.M.",IF(ABS(P21/O21)&gt;=10,"N.M.",P21/(-O21)))),IF(P21=0,0,IF(OR(O21=0,F21=0),"N.M.",IF(ABS(P21/O21)&gt;=10,"N.M.",P21/O21))))</f>
        <v>0.14058267510192057</v>
      </c>
    </row>
    <row r="22" spans="1:17" s="75" customFormat="1" ht="12.75">
      <c r="A22" s="75" t="s">
        <v>104</v>
      </c>
      <c r="B22" s="93"/>
      <c r="C22" s="75" t="s">
        <v>74</v>
      </c>
      <c r="D22" s="73"/>
      <c r="E22" s="73"/>
      <c r="F22" s="74">
        <f>+F21+F18+F15</f>
        <v>1714223444.7580001</v>
      </c>
      <c r="G22" s="74">
        <f>+G21+G18+G15</f>
        <v>1665973961.028</v>
      </c>
      <c r="H22" s="74">
        <f>+F22-G22</f>
        <v>48249483.73000002</v>
      </c>
      <c r="I22" s="137">
        <f>IF(G22&lt;0,IF(H22=0,0,IF(OR(G22=0,F22=0),"N.M.",IF(ABS(H22/G22)&gt;=10,"N.M.",H22/(-G22)))),IF(H22=0,0,IF(OR(G22=0,F22=0),"N.M.",IF(ABS(H22/G22)&gt;=10,"N.M.",H22/G22))))</f>
        <v>0.02896172740912911</v>
      </c>
      <c r="J22" s="160" t="s">
        <v>65</v>
      </c>
      <c r="K22" s="74">
        <f>+K21+K18+K15</f>
        <v>1706572226.7779999</v>
      </c>
      <c r="L22" s="74">
        <f>+F22-K22</f>
        <v>7651217.9800002575</v>
      </c>
      <c r="M22" s="137">
        <f>IF(K22&lt;0,IF(L22=0,0,IF(OR(K22=0,N22=0),"N.M.",IF(ABS(L22/K22)&gt;=10,"N.M.",L22/(-K22)))),IF(L22=0,0,IF(OR(K22=0,N22=0),"N.M.",IF(ABS(L22/K22)&gt;=10,"N.M.",L22/K22))))</f>
        <v>0.0044833836271001085</v>
      </c>
      <c r="N22" s="160" t="s">
        <v>65</v>
      </c>
      <c r="O22" s="74">
        <f>+O21+O18+O15</f>
        <v>1680873211.038</v>
      </c>
      <c r="P22" s="74">
        <f>+F22-O22</f>
        <v>33350233.72000003</v>
      </c>
      <c r="Q22" s="137">
        <f>IF(O22&lt;0,IF(P22=0,0,IF(OR(O22=0,F22=0),"N.M.",IF(ABS(P22/O22)&gt;=10,"N.M.",P22/(-O22)))),IF(P22=0,0,IF(OR(O22=0,F22=0),"N.M.",IF(ABS(P22/O22)&gt;=10,"N.M.",P22/O22))))</f>
        <v>0.019841016860162257</v>
      </c>
    </row>
    <row r="23" spans="1:17" s="67" customFormat="1" ht="0.75" customHeight="1" hidden="1" outlineLevel="1">
      <c r="A23" s="71"/>
      <c r="B23" s="72"/>
      <c r="C23" s="71"/>
      <c r="D23" s="66"/>
      <c r="E23" s="66"/>
      <c r="F23" s="51"/>
      <c r="G23" s="51"/>
      <c r="H23" s="51"/>
      <c r="I23" s="136"/>
      <c r="J23" s="157"/>
      <c r="K23" s="51"/>
      <c r="L23" s="51"/>
      <c r="M23" s="136"/>
      <c r="N23" s="157"/>
      <c r="O23" s="51"/>
      <c r="P23" s="51"/>
      <c r="Q23" s="136"/>
    </row>
    <row r="24" spans="1:17" s="15" customFormat="1" ht="12.75" hidden="1" outlineLevel="2">
      <c r="A24" s="15" t="s">
        <v>371</v>
      </c>
      <c r="B24" s="15" t="s">
        <v>372</v>
      </c>
      <c r="C24" s="134" t="s">
        <v>373</v>
      </c>
      <c r="D24" s="16"/>
      <c r="E24" s="16"/>
      <c r="F24" s="16">
        <v>-2268709.99</v>
      </c>
      <c r="G24" s="16">
        <v>-2090726.96</v>
      </c>
      <c r="H24" s="16">
        <f aca="true" t="shared" si="0" ref="H24:H29">+F24-G24</f>
        <v>-177983.03000000026</v>
      </c>
      <c r="I24" s="53">
        <f aca="true" t="shared" si="1" ref="I24:I29">IF(G24&lt;0,IF(H24=0,0,IF(OR(G24=0,F24=0),"N.M.",IF(ABS(H24/G24)&gt;=10,"N.M.",H24/(-G24)))),IF(H24=0,0,IF(OR(G24=0,F24=0),"N.M.",IF(ABS(H24/G24)&gt;=10,"N.M.",H24/G24))))</f>
        <v>-0.08512973401366589</v>
      </c>
      <c r="J24" s="174"/>
      <c r="K24" s="256">
        <v>-2148051.51</v>
      </c>
      <c r="L24" s="16">
        <f aca="true" t="shared" si="2" ref="L24:L29">+F24-K24</f>
        <v>-120658.48000000045</v>
      </c>
      <c r="M24" s="53" t="str">
        <f aca="true" t="shared" si="3" ref="M24:M29">IF(K24&lt;0,IF(L24=0,0,IF(OR(K24=0,N24=0),"N.M.",IF(ABS(L24/K24)&gt;=10,"N.M.",L24/(-K24)))),IF(L24=0,0,IF(OR(K24=0,N24=0),"N.M.",IF(ABS(L24/K24)&gt;=10,"N.M.",L24/K24))))</f>
        <v>N.M.</v>
      </c>
      <c r="N24" s="174"/>
      <c r="O24" s="256">
        <v>-1781339.6</v>
      </c>
      <c r="P24" s="16">
        <f aca="true" t="shared" si="4" ref="P24:P29">+F24-O24</f>
        <v>-487370.39000000013</v>
      </c>
      <c r="Q24" s="53">
        <f aca="true" t="shared" si="5" ref="Q24:Q29">IF(O24&lt;0,IF(P24=0,0,IF(OR(O24=0,F24=0),"N.M.",IF(ABS(P24/O24)&gt;=10,"N.M.",P24/(-O24)))),IF(P24=0,0,IF(OR(O24=0,F24=0),"N.M.",IF(ABS(P24/O24)&gt;=10,"N.M.",P24/O24))))</f>
        <v>-0.2735976845740139</v>
      </c>
    </row>
    <row r="25" spans="1:17" s="15" customFormat="1" ht="12.75" hidden="1" outlineLevel="2">
      <c r="A25" s="15" t="s">
        <v>374</v>
      </c>
      <c r="B25" s="15" t="s">
        <v>375</v>
      </c>
      <c r="C25" s="134" t="s">
        <v>376</v>
      </c>
      <c r="D25" s="16"/>
      <c r="E25" s="16"/>
      <c r="F25" s="16">
        <v>-547080231.198</v>
      </c>
      <c r="G25" s="16">
        <v>-514498803.848</v>
      </c>
      <c r="H25" s="16">
        <f t="shared" si="0"/>
        <v>-32581427.349999964</v>
      </c>
      <c r="I25" s="53">
        <f t="shared" si="1"/>
        <v>-0.0633265366339425</v>
      </c>
      <c r="J25" s="174"/>
      <c r="K25" s="256">
        <v>-544064544.898</v>
      </c>
      <c r="L25" s="16">
        <f t="shared" si="2"/>
        <v>-3015686.2999999523</v>
      </c>
      <c r="M25" s="53" t="str">
        <f t="shared" si="3"/>
        <v>N.M.</v>
      </c>
      <c r="N25" s="174"/>
      <c r="O25" s="256">
        <v>-521884376.358</v>
      </c>
      <c r="P25" s="16">
        <f t="shared" si="4"/>
        <v>-25195854.839999974</v>
      </c>
      <c r="Q25" s="53">
        <f t="shared" si="5"/>
        <v>-0.048278614922007614</v>
      </c>
    </row>
    <row r="26" spans="1:17" s="15" customFormat="1" ht="12.75" hidden="1" outlineLevel="2">
      <c r="A26" s="15" t="s">
        <v>377</v>
      </c>
      <c r="B26" s="15" t="s">
        <v>378</v>
      </c>
      <c r="C26" s="134" t="s">
        <v>379</v>
      </c>
      <c r="D26" s="16"/>
      <c r="E26" s="16"/>
      <c r="F26" s="16">
        <v>664722.032</v>
      </c>
      <c r="G26" s="16">
        <v>829791.721</v>
      </c>
      <c r="H26" s="16">
        <f t="shared" si="0"/>
        <v>-165069.689</v>
      </c>
      <c r="I26" s="53">
        <f t="shared" si="1"/>
        <v>-0.19892906234479052</v>
      </c>
      <c r="J26" s="174"/>
      <c r="K26" s="256">
        <v>950571.822</v>
      </c>
      <c r="L26" s="16">
        <f t="shared" si="2"/>
        <v>-285849.79000000004</v>
      </c>
      <c r="M26" s="53" t="str">
        <f t="shared" si="3"/>
        <v>N.M.</v>
      </c>
      <c r="N26" s="174"/>
      <c r="O26" s="256">
        <v>879840.432</v>
      </c>
      <c r="P26" s="16">
        <f t="shared" si="4"/>
        <v>-215118.40000000002</v>
      </c>
      <c r="Q26" s="53">
        <f t="shared" si="5"/>
        <v>-0.24449706125803505</v>
      </c>
    </row>
    <row r="27" spans="1:17" s="15" customFormat="1" ht="12.75" hidden="1" outlineLevel="2">
      <c r="A27" s="15" t="s">
        <v>380</v>
      </c>
      <c r="B27" s="15" t="s">
        <v>381</v>
      </c>
      <c r="C27" s="134" t="s">
        <v>382</v>
      </c>
      <c r="D27" s="16"/>
      <c r="E27" s="16"/>
      <c r="F27" s="16">
        <v>-30735855.1</v>
      </c>
      <c r="G27" s="16">
        <v>-28659930.64</v>
      </c>
      <c r="H27" s="16">
        <f t="shared" si="0"/>
        <v>-2075924.460000001</v>
      </c>
      <c r="I27" s="53">
        <f t="shared" si="1"/>
        <v>-0.07243298967034767</v>
      </c>
      <c r="J27" s="174"/>
      <c r="K27" s="256">
        <v>-30505103.76</v>
      </c>
      <c r="L27" s="16">
        <f t="shared" si="2"/>
        <v>-230751.33999999985</v>
      </c>
      <c r="M27" s="53" t="str">
        <f t="shared" si="3"/>
        <v>N.M.</v>
      </c>
      <c r="N27" s="174"/>
      <c r="O27" s="256">
        <v>-30011722.93</v>
      </c>
      <c r="P27" s="16">
        <f t="shared" si="4"/>
        <v>-724132.1700000018</v>
      </c>
      <c r="Q27" s="53">
        <f t="shared" si="5"/>
        <v>-0.02412831051682649</v>
      </c>
    </row>
    <row r="28" spans="1:17" s="15" customFormat="1" ht="12.75" hidden="1" outlineLevel="2">
      <c r="A28" s="15" t="s">
        <v>383</v>
      </c>
      <c r="B28" s="15" t="s">
        <v>384</v>
      </c>
      <c r="C28" s="134" t="s">
        <v>385</v>
      </c>
      <c r="D28" s="16"/>
      <c r="E28" s="16"/>
      <c r="F28" s="16">
        <v>2457497.15</v>
      </c>
      <c r="G28" s="16">
        <v>1919304.7000000002</v>
      </c>
      <c r="H28" s="16">
        <f t="shared" si="0"/>
        <v>538192.4499999997</v>
      </c>
      <c r="I28" s="53">
        <f t="shared" si="1"/>
        <v>0.28041011414185546</v>
      </c>
      <c r="J28" s="174"/>
      <c r="K28" s="256">
        <v>2410138.47</v>
      </c>
      <c r="L28" s="16">
        <f t="shared" si="2"/>
        <v>47358.6799999997</v>
      </c>
      <c r="M28" s="53" t="str">
        <f t="shared" si="3"/>
        <v>N.M.</v>
      </c>
      <c r="N28" s="174"/>
      <c r="O28" s="256">
        <v>2036651.35</v>
      </c>
      <c r="P28" s="16">
        <f t="shared" si="4"/>
        <v>420845.7999999998</v>
      </c>
      <c r="Q28" s="53">
        <f t="shared" si="5"/>
        <v>0.206636153016568</v>
      </c>
    </row>
    <row r="29" spans="1:17" s="15" customFormat="1" ht="12.75" hidden="1" outlineLevel="2">
      <c r="A29" s="15" t="s">
        <v>386</v>
      </c>
      <c r="B29" s="15" t="s">
        <v>387</v>
      </c>
      <c r="C29" s="134" t="s">
        <v>388</v>
      </c>
      <c r="D29" s="16"/>
      <c r="E29" s="16"/>
      <c r="F29" s="16">
        <v>-22281681.5</v>
      </c>
      <c r="G29" s="16">
        <v>-20102364.8</v>
      </c>
      <c r="H29" s="16">
        <f t="shared" si="0"/>
        <v>-2179316.6999999993</v>
      </c>
      <c r="I29" s="53">
        <f t="shared" si="1"/>
        <v>-0.1084109616794935</v>
      </c>
      <c r="J29" s="174"/>
      <c r="K29" s="256">
        <v>-22023446.64</v>
      </c>
      <c r="L29" s="16">
        <f t="shared" si="2"/>
        <v>-258234.8599999994</v>
      </c>
      <c r="M29" s="53" t="str">
        <f t="shared" si="3"/>
        <v>N.M.</v>
      </c>
      <c r="N29" s="174"/>
      <c r="O29" s="256">
        <v>-19461910.74</v>
      </c>
      <c r="P29" s="16">
        <f t="shared" si="4"/>
        <v>-2819770.7600000016</v>
      </c>
      <c r="Q29" s="53">
        <f t="shared" si="5"/>
        <v>-0.1448866351136087</v>
      </c>
    </row>
    <row r="30" spans="1:17" s="67" customFormat="1" ht="12.75" collapsed="1">
      <c r="A30" s="67" t="s">
        <v>161</v>
      </c>
      <c r="B30" s="68"/>
      <c r="C30" s="85" t="s">
        <v>75</v>
      </c>
      <c r="D30" s="66"/>
      <c r="E30" s="66"/>
      <c r="F30" s="197">
        <v>-599244258.6060001</v>
      </c>
      <c r="G30" s="197">
        <v>-562602729.8269999</v>
      </c>
      <c r="H30" s="197">
        <f>+F30-G30</f>
        <v>-36641528.77900016</v>
      </c>
      <c r="I30" s="138">
        <f>IF(G30&lt;0,IF(H30=0,0,IF(OR(G30=0,F30=0),"N.M.",IF(ABS(H30/G30)&gt;=10,"N.M.",H30/(-G30)))),IF(H30=0,0,IF(OR(G30=0,F30=0),"N.M.",IF(ABS(H30/G30)&gt;=10,"N.M.",H30/G30))))</f>
        <v>-0.06512860111835472</v>
      </c>
      <c r="J30" s="157"/>
      <c r="K30" s="197">
        <v>-595380436.5159999</v>
      </c>
      <c r="L30" s="197">
        <f>+F30-K30</f>
        <v>-3863822.0900001526</v>
      </c>
      <c r="M30" s="138" t="str">
        <f>IF(K30&lt;0,IF(L30=0,0,IF(OR(K30=0,N30=0),"N.M.",IF(ABS(L30/K30)&gt;=10,"N.M.",L30/(-K30)))),IF(L30=0,0,IF(OR(K30=0,N30=0),"N.M.",IF(ABS(L30/K30)&gt;=10,"N.M.",L30/K30))))</f>
        <v>N.M.</v>
      </c>
      <c r="N30" s="157"/>
      <c r="O30" s="197">
        <v>-570222857.846</v>
      </c>
      <c r="P30" s="197">
        <f>+F30-O30</f>
        <v>-29021400.76000011</v>
      </c>
      <c r="Q30" s="138">
        <f>IF(O30&lt;0,IF(P30=0,0,IF(OR(O30=0,F30=0),"N.M.",IF(ABS(P30/O30)&gt;=10,"N.M.",P30/(-O30)))),IF(P30=0,0,IF(OR(O30=0,F30=0),"N.M.",IF(ABS(P30/O30)&gt;=10,"N.M.",P30/O30))))</f>
        <v>-0.050894839378462654</v>
      </c>
    </row>
    <row r="31" spans="1:17" s="67" customFormat="1" ht="12.75">
      <c r="A31" s="71" t="s">
        <v>105</v>
      </c>
      <c r="B31" s="72"/>
      <c r="C31" s="71" t="s">
        <v>66</v>
      </c>
      <c r="D31" s="66"/>
      <c r="E31" s="66"/>
      <c r="F31" s="74">
        <f>+F22+F30</f>
        <v>1114979186.152</v>
      </c>
      <c r="G31" s="74">
        <f>+G22+G30</f>
        <v>1103371231.2010002</v>
      </c>
      <c r="H31" s="74">
        <f>+F31-G31</f>
        <v>11607954.950999737</v>
      </c>
      <c r="I31" s="137">
        <f>IF(G31&lt;0,IF(H31=0,0,IF(OR(G31=0,F31=0),"N.M.",IF(ABS(H31/G31)&gt;=10,"N.M.",H31/(-G31)))),IF(H31=0,0,IF(OR(G31=0,F31=0),"N.M.",IF(ABS(H31/G31)&gt;=10,"N.M.",H31/G31))))</f>
        <v>0.010520443729862959</v>
      </c>
      <c r="J31" s="157"/>
      <c r="K31" s="74">
        <f>+K22+K30</f>
        <v>1111191790.262</v>
      </c>
      <c r="L31" s="74">
        <f>+F31-K31</f>
        <v>3787395.8899998665</v>
      </c>
      <c r="M31" s="137" t="str">
        <f>IF(K31&lt;0,IF(L31=0,0,IF(OR(K31=0,N31=0),"N.M.",IF(ABS(L31/K31)&gt;=10,"N.M.",L31/(-K31)))),IF(L31=0,0,IF(OR(K31=0,N31=0),"N.M.",IF(ABS(L31/K31)&gt;=10,"N.M.",L31/K31))))</f>
        <v>N.M.</v>
      </c>
      <c r="N31" s="157"/>
      <c r="O31" s="74">
        <f>+O22+O30</f>
        <v>1110650353.1920002</v>
      </c>
      <c r="P31" s="74">
        <f>+F31-O31</f>
        <v>4328832.9599998</v>
      </c>
      <c r="Q31" s="137">
        <f>IF(O31&lt;0,IF(P31=0,0,IF(OR(O31=0,F31=0),"N.M.",IF(ABS(P31/O31)&gt;=10,"N.M.",P31/(-O31)))),IF(P31=0,0,IF(OR(O31=0,F31=0),"N.M.",IF(ABS(P31/O31)&gt;=10,"N.M.",P31/O31))))</f>
        <v>0.0038975659149243225</v>
      </c>
    </row>
    <row r="32" spans="1:17" s="67" customFormat="1" ht="7.5" customHeight="1">
      <c r="A32" s="71"/>
      <c r="B32" s="72"/>
      <c r="C32" s="71"/>
      <c r="D32" s="66"/>
      <c r="E32" s="66"/>
      <c r="F32" s="51"/>
      <c r="G32" s="51"/>
      <c r="H32" s="51"/>
      <c r="I32" s="136"/>
      <c r="J32" s="157"/>
      <c r="K32" s="51"/>
      <c r="L32" s="51"/>
      <c r="M32" s="136"/>
      <c r="N32" s="157"/>
      <c r="O32" s="51"/>
      <c r="P32" s="51"/>
      <c r="Q32" s="136"/>
    </row>
    <row r="33" spans="1:17" s="67" customFormat="1" ht="1.5" customHeight="1" hidden="1" outlineLevel="1">
      <c r="A33" s="71"/>
      <c r="B33" s="72"/>
      <c r="C33" s="71"/>
      <c r="D33" s="66"/>
      <c r="E33" s="66"/>
      <c r="F33" s="51"/>
      <c r="G33" s="51"/>
      <c r="H33" s="51"/>
      <c r="I33" s="136"/>
      <c r="J33" s="157"/>
      <c r="K33" s="51"/>
      <c r="L33" s="51"/>
      <c r="M33" s="136"/>
      <c r="N33" s="157"/>
      <c r="O33" s="51"/>
      <c r="P33" s="51"/>
      <c r="Q33" s="136"/>
    </row>
    <row r="34" spans="1:17" s="15" customFormat="1" ht="12.75" hidden="1" outlineLevel="2">
      <c r="A34" s="15" t="s">
        <v>389</v>
      </c>
      <c r="B34" s="15" t="s">
        <v>390</v>
      </c>
      <c r="C34" s="134" t="s">
        <v>391</v>
      </c>
      <c r="D34" s="16"/>
      <c r="E34" s="16"/>
      <c r="F34" s="16">
        <v>964528</v>
      </c>
      <c r="G34" s="16">
        <v>964528</v>
      </c>
      <c r="H34" s="16">
        <f aca="true" t="shared" si="6" ref="H34:H40">+F34-G34</f>
        <v>0</v>
      </c>
      <c r="I34" s="53">
        <f aca="true" t="shared" si="7" ref="I34:I40">IF(G34&lt;0,IF(H34=0,0,IF(OR(G34=0,F34=0),"N.M.",IF(ABS(H34/G34)&gt;=10,"N.M.",H34/(-G34)))),IF(H34=0,0,IF(OR(G34=0,F34=0),"N.M.",IF(ABS(H34/G34)&gt;=10,"N.M.",H34/G34))))</f>
        <v>0</v>
      </c>
      <c r="J34" s="174"/>
      <c r="K34" s="256">
        <v>964528</v>
      </c>
      <c r="L34" s="16">
        <f aca="true" t="shared" si="8" ref="L34:L39">+F34-K34</f>
        <v>0</v>
      </c>
      <c r="M34" s="53">
        <f aca="true" t="shared" si="9" ref="M34:M40">IF(K34&lt;0,IF(L34=0,0,IF(OR(K34=0,N34=0),"N.M.",IF(ABS(L34/K34)&gt;=10,"N.M.",L34/(-K34)))),IF(L34=0,0,IF(OR(K34=0,N34=0),"N.M.",IF(ABS(L34/K34)&gt;=10,"N.M.",L34/K34))))</f>
        <v>0</v>
      </c>
      <c r="N34" s="174"/>
      <c r="O34" s="256">
        <v>964528</v>
      </c>
      <c r="P34" s="16">
        <f aca="true" t="shared" si="10" ref="P34:P39">+F34-O34</f>
        <v>0</v>
      </c>
      <c r="Q34" s="53">
        <f aca="true" t="shared" si="11" ref="Q34:Q40">IF(O34&lt;0,IF(P34=0,0,IF(OR(O34=0,F34=0),"N.M.",IF(ABS(P34/O34)&gt;=10,"N.M.",P34/(-O34)))),IF(P34=0,0,IF(OR(O34=0,F34=0),"N.M.",IF(ABS(P34/O34)&gt;=10,"N.M.",P34/O34))))</f>
        <v>0</v>
      </c>
    </row>
    <row r="35" spans="1:17" s="67" customFormat="1" ht="12.75" hidden="1" outlineLevel="1">
      <c r="A35" s="11" t="s">
        <v>154</v>
      </c>
      <c r="B35" s="72"/>
      <c r="C35" s="83" t="s">
        <v>82</v>
      </c>
      <c r="D35" s="66"/>
      <c r="E35" s="66"/>
      <c r="F35" s="51">
        <v>964528</v>
      </c>
      <c r="G35" s="51">
        <v>964528</v>
      </c>
      <c r="H35" s="51">
        <f t="shared" si="6"/>
        <v>0</v>
      </c>
      <c r="I35" s="136">
        <f t="shared" si="7"/>
        <v>0</v>
      </c>
      <c r="J35" s="157"/>
      <c r="K35" s="51">
        <v>964528</v>
      </c>
      <c r="L35" s="51">
        <f t="shared" si="8"/>
        <v>0</v>
      </c>
      <c r="M35" s="136">
        <f t="shared" si="9"/>
        <v>0</v>
      </c>
      <c r="N35" s="157"/>
      <c r="O35" s="51">
        <v>964528</v>
      </c>
      <c r="P35" s="51">
        <f t="shared" si="10"/>
        <v>0</v>
      </c>
      <c r="Q35" s="136">
        <f t="shared" si="11"/>
        <v>0</v>
      </c>
    </row>
    <row r="36" spans="1:17" s="15" customFormat="1" ht="12.75" hidden="1" outlineLevel="2">
      <c r="A36" s="15" t="s">
        <v>392</v>
      </c>
      <c r="B36" s="15" t="s">
        <v>393</v>
      </c>
      <c r="C36" s="134" t="s">
        <v>394</v>
      </c>
      <c r="D36" s="16"/>
      <c r="E36" s="16"/>
      <c r="F36" s="16">
        <v>-199948.88</v>
      </c>
      <c r="G36" s="16">
        <v>-193279.16</v>
      </c>
      <c r="H36" s="16">
        <f t="shared" si="6"/>
        <v>-6669.720000000001</v>
      </c>
      <c r="I36" s="53">
        <f t="shared" si="7"/>
        <v>-0.034508221165696296</v>
      </c>
      <c r="J36" s="174"/>
      <c r="K36" s="256">
        <v>-199393.07</v>
      </c>
      <c r="L36" s="16">
        <f t="shared" si="8"/>
        <v>-555.8099999999977</v>
      </c>
      <c r="M36" s="53" t="str">
        <f t="shared" si="9"/>
        <v>N.M.</v>
      </c>
      <c r="N36" s="174"/>
      <c r="O36" s="256">
        <v>-194946.59</v>
      </c>
      <c r="P36" s="16">
        <f t="shared" si="10"/>
        <v>-5002.290000000008</v>
      </c>
      <c r="Q36" s="53">
        <f t="shared" si="11"/>
        <v>-0.025659797383478254</v>
      </c>
    </row>
    <row r="37" spans="1:17" s="67" customFormat="1" ht="12.75" hidden="1" outlineLevel="1">
      <c r="A37" s="11" t="s">
        <v>155</v>
      </c>
      <c r="B37" s="72"/>
      <c r="C37" s="83" t="s">
        <v>83</v>
      </c>
      <c r="D37" s="66"/>
      <c r="E37" s="66"/>
      <c r="F37" s="51">
        <v>-199948.88</v>
      </c>
      <c r="G37" s="51">
        <v>-193279.16</v>
      </c>
      <c r="H37" s="51">
        <f t="shared" si="6"/>
        <v>-6669.720000000001</v>
      </c>
      <c r="I37" s="136">
        <f t="shared" si="7"/>
        <v>-0.034508221165696296</v>
      </c>
      <c r="J37" s="157"/>
      <c r="K37" s="51">
        <v>-199393.07</v>
      </c>
      <c r="L37" s="51">
        <f t="shared" si="8"/>
        <v>-555.8099999999977</v>
      </c>
      <c r="M37" s="136" t="str">
        <f t="shared" si="9"/>
        <v>N.M.</v>
      </c>
      <c r="N37" s="157"/>
      <c r="O37" s="51">
        <v>-194946.59</v>
      </c>
      <c r="P37" s="51">
        <f t="shared" si="10"/>
        <v>-5002.290000000008</v>
      </c>
      <c r="Q37" s="136">
        <f t="shared" si="11"/>
        <v>-0.025659797383478254</v>
      </c>
    </row>
    <row r="38" spans="1:17" s="15" customFormat="1" ht="12.75" hidden="1" outlineLevel="2">
      <c r="A38" s="15" t="s">
        <v>395</v>
      </c>
      <c r="B38" s="15" t="s">
        <v>396</v>
      </c>
      <c r="C38" s="134" t="s">
        <v>397</v>
      </c>
      <c r="D38" s="16"/>
      <c r="E38" s="16"/>
      <c r="F38" s="16">
        <v>4734975.63</v>
      </c>
      <c r="G38" s="16">
        <v>4734975.63</v>
      </c>
      <c r="H38" s="16">
        <f t="shared" si="6"/>
        <v>0</v>
      </c>
      <c r="I38" s="53">
        <f t="shared" si="7"/>
        <v>0</v>
      </c>
      <c r="J38" s="174"/>
      <c r="K38" s="256">
        <v>4734975.63</v>
      </c>
      <c r="L38" s="16">
        <f t="shared" si="8"/>
        <v>0</v>
      </c>
      <c r="M38" s="53">
        <f t="shared" si="9"/>
        <v>0</v>
      </c>
      <c r="N38" s="174"/>
      <c r="O38" s="256">
        <v>4734975.63</v>
      </c>
      <c r="P38" s="16">
        <f t="shared" si="10"/>
        <v>0</v>
      </c>
      <c r="Q38" s="53">
        <f t="shared" si="11"/>
        <v>0</v>
      </c>
    </row>
    <row r="39" spans="1:17" s="67" customFormat="1" ht="12.75" hidden="1" outlineLevel="1">
      <c r="A39" s="11" t="s">
        <v>156</v>
      </c>
      <c r="B39" s="72"/>
      <c r="C39" s="84" t="s">
        <v>84</v>
      </c>
      <c r="D39" s="66"/>
      <c r="E39" s="66"/>
      <c r="F39" s="197">
        <v>4734975.63</v>
      </c>
      <c r="G39" s="197">
        <v>4734975.63</v>
      </c>
      <c r="H39" s="197">
        <f t="shared" si="6"/>
        <v>0</v>
      </c>
      <c r="I39" s="138">
        <f t="shared" si="7"/>
        <v>0</v>
      </c>
      <c r="J39" s="157"/>
      <c r="K39" s="197">
        <v>4734975.63</v>
      </c>
      <c r="L39" s="197">
        <f t="shared" si="8"/>
        <v>0</v>
      </c>
      <c r="M39" s="138">
        <f t="shared" si="9"/>
        <v>0</v>
      </c>
      <c r="N39" s="157"/>
      <c r="O39" s="197">
        <v>4734975.63</v>
      </c>
      <c r="P39" s="197">
        <f t="shared" si="10"/>
        <v>0</v>
      </c>
      <c r="Q39" s="138">
        <f t="shared" si="11"/>
        <v>0</v>
      </c>
    </row>
    <row r="40" spans="1:17" s="67" customFormat="1" ht="12.75" collapsed="1">
      <c r="A40" s="69" t="s">
        <v>229</v>
      </c>
      <c r="B40" s="72"/>
      <c r="C40" s="81" t="s">
        <v>76</v>
      </c>
      <c r="D40" s="66"/>
      <c r="E40" s="66"/>
      <c r="F40" s="51">
        <f>+F35+F37+F39</f>
        <v>5499554.75</v>
      </c>
      <c r="G40" s="51">
        <f>+G35+G37+G39</f>
        <v>5506224.47</v>
      </c>
      <c r="H40" s="51">
        <f t="shared" si="6"/>
        <v>-6669.719999999739</v>
      </c>
      <c r="I40" s="136">
        <f t="shared" si="7"/>
        <v>-0.0012113055027703475</v>
      </c>
      <c r="J40" s="157" t="s">
        <v>65</v>
      </c>
      <c r="K40" s="51">
        <f>+K35+K37+K39</f>
        <v>5500110.56</v>
      </c>
      <c r="L40" s="51">
        <f>+L35+L37+L39</f>
        <v>-555.8099999999977</v>
      </c>
      <c r="M40" s="136">
        <f t="shared" si="9"/>
        <v>-0.00010105433226054964</v>
      </c>
      <c r="N40" s="157" t="s">
        <v>65</v>
      </c>
      <c r="O40" s="51">
        <f>+O35+O37+O39</f>
        <v>5504557.04</v>
      </c>
      <c r="P40" s="51">
        <f>+P35+P37+P39</f>
        <v>-5002.290000000008</v>
      </c>
      <c r="Q40" s="136">
        <f t="shared" si="11"/>
        <v>-0.00090875432185548</v>
      </c>
    </row>
    <row r="41" spans="1:17" s="79" customFormat="1" ht="3" customHeight="1" hidden="1" outlineLevel="1">
      <c r="A41" s="86"/>
      <c r="B41" s="78"/>
      <c r="C41" s="80"/>
      <c r="D41" s="77"/>
      <c r="E41" s="77"/>
      <c r="F41" s="77"/>
      <c r="G41" s="77"/>
      <c r="H41" s="77"/>
      <c r="I41" s="139"/>
      <c r="J41" s="161"/>
      <c r="K41" s="77"/>
      <c r="L41" s="77"/>
      <c r="M41" s="139"/>
      <c r="N41" s="161"/>
      <c r="O41" s="77"/>
      <c r="P41" s="77"/>
      <c r="Q41" s="139"/>
    </row>
    <row r="42" spans="1:17" s="79" customFormat="1" ht="12.75" hidden="1" outlineLevel="1">
      <c r="A42" s="86" t="s">
        <v>108</v>
      </c>
      <c r="B42" s="78"/>
      <c r="C42" s="80" t="s">
        <v>109</v>
      </c>
      <c r="D42" s="77"/>
      <c r="E42" s="77"/>
      <c r="F42" s="77">
        <v>0</v>
      </c>
      <c r="G42" s="77">
        <v>0</v>
      </c>
      <c r="H42" s="51">
        <f>+F42-G42</f>
        <v>0</v>
      </c>
      <c r="I42" s="136">
        <f>IF(G42&lt;0,IF(H42=0,0,IF(OR(G42=0,F42=0),"N.M.",IF(ABS(H42/G42)&gt;=10,"N.M.",H42/(-G42)))),IF(H42=0,0,IF(OR(G42=0,F42=0),"N.M.",IF(ABS(H42/G42)&gt;=10,"N.M.",H42/G42))))</f>
        <v>0</v>
      </c>
      <c r="J42" s="161"/>
      <c r="K42" s="77">
        <v>0</v>
      </c>
      <c r="L42" s="51">
        <f aca="true" t="shared" si="12" ref="L42:L55">+F42-K42</f>
        <v>0</v>
      </c>
      <c r="M42" s="136">
        <f>IF(K42&lt;0,IF(L42=0,0,IF(OR(K42=0,N42=0),"N.M.",IF(ABS(L42/K42)&gt;=10,"N.M.",L42/(-K42)))),IF(L42=0,0,IF(OR(K42=0,N42=0),"N.M.",IF(ABS(L42/K42)&gt;=10,"N.M.",L42/K42))))</f>
        <v>0</v>
      </c>
      <c r="N42" s="161"/>
      <c r="O42" s="77">
        <v>0</v>
      </c>
      <c r="P42" s="51">
        <f aca="true" t="shared" si="13" ref="P42:P55">+F42-O42</f>
        <v>0</v>
      </c>
      <c r="Q42" s="136">
        <f>IF(O42&lt;0,IF(P42=0,0,IF(OR(O42=0,F42=0),"N.M.",IF(ABS(P42/O42)&gt;=10,"N.M.",P42/(-O42)))),IF(P42=0,0,IF(OR(O42=0,F42=0),"N.M.",IF(ABS(P42/O42)&gt;=10,"N.M.",P42/O42))))</f>
        <v>0</v>
      </c>
    </row>
    <row r="43" spans="1:17" s="79" customFormat="1" ht="12.75" hidden="1" outlineLevel="1">
      <c r="A43" s="86" t="s">
        <v>112</v>
      </c>
      <c r="B43" s="78"/>
      <c r="C43" s="80" t="s">
        <v>110</v>
      </c>
      <c r="D43" s="77"/>
      <c r="E43" s="77"/>
      <c r="F43" s="77">
        <v>0</v>
      </c>
      <c r="G43" s="77">
        <v>0</v>
      </c>
      <c r="H43" s="51">
        <f>+F43-G43</f>
        <v>0</v>
      </c>
      <c r="I43" s="136">
        <f>IF(G43&lt;0,IF(H43=0,0,IF(OR(G43=0,F43=0),"N.M.",IF(ABS(H43/G43)&gt;=10,"N.M.",H43/(-G43)))),IF(H43=0,0,IF(OR(G43=0,F43=0),"N.M.",IF(ABS(H43/G43)&gt;=10,"N.M.",H43/G43))))</f>
        <v>0</v>
      </c>
      <c r="J43" s="161"/>
      <c r="K43" s="77">
        <v>0</v>
      </c>
      <c r="L43" s="51">
        <f t="shared" si="12"/>
        <v>0</v>
      </c>
      <c r="M43" s="136">
        <f>IF(K43&lt;0,IF(L43=0,0,IF(OR(K43=0,N43=0),"N.M.",IF(ABS(L43/K43)&gt;=10,"N.M.",L43/(-K43)))),IF(L43=0,0,IF(OR(K43=0,N43=0),"N.M.",IF(ABS(L43/K43)&gt;=10,"N.M.",L43/K43))))</f>
        <v>0</v>
      </c>
      <c r="N43" s="161"/>
      <c r="O43" s="77">
        <v>0</v>
      </c>
      <c r="P43" s="51">
        <f t="shared" si="13"/>
        <v>0</v>
      </c>
      <c r="Q43" s="136">
        <f>IF(O43&lt;0,IF(P43=0,0,IF(OR(O43=0,F43=0),"N.M.",IF(ABS(P43/O43)&gt;=10,"N.M.",P43/(-O43)))),IF(P43=0,0,IF(OR(O43=0,F43=0),"N.M.",IF(ABS(P43/O43)&gt;=10,"N.M.",P43/O43))))</f>
        <v>0</v>
      </c>
    </row>
    <row r="44" spans="1:17" s="79" customFormat="1" ht="12.75" hidden="1" outlineLevel="1">
      <c r="A44" s="86" t="s">
        <v>113</v>
      </c>
      <c r="B44" s="78"/>
      <c r="C44" s="80" t="s">
        <v>111</v>
      </c>
      <c r="D44" s="77"/>
      <c r="E44" s="77"/>
      <c r="F44" s="77">
        <v>0</v>
      </c>
      <c r="G44" s="77">
        <v>0</v>
      </c>
      <c r="H44" s="51">
        <f>+F44-G44</f>
        <v>0</v>
      </c>
      <c r="I44" s="136">
        <f>IF(G44&lt;0,IF(H44=0,0,IF(OR(G44=0,F44=0),"N.M.",IF(ABS(H44/G44)&gt;=10,"N.M.",H44/(-G44)))),IF(H44=0,0,IF(OR(G44=0,F44=0),"N.M.",IF(ABS(H44/G44)&gt;=10,"N.M.",H44/G44))))</f>
        <v>0</v>
      </c>
      <c r="J44" s="161"/>
      <c r="K44" s="77">
        <v>0</v>
      </c>
      <c r="L44" s="51">
        <f t="shared" si="12"/>
        <v>0</v>
      </c>
      <c r="M44" s="136">
        <f>IF(K44&lt;0,IF(L44=0,0,IF(OR(K44=0,N44=0),"N.M.",IF(ABS(L44/K44)&gt;=10,"N.M.",L44/(-K44)))),IF(L44=0,0,IF(OR(K44=0,N44=0),"N.M.",IF(ABS(L44/K44)&gt;=10,"N.M.",L44/K44))))</f>
        <v>0</v>
      </c>
      <c r="N44" s="161"/>
      <c r="O44" s="77">
        <v>0</v>
      </c>
      <c r="P44" s="51">
        <f t="shared" si="13"/>
        <v>0</v>
      </c>
      <c r="Q44" s="136">
        <f>IF(O44&lt;0,IF(P44=0,0,IF(OR(O44=0,F44=0),"N.M.",IF(ABS(P44/O44)&gt;=10,"N.M.",P44/(-O44)))),IF(P44=0,0,IF(OR(O44=0,F44=0),"N.M.",IF(ABS(P44/O44)&gt;=10,"N.M.",P44/O44))))</f>
        <v>0</v>
      </c>
    </row>
    <row r="45" spans="1:17" s="67" customFormat="1" ht="12.75" collapsed="1">
      <c r="A45" s="68" t="s">
        <v>230</v>
      </c>
      <c r="B45" s="68"/>
      <c r="C45" s="81" t="s">
        <v>77</v>
      </c>
      <c r="D45" s="66"/>
      <c r="E45" s="66"/>
      <c r="F45" s="51">
        <f>+F44+F43+F42</f>
        <v>0</v>
      </c>
      <c r="G45" s="51">
        <f>+G44+G43+G42</f>
        <v>0</v>
      </c>
      <c r="H45" s="51">
        <f>+F45-G45</f>
        <v>0</v>
      </c>
      <c r="I45" s="136">
        <f>IF(G45&lt;0,IF(H45=0,0,IF(OR(G45=0,F45=0),"N.M.",IF(ABS(H45/G45)&gt;=10,"N.M.",H45/(-G45)))),IF(H45=0,0,IF(OR(G45=0,F45=0),"N.M.",IF(ABS(H45/G45)&gt;=10,"N.M.",H45/G45))))</f>
        <v>0</v>
      </c>
      <c r="J45" s="157" t="s">
        <v>65</v>
      </c>
      <c r="K45" s="51">
        <f>+K44+K43+K42</f>
        <v>0</v>
      </c>
      <c r="L45" s="51">
        <f t="shared" si="12"/>
        <v>0</v>
      </c>
      <c r="M45" s="136">
        <f>IF(K45&lt;0,IF(L45=0,0,IF(OR(K45=0,N45=0),"N.M.",IF(ABS(L45/K45)&gt;=10,"N.M.",L45/(-K45)))),IF(L45=0,0,IF(OR(K45=0,N45=0),"N.M.",IF(ABS(L45/K45)&gt;=10,"N.M.",L45/K45))))</f>
        <v>0</v>
      </c>
      <c r="N45" s="157" t="s">
        <v>65</v>
      </c>
      <c r="O45" s="51">
        <f>+O44+O43+O42</f>
        <v>0</v>
      </c>
      <c r="P45" s="51">
        <f t="shared" si="13"/>
        <v>0</v>
      </c>
      <c r="Q45" s="136">
        <f>IF(O45&lt;0,IF(P45=0,0,IF(OR(O45=0,F45=0),"N.M.",IF(ABS(P45/O45)&gt;=10,"N.M.",P45/(-O45)))),IF(P45=0,0,IF(OR(O45=0,F45=0),"N.M.",IF(ABS(P45/O45)&gt;=10,"N.M.",P45/O45))))</f>
        <v>0</v>
      </c>
    </row>
    <row r="46" spans="1:17" s="67" customFormat="1" ht="0.75" customHeight="1" hidden="1" outlineLevel="1">
      <c r="A46" s="68"/>
      <c r="B46" s="68"/>
      <c r="C46" s="81"/>
      <c r="D46" s="66"/>
      <c r="E46" s="66"/>
      <c r="F46" s="51"/>
      <c r="G46" s="51"/>
      <c r="H46" s="51"/>
      <c r="I46" s="136"/>
      <c r="J46" s="157"/>
      <c r="K46" s="51"/>
      <c r="L46" s="51">
        <f t="shared" si="12"/>
        <v>0</v>
      </c>
      <c r="M46" s="136"/>
      <c r="N46" s="157"/>
      <c r="O46" s="51"/>
      <c r="P46" s="51">
        <f t="shared" si="13"/>
        <v>0</v>
      </c>
      <c r="Q46" s="136"/>
    </row>
    <row r="47" spans="1:17" s="15" customFormat="1" ht="12.75" hidden="1" outlineLevel="2">
      <c r="A47" s="15" t="s">
        <v>398</v>
      </c>
      <c r="B47" s="15" t="s">
        <v>399</v>
      </c>
      <c r="C47" s="134" t="s">
        <v>400</v>
      </c>
      <c r="D47" s="16"/>
      <c r="E47" s="16"/>
      <c r="F47" s="16">
        <v>806</v>
      </c>
      <c r="G47" s="16">
        <v>806</v>
      </c>
      <c r="H47" s="16">
        <f>+F47-G47</f>
        <v>0</v>
      </c>
      <c r="I47" s="53">
        <f>IF(G47&lt;0,IF(H47=0,0,IF(OR(G47=0,F47=0),"N.M.",IF(ABS(H47/G47)&gt;=10,"N.M.",H47/(-G47)))),IF(H47=0,0,IF(OR(G47=0,F47=0),"N.M.",IF(ABS(H47/G47)&gt;=10,"N.M.",H47/G47))))</f>
        <v>0</v>
      </c>
      <c r="J47" s="174"/>
      <c r="K47" s="256">
        <v>806</v>
      </c>
      <c r="L47" s="16">
        <f>+F47-K47</f>
        <v>0</v>
      </c>
      <c r="M47" s="53">
        <f>IF(K47&lt;0,IF(L47=0,0,IF(OR(K47=0,N47=0),"N.M.",IF(ABS(L47/K47)&gt;=10,"N.M.",L47/(-K47)))),IF(L47=0,0,IF(OR(K47=0,N47=0),"N.M.",IF(ABS(L47/K47)&gt;=10,"N.M.",L47/K47))))</f>
        <v>0</v>
      </c>
      <c r="N47" s="174"/>
      <c r="O47" s="256">
        <v>806</v>
      </c>
      <c r="P47" s="16">
        <f>+F47-O47</f>
        <v>0</v>
      </c>
      <c r="Q47" s="53">
        <f>IF(O47&lt;0,IF(P47=0,0,IF(OR(O47=0,F47=0),"N.M.",IF(ABS(P47/O47)&gt;=10,"N.M.",P47/(-O47)))),IF(P47=0,0,IF(OR(O47=0,F47=0),"N.M.",IF(ABS(P47/O47)&gt;=10,"N.M.",P47/O47))))</f>
        <v>0</v>
      </c>
    </row>
    <row r="48" spans="1:17" s="15" customFormat="1" ht="12.75" hidden="1" outlineLevel="2">
      <c r="A48" s="15" t="s">
        <v>401</v>
      </c>
      <c r="B48" s="15" t="s">
        <v>402</v>
      </c>
      <c r="C48" s="134" t="s">
        <v>403</v>
      </c>
      <c r="D48" s="16"/>
      <c r="E48" s="16"/>
      <c r="F48" s="16">
        <v>120809.28</v>
      </c>
      <c r="G48" s="16">
        <v>129390.01000000001</v>
      </c>
      <c r="H48" s="16">
        <f>+F48-G48</f>
        <v>-8580.73000000001</v>
      </c>
      <c r="I48" s="53">
        <f>IF(G48&lt;0,IF(H48=0,0,IF(OR(G48=0,F48=0),"N.M.",IF(ABS(H48/G48)&gt;=10,"N.M.",H48/(-G48)))),IF(H48=0,0,IF(OR(G48=0,F48=0),"N.M.",IF(ABS(H48/G48)&gt;=10,"N.M.",H48/G48))))</f>
        <v>-0.06631678906277239</v>
      </c>
      <c r="J48" s="174"/>
      <c r="K48" s="256">
        <v>120809.28</v>
      </c>
      <c r="L48" s="16">
        <f>+F48-K48</f>
        <v>0</v>
      </c>
      <c r="M48" s="53">
        <f>IF(K48&lt;0,IF(L48=0,0,IF(OR(K48=0,N48=0),"N.M.",IF(ABS(L48/K48)&gt;=10,"N.M.",L48/(-K48)))),IF(L48=0,0,IF(OR(K48=0,N48=0),"N.M.",IF(ABS(L48/K48)&gt;=10,"N.M.",L48/K48))))</f>
        <v>0</v>
      </c>
      <c r="N48" s="174"/>
      <c r="O48" s="256">
        <v>120809.28</v>
      </c>
      <c r="P48" s="16">
        <f>+F48-O48</f>
        <v>0</v>
      </c>
      <c r="Q48" s="53">
        <f>IF(O48&lt;0,IF(P48=0,0,IF(OR(O48=0,F48=0),"N.M.",IF(ABS(P48/O48)&gt;=10,"N.M.",P48/(-O48)))),IF(P48=0,0,IF(OR(O48=0,F48=0),"N.M.",IF(ABS(P48/O48)&gt;=10,"N.M.",P48/O48))))</f>
        <v>0</v>
      </c>
    </row>
    <row r="49" spans="1:17" s="15" customFormat="1" ht="12.75" hidden="1" outlineLevel="2">
      <c r="A49" s="15" t="s">
        <v>404</v>
      </c>
      <c r="B49" s="15" t="s">
        <v>405</v>
      </c>
      <c r="C49" s="134" t="s">
        <v>406</v>
      </c>
      <c r="D49" s="16"/>
      <c r="E49" s="16"/>
      <c r="F49" s="16">
        <v>168709</v>
      </c>
      <c r="G49" s="16">
        <v>172972</v>
      </c>
      <c r="H49" s="16">
        <f>+F49-G49</f>
        <v>-4263</v>
      </c>
      <c r="I49" s="53">
        <f>IF(G49&lt;0,IF(H49=0,0,IF(OR(G49=0,F49=0),"N.M.",IF(ABS(H49/G49)&gt;=10,"N.M.",H49/(-G49)))),IF(H49=0,0,IF(OR(G49=0,F49=0),"N.M.",IF(ABS(H49/G49)&gt;=10,"N.M.",H49/G49))))</f>
        <v>-0.02464560738154152</v>
      </c>
      <c r="J49" s="174"/>
      <c r="K49" s="256">
        <v>169075</v>
      </c>
      <c r="L49" s="16">
        <f>+F49-K49</f>
        <v>-366</v>
      </c>
      <c r="M49" s="53" t="str">
        <f>IF(K49&lt;0,IF(L49=0,0,IF(OR(K49=0,N49=0),"N.M.",IF(ABS(L49/K49)&gt;=10,"N.M.",L49/(-K49)))),IF(L49=0,0,IF(OR(K49=0,N49=0),"N.M.",IF(ABS(L49/K49)&gt;=10,"N.M.",L49/K49))))</f>
        <v>N.M.</v>
      </c>
      <c r="N49" s="174"/>
      <c r="O49" s="256">
        <v>172006</v>
      </c>
      <c r="P49" s="16">
        <f>+F49-O49</f>
        <v>-3297</v>
      </c>
      <c r="Q49" s="53">
        <f>IF(O49&lt;0,IF(P49=0,0,IF(OR(O49=0,F49=0),"N.M.",IF(ABS(P49/O49)&gt;=10,"N.M.",P49/(-O49)))),IF(P49=0,0,IF(OR(O49=0,F49=0),"N.M.",IF(ABS(P49/O49)&gt;=10,"N.M.",P49/O49))))</f>
        <v>-0.01916793600223248</v>
      </c>
    </row>
    <row r="50" spans="1:17" s="67" customFormat="1" ht="12.75" collapsed="1">
      <c r="A50" s="67" t="s">
        <v>157</v>
      </c>
      <c r="B50" s="68"/>
      <c r="C50" s="81" t="s">
        <v>78</v>
      </c>
      <c r="D50" s="66"/>
      <c r="E50" s="66"/>
      <c r="F50" s="51">
        <v>290324.28</v>
      </c>
      <c r="G50" s="51">
        <v>303168.01</v>
      </c>
      <c r="H50" s="51">
        <f>+F50-G50</f>
        <v>-12843.729999999981</v>
      </c>
      <c r="I50" s="136">
        <f>IF(G50&lt;0,IF(H50=0,0,IF(OR(G50=0,F50=0),"N.M.",IF(ABS(H50/G50)&gt;=10,"N.M.",H50/(-G50)))),IF(H50=0,0,IF(OR(G50=0,F50=0),"N.M.",IF(ABS(H50/G50)&gt;=10,"N.M.",H50/G50))))</f>
        <v>-0.04236505692008857</v>
      </c>
      <c r="J50" s="157"/>
      <c r="K50" s="51">
        <v>290690.28</v>
      </c>
      <c r="L50" s="51">
        <f t="shared" si="12"/>
        <v>-366</v>
      </c>
      <c r="M50" s="136" t="str">
        <f>IF(K50&lt;0,IF(L50=0,0,IF(OR(K50=0,N50=0),"N.M.",IF(ABS(L50/K50)&gt;=10,"N.M.",L50/(-K50)))),IF(L50=0,0,IF(OR(K50=0,N50=0),"N.M.",IF(ABS(L50/K50)&gt;=10,"N.M.",L50/K50))))</f>
        <v>N.M.</v>
      </c>
      <c r="N50" s="157"/>
      <c r="O50" s="51">
        <v>293621.28</v>
      </c>
      <c r="P50" s="51">
        <f t="shared" si="13"/>
        <v>-3297</v>
      </c>
      <c r="Q50" s="136">
        <f>IF(O50&lt;0,IF(P50=0,0,IF(OR(O50=0,F50=0),"N.M.",IF(ABS(P50/O50)&gt;=10,"N.M.",P50/(-O50)))),IF(P50=0,0,IF(OR(O50=0,F50=0),"N.M.",IF(ABS(P50/O50)&gt;=10,"N.M.",P50/O50))))</f>
        <v>-0.01122875017778003</v>
      </c>
    </row>
    <row r="51" spans="2:17" s="67" customFormat="1" ht="0.75" customHeight="1" hidden="1" outlineLevel="1">
      <c r="B51" s="68"/>
      <c r="C51" s="81"/>
      <c r="D51" s="66"/>
      <c r="E51" s="66"/>
      <c r="F51" s="51"/>
      <c r="G51" s="51"/>
      <c r="H51" s="51"/>
      <c r="I51" s="136"/>
      <c r="J51" s="157"/>
      <c r="K51" s="51"/>
      <c r="L51" s="51">
        <f t="shared" si="12"/>
        <v>0</v>
      </c>
      <c r="M51" s="136"/>
      <c r="N51" s="157"/>
      <c r="O51" s="51"/>
      <c r="P51" s="51">
        <f t="shared" si="13"/>
        <v>0</v>
      </c>
      <c r="Q51" s="136"/>
    </row>
    <row r="52" spans="1:17" s="67" customFormat="1" ht="12.75" collapsed="1">
      <c r="A52" s="67" t="s">
        <v>158</v>
      </c>
      <c r="B52" s="68"/>
      <c r="C52" s="81" t="s">
        <v>79</v>
      </c>
      <c r="D52" s="66"/>
      <c r="E52" s="66"/>
      <c r="F52" s="51">
        <v>0</v>
      </c>
      <c r="G52" s="51">
        <v>0</v>
      </c>
      <c r="H52" s="51">
        <f>+F52-G52</f>
        <v>0</v>
      </c>
      <c r="I52" s="136">
        <f>IF(G52&lt;0,IF(H52=0,0,IF(OR(G52=0,F52=0),"N.M.",IF(ABS(H52/G52)&gt;=10,"N.M.",H52/(-G52)))),IF(H52=0,0,IF(OR(G52=0,F52=0),"N.M.",IF(ABS(H52/G52)&gt;=10,"N.M.",H52/G52))))</f>
        <v>0</v>
      </c>
      <c r="J52" s="157"/>
      <c r="K52" s="51">
        <v>0</v>
      </c>
      <c r="L52" s="51">
        <f t="shared" si="12"/>
        <v>0</v>
      </c>
      <c r="M52" s="136">
        <f>IF(K52&lt;0,IF(L52=0,0,IF(OR(K52=0,N52=0),"N.M.",IF(ABS(L52/K52)&gt;=10,"N.M.",L52/(-K52)))),IF(L52=0,0,IF(OR(K52=0,N52=0),"N.M.",IF(ABS(L52/K52)&gt;=10,"N.M.",L52/K52))))</f>
        <v>0</v>
      </c>
      <c r="N52" s="157"/>
      <c r="O52" s="51">
        <v>0</v>
      </c>
      <c r="P52" s="51">
        <f t="shared" si="13"/>
        <v>0</v>
      </c>
      <c r="Q52" s="136">
        <f>IF(O52&lt;0,IF(P52=0,0,IF(OR(O52=0,F52=0),"N.M.",IF(ABS(P52/O52)&gt;=10,"N.M.",P52/(-O52)))),IF(P52=0,0,IF(OR(O52=0,F52=0),"N.M.",IF(ABS(P52/O52)&gt;=10,"N.M.",P52/O52))))</f>
        <v>0</v>
      </c>
    </row>
    <row r="53" spans="2:17" s="67" customFormat="1" ht="4.5" customHeight="1" hidden="1" outlineLevel="1">
      <c r="B53" s="68"/>
      <c r="C53" s="81"/>
      <c r="D53" s="66"/>
      <c r="E53" s="66"/>
      <c r="F53" s="51"/>
      <c r="G53" s="51"/>
      <c r="H53" s="51"/>
      <c r="I53" s="136"/>
      <c r="J53" s="157"/>
      <c r="K53" s="51"/>
      <c r="L53" s="51">
        <f t="shared" si="12"/>
        <v>0</v>
      </c>
      <c r="M53" s="136"/>
      <c r="N53" s="157"/>
      <c r="O53" s="51"/>
      <c r="P53" s="51">
        <f t="shared" si="13"/>
        <v>0</v>
      </c>
      <c r="Q53" s="136"/>
    </row>
    <row r="54" spans="1:17" s="15" customFormat="1" ht="12.75" hidden="1" outlineLevel="2">
      <c r="A54" s="15" t="s">
        <v>407</v>
      </c>
      <c r="B54" s="15" t="s">
        <v>408</v>
      </c>
      <c r="C54" s="134" t="s">
        <v>409</v>
      </c>
      <c r="D54" s="16"/>
      <c r="E54" s="16"/>
      <c r="F54" s="16">
        <v>4882415.98</v>
      </c>
      <c r="G54" s="16">
        <v>5997049.57</v>
      </c>
      <c r="H54" s="16">
        <f>+F54-G54</f>
        <v>-1114633.5899999999</v>
      </c>
      <c r="I54" s="53">
        <f>IF(G54&lt;0,IF(H54=0,0,IF(OR(G54=0,F54=0),"N.M.",IF(ABS(H54/G54)&gt;=10,"N.M.",H54/(-G54)))),IF(H54=0,0,IF(OR(G54=0,F54=0),"N.M.",IF(ABS(H54/G54)&gt;=10,"N.M.",H54/G54))))</f>
        <v>-0.18586366128702847</v>
      </c>
      <c r="J54" s="174"/>
      <c r="K54" s="256">
        <v>4882415.98</v>
      </c>
      <c r="L54" s="16">
        <f>+F54-K54</f>
        <v>0</v>
      </c>
      <c r="M54" s="53">
        <f>IF(K54&lt;0,IF(L54=0,0,IF(OR(K54=0,N54=0),"N.M.",IF(ABS(L54/K54)&gt;=10,"N.M.",L54/(-K54)))),IF(L54=0,0,IF(OR(K54=0,N54=0),"N.M.",IF(ABS(L54/K54)&gt;=10,"N.M.",L54/K54))))</f>
        <v>0</v>
      </c>
      <c r="N54" s="174"/>
      <c r="O54" s="256">
        <v>4882415.98</v>
      </c>
      <c r="P54" s="16">
        <f>+F54-O54</f>
        <v>0</v>
      </c>
      <c r="Q54" s="53">
        <f>IF(O54&lt;0,IF(P54=0,0,IF(OR(O54=0,F54=0),"N.M.",IF(ABS(P54/O54)&gt;=10,"N.M.",P54/(-O54)))),IF(P54=0,0,IF(OR(O54=0,F54=0),"N.M.",IF(ABS(P54/O54)&gt;=10,"N.M.",P54/O54))))</f>
        <v>0</v>
      </c>
    </row>
    <row r="55" spans="1:17" s="67" customFormat="1" ht="12.75" collapsed="1">
      <c r="A55" s="67" t="s">
        <v>159</v>
      </c>
      <c r="B55" s="68"/>
      <c r="C55" s="81" t="s">
        <v>80</v>
      </c>
      <c r="D55" s="66"/>
      <c r="E55" s="66"/>
      <c r="F55" s="51">
        <v>4882415.98</v>
      </c>
      <c r="G55" s="51">
        <v>5997049.57</v>
      </c>
      <c r="H55" s="51">
        <f>+F55-G55</f>
        <v>-1114633.5899999999</v>
      </c>
      <c r="I55" s="136">
        <f>IF(G55&lt;0,IF(H55=0,0,IF(OR(G55=0,F55=0),"N.M.",IF(ABS(H55/G55)&gt;=10,"N.M.",H55/(-G55)))),IF(H55=0,0,IF(OR(G55=0,F55=0),"N.M.",IF(ABS(H55/G55)&gt;=10,"N.M.",H55/G55))))</f>
        <v>-0.18586366128702847</v>
      </c>
      <c r="J55" s="157"/>
      <c r="K55" s="51">
        <v>4882415.98</v>
      </c>
      <c r="L55" s="51">
        <f t="shared" si="12"/>
        <v>0</v>
      </c>
      <c r="M55" s="136">
        <f>IF(K55&lt;0,IF(L55=0,0,IF(OR(K55=0,N55=0),"N.M.",IF(ABS(L55/K55)&gt;=10,"N.M.",L55/(-K55)))),IF(L55=0,0,IF(OR(K55=0,N55=0),"N.M.",IF(ABS(L55/K55)&gt;=10,"N.M.",L55/K55))))</f>
        <v>0</v>
      </c>
      <c r="N55" s="157"/>
      <c r="O55" s="51">
        <v>4882415.98</v>
      </c>
      <c r="P55" s="51">
        <f t="shared" si="13"/>
        <v>0</v>
      </c>
      <c r="Q55" s="136">
        <f>IF(O55&lt;0,IF(P55=0,0,IF(OR(O55=0,F55=0),"N.M.",IF(ABS(P55/O55)&gt;=10,"N.M.",P55/(-O55)))),IF(P55=0,0,IF(OR(O55=0,F55=0),"N.M.",IF(ABS(P55/O55)&gt;=10,"N.M.",P55/O55))))</f>
        <v>0</v>
      </c>
    </row>
    <row r="56" spans="2:17" s="67" customFormat="1" ht="4.5" customHeight="1" hidden="1" outlineLevel="1">
      <c r="B56" s="68"/>
      <c r="C56" s="81"/>
      <c r="D56" s="66"/>
      <c r="E56" s="66"/>
      <c r="F56" s="51"/>
      <c r="G56" s="51"/>
      <c r="H56" s="51"/>
      <c r="I56" s="136"/>
      <c r="J56" s="157"/>
      <c r="K56" s="51"/>
      <c r="L56" s="51"/>
      <c r="M56" s="136"/>
      <c r="N56" s="157"/>
      <c r="O56" s="51"/>
      <c r="P56" s="51"/>
      <c r="Q56" s="136"/>
    </row>
    <row r="57" spans="1:17" s="15" customFormat="1" ht="12.75" hidden="1" outlineLevel="2">
      <c r="A57" s="15" t="s">
        <v>410</v>
      </c>
      <c r="B57" s="15" t="s">
        <v>411</v>
      </c>
      <c r="C57" s="134" t="s">
        <v>412</v>
      </c>
      <c r="D57" s="16"/>
      <c r="E57" s="16"/>
      <c r="F57" s="16">
        <v>5215914.32</v>
      </c>
      <c r="G57" s="16">
        <v>11156485.51</v>
      </c>
      <c r="H57" s="16">
        <f>+F57-G57</f>
        <v>-5940571.1899999995</v>
      </c>
      <c r="I57" s="53">
        <f>IF(G57&lt;0,IF(H57=0,0,IF(OR(G57=0,F57=0),"N.M.",IF(ABS(H57/G57)&gt;=10,"N.M.",H57/(-G57)))),IF(H57=0,0,IF(OR(G57=0,F57=0),"N.M.",IF(ABS(H57/G57)&gt;=10,"N.M.",H57/G57))))</f>
        <v>-0.5324769332309203</v>
      </c>
      <c r="J57" s="174"/>
      <c r="K57" s="256">
        <v>5083752.43</v>
      </c>
      <c r="L57" s="16">
        <f>+F57-K57</f>
        <v>132161.8900000006</v>
      </c>
      <c r="M57" s="53" t="str">
        <f>IF(K57&lt;0,IF(L57=0,0,IF(OR(K57=0,N57=0),"N.M.",IF(ABS(L57/K57)&gt;=10,"N.M.",L57/(-K57)))),IF(L57=0,0,IF(OR(K57=0,N57=0),"N.M.",IF(ABS(L57/K57)&gt;=10,"N.M.",L57/K57))))</f>
        <v>N.M.</v>
      </c>
      <c r="N57" s="174"/>
      <c r="O57" s="256">
        <v>8063223.74</v>
      </c>
      <c r="P57" s="16">
        <f>+F57-O57</f>
        <v>-2847309.42</v>
      </c>
      <c r="Q57" s="53">
        <f>IF(O57&lt;0,IF(P57=0,0,IF(OR(O57=0,F57=0),"N.M.",IF(ABS(P57/O57)&gt;=10,"N.M.",P57/(-O57)))),IF(P57=0,0,IF(OR(O57=0,F57=0),"N.M.",IF(ABS(P57/O57)&gt;=10,"N.M.",P57/O57))))</f>
        <v>-0.3531229582375448</v>
      </c>
    </row>
    <row r="58" spans="1:17" s="15" customFormat="1" ht="12.75" hidden="1" outlineLevel="2">
      <c r="A58" s="15" t="s">
        <v>413</v>
      </c>
      <c r="B58" s="15" t="s">
        <v>414</v>
      </c>
      <c r="C58" s="134" t="s">
        <v>415</v>
      </c>
      <c r="D58" s="16"/>
      <c r="E58" s="16"/>
      <c r="F58" s="16">
        <v>-187246</v>
      </c>
      <c r="G58" s="16">
        <v>-408012</v>
      </c>
      <c r="H58" s="16">
        <f>+F58-G58</f>
        <v>220766</v>
      </c>
      <c r="I58" s="53">
        <f>IF(G58&lt;0,IF(H58=0,0,IF(OR(G58=0,F58=0),"N.M.",IF(ABS(H58/G58)&gt;=10,"N.M.",H58/(-G58)))),IF(H58=0,0,IF(OR(G58=0,F58=0),"N.M.",IF(ABS(H58/G58)&gt;=10,"N.M.",H58/G58))))</f>
        <v>0.5410772232189249</v>
      </c>
      <c r="J58" s="174"/>
      <c r="K58" s="256">
        <v>-33114</v>
      </c>
      <c r="L58" s="16">
        <f>+F58-K58</f>
        <v>-154132</v>
      </c>
      <c r="M58" s="53" t="str">
        <f>IF(K58&lt;0,IF(L58=0,0,IF(OR(K58=0,N58=0),"N.M.",IF(ABS(L58/K58)&gt;=10,"N.M.",L58/(-K58)))),IF(L58=0,0,IF(OR(K58=0,N58=0),"N.M.",IF(ABS(L58/K58)&gt;=10,"N.M.",L58/K58))))</f>
        <v>N.M.</v>
      </c>
      <c r="N58" s="174"/>
      <c r="O58" s="256">
        <v>-36017</v>
      </c>
      <c r="P58" s="16">
        <f>+F58-O58</f>
        <v>-151229</v>
      </c>
      <c r="Q58" s="53">
        <f>IF(O58&lt;0,IF(P58=0,0,IF(OR(O58=0,F58=0),"N.M.",IF(ABS(P58/O58)&gt;=10,"N.M.",P58/(-O58)))),IF(P58=0,0,IF(OR(O58=0,F58=0),"N.M.",IF(ABS(P58/O58)&gt;=10,"N.M.",P58/O58))))</f>
        <v>-4.1988227781325485</v>
      </c>
    </row>
    <row r="59" spans="1:17" s="15" customFormat="1" ht="12.75" hidden="1" outlineLevel="2">
      <c r="A59" s="15" t="s">
        <v>416</v>
      </c>
      <c r="B59" s="15" t="s">
        <v>417</v>
      </c>
      <c r="C59" s="134" t="s">
        <v>418</v>
      </c>
      <c r="D59" s="16"/>
      <c r="E59" s="16"/>
      <c r="F59" s="16">
        <v>93471</v>
      </c>
      <c r="G59" s="16">
        <v>1199</v>
      </c>
      <c r="H59" s="16">
        <f>+F59-G59</f>
        <v>92272</v>
      </c>
      <c r="I59" s="53" t="str">
        <f>IF(G59&lt;0,IF(H59=0,0,IF(OR(G59=0,F59=0),"N.M.",IF(ABS(H59/G59)&gt;=10,"N.M.",H59/(-G59)))),IF(H59=0,0,IF(OR(G59=0,F59=0),"N.M.",IF(ABS(H59/G59)&gt;=10,"N.M.",H59/G59))))</f>
        <v>N.M.</v>
      </c>
      <c r="J59" s="174"/>
      <c r="K59" s="256">
        <v>142475</v>
      </c>
      <c r="L59" s="16">
        <f>+F59-K59</f>
        <v>-49004</v>
      </c>
      <c r="M59" s="53" t="str">
        <f>IF(K59&lt;0,IF(L59=0,0,IF(OR(K59=0,N59=0),"N.M.",IF(ABS(L59/K59)&gt;=10,"N.M.",L59/(-K59)))),IF(L59=0,0,IF(OR(K59=0,N59=0),"N.M.",IF(ABS(L59/K59)&gt;=10,"N.M.",L59/K59))))</f>
        <v>N.M.</v>
      </c>
      <c r="N59" s="174"/>
      <c r="O59" s="256">
        <v>2466</v>
      </c>
      <c r="P59" s="16">
        <f>+F59-O59</f>
        <v>91005</v>
      </c>
      <c r="Q59" s="53" t="str">
        <f>IF(O59&lt;0,IF(P59=0,0,IF(OR(O59=0,F59=0),"N.M.",IF(ABS(P59/O59)&gt;=10,"N.M.",P59/(-O59)))),IF(P59=0,0,IF(OR(O59=0,F59=0),"N.M.",IF(ABS(P59/O59)&gt;=10,"N.M.",P59/O59))))</f>
        <v>N.M.</v>
      </c>
    </row>
    <row r="60" spans="1:17" s="67" customFormat="1" ht="12.75" collapsed="1">
      <c r="A60" s="67" t="s">
        <v>160</v>
      </c>
      <c r="B60" s="68"/>
      <c r="C60" s="81" t="s">
        <v>81</v>
      </c>
      <c r="D60" s="66"/>
      <c r="E60" s="66"/>
      <c r="F60" s="51">
        <v>5122139.32</v>
      </c>
      <c r="G60" s="51">
        <v>10749672.51</v>
      </c>
      <c r="H60" s="51">
        <f>+F60-G60</f>
        <v>-5627533.1899999995</v>
      </c>
      <c r="I60" s="136">
        <f>IF(G60&lt;0,IF(H60=0,0,IF(OR(G60=0,F60=0),"N.M.",IF(ABS(H60/G60)&gt;=10,"N.M.",H60/(-G60)))),IF(H60=0,0,IF(OR(G60=0,F60=0),"N.M.",IF(ABS(H60/G60)&gt;=10,"N.M.",H60/G60))))</f>
        <v>-0.5235074077619505</v>
      </c>
      <c r="J60" s="157"/>
      <c r="K60" s="51">
        <v>5193113.43</v>
      </c>
      <c r="L60" s="51">
        <f>+F60-K60</f>
        <v>-70974.1099999994</v>
      </c>
      <c r="M60" s="136" t="str">
        <f>IF(K60&lt;0,IF(L60=0,0,IF(OR(K60=0,N60=0),"N.M.",IF(ABS(L60/K60)&gt;=10,"N.M.",L60/(-K60)))),IF(L60=0,0,IF(OR(K60=0,N60=0),"N.M.",IF(ABS(L60/K60)&gt;=10,"N.M.",L60/K60))))</f>
        <v>N.M.</v>
      </c>
      <c r="N60" s="157"/>
      <c r="O60" s="51">
        <v>8029672.74</v>
      </c>
      <c r="P60" s="51">
        <f>+F60-O60</f>
        <v>-2907533.42</v>
      </c>
      <c r="Q60" s="136">
        <f>IF(O60&lt;0,IF(P60=0,0,IF(OR(O60=0,F60=0),"N.M.",IF(ABS(P60/O60)&gt;=10,"N.M.",P60/(-O60)))),IF(P60=0,0,IF(OR(O60=0,F60=0),"N.M.",IF(ABS(P60/O60)&gt;=10,"N.M.",P60/O60))))</f>
        <v>-0.3620986202234688</v>
      </c>
    </row>
    <row r="61" spans="1:17" s="75" customFormat="1" ht="12.75">
      <c r="A61" s="71" t="s">
        <v>107</v>
      </c>
      <c r="B61" s="72"/>
      <c r="C61" s="71" t="s">
        <v>138</v>
      </c>
      <c r="D61" s="73"/>
      <c r="E61" s="73"/>
      <c r="F61" s="74">
        <f>+F60+F55+F52+F50+F45+F40</f>
        <v>15794434.33</v>
      </c>
      <c r="G61" s="74">
        <f>+G60+G55+G52+G50+G45+G40</f>
        <v>22556114.56</v>
      </c>
      <c r="H61" s="74">
        <f>+F61-G61</f>
        <v>-6761680.229999999</v>
      </c>
      <c r="I61" s="137">
        <f>IF(G61&lt;0,IF(H61=0,0,IF(OR(G61=0,F61=0),"N.M.",IF(ABS(H61/G61)&gt;=10,"N.M.",H61/(-G61)))),IF(H61=0,0,IF(OR(G61=0,F61=0),"N.M.",IF(ABS(H61/G61)&gt;=10,"N.M.",H61/G61))))</f>
        <v>-0.29977149708180945</v>
      </c>
      <c r="J61" s="160" t="s">
        <v>65</v>
      </c>
      <c r="K61" s="74">
        <f>+K60+K55+K52+K50+K45+K40</f>
        <v>15866330.25</v>
      </c>
      <c r="L61" s="74">
        <f>+F61-K61</f>
        <v>-71895.91999999993</v>
      </c>
      <c r="M61" s="137">
        <f>IF(K61&lt;0,IF(L61=0,0,IF(OR(K61=0,N61=0),"N.M.",IF(ABS(L61/K61)&gt;=10,"N.M.",L61/(-K61)))),IF(L61=0,0,IF(OR(K61=0,N61=0),"N.M.",IF(ABS(L61/K61)&gt;=10,"N.M.",L61/K61))))</f>
        <v>-0.004531351539213041</v>
      </c>
      <c r="N61" s="160" t="s">
        <v>65</v>
      </c>
      <c r="O61" s="74">
        <f>+O60+O55+O52+O50+O45+O40</f>
        <v>18710267.04</v>
      </c>
      <c r="P61" s="74">
        <f>+F61-O61</f>
        <v>-2915832.709999999</v>
      </c>
      <c r="Q61" s="137">
        <f>IF(O61&lt;0,IF(P61=0,0,IF(OR(O61=0,F61=0),"N.M.",IF(ABS(P61/O61)&gt;=10,"N.M.",P61/(-O61)))),IF(P61=0,0,IF(OR(O61=0,F61=0),"N.M.",IF(ABS(P61/O61)&gt;=10,"N.M.",P61/O61))))</f>
        <v>-0.15584131983612776</v>
      </c>
    </row>
    <row r="62" spans="1:17" s="75" customFormat="1" ht="9" customHeight="1">
      <c r="A62" s="71"/>
      <c r="B62" s="72"/>
      <c r="C62" s="71"/>
      <c r="D62" s="73"/>
      <c r="E62" s="73"/>
      <c r="F62" s="74"/>
      <c r="G62" s="74"/>
      <c r="H62" s="74"/>
      <c r="I62" s="137"/>
      <c r="J62" s="160"/>
      <c r="K62" s="74"/>
      <c r="L62" s="74"/>
      <c r="M62" s="137"/>
      <c r="N62" s="160"/>
      <c r="O62" s="74"/>
      <c r="P62" s="74"/>
      <c r="Q62" s="137"/>
    </row>
    <row r="63" spans="2:17" s="67" customFormat="1" ht="0.75" customHeight="1" hidden="1" outlineLevel="1">
      <c r="B63" s="68"/>
      <c r="C63" s="71"/>
      <c r="D63" s="66"/>
      <c r="E63" s="66"/>
      <c r="F63" s="51"/>
      <c r="G63" s="51"/>
      <c r="H63" s="51"/>
      <c r="I63" s="136"/>
      <c r="J63" s="157"/>
      <c r="K63" s="51"/>
      <c r="L63" s="51"/>
      <c r="M63" s="136"/>
      <c r="N63" s="157"/>
      <c r="O63" s="51"/>
      <c r="P63" s="51"/>
      <c r="Q63" s="136"/>
    </row>
    <row r="64" spans="1:17" s="15" customFormat="1" ht="12.75" hidden="1" outlineLevel="2">
      <c r="A64" s="15" t="s">
        <v>419</v>
      </c>
      <c r="B64" s="15" t="s">
        <v>420</v>
      </c>
      <c r="C64" s="134" t="s">
        <v>421</v>
      </c>
      <c r="D64" s="16"/>
      <c r="E64" s="16"/>
      <c r="F64" s="16">
        <v>808566.04</v>
      </c>
      <c r="G64" s="16">
        <v>615789.1</v>
      </c>
      <c r="H64" s="16">
        <f>+F64-G64</f>
        <v>192776.94000000006</v>
      </c>
      <c r="I64" s="53">
        <f>IF(G64&lt;0,IF(H64=0,0,IF(OR(G64=0,F64=0),"N.M.",IF(ABS(H64/G64)&gt;=10,"N.M.",H64/(-G64)))),IF(H64=0,0,IF(OR(G64=0,F64=0),"N.M.",IF(ABS(H64/G64)&gt;=10,"N.M.",H64/G64))))</f>
        <v>0.3130567592053839</v>
      </c>
      <c r="J64" s="174"/>
      <c r="K64" s="256">
        <v>549624.03</v>
      </c>
      <c r="L64" s="16">
        <f>+F64-K64</f>
        <v>258942.01</v>
      </c>
      <c r="M64" s="53" t="str">
        <f>IF(K64&lt;0,IF(L64=0,0,IF(OR(K64=0,N64=0),"N.M.",IF(ABS(L64/K64)&gt;=10,"N.M.",L64/(-K64)))),IF(L64=0,0,IF(OR(K64=0,N64=0),"N.M.",IF(ABS(L64/K64)&gt;=10,"N.M.",L64/K64))))</f>
        <v>N.M.</v>
      </c>
      <c r="N64" s="174"/>
      <c r="O64" s="256">
        <v>280972.3</v>
      </c>
      <c r="P64" s="16">
        <f>+F64-O64</f>
        <v>527593.74</v>
      </c>
      <c r="Q64" s="53">
        <f>IF(O64&lt;0,IF(P64=0,0,IF(OR(O64=0,F64=0),"N.M.",IF(ABS(P64/O64)&gt;=10,"N.M.",P64/(-O64)))),IF(P64=0,0,IF(OR(O64=0,F64=0),"N.M.",IF(ABS(P64/O64)&gt;=10,"N.M.",P64/O64))))</f>
        <v>1.8777428949401773</v>
      </c>
    </row>
    <row r="65" spans="1:17" s="67" customFormat="1" ht="12.75" hidden="1" outlineLevel="1">
      <c r="A65" s="86" t="s">
        <v>128</v>
      </c>
      <c r="B65" s="87"/>
      <c r="C65" s="83" t="s">
        <v>87</v>
      </c>
      <c r="D65" s="66"/>
      <c r="E65" s="66"/>
      <c r="F65" s="51">
        <v>808566.04</v>
      </c>
      <c r="G65" s="51">
        <v>615789.1</v>
      </c>
      <c r="H65" s="51">
        <f aca="true" t="shared" si="14" ref="H65:H74">+F65-G65</f>
        <v>192776.94000000006</v>
      </c>
      <c r="I65" s="136">
        <f aca="true" t="shared" si="15" ref="I65:I74">IF(G65&lt;0,IF(H65=0,0,IF(OR(G65=0,F65=0),"N.M.",IF(ABS(H65/G65)&gt;=10,"N.M.",H65/(-G65)))),IF(H65=0,0,IF(OR(G65=0,F65=0),"N.M.",IF(ABS(H65/G65)&gt;=10,"N.M.",H65/G65))))</f>
        <v>0.3130567592053839</v>
      </c>
      <c r="J65" s="157"/>
      <c r="K65" s="51">
        <v>549624.03</v>
      </c>
      <c r="L65" s="51">
        <f aca="true" t="shared" si="16" ref="L65:L75">+F65-K65</f>
        <v>258942.01</v>
      </c>
      <c r="M65" s="136" t="str">
        <f aca="true" t="shared" si="17" ref="M65:M75">IF(K65&lt;0,IF(L65=0,0,IF(OR(K65=0,N65=0),"N.M.",IF(ABS(L65/K65)&gt;=10,"N.M.",L65/(-K65)))),IF(L65=0,0,IF(OR(K65=0,N65=0),"N.M.",IF(ABS(L65/K65)&gt;=10,"N.M.",L65/K65))))</f>
        <v>N.M.</v>
      </c>
      <c r="N65" s="157"/>
      <c r="O65" s="51">
        <v>280972.3</v>
      </c>
      <c r="P65" s="51">
        <f aca="true" t="shared" si="18" ref="P65:P75">+F65-O65</f>
        <v>527593.74</v>
      </c>
      <c r="Q65" s="136">
        <f aca="true" t="shared" si="19" ref="Q65:Q75">IF(O65&lt;0,IF(P65=0,0,IF(OR(O65=0,F65=0),"N.M.",IF(ABS(P65/O65)&gt;=10,"N.M.",P65/(-O65)))),IF(P65=0,0,IF(OR(O65=0,F65=0),"N.M.",IF(ABS(P65/O65)&gt;=10,"N.M.",P65/O65))))</f>
        <v>1.8777428949401773</v>
      </c>
    </row>
    <row r="66" spans="1:17" s="67" customFormat="1" ht="0.75" customHeight="1" hidden="1" outlineLevel="1">
      <c r="A66" s="86"/>
      <c r="B66" s="87"/>
      <c r="C66" s="83"/>
      <c r="D66" s="66"/>
      <c r="E66" s="66"/>
      <c r="F66" s="51"/>
      <c r="G66" s="51"/>
      <c r="H66" s="51">
        <f t="shared" si="14"/>
        <v>0</v>
      </c>
      <c r="I66" s="136">
        <f t="shared" si="15"/>
        <v>0</v>
      </c>
      <c r="J66" s="157"/>
      <c r="K66" s="51"/>
      <c r="L66" s="51">
        <f t="shared" si="16"/>
        <v>0</v>
      </c>
      <c r="M66" s="136">
        <f t="shared" si="17"/>
        <v>0</v>
      </c>
      <c r="N66" s="157"/>
      <c r="O66" s="51"/>
      <c r="P66" s="51">
        <f t="shared" si="18"/>
        <v>0</v>
      </c>
      <c r="Q66" s="136">
        <f t="shared" si="19"/>
        <v>0</v>
      </c>
    </row>
    <row r="67" spans="1:17" s="15" customFormat="1" ht="12.75" hidden="1" outlineLevel="2">
      <c r="A67" s="15" t="s">
        <v>422</v>
      </c>
      <c r="B67" s="15" t="s">
        <v>423</v>
      </c>
      <c r="C67" s="134" t="s">
        <v>424</v>
      </c>
      <c r="D67" s="16"/>
      <c r="E67" s="16"/>
      <c r="F67" s="16">
        <v>767311.17</v>
      </c>
      <c r="G67" s="16">
        <v>2483377.74</v>
      </c>
      <c r="H67" s="16">
        <f>+F67-G67</f>
        <v>-1716066.5700000003</v>
      </c>
      <c r="I67" s="53">
        <f>IF(G67&lt;0,IF(H67=0,0,IF(OR(G67=0,F67=0),"N.M.",IF(ABS(H67/G67)&gt;=10,"N.M.",H67/(-G67)))),IF(H67=0,0,IF(OR(G67=0,F67=0),"N.M.",IF(ABS(H67/G67)&gt;=10,"N.M.",H67/G67))))</f>
        <v>-0.691021161363877</v>
      </c>
      <c r="J67" s="174"/>
      <c r="K67" s="256">
        <v>973935.22</v>
      </c>
      <c r="L67" s="16">
        <f>+F67-K67</f>
        <v>-206624.04999999993</v>
      </c>
      <c r="M67" s="53" t="str">
        <f>IF(K67&lt;0,IF(L67=0,0,IF(OR(K67=0,N67=0),"N.M.",IF(ABS(L67/K67)&gt;=10,"N.M.",L67/(-K67)))),IF(L67=0,0,IF(OR(K67=0,N67=0),"N.M.",IF(ABS(L67/K67)&gt;=10,"N.M.",L67/K67))))</f>
        <v>N.M.</v>
      </c>
      <c r="N67" s="174"/>
      <c r="O67" s="256">
        <v>1753740.25</v>
      </c>
      <c r="P67" s="16">
        <f>+F67-O67</f>
        <v>-986429.08</v>
      </c>
      <c r="Q67" s="53">
        <f>IF(O67&lt;0,IF(P67=0,0,IF(OR(O67=0,F67=0),"N.M.",IF(ABS(P67/O67)&gt;=10,"N.M.",P67/(-O67)))),IF(P67=0,0,IF(OR(O67=0,F67=0),"N.M.",IF(ABS(P67/O67)&gt;=10,"N.M.",P67/O67))))</f>
        <v>-0.5624715974899932</v>
      </c>
    </row>
    <row r="68" spans="1:17" s="67" customFormat="1" ht="12.75" hidden="1" outlineLevel="1">
      <c r="A68" s="86" t="s">
        <v>129</v>
      </c>
      <c r="B68" s="87"/>
      <c r="C68" s="76" t="s">
        <v>88</v>
      </c>
      <c r="D68" s="66"/>
      <c r="E68" s="66"/>
      <c r="F68" s="51">
        <v>767311.17</v>
      </c>
      <c r="G68" s="51">
        <v>2483377.74</v>
      </c>
      <c r="H68" s="51">
        <f t="shared" si="14"/>
        <v>-1716066.5700000003</v>
      </c>
      <c r="I68" s="136">
        <f t="shared" si="15"/>
        <v>-0.691021161363877</v>
      </c>
      <c r="J68" s="157"/>
      <c r="K68" s="51">
        <v>973935.22</v>
      </c>
      <c r="L68" s="51">
        <f t="shared" si="16"/>
        <v>-206624.04999999993</v>
      </c>
      <c r="M68" s="136" t="str">
        <f t="shared" si="17"/>
        <v>N.M.</v>
      </c>
      <c r="N68" s="157"/>
      <c r="O68" s="51">
        <v>1753740.25</v>
      </c>
      <c r="P68" s="51">
        <f t="shared" si="18"/>
        <v>-986429.08</v>
      </c>
      <c r="Q68" s="136">
        <f t="shared" si="19"/>
        <v>-0.5624715974899932</v>
      </c>
    </row>
    <row r="69" spans="1:17" s="67" customFormat="1" ht="12.75" hidden="1" outlineLevel="1">
      <c r="A69" s="86" t="s">
        <v>130</v>
      </c>
      <c r="B69" s="87"/>
      <c r="C69" s="76" t="s">
        <v>90</v>
      </c>
      <c r="D69" s="66"/>
      <c r="E69" s="66"/>
      <c r="F69" s="51">
        <v>0</v>
      </c>
      <c r="G69" s="51">
        <v>0</v>
      </c>
      <c r="H69" s="51">
        <f t="shared" si="14"/>
        <v>0</v>
      </c>
      <c r="I69" s="136">
        <f t="shared" si="15"/>
        <v>0</v>
      </c>
      <c r="J69" s="157"/>
      <c r="K69" s="51">
        <v>0</v>
      </c>
      <c r="L69" s="51">
        <f t="shared" si="16"/>
        <v>0</v>
      </c>
      <c r="M69" s="136">
        <f t="shared" si="17"/>
        <v>0</v>
      </c>
      <c r="N69" s="157"/>
      <c r="O69" s="51">
        <v>0</v>
      </c>
      <c r="P69" s="51">
        <f t="shared" si="18"/>
        <v>0</v>
      </c>
      <c r="Q69" s="136">
        <f t="shared" si="19"/>
        <v>0</v>
      </c>
    </row>
    <row r="70" spans="1:17" s="15" customFormat="1" ht="12.75" hidden="1" outlineLevel="2">
      <c r="A70" s="15" t="s">
        <v>425</v>
      </c>
      <c r="B70" s="15" t="s">
        <v>426</v>
      </c>
      <c r="C70" s="134" t="s">
        <v>427</v>
      </c>
      <c r="D70" s="16"/>
      <c r="E70" s="16"/>
      <c r="F70" s="16">
        <v>0</v>
      </c>
      <c r="G70" s="16">
        <v>4999.72</v>
      </c>
      <c r="H70" s="16">
        <f>+F70-G70</f>
        <v>-4999.72</v>
      </c>
      <c r="I70" s="53" t="str">
        <f>IF(G70&lt;0,IF(H70=0,0,IF(OR(G70=0,F70=0),"N.M.",IF(ABS(H70/G70)&gt;=10,"N.M.",H70/(-G70)))),IF(H70=0,0,IF(OR(G70=0,F70=0),"N.M.",IF(ABS(H70/G70)&gt;=10,"N.M.",H70/G70))))</f>
        <v>N.M.</v>
      </c>
      <c r="J70" s="174"/>
      <c r="K70" s="256">
        <v>0</v>
      </c>
      <c r="L70" s="16">
        <f>+F70-K70</f>
        <v>0</v>
      </c>
      <c r="M70" s="53">
        <f>IF(K70&lt;0,IF(L70=0,0,IF(OR(K70=0,N70=0),"N.M.",IF(ABS(L70/K70)&gt;=10,"N.M.",L70/(-K70)))),IF(L70=0,0,IF(OR(K70=0,N70=0),"N.M.",IF(ABS(L70/K70)&gt;=10,"N.M.",L70/K70))))</f>
        <v>0</v>
      </c>
      <c r="N70" s="174"/>
      <c r="O70" s="256">
        <v>0</v>
      </c>
      <c r="P70" s="16">
        <f>+F70-O70</f>
        <v>0</v>
      </c>
      <c r="Q70" s="53">
        <f>IF(O70&lt;0,IF(P70=0,0,IF(OR(O70=0,F70=0),"N.M.",IF(ABS(P70/O70)&gt;=10,"N.M.",P70/(-O70)))),IF(P70=0,0,IF(OR(O70=0,F70=0),"N.M.",IF(ABS(P70/O70)&gt;=10,"N.M.",P70/O70))))</f>
        <v>0</v>
      </c>
    </row>
    <row r="71" spans="1:17" s="67" customFormat="1" ht="12.75" hidden="1" outlineLevel="1">
      <c r="A71" s="86" t="s">
        <v>131</v>
      </c>
      <c r="B71" s="87"/>
      <c r="C71" s="76" t="s">
        <v>89</v>
      </c>
      <c r="D71" s="66"/>
      <c r="E71" s="66"/>
      <c r="F71" s="51">
        <v>0</v>
      </c>
      <c r="G71" s="51">
        <v>4999.72</v>
      </c>
      <c r="H71" s="51">
        <f t="shared" si="14"/>
        <v>-4999.72</v>
      </c>
      <c r="I71" s="136" t="str">
        <f t="shared" si="15"/>
        <v>N.M.</v>
      </c>
      <c r="J71" s="157"/>
      <c r="K71" s="51">
        <v>0</v>
      </c>
      <c r="L71" s="51">
        <f t="shared" si="16"/>
        <v>0</v>
      </c>
      <c r="M71" s="136">
        <f t="shared" si="17"/>
        <v>0</v>
      </c>
      <c r="N71" s="157"/>
      <c r="O71" s="51">
        <v>0</v>
      </c>
      <c r="P71" s="51">
        <f t="shared" si="18"/>
        <v>0</v>
      </c>
      <c r="Q71" s="136">
        <f t="shared" si="19"/>
        <v>0</v>
      </c>
    </row>
    <row r="72" spans="1:17" s="67" customFormat="1" ht="12.75" hidden="1" outlineLevel="1">
      <c r="A72" s="86" t="s">
        <v>239</v>
      </c>
      <c r="B72" s="87"/>
      <c r="C72" s="52" t="s">
        <v>240</v>
      </c>
      <c r="D72" s="66"/>
      <c r="E72" s="66"/>
      <c r="F72" s="197">
        <v>0</v>
      </c>
      <c r="G72" s="197">
        <v>0</v>
      </c>
      <c r="H72" s="197">
        <f>+F72-G72</f>
        <v>0</v>
      </c>
      <c r="I72" s="138">
        <f>IF(G72&lt;0,IF(H72=0,0,IF(OR(G72=0,F72=0),"N.M.",IF(ABS(H72/G72)&gt;=10,"N.M.",H72/(-G72)))),IF(H72=0,0,IF(OR(G72=0,F72=0),"N.M.",IF(ABS(H72/G72)&gt;=10,"N.M.",H72/G72))))</f>
        <v>0</v>
      </c>
      <c r="J72" s="157"/>
      <c r="K72" s="197">
        <v>0</v>
      </c>
      <c r="L72" s="197">
        <f t="shared" si="16"/>
        <v>0</v>
      </c>
      <c r="M72" s="138">
        <f t="shared" si="17"/>
        <v>0</v>
      </c>
      <c r="N72" s="157"/>
      <c r="O72" s="197">
        <v>0</v>
      </c>
      <c r="P72" s="197">
        <f t="shared" si="18"/>
        <v>0</v>
      </c>
      <c r="Q72" s="138">
        <f>IF(O72&lt;0,IF(P72=0,0,IF(OR(O72=0,F72=0),"N.M.",IF(ABS(P72/O72)&gt;=10,"N.M.",P72/(-O72)))),IF(P72=0,0,IF(OR(O72=0,F72=0),"N.M.",IF(ABS(P72/O72)&gt;=10,"N.M.",P72/O72))))</f>
        <v>0</v>
      </c>
    </row>
    <row r="73" spans="1:17" s="67" customFormat="1" ht="12.75" hidden="1" outlineLevel="1">
      <c r="A73" s="86" t="s">
        <v>231</v>
      </c>
      <c r="B73" s="87"/>
      <c r="C73" s="83" t="s">
        <v>92</v>
      </c>
      <c r="D73" s="66"/>
      <c r="E73" s="66"/>
      <c r="F73" s="51">
        <f>+F71+F69+F68+F72</f>
        <v>767311.17</v>
      </c>
      <c r="G73" s="51">
        <f>+G71+G69+G68+G72</f>
        <v>2488377.4600000004</v>
      </c>
      <c r="H73" s="51">
        <f>+F73-G73</f>
        <v>-1721066.2900000005</v>
      </c>
      <c r="I73" s="136">
        <f t="shared" si="15"/>
        <v>-0.6916419705875331</v>
      </c>
      <c r="J73" s="157"/>
      <c r="K73" s="51">
        <f>+K71+K69+K68+K72</f>
        <v>973935.22</v>
      </c>
      <c r="L73" s="51">
        <f t="shared" si="16"/>
        <v>-206624.04999999993</v>
      </c>
      <c r="M73" s="136" t="str">
        <f t="shared" si="17"/>
        <v>N.M.</v>
      </c>
      <c r="N73" s="157"/>
      <c r="O73" s="51">
        <f>+O71+O69+O68+O72</f>
        <v>1753740.25</v>
      </c>
      <c r="P73" s="51">
        <f t="shared" si="18"/>
        <v>-986429.08</v>
      </c>
      <c r="Q73" s="136">
        <f t="shared" si="19"/>
        <v>-0.5624715974899932</v>
      </c>
    </row>
    <row r="74" spans="1:17" s="67" customFormat="1" ht="12.75" hidden="1" outlineLevel="1">
      <c r="A74" s="86" t="s">
        <v>132</v>
      </c>
      <c r="B74" s="87"/>
      <c r="C74" s="83" t="s">
        <v>91</v>
      </c>
      <c r="D74" s="66"/>
      <c r="E74" s="66"/>
      <c r="F74" s="51">
        <v>0</v>
      </c>
      <c r="G74" s="51">
        <v>0</v>
      </c>
      <c r="H74" s="51">
        <f t="shared" si="14"/>
        <v>0</v>
      </c>
      <c r="I74" s="136">
        <f t="shared" si="15"/>
        <v>0</v>
      </c>
      <c r="J74" s="157"/>
      <c r="K74" s="51">
        <v>0</v>
      </c>
      <c r="L74" s="51">
        <f t="shared" si="16"/>
        <v>0</v>
      </c>
      <c r="M74" s="136">
        <f t="shared" si="17"/>
        <v>0</v>
      </c>
      <c r="N74" s="157"/>
      <c r="O74" s="51">
        <v>0</v>
      </c>
      <c r="P74" s="51">
        <f t="shared" si="18"/>
        <v>0</v>
      </c>
      <c r="Q74" s="136">
        <f t="shared" si="19"/>
        <v>0</v>
      </c>
    </row>
    <row r="75" spans="1:17" s="67" customFormat="1" ht="12.75" collapsed="1">
      <c r="A75" s="67" t="s">
        <v>232</v>
      </c>
      <c r="B75" s="87"/>
      <c r="C75" s="82" t="s">
        <v>87</v>
      </c>
      <c r="D75" s="66"/>
      <c r="E75" s="66"/>
      <c r="F75" s="51">
        <f>+F74+F73+F65</f>
        <v>1575877.21</v>
      </c>
      <c r="G75" s="51">
        <f>+G74+G73+G65</f>
        <v>3104166.5600000005</v>
      </c>
      <c r="H75" s="51">
        <f>+F75-G75</f>
        <v>-1528289.3500000006</v>
      </c>
      <c r="I75" s="136">
        <f>IF(G75&lt;0,IF(H75=0,0,IF(OR(G75=0,F75=0),"N.M.",IF(ABS(H75/G75)&gt;=10,"N.M.",H75/(-G75)))),IF(H75=0,0,IF(OR(G75=0,F75=0),"N.M.",IF(ABS(H75/G75)&gt;=10,"N.M.",H75/G75))))</f>
        <v>-0.4923348410788886</v>
      </c>
      <c r="J75" s="157"/>
      <c r="K75" s="51">
        <f>+K74+K73+K65</f>
        <v>1523559.25</v>
      </c>
      <c r="L75" s="51">
        <f t="shared" si="16"/>
        <v>52317.95999999996</v>
      </c>
      <c r="M75" s="136" t="str">
        <f t="shared" si="17"/>
        <v>N.M.</v>
      </c>
      <c r="N75" s="157"/>
      <c r="O75" s="51">
        <f>+O74+O73+O65</f>
        <v>2034712.55</v>
      </c>
      <c r="P75" s="51">
        <f t="shared" si="18"/>
        <v>-458835.3400000001</v>
      </c>
      <c r="Q75" s="136">
        <f t="shared" si="19"/>
        <v>-0.22550376464724714</v>
      </c>
    </row>
    <row r="76" spans="2:17" s="67" customFormat="1" ht="0.75" customHeight="1" hidden="1" outlineLevel="1">
      <c r="B76" s="87"/>
      <c r="C76" s="82"/>
      <c r="D76" s="66"/>
      <c r="E76" s="66"/>
      <c r="F76" s="51"/>
      <c r="G76" s="51"/>
      <c r="H76" s="51"/>
      <c r="I76" s="136"/>
      <c r="J76" s="157"/>
      <c r="K76" s="51"/>
      <c r="L76" s="51"/>
      <c r="M76" s="136"/>
      <c r="N76" s="157"/>
      <c r="O76" s="51"/>
      <c r="P76" s="51"/>
      <c r="Q76" s="136"/>
    </row>
    <row r="77" spans="1:17" s="15" customFormat="1" ht="12.75" hidden="1" outlineLevel="2">
      <c r="A77" s="15" t="s">
        <v>428</v>
      </c>
      <c r="B77" s="15" t="s">
        <v>429</v>
      </c>
      <c r="C77" s="134" t="s">
        <v>430</v>
      </c>
      <c r="D77" s="16"/>
      <c r="E77" s="16"/>
      <c r="F77" s="16">
        <v>95669330.94</v>
      </c>
      <c r="G77" s="16">
        <v>42822925.41</v>
      </c>
      <c r="H77" s="16">
        <f>+F77-G77</f>
        <v>52846405.53</v>
      </c>
      <c r="I77" s="53">
        <f>IF(G77&lt;0,IF(H77=0,0,IF(OR(G77=0,F77=0),"N.M.",IF(ABS(H77/G77)&gt;=10,"N.M.",H77/(-G77)))),IF(H77=0,0,IF(OR(G77=0,F77=0),"N.M.",IF(ABS(H77/G77)&gt;=10,"N.M.",H77/G77))))</f>
        <v>1.2340680844204848</v>
      </c>
      <c r="J77" s="174"/>
      <c r="K77" s="256">
        <v>107657869.05</v>
      </c>
      <c r="L77" s="16">
        <f>+F77-K77</f>
        <v>-11988538.11</v>
      </c>
      <c r="M77" s="53" t="str">
        <f>IF(K77&lt;0,IF(L77=0,0,IF(OR(K77=0,N77=0),"N.M.",IF(ABS(L77/K77)&gt;=10,"N.M.",L77/(-K77)))),IF(L77=0,0,IF(OR(K77=0,N77=0),"N.M.",IF(ABS(L77/K77)&gt;=10,"N.M.",L77/K77))))</f>
        <v>N.M.</v>
      </c>
      <c r="N77" s="174"/>
      <c r="O77" s="256">
        <v>67059742.87</v>
      </c>
      <c r="P77" s="16">
        <f>+F77-O77</f>
        <v>28609588.07</v>
      </c>
      <c r="Q77" s="53">
        <f>IF(O77&lt;0,IF(P77=0,0,IF(OR(O77=0,F77=0),"N.M.",IF(ABS(P77/O77)&gt;=10,"N.M.",P77/(-O77)))),IF(P77=0,0,IF(OR(O77=0,F77=0),"N.M.",IF(ABS(P77/O77)&gt;=10,"N.M.",P77/O77))))</f>
        <v>0.4266283592148823</v>
      </c>
    </row>
    <row r="78" spans="1:17" s="67" customFormat="1" ht="12.75" collapsed="1">
      <c r="A78" s="67" t="s">
        <v>133</v>
      </c>
      <c r="B78" s="87"/>
      <c r="C78" s="82" t="s">
        <v>93</v>
      </c>
      <c r="D78" s="66"/>
      <c r="E78" s="66"/>
      <c r="F78" s="51">
        <v>95669330.94</v>
      </c>
      <c r="G78" s="51">
        <v>42822925.41</v>
      </c>
      <c r="H78" s="51">
        <f>+F78-G78</f>
        <v>52846405.53</v>
      </c>
      <c r="I78" s="136">
        <f>IF(G78&lt;0,IF(H78=0,0,IF(OR(G78=0,F78=0),"N.M.",IF(ABS(H78/G78)&gt;=10,"N.M.",H78/(-G78)))),IF(H78=0,0,IF(OR(G78=0,F78=0),"N.M.",IF(ABS(H78/G78)&gt;=10,"N.M.",H78/G78))))</f>
        <v>1.2340680844204848</v>
      </c>
      <c r="J78" s="157"/>
      <c r="K78" s="51">
        <v>107657869.05</v>
      </c>
      <c r="L78" s="51">
        <f>+F78-K78</f>
        <v>-11988538.11</v>
      </c>
      <c r="M78" s="136" t="str">
        <f>IF(K78&lt;0,IF(L78=0,0,IF(OR(K78=0,N78=0),"N.M.",IF(ABS(L78/K78)&gt;=10,"N.M.",L78/(-K78)))),IF(L78=0,0,IF(OR(K78=0,N78=0),"N.M.",IF(ABS(L78/K78)&gt;=10,"N.M.",L78/K78))))</f>
        <v>N.M.</v>
      </c>
      <c r="N78" s="157"/>
      <c r="O78" s="51">
        <v>67059742.87</v>
      </c>
      <c r="P78" s="51">
        <f>+F78-O78</f>
        <v>28609588.07</v>
      </c>
      <c r="Q78" s="136">
        <f>IF(O78&lt;0,IF(P78=0,0,IF(OR(O78=0,F78=0),"N.M.",IF(ABS(P78/O78)&gt;=10,"N.M.",P78/(-O78)))),IF(P78=0,0,IF(OR(O78=0,F78=0),"N.M.",IF(ABS(P78/O78)&gt;=10,"N.M.",P78/O78))))</f>
        <v>0.4266283592148823</v>
      </c>
    </row>
    <row r="79" spans="2:17" s="67" customFormat="1" ht="0.75" customHeight="1" hidden="1" outlineLevel="1">
      <c r="B79" s="87"/>
      <c r="C79" s="82"/>
      <c r="D79" s="66"/>
      <c r="E79" s="66"/>
      <c r="F79" s="51"/>
      <c r="G79" s="51"/>
      <c r="H79" s="51"/>
      <c r="I79" s="136"/>
      <c r="J79" s="157"/>
      <c r="K79" s="51"/>
      <c r="L79" s="51"/>
      <c r="M79" s="136"/>
      <c r="N79" s="157"/>
      <c r="O79" s="51"/>
      <c r="P79" s="51"/>
      <c r="Q79" s="136"/>
    </row>
    <row r="80" spans="1:17" s="15" customFormat="1" ht="12.75" hidden="1" outlineLevel="2">
      <c r="A80" s="15" t="s">
        <v>431</v>
      </c>
      <c r="B80" s="15" t="s">
        <v>432</v>
      </c>
      <c r="C80" s="134" t="s">
        <v>433</v>
      </c>
      <c r="D80" s="16"/>
      <c r="E80" s="16"/>
      <c r="F80" s="16">
        <v>31472348.616</v>
      </c>
      <c r="G80" s="16">
        <v>30062778.836</v>
      </c>
      <c r="H80" s="16">
        <f aca="true" t="shared" si="20" ref="H80:H94">+F80-G80</f>
        <v>1409569.7800000012</v>
      </c>
      <c r="I80" s="53">
        <f aca="true" t="shared" si="21" ref="I80:I94">IF(G80&lt;0,IF(H80=0,0,IF(OR(G80=0,F80=0),"N.M.",IF(ABS(H80/G80)&gt;=10,"N.M.",H80/(-G80)))),IF(H80=0,0,IF(OR(G80=0,F80=0),"N.M.",IF(ABS(H80/G80)&gt;=10,"N.M.",H80/G80))))</f>
        <v>0.04688754115810644</v>
      </c>
      <c r="J80" s="174"/>
      <c r="K80" s="256">
        <v>35574121.736</v>
      </c>
      <c r="L80" s="16">
        <f aca="true" t="shared" si="22" ref="L80:L94">+F80-K80</f>
        <v>-4101773.120000001</v>
      </c>
      <c r="M80" s="53" t="str">
        <f aca="true" t="shared" si="23" ref="M80:M94">IF(K80&lt;0,IF(L80=0,0,IF(OR(K80=0,N80=0),"N.M.",IF(ABS(L80/K80)&gt;=10,"N.M.",L80/(-K80)))),IF(L80=0,0,IF(OR(K80=0,N80=0),"N.M.",IF(ABS(L80/K80)&gt;=10,"N.M.",L80/K80))))</f>
        <v>N.M.</v>
      </c>
      <c r="N80" s="174"/>
      <c r="O80" s="256">
        <v>37513873.606</v>
      </c>
      <c r="P80" s="16">
        <f aca="true" t="shared" si="24" ref="P80:P94">+F80-O80</f>
        <v>-6041524.989999998</v>
      </c>
      <c r="Q80" s="53">
        <f aca="true" t="shared" si="25" ref="Q80:Q94">IF(O80&lt;0,IF(P80=0,0,IF(OR(O80=0,F80=0),"N.M.",IF(ABS(P80/O80)&gt;=10,"N.M.",P80/(-O80)))),IF(P80=0,0,IF(OR(O80=0,F80=0),"N.M.",IF(ABS(P80/O80)&gt;=10,"N.M.",P80/O80))))</f>
        <v>-0.1610477513853358</v>
      </c>
    </row>
    <row r="81" spans="1:17" s="15" customFormat="1" ht="12.75" hidden="1" outlineLevel="2">
      <c r="A81" s="15" t="s">
        <v>434</v>
      </c>
      <c r="B81" s="15" t="s">
        <v>435</v>
      </c>
      <c r="C81" s="134" t="s">
        <v>436</v>
      </c>
      <c r="D81" s="16"/>
      <c r="E81" s="16"/>
      <c r="F81" s="16">
        <v>639004.8</v>
      </c>
      <c r="G81" s="16">
        <v>636237.1900000001</v>
      </c>
      <c r="H81" s="16">
        <f t="shared" si="20"/>
        <v>2767.609999999986</v>
      </c>
      <c r="I81" s="53">
        <f t="shared" si="21"/>
        <v>0.004349965772984735</v>
      </c>
      <c r="J81" s="174"/>
      <c r="K81" s="256">
        <v>745081.99</v>
      </c>
      <c r="L81" s="16">
        <f t="shared" si="22"/>
        <v>-106077.18999999994</v>
      </c>
      <c r="M81" s="53" t="str">
        <f t="shared" si="23"/>
        <v>N.M.</v>
      </c>
      <c r="N81" s="174"/>
      <c r="O81" s="256">
        <v>665768.93</v>
      </c>
      <c r="P81" s="16">
        <f t="shared" si="24"/>
        <v>-26764.130000000005</v>
      </c>
      <c r="Q81" s="53">
        <f t="shared" si="25"/>
        <v>-0.04020032896398455</v>
      </c>
    </row>
    <row r="82" spans="1:17" s="15" customFormat="1" ht="12.75" hidden="1" outlineLevel="2">
      <c r="A82" s="15" t="s">
        <v>437</v>
      </c>
      <c r="B82" s="15" t="s">
        <v>438</v>
      </c>
      <c r="C82" s="134" t="s">
        <v>439</v>
      </c>
      <c r="D82" s="16"/>
      <c r="E82" s="16"/>
      <c r="F82" s="16">
        <v>5760</v>
      </c>
      <c r="G82" s="16">
        <v>13476</v>
      </c>
      <c r="H82" s="16">
        <f t="shared" si="20"/>
        <v>-7716</v>
      </c>
      <c r="I82" s="53">
        <f t="shared" si="21"/>
        <v>-0.572573463935886</v>
      </c>
      <c r="J82" s="174"/>
      <c r="K82" s="256">
        <v>5760</v>
      </c>
      <c r="L82" s="16">
        <f t="shared" si="22"/>
        <v>0</v>
      </c>
      <c r="M82" s="53">
        <f t="shared" si="23"/>
        <v>0</v>
      </c>
      <c r="N82" s="174"/>
      <c r="O82" s="256">
        <v>16704</v>
      </c>
      <c r="P82" s="16">
        <f t="shared" si="24"/>
        <v>-10944</v>
      </c>
      <c r="Q82" s="53">
        <f t="shared" si="25"/>
        <v>-0.6551724137931034</v>
      </c>
    </row>
    <row r="83" spans="1:17" s="15" customFormat="1" ht="12.75" hidden="1" outlineLevel="2">
      <c r="A83" s="15" t="s">
        <v>440</v>
      </c>
      <c r="B83" s="15" t="s">
        <v>441</v>
      </c>
      <c r="C83" s="134" t="s">
        <v>442</v>
      </c>
      <c r="D83" s="16"/>
      <c r="E83" s="16"/>
      <c r="F83" s="16">
        <v>-32345450.15</v>
      </c>
      <c r="G83" s="16">
        <v>-29646808.31</v>
      </c>
      <c r="H83" s="16">
        <f t="shared" si="20"/>
        <v>-2698641.84</v>
      </c>
      <c r="I83" s="53">
        <f t="shared" si="21"/>
        <v>-0.09102638677937334</v>
      </c>
      <c r="J83" s="174"/>
      <c r="K83" s="256">
        <v>-33757043.43</v>
      </c>
      <c r="L83" s="16">
        <f t="shared" si="22"/>
        <v>1411593.2800000012</v>
      </c>
      <c r="M83" s="53" t="str">
        <f t="shared" si="23"/>
        <v>N.M.</v>
      </c>
      <c r="N83" s="174"/>
      <c r="O83" s="256">
        <v>-35446282.39</v>
      </c>
      <c r="P83" s="16">
        <f t="shared" si="24"/>
        <v>3100832.240000002</v>
      </c>
      <c r="Q83" s="53">
        <f t="shared" si="25"/>
        <v>0.08747975897395659</v>
      </c>
    </row>
    <row r="84" spans="1:17" s="15" customFormat="1" ht="12.75" hidden="1" outlineLevel="2">
      <c r="A84" s="15" t="s">
        <v>443</v>
      </c>
      <c r="B84" s="15" t="s">
        <v>444</v>
      </c>
      <c r="C84" s="134" t="s">
        <v>445</v>
      </c>
      <c r="D84" s="16"/>
      <c r="E84" s="16"/>
      <c r="F84" s="16">
        <v>6692851.862</v>
      </c>
      <c r="G84" s="16">
        <v>8068848.162</v>
      </c>
      <c r="H84" s="16">
        <f t="shared" si="20"/>
        <v>-1375996.2999999998</v>
      </c>
      <c r="I84" s="53">
        <f t="shared" si="21"/>
        <v>-0.17053193620375873</v>
      </c>
      <c r="J84" s="174"/>
      <c r="K84" s="256">
        <v>8375987.052</v>
      </c>
      <c r="L84" s="16">
        <f t="shared" si="22"/>
        <v>-1683135.1900000004</v>
      </c>
      <c r="M84" s="53" t="str">
        <f t="shared" si="23"/>
        <v>N.M.</v>
      </c>
      <c r="N84" s="174"/>
      <c r="O84" s="256">
        <v>8775618.812</v>
      </c>
      <c r="P84" s="16">
        <f t="shared" si="24"/>
        <v>-2082766.9500000011</v>
      </c>
      <c r="Q84" s="53">
        <f t="shared" si="25"/>
        <v>-0.23733562209333586</v>
      </c>
    </row>
    <row r="85" spans="1:17" s="15" customFormat="1" ht="12.75" hidden="1" outlineLevel="2">
      <c r="A85" s="15" t="s">
        <v>446</v>
      </c>
      <c r="B85" s="15" t="s">
        <v>447</v>
      </c>
      <c r="C85" s="134" t="s">
        <v>448</v>
      </c>
      <c r="D85" s="16"/>
      <c r="E85" s="16"/>
      <c r="F85" s="16">
        <v>312188.26</v>
      </c>
      <c r="G85" s="16">
        <v>355676.07</v>
      </c>
      <c r="H85" s="16">
        <f t="shared" si="20"/>
        <v>-43487.81</v>
      </c>
      <c r="I85" s="53">
        <f t="shared" si="21"/>
        <v>-0.12226802326060338</v>
      </c>
      <c r="J85" s="174"/>
      <c r="K85" s="256">
        <v>452093.19</v>
      </c>
      <c r="L85" s="16">
        <f t="shared" si="22"/>
        <v>-139904.93</v>
      </c>
      <c r="M85" s="53" t="str">
        <f t="shared" si="23"/>
        <v>N.M.</v>
      </c>
      <c r="N85" s="174"/>
      <c r="O85" s="256">
        <v>362252.92</v>
      </c>
      <c r="P85" s="16">
        <f t="shared" si="24"/>
        <v>-50064.659999999974</v>
      </c>
      <c r="Q85" s="53">
        <f t="shared" si="25"/>
        <v>-0.13820360647472482</v>
      </c>
    </row>
    <row r="86" spans="1:17" s="15" customFormat="1" ht="12.75" hidden="1" outlineLevel="2">
      <c r="A86" s="15" t="s">
        <v>449</v>
      </c>
      <c r="B86" s="15" t="s">
        <v>450</v>
      </c>
      <c r="C86" s="134" t="s">
        <v>451</v>
      </c>
      <c r="D86" s="16"/>
      <c r="E86" s="16"/>
      <c r="F86" s="16">
        <v>0</v>
      </c>
      <c r="G86" s="16">
        <v>0</v>
      </c>
      <c r="H86" s="16">
        <f t="shared" si="20"/>
        <v>0</v>
      </c>
      <c r="I86" s="53">
        <f t="shared" si="21"/>
        <v>0</v>
      </c>
      <c r="J86" s="174"/>
      <c r="K86" s="256">
        <v>-28</v>
      </c>
      <c r="L86" s="16">
        <f t="shared" si="22"/>
        <v>28</v>
      </c>
      <c r="M86" s="53" t="str">
        <f t="shared" si="23"/>
        <v>N.M.</v>
      </c>
      <c r="N86" s="174"/>
      <c r="O86" s="256">
        <v>593592</v>
      </c>
      <c r="P86" s="16">
        <f t="shared" si="24"/>
        <v>-593592</v>
      </c>
      <c r="Q86" s="53" t="str">
        <f t="shared" si="25"/>
        <v>N.M.</v>
      </c>
    </row>
    <row r="87" spans="1:17" s="15" customFormat="1" ht="12.75" hidden="1" outlineLevel="2">
      <c r="A87" s="15" t="s">
        <v>452</v>
      </c>
      <c r="B87" s="15" t="s">
        <v>453</v>
      </c>
      <c r="C87" s="134" t="s">
        <v>454</v>
      </c>
      <c r="D87" s="16"/>
      <c r="E87" s="16"/>
      <c r="F87" s="16">
        <v>289.34000000000003</v>
      </c>
      <c r="G87" s="16">
        <v>0</v>
      </c>
      <c r="H87" s="16">
        <f t="shared" si="20"/>
        <v>289.34000000000003</v>
      </c>
      <c r="I87" s="53" t="str">
        <f t="shared" si="21"/>
        <v>N.M.</v>
      </c>
      <c r="J87" s="174"/>
      <c r="K87" s="256">
        <v>289.34000000000003</v>
      </c>
      <c r="L87" s="16">
        <f t="shared" si="22"/>
        <v>0</v>
      </c>
      <c r="M87" s="53">
        <f t="shared" si="23"/>
        <v>0</v>
      </c>
      <c r="N87" s="174"/>
      <c r="O87" s="256">
        <v>0</v>
      </c>
      <c r="P87" s="16">
        <f t="shared" si="24"/>
        <v>289.34000000000003</v>
      </c>
      <c r="Q87" s="53" t="str">
        <f t="shared" si="25"/>
        <v>N.M.</v>
      </c>
    </row>
    <row r="88" spans="1:17" s="15" customFormat="1" ht="12.75" hidden="1" outlineLevel="2">
      <c r="A88" s="15" t="s">
        <v>455</v>
      </c>
      <c r="B88" s="15" t="s">
        <v>456</v>
      </c>
      <c r="C88" s="134" t="s">
        <v>457</v>
      </c>
      <c r="D88" s="16"/>
      <c r="E88" s="16"/>
      <c r="F88" s="16">
        <v>949679</v>
      </c>
      <c r="G88" s="16">
        <v>1013747</v>
      </c>
      <c r="H88" s="16">
        <f t="shared" si="20"/>
        <v>-64068</v>
      </c>
      <c r="I88" s="53">
        <f t="shared" si="21"/>
        <v>-0.0631992005894962</v>
      </c>
      <c r="J88" s="174"/>
      <c r="K88" s="256">
        <v>117134</v>
      </c>
      <c r="L88" s="16">
        <f t="shared" si="22"/>
        <v>832545</v>
      </c>
      <c r="M88" s="53" t="str">
        <f t="shared" si="23"/>
        <v>N.M.</v>
      </c>
      <c r="N88" s="174"/>
      <c r="O88" s="256">
        <v>5932642</v>
      </c>
      <c r="P88" s="16">
        <f t="shared" si="24"/>
        <v>-4982963</v>
      </c>
      <c r="Q88" s="53">
        <f t="shared" si="25"/>
        <v>-0.8399230899150834</v>
      </c>
    </row>
    <row r="89" spans="1:17" s="15" customFormat="1" ht="12.75" hidden="1" outlineLevel="2">
      <c r="A89" s="15" t="s">
        <v>458</v>
      </c>
      <c r="B89" s="15" t="s">
        <v>459</v>
      </c>
      <c r="C89" s="134" t="s">
        <v>460</v>
      </c>
      <c r="D89" s="16"/>
      <c r="E89" s="16"/>
      <c r="F89" s="16">
        <v>396220.761</v>
      </c>
      <c r="G89" s="16">
        <v>0.001</v>
      </c>
      <c r="H89" s="16">
        <f t="shared" si="20"/>
        <v>396220.76</v>
      </c>
      <c r="I89" s="53" t="str">
        <f t="shared" si="21"/>
        <v>N.M.</v>
      </c>
      <c r="J89" s="174"/>
      <c r="K89" s="256">
        <v>1162037.351</v>
      </c>
      <c r="L89" s="16">
        <f t="shared" si="22"/>
        <v>-765816.5900000001</v>
      </c>
      <c r="M89" s="53" t="str">
        <f t="shared" si="23"/>
        <v>N.M.</v>
      </c>
      <c r="N89" s="174"/>
      <c r="O89" s="256">
        <v>0.001</v>
      </c>
      <c r="P89" s="16">
        <f t="shared" si="24"/>
        <v>396220.76</v>
      </c>
      <c r="Q89" s="53" t="str">
        <f t="shared" si="25"/>
        <v>N.M.</v>
      </c>
    </row>
    <row r="90" spans="1:17" s="15" customFormat="1" ht="12.75" hidden="1" outlineLevel="2">
      <c r="A90" s="15" t="s">
        <v>461</v>
      </c>
      <c r="B90" s="15" t="s">
        <v>462</v>
      </c>
      <c r="C90" s="134" t="s">
        <v>463</v>
      </c>
      <c r="D90" s="16"/>
      <c r="E90" s="16"/>
      <c r="F90" s="16">
        <v>23846.88</v>
      </c>
      <c r="G90" s="16">
        <v>19911.010000000002</v>
      </c>
      <c r="H90" s="16">
        <f t="shared" si="20"/>
        <v>3935.869999999999</v>
      </c>
      <c r="I90" s="53">
        <f t="shared" si="21"/>
        <v>0.19767304621915205</v>
      </c>
      <c r="J90" s="174"/>
      <c r="K90" s="256">
        <v>15007.1</v>
      </c>
      <c r="L90" s="16">
        <f t="shared" si="22"/>
        <v>8839.78</v>
      </c>
      <c r="M90" s="53" t="str">
        <f t="shared" si="23"/>
        <v>N.M.</v>
      </c>
      <c r="N90" s="174"/>
      <c r="O90" s="256">
        <v>4022.19</v>
      </c>
      <c r="P90" s="16">
        <f t="shared" si="24"/>
        <v>19824.690000000002</v>
      </c>
      <c r="Q90" s="53">
        <f t="shared" si="25"/>
        <v>4.928829816592454</v>
      </c>
    </row>
    <row r="91" spans="1:17" s="15" customFormat="1" ht="12.75" hidden="1" outlineLevel="2">
      <c r="A91" s="15" t="s">
        <v>464</v>
      </c>
      <c r="B91" s="15" t="s">
        <v>465</v>
      </c>
      <c r="C91" s="134" t="s">
        <v>466</v>
      </c>
      <c r="D91" s="16"/>
      <c r="E91" s="16"/>
      <c r="F91" s="16">
        <v>232676.31</v>
      </c>
      <c r="G91" s="16">
        <v>293471.53</v>
      </c>
      <c r="H91" s="16">
        <f t="shared" si="20"/>
        <v>-60795.22000000003</v>
      </c>
      <c r="I91" s="53">
        <f t="shared" si="21"/>
        <v>-0.20715883411246067</v>
      </c>
      <c r="J91" s="174"/>
      <c r="K91" s="256">
        <v>354229.32</v>
      </c>
      <c r="L91" s="16">
        <f t="shared" si="22"/>
        <v>-121553.01000000001</v>
      </c>
      <c r="M91" s="53" t="str">
        <f t="shared" si="23"/>
        <v>N.M.</v>
      </c>
      <c r="N91" s="174"/>
      <c r="O91" s="256">
        <v>295983.53</v>
      </c>
      <c r="P91" s="16">
        <f t="shared" si="24"/>
        <v>-63307.22000000003</v>
      </c>
      <c r="Q91" s="53">
        <f t="shared" si="25"/>
        <v>-0.21388764435642763</v>
      </c>
    </row>
    <row r="92" spans="1:17" s="15" customFormat="1" ht="12.75" hidden="1" outlineLevel="2">
      <c r="A92" s="15" t="s">
        <v>467</v>
      </c>
      <c r="B92" s="15" t="s">
        <v>468</v>
      </c>
      <c r="C92" s="134" t="s">
        <v>469</v>
      </c>
      <c r="D92" s="16"/>
      <c r="E92" s="16"/>
      <c r="F92" s="16">
        <v>1.6400000000000001</v>
      </c>
      <c r="G92" s="16">
        <v>0</v>
      </c>
      <c r="H92" s="16">
        <f t="shared" si="20"/>
        <v>1.6400000000000001</v>
      </c>
      <c r="I92" s="53" t="str">
        <f t="shared" si="21"/>
        <v>N.M.</v>
      </c>
      <c r="J92" s="174"/>
      <c r="K92" s="256">
        <v>103008.38</v>
      </c>
      <c r="L92" s="16">
        <f t="shared" si="22"/>
        <v>-103006.74</v>
      </c>
      <c r="M92" s="53" t="str">
        <f t="shared" si="23"/>
        <v>N.M.</v>
      </c>
      <c r="N92" s="174"/>
      <c r="O92" s="256">
        <v>214289.54</v>
      </c>
      <c r="P92" s="16">
        <f t="shared" si="24"/>
        <v>-214287.9</v>
      </c>
      <c r="Q92" s="53">
        <f t="shared" si="25"/>
        <v>-0.9999923468033016</v>
      </c>
    </row>
    <row r="93" spans="1:17" s="15" customFormat="1" ht="12.75" hidden="1" outlineLevel="2">
      <c r="A93" s="15" t="s">
        <v>470</v>
      </c>
      <c r="B93" s="15" t="s">
        <v>471</v>
      </c>
      <c r="C93" s="134" t="s">
        <v>472</v>
      </c>
      <c r="D93" s="16"/>
      <c r="E93" s="16"/>
      <c r="F93" s="16">
        <v>90000</v>
      </c>
      <c r="G93" s="16">
        <v>0</v>
      </c>
      <c r="H93" s="16">
        <f t="shared" si="20"/>
        <v>90000</v>
      </c>
      <c r="I93" s="53" t="str">
        <f t="shared" si="21"/>
        <v>N.M.</v>
      </c>
      <c r="J93" s="174"/>
      <c r="K93" s="256">
        <v>87000</v>
      </c>
      <c r="L93" s="16">
        <f t="shared" si="22"/>
        <v>3000</v>
      </c>
      <c r="M93" s="53" t="str">
        <f t="shared" si="23"/>
        <v>N.M.</v>
      </c>
      <c r="N93" s="174"/>
      <c r="O93" s="256">
        <v>0</v>
      </c>
      <c r="P93" s="16">
        <f t="shared" si="24"/>
        <v>90000</v>
      </c>
      <c r="Q93" s="53" t="str">
        <f t="shared" si="25"/>
        <v>N.M.</v>
      </c>
    </row>
    <row r="94" spans="1:17" s="15" customFormat="1" ht="12.75" hidden="1" outlineLevel="2">
      <c r="A94" s="15" t="s">
        <v>473</v>
      </c>
      <c r="B94" s="15" t="s">
        <v>474</v>
      </c>
      <c r="C94" s="134" t="s">
        <v>475</v>
      </c>
      <c r="D94" s="16"/>
      <c r="E94" s="16"/>
      <c r="F94" s="16">
        <v>309461.39</v>
      </c>
      <c r="G94" s="16">
        <v>215274.63</v>
      </c>
      <c r="H94" s="16">
        <f t="shared" si="20"/>
        <v>94186.76000000001</v>
      </c>
      <c r="I94" s="53">
        <f t="shared" si="21"/>
        <v>0.43751908898879543</v>
      </c>
      <c r="J94" s="174"/>
      <c r="K94" s="256">
        <v>0</v>
      </c>
      <c r="L94" s="16">
        <f t="shared" si="22"/>
        <v>309461.39</v>
      </c>
      <c r="M94" s="53" t="str">
        <f t="shared" si="23"/>
        <v>N.M.</v>
      </c>
      <c r="N94" s="174"/>
      <c r="O94" s="256">
        <v>480008.08</v>
      </c>
      <c r="P94" s="16">
        <f t="shared" si="24"/>
        <v>-170546.69</v>
      </c>
      <c r="Q94" s="53">
        <f t="shared" si="25"/>
        <v>-0.3552996232896746</v>
      </c>
    </row>
    <row r="95" spans="1:17" s="67" customFormat="1" ht="12.75" collapsed="1">
      <c r="A95" s="67" t="s">
        <v>134</v>
      </c>
      <c r="B95" s="87"/>
      <c r="C95" s="82" t="s">
        <v>94</v>
      </c>
      <c r="D95" s="66"/>
      <c r="E95" s="66"/>
      <c r="F95" s="51">
        <v>8778878.709000003</v>
      </c>
      <c r="G95" s="51">
        <v>11032612.119000003</v>
      </c>
      <c r="H95" s="51">
        <f>+F95-G95</f>
        <v>-2253733.41</v>
      </c>
      <c r="I95" s="136">
        <f>IF(G95&lt;0,IF(H95=0,0,IF(OR(G95=0,F95=0),"N.M.",IF(ABS(H95/G95)&gt;=10,"N.M.",H95/(-G95)))),IF(H95=0,0,IF(OR(G95=0,F95=0),"N.M.",IF(ABS(H95/G95)&gt;=10,"N.M.",H95/G95))))</f>
        <v>-0.20427922106666782</v>
      </c>
      <c r="J95" s="157"/>
      <c r="K95" s="51">
        <v>13234678.029000005</v>
      </c>
      <c r="L95" s="51">
        <f>+F95-K95</f>
        <v>-4455799.320000002</v>
      </c>
      <c r="M95" s="136" t="str">
        <f>IF(K95&lt;0,IF(L95=0,0,IF(OR(K95=0,N95=0),"N.M.",IF(ABS(L95/K95)&gt;=10,"N.M.",L95/(-K95)))),IF(L95=0,0,IF(OR(K95=0,N95=0),"N.M.",IF(ABS(L95/K95)&gt;=10,"N.M.",L95/K95))))</f>
        <v>N.M.</v>
      </c>
      <c r="N95" s="157"/>
      <c r="O95" s="51">
        <v>19408473.218999997</v>
      </c>
      <c r="P95" s="51">
        <f>+F95-O95</f>
        <v>-10629594.509999994</v>
      </c>
      <c r="Q95" s="136">
        <f>IF(O95&lt;0,IF(P95=0,0,IF(OR(O95=0,F95=0),"N.M.",IF(ABS(P95/O95)&gt;=10,"N.M.",P95/(-O95)))),IF(P95=0,0,IF(OR(O95=0,F95=0),"N.M.",IF(ABS(P95/O95)&gt;=10,"N.M.",P95/O95))))</f>
        <v>-0.5476780368068372</v>
      </c>
    </row>
    <row r="96" spans="2:17" s="67" customFormat="1" ht="0.75" customHeight="1" hidden="1" outlineLevel="1">
      <c r="B96" s="87"/>
      <c r="C96" s="82"/>
      <c r="D96" s="66"/>
      <c r="E96" s="66"/>
      <c r="F96" s="51"/>
      <c r="G96" s="51"/>
      <c r="H96" s="51"/>
      <c r="I96" s="136"/>
      <c r="J96" s="157"/>
      <c r="K96" s="51"/>
      <c r="L96" s="51"/>
      <c r="M96" s="136"/>
      <c r="N96" s="157"/>
      <c r="O96" s="51"/>
      <c r="P96" s="51"/>
      <c r="Q96" s="136"/>
    </row>
    <row r="97" spans="1:17" s="15" customFormat="1" ht="12.75" hidden="1" outlineLevel="2">
      <c r="A97" s="15" t="s">
        <v>476</v>
      </c>
      <c r="B97" s="15" t="s">
        <v>477</v>
      </c>
      <c r="C97" s="134" t="s">
        <v>478</v>
      </c>
      <c r="D97" s="16"/>
      <c r="E97" s="16"/>
      <c r="F97" s="16">
        <v>1234.41</v>
      </c>
      <c r="G97" s="16">
        <v>0</v>
      </c>
      <c r="H97" s="16">
        <f aca="true" t="shared" si="26" ref="H97:H108">+F97-G97</f>
        <v>1234.41</v>
      </c>
      <c r="I97" s="53" t="str">
        <f aca="true" t="shared" si="27" ref="I97:I108">IF(G97&lt;0,IF(H97=0,0,IF(OR(G97=0,F97=0),"N.M.",IF(ABS(H97/G97)&gt;=10,"N.M.",H97/(-G97)))),IF(H97=0,0,IF(OR(G97=0,F97=0),"N.M.",IF(ABS(H97/G97)&gt;=10,"N.M.",H97/G97))))</f>
        <v>N.M.</v>
      </c>
      <c r="J97" s="174"/>
      <c r="K97" s="256">
        <v>0</v>
      </c>
      <c r="L97" s="16">
        <f aca="true" t="shared" si="28" ref="L97:L108">+F97-K97</f>
        <v>1234.41</v>
      </c>
      <c r="M97" s="53" t="str">
        <f aca="true" t="shared" si="29" ref="M97:M108">IF(K97&lt;0,IF(L97=0,0,IF(OR(K97=0,N97=0),"N.M.",IF(ABS(L97/K97)&gt;=10,"N.M.",L97/(-K97)))),IF(L97=0,0,IF(OR(K97=0,N97=0),"N.M.",IF(ABS(L97/K97)&gt;=10,"N.M.",L97/K97))))</f>
        <v>N.M.</v>
      </c>
      <c r="N97" s="174"/>
      <c r="O97" s="256">
        <v>0</v>
      </c>
      <c r="P97" s="16">
        <f aca="true" t="shared" si="30" ref="P97:P108">+F97-O97</f>
        <v>1234.41</v>
      </c>
      <c r="Q97" s="53" t="str">
        <f aca="true" t="shared" si="31" ref="Q97:Q108">IF(O97&lt;0,IF(P97=0,0,IF(OR(O97=0,F97=0),"N.M.",IF(ABS(P97/O97)&gt;=10,"N.M.",P97/(-O97)))),IF(P97=0,0,IF(OR(O97=0,F97=0),"N.M.",IF(ABS(P97/O97)&gt;=10,"N.M.",P97/O97))))</f>
        <v>N.M.</v>
      </c>
    </row>
    <row r="98" spans="1:17" s="15" customFormat="1" ht="12.75" hidden="1" outlineLevel="2">
      <c r="A98" s="15" t="s">
        <v>479</v>
      </c>
      <c r="B98" s="15" t="s">
        <v>480</v>
      </c>
      <c r="C98" s="134" t="s">
        <v>481</v>
      </c>
      <c r="D98" s="16"/>
      <c r="E98" s="16"/>
      <c r="F98" s="16">
        <v>73094.93000000001</v>
      </c>
      <c r="G98" s="16">
        <v>73727.65000000001</v>
      </c>
      <c r="H98" s="16">
        <f t="shared" si="26"/>
        <v>-632.7200000000012</v>
      </c>
      <c r="I98" s="53">
        <f t="shared" si="27"/>
        <v>-0.008581854975711298</v>
      </c>
      <c r="J98" s="174"/>
      <c r="K98" s="256">
        <v>73094.93000000001</v>
      </c>
      <c r="L98" s="16">
        <f t="shared" si="28"/>
        <v>0</v>
      </c>
      <c r="M98" s="53">
        <f t="shared" si="29"/>
        <v>0</v>
      </c>
      <c r="N98" s="174"/>
      <c r="O98" s="256">
        <v>74102.65000000001</v>
      </c>
      <c r="P98" s="16">
        <f t="shared" si="30"/>
        <v>-1007.7200000000012</v>
      </c>
      <c r="Q98" s="53">
        <f t="shared" si="31"/>
        <v>-0.01359897385586077</v>
      </c>
    </row>
    <row r="99" spans="1:17" s="15" customFormat="1" ht="12.75" hidden="1" outlineLevel="2">
      <c r="A99" s="15" t="s">
        <v>482</v>
      </c>
      <c r="B99" s="15" t="s">
        <v>483</v>
      </c>
      <c r="C99" s="134" t="s">
        <v>484</v>
      </c>
      <c r="D99" s="16"/>
      <c r="E99" s="16"/>
      <c r="F99" s="16">
        <v>0</v>
      </c>
      <c r="G99" s="16">
        <v>0</v>
      </c>
      <c r="H99" s="16">
        <f t="shared" si="26"/>
        <v>0</v>
      </c>
      <c r="I99" s="53">
        <f t="shared" si="27"/>
        <v>0</v>
      </c>
      <c r="J99" s="174"/>
      <c r="K99" s="256">
        <v>2650520.84</v>
      </c>
      <c r="L99" s="16">
        <f t="shared" si="28"/>
        <v>-2650520.84</v>
      </c>
      <c r="M99" s="53" t="str">
        <f t="shared" si="29"/>
        <v>N.M.</v>
      </c>
      <c r="N99" s="174"/>
      <c r="O99" s="256">
        <v>0</v>
      </c>
      <c r="P99" s="16">
        <f t="shared" si="30"/>
        <v>0</v>
      </c>
      <c r="Q99" s="53">
        <f t="shared" si="31"/>
        <v>0</v>
      </c>
    </row>
    <row r="100" spans="1:17" s="15" customFormat="1" ht="12.75" hidden="1" outlineLevel="2">
      <c r="A100" s="15" t="s">
        <v>485</v>
      </c>
      <c r="B100" s="15" t="s">
        <v>486</v>
      </c>
      <c r="C100" s="134" t="s">
        <v>487</v>
      </c>
      <c r="D100" s="16"/>
      <c r="E100" s="16"/>
      <c r="F100" s="16">
        <v>128566</v>
      </c>
      <c r="G100" s="16">
        <v>51505</v>
      </c>
      <c r="H100" s="16">
        <f t="shared" si="26"/>
        <v>77061</v>
      </c>
      <c r="I100" s="53">
        <f t="shared" si="27"/>
        <v>1.496184836423648</v>
      </c>
      <c r="J100" s="174"/>
      <c r="K100" s="256">
        <v>151804</v>
      </c>
      <c r="L100" s="16">
        <f t="shared" si="28"/>
        <v>-23238</v>
      </c>
      <c r="M100" s="53" t="str">
        <f t="shared" si="29"/>
        <v>N.M.</v>
      </c>
      <c r="N100" s="174"/>
      <c r="O100" s="256">
        <v>35613</v>
      </c>
      <c r="P100" s="16">
        <f t="shared" si="30"/>
        <v>92953</v>
      </c>
      <c r="Q100" s="53">
        <f t="shared" si="31"/>
        <v>2.6100862044758935</v>
      </c>
    </row>
    <row r="101" spans="1:17" s="15" customFormat="1" ht="12.75" hidden="1" outlineLevel="2">
      <c r="A101" s="15" t="s">
        <v>488</v>
      </c>
      <c r="B101" s="15" t="s">
        <v>489</v>
      </c>
      <c r="C101" s="134" t="s">
        <v>490</v>
      </c>
      <c r="D101" s="16"/>
      <c r="E101" s="16"/>
      <c r="F101" s="16">
        <v>-132870.004</v>
      </c>
      <c r="G101" s="16">
        <v>-66052.004</v>
      </c>
      <c r="H101" s="16">
        <f t="shared" si="26"/>
        <v>-66817.99999999999</v>
      </c>
      <c r="I101" s="53">
        <f t="shared" si="27"/>
        <v>-1.0115968623752882</v>
      </c>
      <c r="J101" s="174"/>
      <c r="K101" s="256">
        <v>-150246.004</v>
      </c>
      <c r="L101" s="16">
        <f t="shared" si="28"/>
        <v>17376</v>
      </c>
      <c r="M101" s="53" t="str">
        <f t="shared" si="29"/>
        <v>N.M.</v>
      </c>
      <c r="N101" s="174"/>
      <c r="O101" s="256">
        <v>-52677.004</v>
      </c>
      <c r="P101" s="16">
        <f t="shared" si="30"/>
        <v>-80192.99999999999</v>
      </c>
      <c r="Q101" s="53">
        <f t="shared" si="31"/>
        <v>-1.5223530935814038</v>
      </c>
    </row>
    <row r="102" spans="1:17" s="15" customFormat="1" ht="12.75" hidden="1" outlineLevel="2">
      <c r="A102" s="15" t="s">
        <v>491</v>
      </c>
      <c r="B102" s="15" t="s">
        <v>492</v>
      </c>
      <c r="C102" s="134" t="s">
        <v>493</v>
      </c>
      <c r="D102" s="16"/>
      <c r="E102" s="16"/>
      <c r="F102" s="16">
        <v>1535.13</v>
      </c>
      <c r="G102" s="16">
        <v>2900.4500000000003</v>
      </c>
      <c r="H102" s="16">
        <f t="shared" si="26"/>
        <v>-1365.3200000000002</v>
      </c>
      <c r="I102" s="53">
        <f t="shared" si="27"/>
        <v>-0.47072695616197485</v>
      </c>
      <c r="J102" s="174"/>
      <c r="K102" s="256">
        <v>544.11</v>
      </c>
      <c r="L102" s="16">
        <f t="shared" si="28"/>
        <v>991.0200000000001</v>
      </c>
      <c r="M102" s="53" t="str">
        <f t="shared" si="29"/>
        <v>N.M.</v>
      </c>
      <c r="N102" s="174"/>
      <c r="O102" s="256">
        <v>4219.46</v>
      </c>
      <c r="P102" s="16">
        <f t="shared" si="30"/>
        <v>-2684.33</v>
      </c>
      <c r="Q102" s="53">
        <f t="shared" si="31"/>
        <v>-0.6361785631336712</v>
      </c>
    </row>
    <row r="103" spans="1:17" s="15" customFormat="1" ht="12.75" hidden="1" outlineLevel="2">
      <c r="A103" s="15" t="s">
        <v>494</v>
      </c>
      <c r="B103" s="15" t="s">
        <v>495</v>
      </c>
      <c r="C103" s="134" t="s">
        <v>496</v>
      </c>
      <c r="D103" s="16"/>
      <c r="E103" s="16"/>
      <c r="F103" s="16">
        <v>0</v>
      </c>
      <c r="G103" s="16">
        <v>0</v>
      </c>
      <c r="H103" s="16">
        <f t="shared" si="26"/>
        <v>0</v>
      </c>
      <c r="I103" s="53">
        <f t="shared" si="27"/>
        <v>0</v>
      </c>
      <c r="J103" s="174"/>
      <c r="K103" s="256">
        <v>0</v>
      </c>
      <c r="L103" s="16">
        <f t="shared" si="28"/>
        <v>0</v>
      </c>
      <c r="M103" s="53">
        <f t="shared" si="29"/>
        <v>0</v>
      </c>
      <c r="N103" s="174"/>
      <c r="O103" s="256">
        <v>16977.38</v>
      </c>
      <c r="P103" s="16">
        <f t="shared" si="30"/>
        <v>-16977.38</v>
      </c>
      <c r="Q103" s="53" t="str">
        <f t="shared" si="31"/>
        <v>N.M.</v>
      </c>
    </row>
    <row r="104" spans="1:17" s="15" customFormat="1" ht="12.75" hidden="1" outlineLevel="2">
      <c r="A104" s="15" t="s">
        <v>497</v>
      </c>
      <c r="B104" s="15" t="s">
        <v>498</v>
      </c>
      <c r="C104" s="134" t="s">
        <v>499</v>
      </c>
      <c r="D104" s="16"/>
      <c r="E104" s="16"/>
      <c r="F104" s="16">
        <v>15949.24</v>
      </c>
      <c r="G104" s="16">
        <v>216299.96</v>
      </c>
      <c r="H104" s="16">
        <f t="shared" si="26"/>
        <v>-200350.72</v>
      </c>
      <c r="I104" s="53">
        <f t="shared" si="27"/>
        <v>-0.9262633243205408</v>
      </c>
      <c r="J104" s="174"/>
      <c r="K104" s="256">
        <v>0</v>
      </c>
      <c r="L104" s="16">
        <f t="shared" si="28"/>
        <v>15949.24</v>
      </c>
      <c r="M104" s="53" t="str">
        <f t="shared" si="29"/>
        <v>N.M.</v>
      </c>
      <c r="N104" s="174"/>
      <c r="O104" s="256">
        <v>151756.45</v>
      </c>
      <c r="P104" s="16">
        <f t="shared" si="30"/>
        <v>-135807.21000000002</v>
      </c>
      <c r="Q104" s="53">
        <f t="shared" si="31"/>
        <v>-0.8949023912986895</v>
      </c>
    </row>
    <row r="105" spans="1:17" s="15" customFormat="1" ht="12.75" hidden="1" outlineLevel="2">
      <c r="A105" s="15" t="s">
        <v>500</v>
      </c>
      <c r="B105" s="15" t="s">
        <v>501</v>
      </c>
      <c r="C105" s="134" t="s">
        <v>502</v>
      </c>
      <c r="D105" s="16"/>
      <c r="E105" s="16"/>
      <c r="F105" s="16">
        <v>662916</v>
      </c>
      <c r="G105" s="16">
        <v>-190350</v>
      </c>
      <c r="H105" s="16">
        <f t="shared" si="26"/>
        <v>853266</v>
      </c>
      <c r="I105" s="53">
        <f t="shared" si="27"/>
        <v>4.482616233254531</v>
      </c>
      <c r="J105" s="174"/>
      <c r="K105" s="256">
        <v>0</v>
      </c>
      <c r="L105" s="16">
        <f t="shared" si="28"/>
        <v>662916</v>
      </c>
      <c r="M105" s="53" t="str">
        <f t="shared" si="29"/>
        <v>N.M.</v>
      </c>
      <c r="N105" s="174"/>
      <c r="O105" s="256">
        <v>0</v>
      </c>
      <c r="P105" s="16">
        <f t="shared" si="30"/>
        <v>662916</v>
      </c>
      <c r="Q105" s="53" t="str">
        <f t="shared" si="31"/>
        <v>N.M.</v>
      </c>
    </row>
    <row r="106" spans="1:17" s="15" customFormat="1" ht="12.75" hidden="1" outlineLevel="2">
      <c r="A106" s="15" t="s">
        <v>503</v>
      </c>
      <c r="B106" s="15" t="s">
        <v>504</v>
      </c>
      <c r="C106" s="134" t="s">
        <v>505</v>
      </c>
      <c r="D106" s="16"/>
      <c r="E106" s="16"/>
      <c r="F106" s="16">
        <v>344842</v>
      </c>
      <c r="G106" s="16">
        <v>796514</v>
      </c>
      <c r="H106" s="16">
        <f t="shared" si="26"/>
        <v>-451672</v>
      </c>
      <c r="I106" s="53">
        <f t="shared" si="27"/>
        <v>-0.5670609681687955</v>
      </c>
      <c r="J106" s="174"/>
      <c r="K106" s="256">
        <v>344842</v>
      </c>
      <c r="L106" s="16">
        <f t="shared" si="28"/>
        <v>0</v>
      </c>
      <c r="M106" s="53">
        <f t="shared" si="29"/>
        <v>0</v>
      </c>
      <c r="N106" s="174"/>
      <c r="O106" s="256">
        <v>344842</v>
      </c>
      <c r="P106" s="16">
        <f t="shared" si="30"/>
        <v>0</v>
      </c>
      <c r="Q106" s="53">
        <f t="shared" si="31"/>
        <v>0</v>
      </c>
    </row>
    <row r="107" spans="1:17" s="15" customFormat="1" ht="12.75" hidden="1" outlineLevel="2">
      <c r="A107" s="15" t="s">
        <v>506</v>
      </c>
      <c r="B107" s="15" t="s">
        <v>507</v>
      </c>
      <c r="C107" s="134" t="s">
        <v>508</v>
      </c>
      <c r="D107" s="16"/>
      <c r="E107" s="16"/>
      <c r="F107" s="16">
        <v>0</v>
      </c>
      <c r="G107" s="16">
        <v>137084</v>
      </c>
      <c r="H107" s="16">
        <f t="shared" si="26"/>
        <v>-137084</v>
      </c>
      <c r="I107" s="53" t="str">
        <f t="shared" si="27"/>
        <v>N.M.</v>
      </c>
      <c r="J107" s="174"/>
      <c r="K107" s="256">
        <v>-20299</v>
      </c>
      <c r="L107" s="16">
        <f t="shared" si="28"/>
        <v>20299</v>
      </c>
      <c r="M107" s="53" t="str">
        <f t="shared" si="29"/>
        <v>N.M.</v>
      </c>
      <c r="N107" s="174"/>
      <c r="O107" s="256">
        <v>12386</v>
      </c>
      <c r="P107" s="16">
        <f t="shared" si="30"/>
        <v>-12386</v>
      </c>
      <c r="Q107" s="53" t="str">
        <f t="shared" si="31"/>
        <v>N.M.</v>
      </c>
    </row>
    <row r="108" spans="1:17" s="15" customFormat="1" ht="12.75" hidden="1" outlineLevel="2">
      <c r="A108" s="15" t="s">
        <v>509</v>
      </c>
      <c r="B108" s="15" t="s">
        <v>510</v>
      </c>
      <c r="C108" s="134" t="s">
        <v>511</v>
      </c>
      <c r="D108" s="16"/>
      <c r="E108" s="16"/>
      <c r="F108" s="16">
        <v>1770185.77</v>
      </c>
      <c r="G108" s="16">
        <v>1642416.03</v>
      </c>
      <c r="H108" s="16">
        <f t="shared" si="26"/>
        <v>127769.73999999999</v>
      </c>
      <c r="I108" s="53">
        <f t="shared" si="27"/>
        <v>0.07779377311605999</v>
      </c>
      <c r="J108" s="174"/>
      <c r="K108" s="256">
        <v>1541795.77</v>
      </c>
      <c r="L108" s="16">
        <f t="shared" si="28"/>
        <v>228390</v>
      </c>
      <c r="M108" s="53" t="str">
        <f t="shared" si="29"/>
        <v>N.M.</v>
      </c>
      <c r="N108" s="174"/>
      <c r="O108" s="256">
        <v>2243464.87</v>
      </c>
      <c r="P108" s="16">
        <f t="shared" si="30"/>
        <v>-473279.1000000001</v>
      </c>
      <c r="Q108" s="53">
        <f t="shared" si="31"/>
        <v>-0.21095899754383052</v>
      </c>
    </row>
    <row r="109" spans="1:17" s="67" customFormat="1" ht="12.75" collapsed="1">
      <c r="A109" s="67" t="s">
        <v>135</v>
      </c>
      <c r="B109" s="87"/>
      <c r="C109" s="82" t="s">
        <v>95</v>
      </c>
      <c r="D109" s="66"/>
      <c r="E109" s="66"/>
      <c r="F109" s="51">
        <v>2865453.476</v>
      </c>
      <c r="G109" s="51">
        <v>2664045.086</v>
      </c>
      <c r="H109" s="51">
        <f>+F109-G109</f>
        <v>201408.38999999966</v>
      </c>
      <c r="I109" s="136">
        <f>IF(G109&lt;0,IF(H109=0,0,IF(OR(G109=0,F109=0),"N.M.",IF(ABS(H109/G109)&gt;=10,"N.M.",H109/(-G109)))),IF(H109=0,0,IF(OR(G109=0,F109=0),"N.M.",IF(ABS(H109/G109)&gt;=10,"N.M.",H109/G109))))</f>
        <v>0.07560247049062128</v>
      </c>
      <c r="J109" s="157"/>
      <c r="K109" s="51">
        <v>4592056.646</v>
      </c>
      <c r="L109" s="51">
        <f>+F109-K109</f>
        <v>-1726603.17</v>
      </c>
      <c r="M109" s="136" t="str">
        <f>IF(K109&lt;0,IF(L109=0,0,IF(OR(K109=0,N109=0),"N.M.",IF(ABS(L109/K109)&gt;=10,"N.M.",L109/(-K109)))),IF(L109=0,0,IF(OR(K109=0,N109=0),"N.M.",IF(ABS(L109/K109)&gt;=10,"N.M.",L109/K109))))</f>
        <v>N.M.</v>
      </c>
      <c r="N109" s="157"/>
      <c r="O109" s="51">
        <v>2830684.806</v>
      </c>
      <c r="P109" s="51">
        <f>+F109-O109</f>
        <v>34768.669999999925</v>
      </c>
      <c r="Q109" s="136">
        <f>IF(O109&lt;0,IF(P109=0,0,IF(OR(O109=0,F109=0),"N.M.",IF(ABS(P109/O109)&gt;=10,"N.M.",P109/(-O109)))),IF(P109=0,0,IF(OR(O109=0,F109=0),"N.M.",IF(ABS(P109/O109)&gt;=10,"N.M.",P109/O109))))</f>
        <v>0.012282776918964367</v>
      </c>
    </row>
    <row r="110" spans="2:17" s="67" customFormat="1" ht="0.75" customHeight="1" hidden="1" outlineLevel="1">
      <c r="B110" s="87"/>
      <c r="C110" s="82"/>
      <c r="D110" s="66"/>
      <c r="E110" s="66"/>
      <c r="F110" s="51"/>
      <c r="G110" s="51"/>
      <c r="H110" s="51"/>
      <c r="I110" s="136"/>
      <c r="J110" s="157"/>
      <c r="K110" s="51"/>
      <c r="L110" s="51"/>
      <c r="M110" s="136"/>
      <c r="N110" s="157"/>
      <c r="O110" s="51"/>
      <c r="P110" s="51"/>
      <c r="Q110" s="136"/>
    </row>
    <row r="111" spans="1:17" s="15" customFormat="1" ht="12.75" hidden="1" outlineLevel="2">
      <c r="A111" s="15" t="s">
        <v>512</v>
      </c>
      <c r="B111" s="15" t="s">
        <v>513</v>
      </c>
      <c r="C111" s="134" t="s">
        <v>514</v>
      </c>
      <c r="D111" s="16"/>
      <c r="E111" s="16"/>
      <c r="F111" s="16">
        <v>-21598.06</v>
      </c>
      <c r="G111" s="16">
        <v>-8404.39</v>
      </c>
      <c r="H111" s="16">
        <f>+F111-G111</f>
        <v>-13193.670000000002</v>
      </c>
      <c r="I111" s="53">
        <f>IF(G111&lt;0,IF(H111=0,0,IF(OR(G111=0,F111=0),"N.M.",IF(ABS(H111/G111)&gt;=10,"N.M.",H111/(-G111)))),IF(H111=0,0,IF(OR(G111=0,F111=0),"N.M.",IF(ABS(H111/G111)&gt;=10,"N.M.",H111/G111))))</f>
        <v>-1.5698545641028085</v>
      </c>
      <c r="J111" s="174"/>
      <c r="K111" s="256">
        <v>0</v>
      </c>
      <c r="L111" s="16">
        <f>+F111-K111</f>
        <v>-21598.06</v>
      </c>
      <c r="M111" s="53" t="str">
        <f>IF(K111&lt;0,IF(L111=0,0,IF(OR(K111=0,N111=0),"N.M.",IF(ABS(L111/K111)&gt;=10,"N.M.",L111/(-K111)))),IF(L111=0,0,IF(OR(K111=0,N111=0),"N.M.",IF(ABS(L111/K111)&gt;=10,"N.M.",L111/K111))))</f>
        <v>N.M.</v>
      </c>
      <c r="N111" s="174"/>
      <c r="O111" s="256">
        <v>-6199.97</v>
      </c>
      <c r="P111" s="16">
        <f>+F111-O111</f>
        <v>-15398.09</v>
      </c>
      <c r="Q111" s="53">
        <f>IF(O111&lt;0,IF(P111=0,0,IF(OR(O111=0,F111=0),"N.M.",IF(ABS(P111/O111)&gt;=10,"N.M.",P111/(-O111)))),IF(P111=0,0,IF(OR(O111=0,F111=0),"N.M.",IF(ABS(P111/O111)&gt;=10,"N.M.",P111/O111))))</f>
        <v>-2.483574920523809</v>
      </c>
    </row>
    <row r="112" spans="1:17" s="15" customFormat="1" ht="12.75" hidden="1" outlineLevel="2">
      <c r="A112" s="15" t="s">
        <v>515</v>
      </c>
      <c r="B112" s="15" t="s">
        <v>516</v>
      </c>
      <c r="C112" s="134" t="s">
        <v>517</v>
      </c>
      <c r="D112" s="16"/>
      <c r="E112" s="16"/>
      <c r="F112" s="16">
        <v>-622726.06</v>
      </c>
      <c r="G112" s="16">
        <v>-828642.09</v>
      </c>
      <c r="H112" s="16">
        <f>+F112-G112</f>
        <v>205916.0299999999</v>
      </c>
      <c r="I112" s="53">
        <f>IF(G112&lt;0,IF(H112=0,0,IF(OR(G112=0,F112=0),"N.M.",IF(ABS(H112/G112)&gt;=10,"N.M.",H112/(-G112)))),IF(H112=0,0,IF(OR(G112=0,F112=0),"N.M.",IF(ABS(H112/G112)&gt;=10,"N.M.",H112/G112))))</f>
        <v>0.24849815437205214</v>
      </c>
      <c r="J112" s="174"/>
      <c r="K112" s="256">
        <v>-622726.06</v>
      </c>
      <c r="L112" s="16">
        <f>+F112-K112</f>
        <v>0</v>
      </c>
      <c r="M112" s="53">
        <f>IF(K112&lt;0,IF(L112=0,0,IF(OR(K112=0,N112=0),"N.M.",IF(ABS(L112/K112)&gt;=10,"N.M.",L112/(-K112)))),IF(L112=0,0,IF(OR(K112=0,N112=0),"N.M.",IF(ABS(L112/K112)&gt;=10,"N.M.",L112/K112))))</f>
        <v>0</v>
      </c>
      <c r="N112" s="174"/>
      <c r="O112" s="256">
        <v>-617080.43</v>
      </c>
      <c r="P112" s="16">
        <f>+F112-O112</f>
        <v>-5645.630000000005</v>
      </c>
      <c r="Q112" s="53">
        <f>IF(O112&lt;0,IF(P112=0,0,IF(OR(O112=0,F112=0),"N.M.",IF(ABS(P112/O112)&gt;=10,"N.M.",P112/(-O112)))),IF(P112=0,0,IF(OR(O112=0,F112=0),"N.M.",IF(ABS(P112/O112)&gt;=10,"N.M.",P112/O112))))</f>
        <v>-0.009148937035647045</v>
      </c>
    </row>
    <row r="113" spans="1:17" s="67" customFormat="1" ht="12.75" collapsed="1">
      <c r="A113" s="67" t="s">
        <v>136</v>
      </c>
      <c r="B113" s="87"/>
      <c r="C113" s="82" t="s">
        <v>96</v>
      </c>
      <c r="D113" s="66"/>
      <c r="E113" s="66"/>
      <c r="F113" s="51">
        <v>-644324.1200000001</v>
      </c>
      <c r="G113" s="51">
        <v>-837046.48</v>
      </c>
      <c r="H113" s="51">
        <f>+F113-G113</f>
        <v>192722.35999999987</v>
      </c>
      <c r="I113" s="136">
        <f>IF(G113&lt;0,IF(H113=0,0,IF(OR(G113=0,F113=0),"N.M.",IF(ABS(H113/G113)&gt;=10,"N.M.",H113/(-G113)))),IF(H113=0,0,IF(OR(G113=0,F113=0),"N.M.",IF(ABS(H113/G113)&gt;=10,"N.M.",H113/G113))))</f>
        <v>0.23024092998993304</v>
      </c>
      <c r="J113" s="157"/>
      <c r="K113" s="51">
        <v>-622726.06</v>
      </c>
      <c r="L113" s="51">
        <f>+F113-K113</f>
        <v>-21598.060000000056</v>
      </c>
      <c r="M113" s="136" t="str">
        <f>IF(K113&lt;0,IF(L113=0,0,IF(OR(K113=0,N113=0),"N.M.",IF(ABS(L113/K113)&gt;=10,"N.M.",L113/(-K113)))),IF(L113=0,0,IF(OR(K113=0,N113=0),"N.M.",IF(ABS(L113/K113)&gt;=10,"N.M.",L113/K113))))</f>
        <v>N.M.</v>
      </c>
      <c r="N113" s="157"/>
      <c r="O113" s="51">
        <v>-623280.4</v>
      </c>
      <c r="P113" s="51">
        <f>+F113-O113</f>
        <v>-21043.72000000009</v>
      </c>
      <c r="Q113" s="136">
        <f>IF(O113&lt;0,IF(P113=0,0,IF(OR(O113=0,F113=0),"N.M.",IF(ABS(P113/O113)&gt;=10,"N.M.",P113/(-O113)))),IF(P113=0,0,IF(OR(O113=0,F113=0),"N.M.",IF(ABS(P113/O113)&gt;=10,"N.M.",P113/O113))))</f>
        <v>-0.033762845743264325</v>
      </c>
    </row>
    <row r="114" spans="2:17" s="67" customFormat="1" ht="0.75" customHeight="1" hidden="1" outlineLevel="1">
      <c r="B114" s="87"/>
      <c r="C114" s="82"/>
      <c r="D114" s="66"/>
      <c r="E114" s="66"/>
      <c r="F114" s="51"/>
      <c r="G114" s="51"/>
      <c r="H114" s="51"/>
      <c r="I114" s="136"/>
      <c r="J114" s="157"/>
      <c r="K114" s="51"/>
      <c r="L114" s="51"/>
      <c r="M114" s="136"/>
      <c r="N114" s="157"/>
      <c r="O114" s="51"/>
      <c r="P114" s="51"/>
      <c r="Q114" s="136"/>
    </row>
    <row r="115" spans="1:17" s="15" customFormat="1" ht="12.75" hidden="1" outlineLevel="2">
      <c r="A115" s="15" t="s">
        <v>518</v>
      </c>
      <c r="B115" s="15" t="s">
        <v>519</v>
      </c>
      <c r="C115" s="134" t="s">
        <v>520</v>
      </c>
      <c r="D115" s="16"/>
      <c r="E115" s="16"/>
      <c r="F115" s="16">
        <v>8190855.092</v>
      </c>
      <c r="G115" s="16">
        <v>2191793.61</v>
      </c>
      <c r="H115" s="16">
        <f aca="true" t="shared" si="32" ref="H115:H124">+F115-G115</f>
        <v>5999061.482000001</v>
      </c>
      <c r="I115" s="53">
        <f aca="true" t="shared" si="33" ref="I115:I124">IF(G115&lt;0,IF(H115=0,0,IF(OR(G115=0,F115=0),"N.M.",IF(ABS(H115/G115)&gt;=10,"N.M.",H115/(-G115)))),IF(H115=0,0,IF(OR(G115=0,F115=0),"N.M.",IF(ABS(H115/G115)&gt;=10,"N.M.",H115/G115))))</f>
        <v>2.737055831639185</v>
      </c>
      <c r="J115" s="174"/>
      <c r="K115" s="256">
        <v>12472652.69</v>
      </c>
      <c r="L115" s="16">
        <f aca="true" t="shared" si="34" ref="L115:L124">+F115-K115</f>
        <v>-4281797.597999999</v>
      </c>
      <c r="M115" s="53" t="str">
        <f aca="true" t="shared" si="35" ref="M115:M124">IF(K115&lt;0,IF(L115=0,0,IF(OR(K115=0,N115=0),"N.M.",IF(ABS(L115/K115)&gt;=10,"N.M.",L115/(-K115)))),IF(L115=0,0,IF(OR(K115=0,N115=0),"N.M.",IF(ABS(L115/K115)&gt;=10,"N.M.",L115/K115))))</f>
        <v>N.M.</v>
      </c>
      <c r="N115" s="174"/>
      <c r="O115" s="256">
        <v>12185346.372</v>
      </c>
      <c r="P115" s="16">
        <f aca="true" t="shared" si="36" ref="P115:P124">+F115-O115</f>
        <v>-3994491.2799999993</v>
      </c>
      <c r="Q115" s="53">
        <f aca="true" t="shared" si="37" ref="Q115:Q124">IF(O115&lt;0,IF(P115=0,0,IF(OR(O115=0,F115=0),"N.M.",IF(ABS(P115/O115)&gt;=10,"N.M.",P115/(-O115)))),IF(P115=0,0,IF(OR(O115=0,F115=0),"N.M.",IF(ABS(P115/O115)&gt;=10,"N.M.",P115/O115))))</f>
        <v>-0.32781105748283934</v>
      </c>
    </row>
    <row r="116" spans="1:17" s="15" customFormat="1" ht="12.75" hidden="1" outlineLevel="2">
      <c r="A116" s="15" t="s">
        <v>521</v>
      </c>
      <c r="B116" s="15" t="s">
        <v>522</v>
      </c>
      <c r="C116" s="134" t="s">
        <v>523</v>
      </c>
      <c r="D116" s="16"/>
      <c r="E116" s="16"/>
      <c r="F116" s="16">
        <v>0</v>
      </c>
      <c r="G116" s="16">
        <v>0</v>
      </c>
      <c r="H116" s="16">
        <f t="shared" si="32"/>
        <v>0</v>
      </c>
      <c r="I116" s="53">
        <f t="shared" si="33"/>
        <v>0</v>
      </c>
      <c r="J116" s="174"/>
      <c r="K116" s="256">
        <v>0</v>
      </c>
      <c r="L116" s="16">
        <f t="shared" si="34"/>
        <v>0</v>
      </c>
      <c r="M116" s="53">
        <f t="shared" si="35"/>
        <v>0</v>
      </c>
      <c r="N116" s="174"/>
      <c r="O116" s="256">
        <v>1898460.49</v>
      </c>
      <c r="P116" s="16">
        <f t="shared" si="36"/>
        <v>-1898460.49</v>
      </c>
      <c r="Q116" s="53" t="str">
        <f t="shared" si="37"/>
        <v>N.M.</v>
      </c>
    </row>
    <row r="117" spans="1:17" s="15" customFormat="1" ht="12.75" hidden="1" outlineLevel="2">
      <c r="A117" s="15" t="s">
        <v>524</v>
      </c>
      <c r="B117" s="15" t="s">
        <v>525</v>
      </c>
      <c r="C117" s="134" t="s">
        <v>526</v>
      </c>
      <c r="D117" s="16"/>
      <c r="E117" s="16"/>
      <c r="F117" s="16">
        <v>166089.91</v>
      </c>
      <c r="G117" s="16">
        <v>239550.58000000002</v>
      </c>
      <c r="H117" s="16">
        <f t="shared" si="32"/>
        <v>-73460.67000000001</v>
      </c>
      <c r="I117" s="53">
        <f t="shared" si="33"/>
        <v>-0.30666037210179165</v>
      </c>
      <c r="J117" s="174"/>
      <c r="K117" s="256">
        <v>286469.5</v>
      </c>
      <c r="L117" s="16">
        <f t="shared" si="34"/>
        <v>-120379.59</v>
      </c>
      <c r="M117" s="53" t="str">
        <f t="shared" si="35"/>
        <v>N.M.</v>
      </c>
      <c r="N117" s="174"/>
      <c r="O117" s="256">
        <v>376403.73</v>
      </c>
      <c r="P117" s="16">
        <f t="shared" si="36"/>
        <v>-210313.81999999998</v>
      </c>
      <c r="Q117" s="53">
        <f t="shared" si="37"/>
        <v>-0.5587453131774225</v>
      </c>
    </row>
    <row r="118" spans="1:17" s="15" customFormat="1" ht="12.75" hidden="1" outlineLevel="2">
      <c r="A118" s="15" t="s">
        <v>527</v>
      </c>
      <c r="B118" s="15" t="s">
        <v>528</v>
      </c>
      <c r="C118" s="134" t="s">
        <v>529</v>
      </c>
      <c r="D118" s="16"/>
      <c r="E118" s="16"/>
      <c r="F118" s="16">
        <v>24.04</v>
      </c>
      <c r="G118" s="16">
        <v>9243.17</v>
      </c>
      <c r="H118" s="16">
        <f t="shared" si="32"/>
        <v>-9219.13</v>
      </c>
      <c r="I118" s="53">
        <f t="shared" si="33"/>
        <v>-0.9973991606775596</v>
      </c>
      <c r="J118" s="174"/>
      <c r="K118" s="256">
        <v>3371.06</v>
      </c>
      <c r="L118" s="16">
        <f t="shared" si="34"/>
        <v>-3347.02</v>
      </c>
      <c r="M118" s="53" t="str">
        <f t="shared" si="35"/>
        <v>N.M.</v>
      </c>
      <c r="N118" s="174"/>
      <c r="O118" s="256">
        <v>29438.43</v>
      </c>
      <c r="P118" s="16">
        <f t="shared" si="36"/>
        <v>-29414.39</v>
      </c>
      <c r="Q118" s="53">
        <f t="shared" si="37"/>
        <v>-0.9991833803636946</v>
      </c>
    </row>
    <row r="119" spans="1:17" s="15" customFormat="1" ht="12.75" hidden="1" outlineLevel="2">
      <c r="A119" s="15" t="s">
        <v>530</v>
      </c>
      <c r="B119" s="15" t="s">
        <v>531</v>
      </c>
      <c r="C119" s="134" t="s">
        <v>532</v>
      </c>
      <c r="D119" s="16"/>
      <c r="E119" s="16"/>
      <c r="F119" s="16">
        <v>1403867.24</v>
      </c>
      <c r="G119" s="16">
        <v>1030077.8</v>
      </c>
      <c r="H119" s="16">
        <f t="shared" si="32"/>
        <v>373789.43999999994</v>
      </c>
      <c r="I119" s="53">
        <f t="shared" si="33"/>
        <v>0.36287495954189086</v>
      </c>
      <c r="J119" s="174"/>
      <c r="K119" s="256">
        <v>1180872.49</v>
      </c>
      <c r="L119" s="16">
        <f t="shared" si="34"/>
        <v>222994.75</v>
      </c>
      <c r="M119" s="53" t="str">
        <f t="shared" si="35"/>
        <v>N.M.</v>
      </c>
      <c r="N119" s="174"/>
      <c r="O119" s="256">
        <v>1446173.02</v>
      </c>
      <c r="P119" s="16">
        <f t="shared" si="36"/>
        <v>-42305.78000000003</v>
      </c>
      <c r="Q119" s="53">
        <f t="shared" si="37"/>
        <v>-0.029253608949225195</v>
      </c>
    </row>
    <row r="120" spans="1:17" s="15" customFormat="1" ht="12.75" hidden="1" outlineLevel="2">
      <c r="A120" s="15" t="s">
        <v>533</v>
      </c>
      <c r="B120" s="15" t="s">
        <v>534</v>
      </c>
      <c r="C120" s="134" t="s">
        <v>535</v>
      </c>
      <c r="D120" s="16"/>
      <c r="E120" s="16"/>
      <c r="F120" s="16">
        <v>0</v>
      </c>
      <c r="G120" s="16">
        <v>899081</v>
      </c>
      <c r="H120" s="16">
        <f t="shared" si="32"/>
        <v>-899081</v>
      </c>
      <c r="I120" s="53" t="str">
        <f t="shared" si="33"/>
        <v>N.M.</v>
      </c>
      <c r="J120" s="174"/>
      <c r="K120" s="256">
        <v>0</v>
      </c>
      <c r="L120" s="16">
        <f t="shared" si="34"/>
        <v>0</v>
      </c>
      <c r="M120" s="53">
        <f t="shared" si="35"/>
        <v>0</v>
      </c>
      <c r="N120" s="174"/>
      <c r="O120" s="256">
        <v>0</v>
      </c>
      <c r="P120" s="16">
        <f t="shared" si="36"/>
        <v>0</v>
      </c>
      <c r="Q120" s="53">
        <f t="shared" si="37"/>
        <v>0</v>
      </c>
    </row>
    <row r="121" spans="1:17" s="15" customFormat="1" ht="12.75" hidden="1" outlineLevel="2">
      <c r="A121" s="15" t="s">
        <v>536</v>
      </c>
      <c r="B121" s="15" t="s">
        <v>537</v>
      </c>
      <c r="C121" s="134" t="s">
        <v>538</v>
      </c>
      <c r="D121" s="16"/>
      <c r="E121" s="16"/>
      <c r="F121" s="16">
        <v>0</v>
      </c>
      <c r="G121" s="16">
        <v>0</v>
      </c>
      <c r="H121" s="16">
        <f t="shared" si="32"/>
        <v>0</v>
      </c>
      <c r="I121" s="53">
        <f t="shared" si="33"/>
        <v>0</v>
      </c>
      <c r="J121" s="174"/>
      <c r="K121" s="256">
        <v>0</v>
      </c>
      <c r="L121" s="16">
        <f t="shared" si="34"/>
        <v>0</v>
      </c>
      <c r="M121" s="53">
        <f t="shared" si="35"/>
        <v>0</v>
      </c>
      <c r="N121" s="174"/>
      <c r="O121" s="256">
        <v>377241</v>
      </c>
      <c r="P121" s="16">
        <f t="shared" si="36"/>
        <v>-377241</v>
      </c>
      <c r="Q121" s="53" t="str">
        <f t="shared" si="37"/>
        <v>N.M.</v>
      </c>
    </row>
    <row r="122" spans="1:17" s="15" customFormat="1" ht="12.75" hidden="1" outlineLevel="2">
      <c r="A122" s="15" t="s">
        <v>539</v>
      </c>
      <c r="B122" s="15" t="s">
        <v>540</v>
      </c>
      <c r="C122" s="134" t="s">
        <v>541</v>
      </c>
      <c r="D122" s="16"/>
      <c r="E122" s="16"/>
      <c r="F122" s="16">
        <v>22752.69</v>
      </c>
      <c r="G122" s="16">
        <v>40041.53</v>
      </c>
      <c r="H122" s="16">
        <f t="shared" si="32"/>
        <v>-17288.84</v>
      </c>
      <c r="I122" s="53">
        <f t="shared" si="33"/>
        <v>-0.4317727119817849</v>
      </c>
      <c r="J122" s="174"/>
      <c r="K122" s="256">
        <v>66863.17</v>
      </c>
      <c r="L122" s="16">
        <f t="shared" si="34"/>
        <v>-44110.479999999996</v>
      </c>
      <c r="M122" s="53" t="str">
        <f t="shared" si="35"/>
        <v>N.M.</v>
      </c>
      <c r="N122" s="174"/>
      <c r="O122" s="256">
        <v>30321.45</v>
      </c>
      <c r="P122" s="16">
        <f t="shared" si="36"/>
        <v>-7568.760000000002</v>
      </c>
      <c r="Q122" s="53">
        <f t="shared" si="37"/>
        <v>-0.24961735009374558</v>
      </c>
    </row>
    <row r="123" spans="1:17" s="15" customFormat="1" ht="12.75" hidden="1" outlineLevel="2">
      <c r="A123" s="15" t="s">
        <v>542</v>
      </c>
      <c r="B123" s="15" t="s">
        <v>543</v>
      </c>
      <c r="C123" s="134" t="s">
        <v>544</v>
      </c>
      <c r="D123" s="16"/>
      <c r="E123" s="16"/>
      <c r="F123" s="16">
        <v>19103.27</v>
      </c>
      <c r="G123" s="16">
        <v>11139.960000000001</v>
      </c>
      <c r="H123" s="16">
        <f t="shared" si="32"/>
        <v>7963.3099999999995</v>
      </c>
      <c r="I123" s="53">
        <f t="shared" si="33"/>
        <v>0.7148418845310036</v>
      </c>
      <c r="J123" s="174"/>
      <c r="K123" s="256">
        <v>11967.6</v>
      </c>
      <c r="L123" s="16">
        <f t="shared" si="34"/>
        <v>7135.67</v>
      </c>
      <c r="M123" s="53" t="str">
        <f t="shared" si="35"/>
        <v>N.M.</v>
      </c>
      <c r="N123" s="174"/>
      <c r="O123" s="256">
        <v>15828.9</v>
      </c>
      <c r="P123" s="16">
        <f t="shared" si="36"/>
        <v>3274.370000000001</v>
      </c>
      <c r="Q123" s="53">
        <f t="shared" si="37"/>
        <v>0.20686023665573736</v>
      </c>
    </row>
    <row r="124" spans="1:17" s="15" customFormat="1" ht="12.75" hidden="1" outlineLevel="2">
      <c r="A124" s="15" t="s">
        <v>545</v>
      </c>
      <c r="B124" s="15" t="s">
        <v>546</v>
      </c>
      <c r="C124" s="134" t="s">
        <v>547</v>
      </c>
      <c r="D124" s="16"/>
      <c r="E124" s="16"/>
      <c r="F124" s="16">
        <v>354</v>
      </c>
      <c r="G124" s="16">
        <v>0</v>
      </c>
      <c r="H124" s="16">
        <f t="shared" si="32"/>
        <v>354</v>
      </c>
      <c r="I124" s="53" t="str">
        <f t="shared" si="33"/>
        <v>N.M.</v>
      </c>
      <c r="J124" s="174"/>
      <c r="K124" s="256">
        <v>544</v>
      </c>
      <c r="L124" s="16">
        <f t="shared" si="34"/>
        <v>-190</v>
      </c>
      <c r="M124" s="53" t="str">
        <f t="shared" si="35"/>
        <v>N.M.</v>
      </c>
      <c r="N124" s="174"/>
      <c r="O124" s="256">
        <v>0</v>
      </c>
      <c r="P124" s="16">
        <f t="shared" si="36"/>
        <v>354</v>
      </c>
      <c r="Q124" s="53" t="str">
        <f t="shared" si="37"/>
        <v>N.M.</v>
      </c>
    </row>
    <row r="125" spans="1:17" s="67" customFormat="1" ht="12.75" collapsed="1">
      <c r="A125" s="67" t="s">
        <v>137</v>
      </c>
      <c r="B125" s="87"/>
      <c r="C125" s="82" t="s">
        <v>97</v>
      </c>
      <c r="D125" s="66"/>
      <c r="E125" s="66"/>
      <c r="F125" s="51">
        <v>9803046.241999999</v>
      </c>
      <c r="G125" s="51">
        <v>4420927.65</v>
      </c>
      <c r="H125" s="51">
        <f>+F125-G125</f>
        <v>5382118.591999998</v>
      </c>
      <c r="I125" s="136">
        <f>IF(G125&lt;0,IF(H125=0,0,IF(OR(G125=0,F125=0),"N.M.",IF(ABS(H125/G125)&gt;=10,"N.M.",H125/(-G125)))),IF(H125=0,0,IF(OR(G125=0,F125=0),"N.M.",IF(ABS(H125/G125)&gt;=10,"N.M.",H125/G125))))</f>
        <v>1.2174183832209962</v>
      </c>
      <c r="J125" s="157"/>
      <c r="K125" s="51">
        <v>14022740.51</v>
      </c>
      <c r="L125" s="51">
        <f>+F125-K125</f>
        <v>-4219694.268000001</v>
      </c>
      <c r="M125" s="136" t="str">
        <f>IF(K125&lt;0,IF(L125=0,0,IF(OR(K125=0,N125=0),"N.M.",IF(ABS(L125/K125)&gt;=10,"N.M.",L125/(-K125)))),IF(L125=0,0,IF(OR(K125=0,N125=0),"N.M.",IF(ABS(L125/K125)&gt;=10,"N.M.",L125/K125))))</f>
        <v>N.M.</v>
      </c>
      <c r="N125" s="157"/>
      <c r="O125" s="51">
        <v>16359213.391999999</v>
      </c>
      <c r="P125" s="51">
        <f>+F125-O125</f>
        <v>-6556167.15</v>
      </c>
      <c r="Q125" s="136">
        <f>IF(O125&lt;0,IF(P125=0,0,IF(OR(O125=0,F125=0),"N.M.",IF(ABS(P125/O125)&gt;=10,"N.M.",P125/(-O125)))),IF(P125=0,0,IF(OR(O125=0,F125=0),"N.M.",IF(ABS(P125/O125)&gt;=10,"N.M.",P125/O125))))</f>
        <v>-0.40076298247971415</v>
      </c>
    </row>
    <row r="126" spans="2:17" s="67" customFormat="1" ht="0.75" customHeight="1" hidden="1" outlineLevel="1">
      <c r="B126" s="87"/>
      <c r="C126" s="82"/>
      <c r="D126" s="66"/>
      <c r="E126" s="66"/>
      <c r="F126" s="51"/>
      <c r="G126" s="51"/>
      <c r="H126" s="51"/>
      <c r="I126" s="136"/>
      <c r="J126" s="157"/>
      <c r="K126" s="51"/>
      <c r="L126" s="51"/>
      <c r="M126" s="136"/>
      <c r="N126" s="157"/>
      <c r="O126" s="51"/>
      <c r="P126" s="51"/>
      <c r="Q126" s="136"/>
    </row>
    <row r="127" spans="1:17" s="15" customFormat="1" ht="12.75" hidden="1" outlineLevel="2">
      <c r="A127" s="15" t="s">
        <v>548</v>
      </c>
      <c r="B127" s="15" t="s">
        <v>549</v>
      </c>
      <c r="C127" s="134" t="s">
        <v>550</v>
      </c>
      <c r="D127" s="16"/>
      <c r="E127" s="16"/>
      <c r="F127" s="16">
        <v>12936307.23</v>
      </c>
      <c r="G127" s="16">
        <v>10116467.15</v>
      </c>
      <c r="H127" s="16">
        <f>+F127-G127</f>
        <v>2819840.08</v>
      </c>
      <c r="I127" s="53">
        <f>IF(G127&lt;0,IF(H127=0,0,IF(OR(G127=0,F127=0),"N.M.",IF(ABS(H127/G127)&gt;=10,"N.M.",H127/(-G127)))),IF(H127=0,0,IF(OR(G127=0,F127=0),"N.M.",IF(ABS(H127/G127)&gt;=10,"N.M.",H127/G127))))</f>
        <v>0.2787376302605796</v>
      </c>
      <c r="J127" s="174"/>
      <c r="K127" s="256">
        <v>11096117.6</v>
      </c>
      <c r="L127" s="16">
        <f>+F127-K127</f>
        <v>1840189.6300000008</v>
      </c>
      <c r="M127" s="53" t="str">
        <f>IF(K127&lt;0,IF(L127=0,0,IF(OR(K127=0,N127=0),"N.M.",IF(ABS(L127/K127)&gt;=10,"N.M.",L127/(-K127)))),IF(L127=0,0,IF(OR(K127=0,N127=0),"N.M.",IF(ABS(L127/K127)&gt;=10,"N.M.",L127/K127))))</f>
        <v>N.M.</v>
      </c>
      <c r="N127" s="174"/>
      <c r="O127" s="256">
        <v>14872926.88</v>
      </c>
      <c r="P127" s="16">
        <f>+F127-O127</f>
        <v>-1936619.6500000004</v>
      </c>
      <c r="Q127" s="53">
        <f>IF(O127&lt;0,IF(P127=0,0,IF(OR(O127=0,F127=0),"N.M.",IF(ABS(P127/O127)&gt;=10,"N.M.",P127/(-O127)))),IF(P127=0,0,IF(OR(O127=0,F127=0),"N.M.",IF(ABS(P127/O127)&gt;=10,"N.M.",P127/O127))))</f>
        <v>-0.1302110650866052</v>
      </c>
    </row>
    <row r="128" spans="1:17" s="15" customFormat="1" ht="12.75" hidden="1" outlineLevel="2">
      <c r="A128" s="15" t="s">
        <v>551</v>
      </c>
      <c r="B128" s="15" t="s">
        <v>552</v>
      </c>
      <c r="C128" s="134" t="s">
        <v>553</v>
      </c>
      <c r="D128" s="16"/>
      <c r="E128" s="16"/>
      <c r="F128" s="16">
        <v>988855.3300000001</v>
      </c>
      <c r="G128" s="16">
        <v>638579.81</v>
      </c>
      <c r="H128" s="16">
        <f>+F128-G128</f>
        <v>350275.52</v>
      </c>
      <c r="I128" s="53">
        <f>IF(G128&lt;0,IF(H128=0,0,IF(OR(G128=0,F128=0),"N.M.",IF(ABS(H128/G128)&gt;=10,"N.M.",H128/(-G128)))),IF(H128=0,0,IF(OR(G128=0,F128=0),"N.M.",IF(ABS(H128/G128)&gt;=10,"N.M.",H128/G128))))</f>
        <v>0.5485226975779268</v>
      </c>
      <c r="J128" s="174"/>
      <c r="K128" s="256">
        <v>864163.39</v>
      </c>
      <c r="L128" s="16">
        <f>+F128-K128</f>
        <v>124691.94000000006</v>
      </c>
      <c r="M128" s="53" t="str">
        <f>IF(K128&lt;0,IF(L128=0,0,IF(OR(K128=0,N128=0),"N.M.",IF(ABS(L128/K128)&gt;=10,"N.M.",L128/(-K128)))),IF(L128=0,0,IF(OR(K128=0,N128=0),"N.M.",IF(ABS(L128/K128)&gt;=10,"N.M.",L128/K128))))</f>
        <v>N.M.</v>
      </c>
      <c r="N128" s="174"/>
      <c r="O128" s="256">
        <v>658271.27</v>
      </c>
      <c r="P128" s="16">
        <f>+F128-O128</f>
        <v>330584.06000000006</v>
      </c>
      <c r="Q128" s="53">
        <f>IF(O128&lt;0,IF(P128=0,0,IF(OR(O128=0,F128=0),"N.M.",IF(ABS(P128/O128)&gt;=10,"N.M.",P128/(-O128)))),IF(P128=0,0,IF(OR(O128=0,F128=0),"N.M.",IF(ABS(P128/O128)&gt;=10,"N.M.",P128/O128))))</f>
        <v>0.5022003466747076</v>
      </c>
    </row>
    <row r="129" spans="1:17" s="15" customFormat="1" ht="12.75" hidden="1" outlineLevel="2">
      <c r="A129" s="15" t="s">
        <v>554</v>
      </c>
      <c r="B129" s="15" t="s">
        <v>555</v>
      </c>
      <c r="C129" s="134" t="s">
        <v>556</v>
      </c>
      <c r="D129" s="16"/>
      <c r="E129" s="16"/>
      <c r="F129" s="16">
        <v>835462.81</v>
      </c>
      <c r="G129" s="16">
        <v>0</v>
      </c>
      <c r="H129" s="16">
        <f>+F129-G129</f>
        <v>835462.81</v>
      </c>
      <c r="I129" s="53" t="str">
        <f>IF(G129&lt;0,IF(H129=0,0,IF(OR(G129=0,F129=0),"N.M.",IF(ABS(H129/G129)&gt;=10,"N.M.",H129/(-G129)))),IF(H129=0,0,IF(OR(G129=0,F129=0),"N.M.",IF(ABS(H129/G129)&gt;=10,"N.M.",H129/G129))))</f>
        <v>N.M.</v>
      </c>
      <c r="J129" s="174"/>
      <c r="K129" s="256">
        <v>825913.99</v>
      </c>
      <c r="L129" s="16">
        <f>+F129-K129</f>
        <v>9548.820000000065</v>
      </c>
      <c r="M129" s="53" t="str">
        <f>IF(K129&lt;0,IF(L129=0,0,IF(OR(K129=0,N129=0),"N.M.",IF(ABS(L129/K129)&gt;=10,"N.M.",L129/(-K129)))),IF(L129=0,0,IF(OR(K129=0,N129=0),"N.M.",IF(ABS(L129/K129)&gt;=10,"N.M.",L129/K129))))</f>
        <v>N.M.</v>
      </c>
      <c r="N129" s="174"/>
      <c r="O129" s="256">
        <v>815384.7000000001</v>
      </c>
      <c r="P129" s="16">
        <f>+F129-O129</f>
        <v>20078.109999999986</v>
      </c>
      <c r="Q129" s="53">
        <f>IF(O129&lt;0,IF(P129=0,0,IF(OR(O129=0,F129=0),"N.M.",IF(ABS(P129/O129)&gt;=10,"N.M.",P129/(-O129)))),IF(P129=0,0,IF(OR(O129=0,F129=0),"N.M.",IF(ABS(P129/O129)&gt;=10,"N.M.",P129/O129))))</f>
        <v>0.02462409461448073</v>
      </c>
    </row>
    <row r="130" spans="1:17" s="15" customFormat="1" ht="12.75" hidden="1" outlineLevel="2">
      <c r="A130" s="15" t="s">
        <v>557</v>
      </c>
      <c r="B130" s="15" t="s">
        <v>558</v>
      </c>
      <c r="C130" s="134" t="s">
        <v>559</v>
      </c>
      <c r="D130" s="16"/>
      <c r="E130" s="16"/>
      <c r="F130" s="16">
        <v>283348.694</v>
      </c>
      <c r="G130" s="16">
        <v>244109.36000000002</v>
      </c>
      <c r="H130" s="16">
        <f>+F130-G130</f>
        <v>39239.334</v>
      </c>
      <c r="I130" s="53">
        <f>IF(G130&lt;0,IF(H130=0,0,IF(OR(G130=0,F130=0),"N.M.",IF(ABS(H130/G130)&gt;=10,"N.M.",H130/(-G130)))),IF(H130=0,0,IF(OR(G130=0,F130=0),"N.M.",IF(ABS(H130/G130)&gt;=10,"N.M.",H130/G130))))</f>
        <v>0.16074489728701924</v>
      </c>
      <c r="J130" s="174"/>
      <c r="K130" s="256">
        <v>188122.294</v>
      </c>
      <c r="L130" s="16">
        <f>+F130-K130</f>
        <v>95226.40000000002</v>
      </c>
      <c r="M130" s="53" t="str">
        <f>IF(K130&lt;0,IF(L130=0,0,IF(OR(K130=0,N130=0),"N.M.",IF(ABS(L130/K130)&gt;=10,"N.M.",L130/(-K130)))),IF(L130=0,0,IF(OR(K130=0,N130=0),"N.M.",IF(ABS(L130/K130)&gt;=10,"N.M.",L130/K130))))</f>
        <v>N.M.</v>
      </c>
      <c r="N130" s="174"/>
      <c r="O130" s="256">
        <v>292974.824</v>
      </c>
      <c r="P130" s="16">
        <f>+F130-O130</f>
        <v>-9626.130000000005</v>
      </c>
      <c r="Q130" s="53">
        <f>IF(O130&lt;0,IF(P130=0,0,IF(OR(O130=0,F130=0),"N.M.",IF(ABS(P130/O130)&gt;=10,"N.M.",P130/(-O130)))),IF(P130=0,0,IF(OR(O130=0,F130=0),"N.M.",IF(ABS(P130/O130)&gt;=10,"N.M.",P130/O130))))</f>
        <v>-0.032856509199575466</v>
      </c>
    </row>
    <row r="131" spans="1:17" s="67" customFormat="1" ht="12.75" collapsed="1">
      <c r="A131" s="67" t="s">
        <v>119</v>
      </c>
      <c r="B131" s="87"/>
      <c r="C131" s="82" t="s">
        <v>98</v>
      </c>
      <c r="D131" s="66"/>
      <c r="E131" s="66"/>
      <c r="F131" s="51">
        <v>15043974.064000001</v>
      </c>
      <c r="G131" s="51">
        <v>10999156.32</v>
      </c>
      <c r="H131" s="51">
        <f>+F131-G131</f>
        <v>4044817.744000001</v>
      </c>
      <c r="I131" s="136">
        <f>IF(G131&lt;0,IF(H131=0,0,IF(OR(G131=0,F131=0),"N.M.",IF(ABS(H131/G131)&gt;=10,"N.M.",H131/(-G131)))),IF(H131=0,0,IF(OR(G131=0,F131=0),"N.M.",IF(ABS(H131/G131)&gt;=10,"N.M.",H131/G131))))</f>
        <v>0.36773890890569694</v>
      </c>
      <c r="J131" s="157"/>
      <c r="K131" s="51">
        <v>12974317.274</v>
      </c>
      <c r="L131" s="51">
        <f>+F131-K131</f>
        <v>2069656.790000001</v>
      </c>
      <c r="M131" s="136" t="str">
        <f>IF(K131&lt;0,IF(L131=0,0,IF(OR(K131=0,N131=0),"N.M.",IF(ABS(L131/K131)&gt;=10,"N.M.",L131/(-K131)))),IF(L131=0,0,IF(OR(K131=0,N131=0),"N.M.",IF(ABS(L131/K131)&gt;=10,"N.M.",L131/K131))))</f>
        <v>N.M.</v>
      </c>
      <c r="N131" s="157"/>
      <c r="O131" s="51">
        <v>16639557.673999999</v>
      </c>
      <c r="P131" s="51">
        <f>+F131-O131</f>
        <v>-1595583.6099999975</v>
      </c>
      <c r="Q131" s="136">
        <f>IF(O131&lt;0,IF(P131=0,0,IF(OR(O131=0,F131=0),"N.M.",IF(ABS(P131/O131)&gt;=10,"N.M.",P131/(-O131)))),IF(P131=0,0,IF(OR(O131=0,F131=0),"N.M.",IF(ABS(P131/O131)&gt;=10,"N.M.",P131/O131))))</f>
        <v>-0.09589098708393934</v>
      </c>
    </row>
    <row r="132" spans="2:17" s="67" customFormat="1" ht="0.75" customHeight="1" hidden="1" outlineLevel="1">
      <c r="B132" s="87"/>
      <c r="C132" s="82"/>
      <c r="D132" s="66"/>
      <c r="E132" s="66"/>
      <c r="F132" s="51"/>
      <c r="G132" s="51"/>
      <c r="H132" s="51"/>
      <c r="I132" s="136"/>
      <c r="J132" s="157"/>
      <c r="K132" s="51"/>
      <c r="L132" s="51"/>
      <c r="M132" s="136"/>
      <c r="N132" s="157"/>
      <c r="O132" s="51"/>
      <c r="P132" s="51"/>
      <c r="Q132" s="136"/>
    </row>
    <row r="133" spans="1:17" s="15" customFormat="1" ht="12.75" hidden="1" outlineLevel="2">
      <c r="A133" s="15" t="s">
        <v>560</v>
      </c>
      <c r="B133" s="15" t="s">
        <v>561</v>
      </c>
      <c r="C133" s="134" t="s">
        <v>562</v>
      </c>
      <c r="D133" s="16"/>
      <c r="E133" s="16"/>
      <c r="F133" s="16">
        <v>10279513.73</v>
      </c>
      <c r="G133" s="16">
        <v>10608679.42</v>
      </c>
      <c r="H133" s="16">
        <f aca="true" t="shared" si="38" ref="H133:H144">+F133-G133</f>
        <v>-329165.6899999995</v>
      </c>
      <c r="I133" s="53">
        <f aca="true" t="shared" si="39" ref="I133:I144">IF(G133&lt;0,IF(H133=0,0,IF(OR(G133=0,F133=0),"N.M.",IF(ABS(H133/G133)&gt;=10,"N.M.",H133/(-G133)))),IF(H133=0,0,IF(OR(G133=0,F133=0),"N.M.",IF(ABS(H133/G133)&gt;=10,"N.M.",H133/G133))))</f>
        <v>-0.03102796087696271</v>
      </c>
      <c r="J133" s="174"/>
      <c r="K133" s="256">
        <v>10358202.1</v>
      </c>
      <c r="L133" s="16">
        <f aca="true" t="shared" si="40" ref="L133:L144">+F133-K133</f>
        <v>-78688.36999999918</v>
      </c>
      <c r="M133" s="53" t="str">
        <f aca="true" t="shared" si="41" ref="M133:M144">IF(K133&lt;0,IF(L133=0,0,IF(OR(K133=0,N133=0),"N.M.",IF(ABS(L133/K133)&gt;=10,"N.M.",L133/(-K133)))),IF(L133=0,0,IF(OR(K133=0,N133=0),"N.M.",IF(ABS(L133/K133)&gt;=10,"N.M.",L133/K133))))</f>
        <v>N.M.</v>
      </c>
      <c r="N133" s="174"/>
      <c r="O133" s="256">
        <v>10708013.77</v>
      </c>
      <c r="P133" s="16">
        <f aca="true" t="shared" si="42" ref="P133:P144">+F133-O133</f>
        <v>-428500.0399999991</v>
      </c>
      <c r="Q133" s="53">
        <f aca="true" t="shared" si="43" ref="Q133:Q144">IF(O133&lt;0,IF(P133=0,0,IF(OR(O133=0,F133=0),"N.M.",IF(ABS(P133/O133)&gt;=10,"N.M.",P133/(-O133)))),IF(P133=0,0,IF(OR(O133=0,F133=0),"N.M.",IF(ABS(P133/O133)&gt;=10,"N.M.",P133/O133))))</f>
        <v>-0.04001676213757793</v>
      </c>
    </row>
    <row r="134" spans="1:17" s="15" customFormat="1" ht="12.75" hidden="1" outlineLevel="2">
      <c r="A134" s="15" t="s">
        <v>563</v>
      </c>
      <c r="B134" s="15" t="s">
        <v>564</v>
      </c>
      <c r="C134" s="134" t="s">
        <v>565</v>
      </c>
      <c r="D134" s="16"/>
      <c r="E134" s="16"/>
      <c r="F134" s="16">
        <v>49909.417</v>
      </c>
      <c r="G134" s="16">
        <v>42356.857</v>
      </c>
      <c r="H134" s="16">
        <f t="shared" si="38"/>
        <v>7552.559999999998</v>
      </c>
      <c r="I134" s="53">
        <f t="shared" si="39"/>
        <v>0.17830784753457976</v>
      </c>
      <c r="J134" s="174"/>
      <c r="K134" s="256">
        <v>50232.787</v>
      </c>
      <c r="L134" s="16">
        <f t="shared" si="40"/>
        <v>-323.36999999999534</v>
      </c>
      <c r="M134" s="53" t="str">
        <f t="shared" si="41"/>
        <v>N.M.</v>
      </c>
      <c r="N134" s="174"/>
      <c r="O134" s="256">
        <v>45598.227</v>
      </c>
      <c r="P134" s="16">
        <f t="shared" si="42"/>
        <v>4311.190000000002</v>
      </c>
      <c r="Q134" s="53">
        <f t="shared" si="43"/>
        <v>0.09454731649982799</v>
      </c>
    </row>
    <row r="135" spans="1:17" s="15" customFormat="1" ht="12.75" hidden="1" outlineLevel="2">
      <c r="A135" s="15" t="s">
        <v>566</v>
      </c>
      <c r="B135" s="15" t="s">
        <v>567</v>
      </c>
      <c r="C135" s="134" t="s">
        <v>568</v>
      </c>
      <c r="D135" s="16"/>
      <c r="E135" s="16"/>
      <c r="F135" s="16">
        <v>336943.8</v>
      </c>
      <c r="G135" s="16">
        <v>240614.63</v>
      </c>
      <c r="H135" s="16">
        <f t="shared" si="38"/>
        <v>96329.16999999998</v>
      </c>
      <c r="I135" s="53">
        <f t="shared" si="39"/>
        <v>0.40034627154633107</v>
      </c>
      <c r="J135" s="174"/>
      <c r="K135" s="256">
        <v>370741.87</v>
      </c>
      <c r="L135" s="16">
        <f t="shared" si="40"/>
        <v>-33798.07000000001</v>
      </c>
      <c r="M135" s="53" t="str">
        <f t="shared" si="41"/>
        <v>N.M.</v>
      </c>
      <c r="N135" s="174"/>
      <c r="O135" s="256">
        <v>287071.68</v>
      </c>
      <c r="P135" s="16">
        <f t="shared" si="42"/>
        <v>49872.119999999995</v>
      </c>
      <c r="Q135" s="53">
        <f t="shared" si="43"/>
        <v>0.17372706356823492</v>
      </c>
    </row>
    <row r="136" spans="1:17" s="15" customFormat="1" ht="12.75" hidden="1" outlineLevel="2">
      <c r="A136" s="15" t="s">
        <v>569</v>
      </c>
      <c r="B136" s="15" t="s">
        <v>570</v>
      </c>
      <c r="C136" s="134" t="s">
        <v>571</v>
      </c>
      <c r="D136" s="16"/>
      <c r="E136" s="16"/>
      <c r="F136" s="16">
        <v>72751.03</v>
      </c>
      <c r="G136" s="16">
        <v>65975.64</v>
      </c>
      <c r="H136" s="16">
        <f t="shared" si="38"/>
        <v>6775.389999999999</v>
      </c>
      <c r="I136" s="53">
        <f t="shared" si="39"/>
        <v>0.10269532815445215</v>
      </c>
      <c r="J136" s="174"/>
      <c r="K136" s="256">
        <v>72751.03</v>
      </c>
      <c r="L136" s="16">
        <f t="shared" si="40"/>
        <v>0</v>
      </c>
      <c r="M136" s="53">
        <f t="shared" si="41"/>
        <v>0</v>
      </c>
      <c r="N136" s="174"/>
      <c r="O136" s="256">
        <v>72751.03</v>
      </c>
      <c r="P136" s="16">
        <f t="shared" si="42"/>
        <v>0</v>
      </c>
      <c r="Q136" s="53">
        <f t="shared" si="43"/>
        <v>0</v>
      </c>
    </row>
    <row r="137" spans="1:17" s="15" customFormat="1" ht="12.75" hidden="1" outlineLevel="2">
      <c r="A137" s="15" t="s">
        <v>572</v>
      </c>
      <c r="B137" s="15" t="s">
        <v>573</v>
      </c>
      <c r="C137" s="134" t="s">
        <v>574</v>
      </c>
      <c r="D137" s="16"/>
      <c r="E137" s="16"/>
      <c r="F137" s="16">
        <v>1230283.25</v>
      </c>
      <c r="G137" s="16">
        <v>831665.14</v>
      </c>
      <c r="H137" s="16">
        <f t="shared" si="38"/>
        <v>398618.11</v>
      </c>
      <c r="I137" s="53">
        <f t="shared" si="39"/>
        <v>0.47930121250483093</v>
      </c>
      <c r="J137" s="174"/>
      <c r="K137" s="256">
        <v>1148800.73</v>
      </c>
      <c r="L137" s="16">
        <f t="shared" si="40"/>
        <v>81482.52000000002</v>
      </c>
      <c r="M137" s="53" t="str">
        <f t="shared" si="41"/>
        <v>N.M.</v>
      </c>
      <c r="N137" s="174"/>
      <c r="O137" s="256">
        <v>1052462.72</v>
      </c>
      <c r="P137" s="16">
        <f t="shared" si="42"/>
        <v>177820.53000000003</v>
      </c>
      <c r="Q137" s="53">
        <f t="shared" si="43"/>
        <v>0.16895660684304337</v>
      </c>
    </row>
    <row r="138" spans="1:17" s="67" customFormat="1" ht="12.75" hidden="1" outlineLevel="1">
      <c r="A138" s="86" t="s">
        <v>120</v>
      </c>
      <c r="B138" s="87"/>
      <c r="C138" s="83" t="s">
        <v>115</v>
      </c>
      <c r="D138" s="66"/>
      <c r="E138" s="66"/>
      <c r="F138" s="51">
        <v>11969401.227</v>
      </c>
      <c r="G138" s="51">
        <v>11789291.687000003</v>
      </c>
      <c r="H138" s="51">
        <f t="shared" si="38"/>
        <v>180109.53999999724</v>
      </c>
      <c r="I138" s="136">
        <f t="shared" si="39"/>
        <v>0.01527738432314837</v>
      </c>
      <c r="J138" s="157"/>
      <c r="K138" s="51">
        <v>12000728.516999999</v>
      </c>
      <c r="L138" s="51">
        <f t="shared" si="40"/>
        <v>-31327.289999999106</v>
      </c>
      <c r="M138" s="136" t="str">
        <f t="shared" si="41"/>
        <v>N.M.</v>
      </c>
      <c r="N138" s="157"/>
      <c r="O138" s="51">
        <v>12165897.427</v>
      </c>
      <c r="P138" s="51">
        <f t="shared" si="42"/>
        <v>-196496.19999999925</v>
      </c>
      <c r="Q138" s="136">
        <f t="shared" si="43"/>
        <v>-0.016151393777487522</v>
      </c>
    </row>
    <row r="139" spans="1:17" s="67" customFormat="1" ht="12.75" hidden="1" outlineLevel="1">
      <c r="A139" s="86" t="s">
        <v>121</v>
      </c>
      <c r="B139" s="87"/>
      <c r="C139" s="83" t="s">
        <v>116</v>
      </c>
      <c r="D139" s="66"/>
      <c r="E139" s="66"/>
      <c r="F139" s="51">
        <v>0</v>
      </c>
      <c r="G139" s="51">
        <v>0</v>
      </c>
      <c r="H139" s="51">
        <f t="shared" si="38"/>
        <v>0</v>
      </c>
      <c r="I139" s="136">
        <f t="shared" si="39"/>
        <v>0</v>
      </c>
      <c r="J139" s="157"/>
      <c r="K139" s="51">
        <v>0</v>
      </c>
      <c r="L139" s="51">
        <f t="shared" si="40"/>
        <v>0</v>
      </c>
      <c r="M139" s="136">
        <f t="shared" si="41"/>
        <v>0</v>
      </c>
      <c r="N139" s="157"/>
      <c r="O139" s="51">
        <v>0</v>
      </c>
      <c r="P139" s="51">
        <f t="shared" si="42"/>
        <v>0</v>
      </c>
      <c r="Q139" s="136">
        <f t="shared" si="43"/>
        <v>0</v>
      </c>
    </row>
    <row r="140" spans="1:17" s="15" customFormat="1" ht="12.75" hidden="1" outlineLevel="2">
      <c r="A140" s="15" t="s">
        <v>575</v>
      </c>
      <c r="B140" s="15" t="s">
        <v>576</v>
      </c>
      <c r="C140" s="134" t="s">
        <v>577</v>
      </c>
      <c r="D140" s="16"/>
      <c r="E140" s="16"/>
      <c r="F140" s="16">
        <v>944486.88</v>
      </c>
      <c r="G140" s="16">
        <v>2135521.39</v>
      </c>
      <c r="H140" s="16">
        <f t="shared" si="38"/>
        <v>-1191034.5100000002</v>
      </c>
      <c r="I140" s="53">
        <f t="shared" si="39"/>
        <v>-0.5577253946400416</v>
      </c>
      <c r="J140" s="174"/>
      <c r="K140" s="256">
        <v>1066667.75</v>
      </c>
      <c r="L140" s="16">
        <f t="shared" si="40"/>
        <v>-122180.87</v>
      </c>
      <c r="M140" s="53" t="str">
        <f t="shared" si="41"/>
        <v>N.M.</v>
      </c>
      <c r="N140" s="174"/>
      <c r="O140" s="256">
        <v>12027962.24</v>
      </c>
      <c r="P140" s="16">
        <f t="shared" si="42"/>
        <v>-11083475.36</v>
      </c>
      <c r="Q140" s="53">
        <f t="shared" si="43"/>
        <v>-0.9214757361925339</v>
      </c>
    </row>
    <row r="141" spans="1:17" s="15" customFormat="1" ht="12.75" hidden="1" outlineLevel="2">
      <c r="A141" s="15" t="s">
        <v>578</v>
      </c>
      <c r="B141" s="15" t="s">
        <v>579</v>
      </c>
      <c r="C141" s="134" t="s">
        <v>580</v>
      </c>
      <c r="D141" s="16"/>
      <c r="E141" s="16"/>
      <c r="F141" s="16">
        <v>11932.25</v>
      </c>
      <c r="G141" s="16">
        <v>5129.25</v>
      </c>
      <c r="H141" s="16">
        <f t="shared" si="38"/>
        <v>6803</v>
      </c>
      <c r="I141" s="53">
        <f t="shared" si="39"/>
        <v>1.326314763366964</v>
      </c>
      <c r="J141" s="174"/>
      <c r="K141" s="256">
        <v>33083.56</v>
      </c>
      <c r="L141" s="16">
        <f t="shared" si="40"/>
        <v>-21151.309999999998</v>
      </c>
      <c r="M141" s="53" t="str">
        <f t="shared" si="41"/>
        <v>N.M.</v>
      </c>
      <c r="N141" s="174"/>
      <c r="O141" s="256">
        <v>184206.4</v>
      </c>
      <c r="P141" s="16">
        <f t="shared" si="42"/>
        <v>-172274.15</v>
      </c>
      <c r="Q141" s="53">
        <f t="shared" si="43"/>
        <v>-0.9352234775773263</v>
      </c>
    </row>
    <row r="142" spans="1:17" s="67" customFormat="1" ht="12.75" hidden="1" outlineLevel="1">
      <c r="A142" s="86" t="s">
        <v>122</v>
      </c>
      <c r="B142" s="87"/>
      <c r="C142" s="83" t="s">
        <v>117</v>
      </c>
      <c r="D142" s="66"/>
      <c r="E142" s="66"/>
      <c r="F142" s="51">
        <v>956419.13</v>
      </c>
      <c r="G142" s="51">
        <v>2140650.64</v>
      </c>
      <c r="H142" s="51">
        <f t="shared" si="38"/>
        <v>-1184231.5100000002</v>
      </c>
      <c r="I142" s="136">
        <f t="shared" si="39"/>
        <v>-0.5532110134514991</v>
      </c>
      <c r="J142" s="157"/>
      <c r="K142" s="51">
        <v>1099751.31</v>
      </c>
      <c r="L142" s="51">
        <f t="shared" si="40"/>
        <v>-143332.18000000005</v>
      </c>
      <c r="M142" s="136" t="str">
        <f t="shared" si="41"/>
        <v>N.M.</v>
      </c>
      <c r="N142" s="157"/>
      <c r="O142" s="51">
        <v>12212168.64</v>
      </c>
      <c r="P142" s="51">
        <f t="shared" si="42"/>
        <v>-11255749.51</v>
      </c>
      <c r="Q142" s="136">
        <f t="shared" si="43"/>
        <v>-0.9216831049263989</v>
      </c>
    </row>
    <row r="143" spans="1:17" s="67" customFormat="1" ht="12.75" hidden="1" outlineLevel="1">
      <c r="A143" s="86" t="s">
        <v>123</v>
      </c>
      <c r="B143" s="87"/>
      <c r="C143" s="84" t="s">
        <v>118</v>
      </c>
      <c r="D143" s="66"/>
      <c r="E143" s="66"/>
      <c r="F143" s="197">
        <v>0</v>
      </c>
      <c r="G143" s="197">
        <v>0</v>
      </c>
      <c r="H143" s="197">
        <f t="shared" si="38"/>
        <v>0</v>
      </c>
      <c r="I143" s="138">
        <f t="shared" si="39"/>
        <v>0</v>
      </c>
      <c r="J143" s="157"/>
      <c r="K143" s="197">
        <v>0</v>
      </c>
      <c r="L143" s="197">
        <f t="shared" si="40"/>
        <v>0</v>
      </c>
      <c r="M143" s="138">
        <f t="shared" si="41"/>
        <v>0</v>
      </c>
      <c r="N143" s="157"/>
      <c r="O143" s="197">
        <v>0</v>
      </c>
      <c r="P143" s="197">
        <f t="shared" si="42"/>
        <v>0</v>
      </c>
      <c r="Q143" s="138">
        <f t="shared" si="43"/>
        <v>0</v>
      </c>
    </row>
    <row r="144" spans="1:17" s="67" customFormat="1" ht="12.75" collapsed="1">
      <c r="A144" s="67" t="s">
        <v>233</v>
      </c>
      <c r="B144" s="87"/>
      <c r="C144" s="82" t="s">
        <v>99</v>
      </c>
      <c r="D144" s="66"/>
      <c r="E144" s="66"/>
      <c r="F144" s="51">
        <f>+F143+F142+F139+F138</f>
        <v>12925820.357</v>
      </c>
      <c r="G144" s="51">
        <f>+G143+G142+G139+G138</f>
        <v>13929942.327000003</v>
      </c>
      <c r="H144" s="51">
        <f t="shared" si="38"/>
        <v>-1004121.9700000025</v>
      </c>
      <c r="I144" s="136">
        <f t="shared" si="39"/>
        <v>-0.07208371337286458</v>
      </c>
      <c r="J144" s="157"/>
      <c r="K144" s="51">
        <f>+K143+K142+K139+K138</f>
        <v>13100479.827</v>
      </c>
      <c r="L144" s="51">
        <f t="shared" si="40"/>
        <v>-174659.4699999988</v>
      </c>
      <c r="M144" s="136" t="str">
        <f t="shared" si="41"/>
        <v>N.M.</v>
      </c>
      <c r="N144" s="157"/>
      <c r="O144" s="51">
        <f>+O143+O142+O139+O138</f>
        <v>24378066.067</v>
      </c>
      <c r="P144" s="51">
        <f t="shared" si="42"/>
        <v>-11452245.71</v>
      </c>
      <c r="Q144" s="136">
        <f t="shared" si="43"/>
        <v>-0.4697766294719592</v>
      </c>
    </row>
    <row r="145" spans="2:17" s="67" customFormat="1" ht="0.75" customHeight="1" hidden="1" outlineLevel="1">
      <c r="B145" s="87"/>
      <c r="C145" s="82"/>
      <c r="D145" s="66"/>
      <c r="E145" s="66"/>
      <c r="F145" s="51"/>
      <c r="G145" s="51"/>
      <c r="H145" s="51"/>
      <c r="I145" s="136"/>
      <c r="J145" s="157"/>
      <c r="K145" s="51"/>
      <c r="L145" s="51"/>
      <c r="M145" s="136"/>
      <c r="N145" s="157"/>
      <c r="O145" s="51"/>
      <c r="P145" s="51"/>
      <c r="Q145" s="136"/>
    </row>
    <row r="146" spans="1:17" s="15" customFormat="1" ht="12.75" hidden="1" outlineLevel="2">
      <c r="A146" s="15" t="s">
        <v>581</v>
      </c>
      <c r="B146" s="15" t="s">
        <v>582</v>
      </c>
      <c r="C146" s="134" t="s">
        <v>100</v>
      </c>
      <c r="D146" s="16"/>
      <c r="E146" s="16"/>
      <c r="F146" s="16">
        <v>14310260.32</v>
      </c>
      <c r="G146" s="16">
        <v>15390736.26</v>
      </c>
      <c r="H146" s="16">
        <f>+F146-G146</f>
        <v>-1080475.9399999995</v>
      </c>
      <c r="I146" s="53">
        <f>IF(G146&lt;0,IF(H146=0,0,IF(OR(G146=0,F146=0),"N.M.",IF(ABS(H146/G146)&gt;=10,"N.M.",H146/(-G146)))),IF(H146=0,0,IF(OR(G146=0,F146=0),"N.M.",IF(ABS(H146/G146)&gt;=10,"N.M.",H146/G146))))</f>
        <v>-0.07020300534992076</v>
      </c>
      <c r="J146" s="174"/>
      <c r="K146" s="256">
        <v>20241973.84</v>
      </c>
      <c r="L146" s="16">
        <f>+F146-K146</f>
        <v>-5931713.52</v>
      </c>
      <c r="M146" s="53" t="str">
        <f>IF(K146&lt;0,IF(L146=0,0,IF(OR(K146=0,N146=0),"N.M.",IF(ABS(L146/K146)&gt;=10,"N.M.",L146/(-K146)))),IF(L146=0,0,IF(OR(K146=0,N146=0),"N.M.",IF(ABS(L146/K146)&gt;=10,"N.M.",L146/K146))))</f>
        <v>N.M.</v>
      </c>
      <c r="N146" s="174"/>
      <c r="O146" s="256">
        <v>31228544.24</v>
      </c>
      <c r="P146" s="16">
        <f>+F146-O146</f>
        <v>-16918283.919999998</v>
      </c>
      <c r="Q146" s="53">
        <f>IF(O146&lt;0,IF(P146=0,0,IF(OR(O146=0,F146=0),"N.M.",IF(ABS(P146/O146)&gt;=10,"N.M.",P146/(-O146)))),IF(P146=0,0,IF(OR(O146=0,F146=0),"N.M.",IF(ABS(P146/O146)&gt;=10,"N.M.",P146/O146))))</f>
        <v>-0.5417570473339489</v>
      </c>
    </row>
    <row r="147" spans="1:17" s="15" customFormat="1" ht="12.75" hidden="1" outlineLevel="2">
      <c r="A147" s="15" t="s">
        <v>583</v>
      </c>
      <c r="B147" s="15" t="s">
        <v>584</v>
      </c>
      <c r="C147" s="134" t="s">
        <v>585</v>
      </c>
      <c r="D147" s="16"/>
      <c r="E147" s="16"/>
      <c r="F147" s="16">
        <v>-12632920.56</v>
      </c>
      <c r="G147" s="16">
        <v>-10527599.55</v>
      </c>
      <c r="H147" s="16">
        <f>+F147-G147</f>
        <v>-2105321.01</v>
      </c>
      <c r="I147" s="53">
        <f>IF(G147&lt;0,IF(H147=0,0,IF(OR(G147=0,F147=0),"N.M.",IF(ABS(H147/G147)&gt;=10,"N.M.",H147/(-G147)))),IF(H147=0,0,IF(OR(G147=0,F147=0),"N.M.",IF(ABS(H147/G147)&gt;=10,"N.M.",H147/G147))))</f>
        <v>-0.19998110680416217</v>
      </c>
      <c r="J147" s="174"/>
      <c r="K147" s="256">
        <v>-16960948.22</v>
      </c>
      <c r="L147" s="16">
        <f>+F147-K147</f>
        <v>4328027.659999998</v>
      </c>
      <c r="M147" s="53" t="str">
        <f>IF(K147&lt;0,IF(L147=0,0,IF(OR(K147=0,N147=0),"N.M.",IF(ABS(L147/K147)&gt;=10,"N.M.",L147/(-K147)))),IF(L147=0,0,IF(OR(K147=0,N147=0),"N.M.",IF(ABS(L147/K147)&gt;=10,"N.M.",L147/K147))))</f>
        <v>N.M.</v>
      </c>
      <c r="N147" s="174"/>
      <c r="O147" s="256">
        <v>-27405152.03</v>
      </c>
      <c r="P147" s="16">
        <f>+F147-O147</f>
        <v>14772231.47</v>
      </c>
      <c r="Q147" s="53">
        <f>IF(O147&lt;0,IF(P147=0,0,IF(OR(O147=0,F147=0),"N.M.",IF(ABS(P147/O147)&gt;=10,"N.M.",P147/(-O147)))),IF(P147=0,0,IF(OR(O147=0,F147=0),"N.M.",IF(ABS(P147/O147)&gt;=10,"N.M.",P147/O147))))</f>
        <v>0.5390311812110754</v>
      </c>
    </row>
    <row r="148" spans="1:17" s="67" customFormat="1" ht="12.75" collapsed="1">
      <c r="A148" s="67" t="s">
        <v>124</v>
      </c>
      <c r="B148" s="87"/>
      <c r="C148" s="82" t="s">
        <v>100</v>
      </c>
      <c r="D148" s="66"/>
      <c r="E148" s="66"/>
      <c r="F148" s="51">
        <v>1677339.7599999998</v>
      </c>
      <c r="G148" s="51">
        <v>4863136.709999999</v>
      </c>
      <c r="H148" s="51">
        <f>+F148-G148</f>
        <v>-3185796.9499999993</v>
      </c>
      <c r="I148" s="136">
        <f>IF(G148&lt;0,IF(H148=0,0,IF(OR(G148=0,F148=0),"N.M.",IF(ABS(H148/G148)&gt;=10,"N.M.",H148/(-G148)))),IF(H148=0,0,IF(OR(G148=0,F148=0),"N.M.",IF(ABS(H148/G148)&gt;=10,"N.M.",H148/G148))))</f>
        <v>-0.6550909711111124</v>
      </c>
      <c r="J148" s="157"/>
      <c r="K148" s="51">
        <v>3281025.620000001</v>
      </c>
      <c r="L148" s="51">
        <f>+F148-K148</f>
        <v>-1603685.8600000013</v>
      </c>
      <c r="M148" s="136" t="str">
        <f>IF(K148&lt;0,IF(L148=0,0,IF(OR(K148=0,N148=0),"N.M.",IF(ABS(L148/K148)&gt;=10,"N.M.",L148/(-K148)))),IF(L148=0,0,IF(OR(K148=0,N148=0),"N.M.",IF(ABS(L148/K148)&gt;=10,"N.M.",L148/K148))))</f>
        <v>N.M.</v>
      </c>
      <c r="N148" s="157"/>
      <c r="O148" s="51">
        <v>3823392.209999997</v>
      </c>
      <c r="P148" s="51">
        <f>+F148-O148</f>
        <v>-2146052.4499999974</v>
      </c>
      <c r="Q148" s="136">
        <f>IF(O148&lt;0,IF(P148=0,0,IF(OR(O148=0,F148=0),"N.M.",IF(ABS(P148/O148)&gt;=10,"N.M.",P148/(-O148)))),IF(P148=0,0,IF(OR(O148=0,F148=0),"N.M.",IF(ABS(P148/O148)&gt;=10,"N.M.",P148/O148))))</f>
        <v>-0.5612953974188275</v>
      </c>
    </row>
    <row r="149" spans="2:17" s="67" customFormat="1" ht="0.75" customHeight="1" hidden="1" outlineLevel="1">
      <c r="B149" s="87"/>
      <c r="C149" s="82"/>
      <c r="D149" s="66"/>
      <c r="E149" s="66"/>
      <c r="F149" s="51"/>
      <c r="G149" s="51"/>
      <c r="H149" s="51"/>
      <c r="I149" s="136"/>
      <c r="J149" s="157"/>
      <c r="K149" s="51"/>
      <c r="L149" s="51"/>
      <c r="M149" s="136"/>
      <c r="N149" s="157"/>
      <c r="O149" s="51"/>
      <c r="P149" s="51"/>
      <c r="Q149" s="136"/>
    </row>
    <row r="150" spans="1:17" s="15" customFormat="1" ht="12.75" hidden="1" outlineLevel="2">
      <c r="A150" s="15" t="s">
        <v>586</v>
      </c>
      <c r="B150" s="15" t="s">
        <v>587</v>
      </c>
      <c r="C150" s="134" t="s">
        <v>588</v>
      </c>
      <c r="D150" s="16"/>
      <c r="E150" s="16"/>
      <c r="F150" s="16">
        <v>6417990.89</v>
      </c>
      <c r="G150" s="16">
        <v>13531801.03</v>
      </c>
      <c r="H150" s="16">
        <f>+F150-G150</f>
        <v>-7113810.14</v>
      </c>
      <c r="I150" s="53">
        <f>IF(G150&lt;0,IF(H150=0,0,IF(OR(G150=0,F150=0),"N.M.",IF(ABS(H150/G150)&gt;=10,"N.M.",H150/(-G150)))),IF(H150=0,0,IF(OR(G150=0,F150=0),"N.M.",IF(ABS(H150/G150)&gt;=10,"N.M.",H150/G150))))</f>
        <v>-0.5257105188162821</v>
      </c>
      <c r="J150" s="174"/>
      <c r="K150" s="256">
        <v>6187669.07</v>
      </c>
      <c r="L150" s="16">
        <f>+F150-K150</f>
        <v>230321.81999999937</v>
      </c>
      <c r="M150" s="53" t="str">
        <f>IF(K150&lt;0,IF(L150=0,0,IF(OR(K150=0,N150=0),"N.M.",IF(ABS(L150/K150)&gt;=10,"N.M.",L150/(-K150)))),IF(L150=0,0,IF(OR(K150=0,N150=0),"N.M.",IF(ABS(L150/K150)&gt;=10,"N.M.",L150/K150))))</f>
        <v>N.M.</v>
      </c>
      <c r="N150" s="174"/>
      <c r="O150" s="256">
        <v>8957232.27</v>
      </c>
      <c r="P150" s="16">
        <f>+F150-O150</f>
        <v>-2539241.38</v>
      </c>
      <c r="Q150" s="53">
        <f>IF(O150&lt;0,IF(P150=0,0,IF(OR(O150=0,F150=0),"N.M.",IF(ABS(P150/O150)&gt;=10,"N.M.",P150/(-O150)))),IF(P150=0,0,IF(OR(O150=0,F150=0),"N.M.",IF(ABS(P150/O150)&gt;=10,"N.M.",P150/O150))))</f>
        <v>-0.2834850435334307</v>
      </c>
    </row>
    <row r="151" spans="1:17" s="15" customFormat="1" ht="12.75" hidden="1" outlineLevel="2">
      <c r="A151" s="15" t="s">
        <v>589</v>
      </c>
      <c r="B151" s="15" t="s">
        <v>590</v>
      </c>
      <c r="C151" s="134" t="s">
        <v>591</v>
      </c>
      <c r="D151" s="16"/>
      <c r="E151" s="16"/>
      <c r="F151" s="16">
        <v>0</v>
      </c>
      <c r="G151" s="16">
        <v>1577.28</v>
      </c>
      <c r="H151" s="16">
        <f>+F151-G151</f>
        <v>-1577.28</v>
      </c>
      <c r="I151" s="53" t="str">
        <f>IF(G151&lt;0,IF(H151=0,0,IF(OR(G151=0,F151=0),"N.M.",IF(ABS(H151/G151)&gt;=10,"N.M.",H151/(-G151)))),IF(H151=0,0,IF(OR(G151=0,F151=0),"N.M.",IF(ABS(H151/G151)&gt;=10,"N.M.",H151/G151))))</f>
        <v>N.M.</v>
      </c>
      <c r="J151" s="174"/>
      <c r="K151" s="256">
        <v>0</v>
      </c>
      <c r="L151" s="16">
        <f>+F151-K151</f>
        <v>0</v>
      </c>
      <c r="M151" s="53">
        <f>IF(K151&lt;0,IF(L151=0,0,IF(OR(K151=0,N151=0),"N.M.",IF(ABS(L151/K151)&gt;=10,"N.M.",L151/(-K151)))),IF(L151=0,0,IF(OR(K151=0,N151=0),"N.M.",IF(ABS(L151/K151)&gt;=10,"N.M.",L151/K151))))</f>
        <v>0</v>
      </c>
      <c r="N151" s="174"/>
      <c r="O151" s="256">
        <v>0</v>
      </c>
      <c r="P151" s="16">
        <f>+F151-O151</f>
        <v>0</v>
      </c>
      <c r="Q151" s="53">
        <f>IF(O151&lt;0,IF(P151=0,0,IF(OR(O151=0,F151=0),"N.M.",IF(ABS(P151/O151)&gt;=10,"N.M.",P151/(-O151)))),IF(P151=0,0,IF(OR(O151=0,F151=0),"N.M.",IF(ABS(P151/O151)&gt;=10,"N.M.",P151/O151))))</f>
        <v>0</v>
      </c>
    </row>
    <row r="152" spans="1:17" s="15" customFormat="1" ht="12.75" hidden="1" outlineLevel="2">
      <c r="A152" s="15" t="s">
        <v>592</v>
      </c>
      <c r="B152" s="15" t="s">
        <v>593</v>
      </c>
      <c r="C152" s="134" t="s">
        <v>594</v>
      </c>
      <c r="D152" s="16"/>
      <c r="E152" s="16"/>
      <c r="F152" s="16">
        <v>-109739</v>
      </c>
      <c r="G152" s="16">
        <v>-899909</v>
      </c>
      <c r="H152" s="16">
        <f>+F152-G152</f>
        <v>790170</v>
      </c>
      <c r="I152" s="53">
        <f>IF(G152&lt;0,IF(H152=0,0,IF(OR(G152=0,F152=0),"N.M.",IF(ABS(H152/G152)&gt;=10,"N.M.",H152/(-G152)))),IF(H152=0,0,IF(OR(G152=0,F152=0),"N.M.",IF(ABS(H152/G152)&gt;=10,"N.M.",H152/G152))))</f>
        <v>0.8780554478286138</v>
      </c>
      <c r="J152" s="174"/>
      <c r="K152" s="256">
        <v>-70111</v>
      </c>
      <c r="L152" s="16">
        <f>+F152-K152</f>
        <v>-39628</v>
      </c>
      <c r="M152" s="53" t="str">
        <f>IF(K152&lt;0,IF(L152=0,0,IF(OR(K152=0,N152=0),"N.M.",IF(ABS(L152/K152)&gt;=10,"N.M.",L152/(-K152)))),IF(L152=0,0,IF(OR(K152=0,N152=0),"N.M.",IF(ABS(L152/K152)&gt;=10,"N.M.",L152/K152))))</f>
        <v>N.M.</v>
      </c>
      <c r="N152" s="174"/>
      <c r="O152" s="256">
        <v>-339000</v>
      </c>
      <c r="P152" s="16">
        <f>+F152-O152</f>
        <v>229261</v>
      </c>
      <c r="Q152" s="53">
        <f>IF(O152&lt;0,IF(P152=0,0,IF(OR(O152=0,F152=0),"N.M.",IF(ABS(P152/O152)&gt;=10,"N.M.",P152/(-O152)))),IF(P152=0,0,IF(OR(O152=0,F152=0),"N.M.",IF(ABS(P152/O152)&gt;=10,"N.M.",P152/O152))))</f>
        <v>0.6762861356932154</v>
      </c>
    </row>
    <row r="153" spans="1:17" s="15" customFormat="1" ht="12.75" hidden="1" outlineLevel="2">
      <c r="A153" s="15" t="s">
        <v>595</v>
      </c>
      <c r="B153" s="15" t="s">
        <v>596</v>
      </c>
      <c r="C153" s="134" t="s">
        <v>597</v>
      </c>
      <c r="D153" s="16"/>
      <c r="E153" s="16"/>
      <c r="F153" s="16">
        <v>78848</v>
      </c>
      <c r="G153" s="16">
        <v>15697</v>
      </c>
      <c r="H153" s="16">
        <f>+F153-G153</f>
        <v>63151</v>
      </c>
      <c r="I153" s="53">
        <f>IF(G153&lt;0,IF(H153=0,0,IF(OR(G153=0,F153=0),"N.M.",IF(ABS(H153/G153)&gt;=10,"N.M.",H153/(-G153)))),IF(H153=0,0,IF(OR(G153=0,F153=0),"N.M.",IF(ABS(H153/G153)&gt;=10,"N.M.",H153/G153))))</f>
        <v>4.02312543798178</v>
      </c>
      <c r="J153" s="174"/>
      <c r="K153" s="256">
        <v>285449</v>
      </c>
      <c r="L153" s="16">
        <f>+F153-K153</f>
        <v>-206601</v>
      </c>
      <c r="M153" s="53" t="str">
        <f>IF(K153&lt;0,IF(L153=0,0,IF(OR(K153=0,N153=0),"N.M.",IF(ABS(L153/K153)&gt;=10,"N.M.",L153/(-K153)))),IF(L153=0,0,IF(OR(K153=0,N153=0),"N.M.",IF(ABS(L153/K153)&gt;=10,"N.M.",L153/K153))))</f>
        <v>N.M.</v>
      </c>
      <c r="N153" s="174"/>
      <c r="O153" s="256">
        <v>78854</v>
      </c>
      <c r="P153" s="16">
        <f>+F153-O153</f>
        <v>-6</v>
      </c>
      <c r="Q153" s="53">
        <f>IF(O153&lt;0,IF(P153=0,0,IF(OR(O153=0,F153=0),"N.M.",IF(ABS(P153/O153)&gt;=10,"N.M.",P153/(-O153)))),IF(P153=0,0,IF(OR(O153=0,F153=0),"N.M.",IF(ABS(P153/O153)&gt;=10,"N.M.",P153/O153))))</f>
        <v>-7.608998909376823E-05</v>
      </c>
    </row>
    <row r="154" spans="1:17" s="67" customFormat="1" ht="12.75" collapsed="1">
      <c r="A154" s="67" t="s">
        <v>125</v>
      </c>
      <c r="B154" s="87"/>
      <c r="C154" s="82" t="s">
        <v>101</v>
      </c>
      <c r="D154" s="66"/>
      <c r="E154" s="66"/>
      <c r="F154" s="51">
        <v>6387099.89</v>
      </c>
      <c r="G154" s="51">
        <v>12649166.309999999</v>
      </c>
      <c r="H154" s="51">
        <f>+F154-G154</f>
        <v>-6262066.419999999</v>
      </c>
      <c r="I154" s="136">
        <f>IF(G154&lt;0,IF(H154=0,0,IF(OR(G154=0,F154=0),"N.M.",IF(ABS(H154/G154)&gt;=10,"N.M.",H154/(-G154)))),IF(H154=0,0,IF(OR(G154=0,F154=0),"N.M.",IF(ABS(H154/G154)&gt;=10,"N.M.",H154/G154))))</f>
        <v>-0.4950576398896284</v>
      </c>
      <c r="J154" s="157"/>
      <c r="K154" s="51">
        <v>6403007.07</v>
      </c>
      <c r="L154" s="51">
        <f>+F154-K154</f>
        <v>-15907.180000000633</v>
      </c>
      <c r="M154" s="136" t="str">
        <f>IF(K154&lt;0,IF(L154=0,0,IF(OR(K154=0,N154=0),"N.M.",IF(ABS(L154/K154)&gt;=10,"N.M.",L154/(-K154)))),IF(L154=0,0,IF(OR(K154=0,N154=0),"N.M.",IF(ABS(L154/K154)&gt;=10,"N.M.",L154/K154))))</f>
        <v>N.M.</v>
      </c>
      <c r="N154" s="157"/>
      <c r="O154" s="51">
        <v>8697086.27</v>
      </c>
      <c r="P154" s="51">
        <f>+F154-O154</f>
        <v>-2309986.38</v>
      </c>
      <c r="Q154" s="136">
        <f>IF(O154&lt;0,IF(P154=0,0,IF(OR(O154=0,F154=0),"N.M.",IF(ABS(P154/O154)&gt;=10,"N.M.",P154/(-O154)))),IF(P154=0,0,IF(OR(O154=0,F154=0),"N.M.",IF(ABS(P154/O154)&gt;=10,"N.M.",P154/O154))))</f>
        <v>-0.2656046299055511</v>
      </c>
    </row>
    <row r="155" spans="1:17" s="67" customFormat="1" ht="0.75" customHeight="1" hidden="1" outlineLevel="1">
      <c r="A155" s="86"/>
      <c r="B155" s="87"/>
      <c r="C155" s="83"/>
      <c r="D155" s="66"/>
      <c r="E155" s="66"/>
      <c r="F155" s="51"/>
      <c r="G155" s="51"/>
      <c r="H155" s="51"/>
      <c r="I155" s="136"/>
      <c r="J155" s="157"/>
      <c r="K155" s="51"/>
      <c r="L155" s="51"/>
      <c r="M155" s="136"/>
      <c r="N155" s="157"/>
      <c r="O155" s="51"/>
      <c r="P155" s="51"/>
      <c r="Q155" s="136"/>
    </row>
    <row r="156" spans="1:17" s="15" customFormat="1" ht="12.75" hidden="1" outlineLevel="2">
      <c r="A156" s="15" t="s">
        <v>598</v>
      </c>
      <c r="B156" s="15" t="s">
        <v>599</v>
      </c>
      <c r="C156" s="134" t="s">
        <v>600</v>
      </c>
      <c r="D156" s="16"/>
      <c r="E156" s="16"/>
      <c r="F156" s="16">
        <v>457143.715</v>
      </c>
      <c r="G156" s="16">
        <v>444739.175</v>
      </c>
      <c r="H156" s="16">
        <f aca="true" t="shared" si="44" ref="H156:H167">+F156-G156</f>
        <v>12404.540000000037</v>
      </c>
      <c r="I156" s="53">
        <f aca="true" t="shared" si="45" ref="I156:I167">IF(G156&lt;0,IF(H156=0,0,IF(OR(G156=0,F156=0),"N.M.",IF(ABS(H156/G156)&gt;=10,"N.M.",H156/(-G156)))),IF(H156=0,0,IF(OR(G156=0,F156=0),"N.M.",IF(ABS(H156/G156)&gt;=10,"N.M.",H156/G156))))</f>
        <v>0.027891718781013698</v>
      </c>
      <c r="J156" s="174"/>
      <c r="K156" s="256">
        <v>517329.125</v>
      </c>
      <c r="L156" s="16">
        <f aca="true" t="shared" si="46" ref="L156:L167">+F156-K156</f>
        <v>-60185.409999999974</v>
      </c>
      <c r="M156" s="53" t="str">
        <f aca="true" t="shared" si="47" ref="M156:M167">IF(K156&lt;0,IF(L156=0,0,IF(OR(K156=0,N156=0),"N.M.",IF(ABS(L156/K156)&gt;=10,"N.M.",L156/(-K156)))),IF(L156=0,0,IF(OR(K156=0,N156=0),"N.M.",IF(ABS(L156/K156)&gt;=10,"N.M.",L156/K156))))</f>
        <v>N.M.</v>
      </c>
      <c r="N156" s="174"/>
      <c r="O156" s="256">
        <v>347069.595</v>
      </c>
      <c r="P156" s="16">
        <f aca="true" t="shared" si="48" ref="P156:P167">+F156-O156</f>
        <v>110074.12000000005</v>
      </c>
      <c r="Q156" s="53">
        <f aca="true" t="shared" si="49" ref="Q156:Q167">IF(O156&lt;0,IF(P156=0,0,IF(OR(O156=0,F156=0),"N.M.",IF(ABS(P156/O156)&gt;=10,"N.M.",P156/(-O156)))),IF(P156=0,0,IF(OR(O156=0,F156=0),"N.M.",IF(ABS(P156/O156)&gt;=10,"N.M.",P156/O156))))</f>
        <v>0.3171528753476664</v>
      </c>
    </row>
    <row r="157" spans="1:17" s="15" customFormat="1" ht="12.75" hidden="1" outlineLevel="2">
      <c r="A157" s="15" t="s">
        <v>601</v>
      </c>
      <c r="B157" s="15" t="s">
        <v>602</v>
      </c>
      <c r="C157" s="134" t="s">
        <v>603</v>
      </c>
      <c r="D157" s="16"/>
      <c r="E157" s="16"/>
      <c r="F157" s="16">
        <v>0</v>
      </c>
      <c r="G157" s="16">
        <v>599512.16</v>
      </c>
      <c r="H157" s="16">
        <f t="shared" si="44"/>
        <v>-599512.16</v>
      </c>
      <c r="I157" s="53" t="str">
        <f t="shared" si="45"/>
        <v>N.M.</v>
      </c>
      <c r="J157" s="174"/>
      <c r="K157" s="256">
        <v>0</v>
      </c>
      <c r="L157" s="16">
        <f t="shared" si="46"/>
        <v>0</v>
      </c>
      <c r="M157" s="53">
        <f t="shared" si="47"/>
        <v>0</v>
      </c>
      <c r="N157" s="174"/>
      <c r="O157" s="256">
        <v>399674.78</v>
      </c>
      <c r="P157" s="16">
        <f t="shared" si="48"/>
        <v>-399674.78</v>
      </c>
      <c r="Q157" s="53" t="str">
        <f t="shared" si="49"/>
        <v>N.M.</v>
      </c>
    </row>
    <row r="158" spans="1:17" s="15" customFormat="1" ht="12.75" hidden="1" outlineLevel="2">
      <c r="A158" s="15" t="s">
        <v>604</v>
      </c>
      <c r="B158" s="15" t="s">
        <v>605</v>
      </c>
      <c r="C158" s="134" t="s">
        <v>603</v>
      </c>
      <c r="D158" s="16"/>
      <c r="E158" s="16"/>
      <c r="F158" s="16">
        <v>619291.78</v>
      </c>
      <c r="G158" s="16">
        <v>0</v>
      </c>
      <c r="H158" s="16">
        <f t="shared" si="44"/>
        <v>619291.78</v>
      </c>
      <c r="I158" s="53" t="str">
        <f t="shared" si="45"/>
        <v>N.M.</v>
      </c>
      <c r="J158" s="174"/>
      <c r="K158" s="256">
        <v>688101.98</v>
      </c>
      <c r="L158" s="16">
        <f t="shared" si="46"/>
        <v>-68810.19999999995</v>
      </c>
      <c r="M158" s="53" t="str">
        <f t="shared" si="47"/>
        <v>N.M.</v>
      </c>
      <c r="N158" s="174"/>
      <c r="O158" s="256">
        <v>0</v>
      </c>
      <c r="P158" s="16">
        <f t="shared" si="48"/>
        <v>619291.78</v>
      </c>
      <c r="Q158" s="53" t="str">
        <f t="shared" si="49"/>
        <v>N.M.</v>
      </c>
    </row>
    <row r="159" spans="1:17" s="15" customFormat="1" ht="12.75" hidden="1" outlineLevel="2">
      <c r="A159" s="15" t="s">
        <v>606</v>
      </c>
      <c r="B159" s="15" t="s">
        <v>607</v>
      </c>
      <c r="C159" s="134" t="s">
        <v>608</v>
      </c>
      <c r="D159" s="16"/>
      <c r="E159" s="16"/>
      <c r="F159" s="16">
        <v>22665.3</v>
      </c>
      <c r="G159" s="16">
        <v>15927.140000000001</v>
      </c>
      <c r="H159" s="16">
        <f t="shared" si="44"/>
        <v>6738.159999999998</v>
      </c>
      <c r="I159" s="53">
        <f t="shared" si="45"/>
        <v>0.4230615163802163</v>
      </c>
      <c r="J159" s="174"/>
      <c r="K159" s="256">
        <v>32159.4</v>
      </c>
      <c r="L159" s="16">
        <f t="shared" si="46"/>
        <v>-9494.100000000002</v>
      </c>
      <c r="M159" s="53" t="str">
        <f t="shared" si="47"/>
        <v>N.M.</v>
      </c>
      <c r="N159" s="174"/>
      <c r="O159" s="256">
        <v>24052.44</v>
      </c>
      <c r="P159" s="16">
        <f t="shared" si="48"/>
        <v>-1387.1399999999994</v>
      </c>
      <c r="Q159" s="53">
        <f t="shared" si="49"/>
        <v>-0.057671487799158816</v>
      </c>
    </row>
    <row r="160" spans="1:17" s="15" customFormat="1" ht="12.75" hidden="1" outlineLevel="2">
      <c r="A160" s="15" t="s">
        <v>609</v>
      </c>
      <c r="B160" s="15" t="s">
        <v>610</v>
      </c>
      <c r="C160" s="134" t="s">
        <v>611</v>
      </c>
      <c r="D160" s="16"/>
      <c r="E160" s="16"/>
      <c r="F160" s="16">
        <v>18352975.93</v>
      </c>
      <c r="G160" s="16">
        <v>17881161.76</v>
      </c>
      <c r="H160" s="16">
        <f t="shared" si="44"/>
        <v>471814.16999999806</v>
      </c>
      <c r="I160" s="53">
        <f t="shared" si="45"/>
        <v>0.026386102666742947</v>
      </c>
      <c r="J160" s="174"/>
      <c r="K160" s="256">
        <v>18594142.6</v>
      </c>
      <c r="L160" s="16">
        <f t="shared" si="46"/>
        <v>-241166.6700000018</v>
      </c>
      <c r="M160" s="53" t="str">
        <f t="shared" si="47"/>
        <v>N.M.</v>
      </c>
      <c r="N160" s="174"/>
      <c r="O160" s="256">
        <v>18024475.96</v>
      </c>
      <c r="P160" s="16">
        <f t="shared" si="48"/>
        <v>328499.9699999988</v>
      </c>
      <c r="Q160" s="53">
        <f t="shared" si="49"/>
        <v>0.01822521612994505</v>
      </c>
    </row>
    <row r="161" spans="1:17" s="15" customFormat="1" ht="12.75" hidden="1" outlineLevel="2">
      <c r="A161" s="15" t="s">
        <v>612</v>
      </c>
      <c r="B161" s="15" t="s">
        <v>613</v>
      </c>
      <c r="C161" s="134" t="s">
        <v>614</v>
      </c>
      <c r="D161" s="16"/>
      <c r="E161" s="16"/>
      <c r="F161" s="16">
        <v>0</v>
      </c>
      <c r="G161" s="16">
        <v>401246.88</v>
      </c>
      <c r="H161" s="16">
        <f t="shared" si="44"/>
        <v>-401246.88</v>
      </c>
      <c r="I161" s="53" t="str">
        <f t="shared" si="45"/>
        <v>N.M.</v>
      </c>
      <c r="J161" s="174"/>
      <c r="K161" s="256">
        <v>0</v>
      </c>
      <c r="L161" s="16">
        <f t="shared" si="46"/>
        <v>0</v>
      </c>
      <c r="M161" s="53">
        <f t="shared" si="47"/>
        <v>0</v>
      </c>
      <c r="N161" s="174"/>
      <c r="O161" s="256">
        <v>339691.13</v>
      </c>
      <c r="P161" s="16">
        <f t="shared" si="48"/>
        <v>-339691.13</v>
      </c>
      <c r="Q161" s="53" t="str">
        <f t="shared" si="49"/>
        <v>N.M.</v>
      </c>
    </row>
    <row r="162" spans="1:17" s="15" customFormat="1" ht="12.75" hidden="1" outlineLevel="2">
      <c r="A162" s="15" t="s">
        <v>615</v>
      </c>
      <c r="B162" s="15" t="s">
        <v>616</v>
      </c>
      <c r="C162" s="134" t="s">
        <v>614</v>
      </c>
      <c r="D162" s="16"/>
      <c r="E162" s="16"/>
      <c r="F162" s="16">
        <v>382940.04</v>
      </c>
      <c r="G162" s="16">
        <v>0</v>
      </c>
      <c r="H162" s="16">
        <f t="shared" si="44"/>
        <v>382940.04</v>
      </c>
      <c r="I162" s="53" t="str">
        <f t="shared" si="45"/>
        <v>N.M.</v>
      </c>
      <c r="J162" s="174"/>
      <c r="K162" s="256">
        <v>379427.31</v>
      </c>
      <c r="L162" s="16">
        <f t="shared" si="46"/>
        <v>3512.7299999999814</v>
      </c>
      <c r="M162" s="53" t="str">
        <f t="shared" si="47"/>
        <v>N.M.</v>
      </c>
      <c r="N162" s="174"/>
      <c r="O162" s="256">
        <v>0</v>
      </c>
      <c r="P162" s="16">
        <f t="shared" si="48"/>
        <v>382940.04</v>
      </c>
      <c r="Q162" s="53" t="str">
        <f t="shared" si="49"/>
        <v>N.M.</v>
      </c>
    </row>
    <row r="163" spans="1:17" s="15" customFormat="1" ht="12.75" hidden="1" outlineLevel="2">
      <c r="A163" s="15" t="s">
        <v>617</v>
      </c>
      <c r="B163" s="15" t="s">
        <v>618</v>
      </c>
      <c r="C163" s="134" t="s">
        <v>619</v>
      </c>
      <c r="D163" s="16"/>
      <c r="E163" s="16"/>
      <c r="F163" s="16">
        <v>0</v>
      </c>
      <c r="G163" s="16">
        <v>18239.52</v>
      </c>
      <c r="H163" s="16">
        <f t="shared" si="44"/>
        <v>-18239.52</v>
      </c>
      <c r="I163" s="53" t="str">
        <f t="shared" si="45"/>
        <v>N.M.</v>
      </c>
      <c r="J163" s="174"/>
      <c r="K163" s="256">
        <v>0</v>
      </c>
      <c r="L163" s="16">
        <f t="shared" si="46"/>
        <v>0</v>
      </c>
      <c r="M163" s="53">
        <f t="shared" si="47"/>
        <v>0</v>
      </c>
      <c r="N163" s="174"/>
      <c r="O163" s="256">
        <v>30787.79</v>
      </c>
      <c r="P163" s="16">
        <f t="shared" si="48"/>
        <v>-30787.79</v>
      </c>
      <c r="Q163" s="53" t="str">
        <f t="shared" si="49"/>
        <v>N.M.</v>
      </c>
    </row>
    <row r="164" spans="1:17" s="15" customFormat="1" ht="12.75" hidden="1" outlineLevel="2">
      <c r="A164" s="15" t="s">
        <v>620</v>
      </c>
      <c r="B164" s="15" t="s">
        <v>621</v>
      </c>
      <c r="C164" s="134" t="s">
        <v>619</v>
      </c>
      <c r="D164" s="16"/>
      <c r="E164" s="16"/>
      <c r="F164" s="16">
        <v>56830.5</v>
      </c>
      <c r="G164" s="16">
        <v>0</v>
      </c>
      <c r="H164" s="16">
        <f t="shared" si="44"/>
        <v>56830.5</v>
      </c>
      <c r="I164" s="53" t="str">
        <f t="shared" si="45"/>
        <v>N.M.</v>
      </c>
      <c r="J164" s="174"/>
      <c r="K164" s="256">
        <v>41769.14</v>
      </c>
      <c r="L164" s="16">
        <f t="shared" si="46"/>
        <v>15061.36</v>
      </c>
      <c r="M164" s="53" t="str">
        <f t="shared" si="47"/>
        <v>N.M.</v>
      </c>
      <c r="N164" s="174"/>
      <c r="O164" s="256">
        <v>0</v>
      </c>
      <c r="P164" s="16">
        <f t="shared" si="48"/>
        <v>56830.5</v>
      </c>
      <c r="Q164" s="53" t="str">
        <f t="shared" si="49"/>
        <v>N.M.</v>
      </c>
    </row>
    <row r="165" spans="1:17" s="15" customFormat="1" ht="12.75" hidden="1" outlineLevel="2">
      <c r="A165" s="15" t="s">
        <v>622</v>
      </c>
      <c r="B165" s="15" t="s">
        <v>623</v>
      </c>
      <c r="C165" s="134" t="s">
        <v>624</v>
      </c>
      <c r="D165" s="16"/>
      <c r="E165" s="16"/>
      <c r="F165" s="16">
        <v>-18352975.93</v>
      </c>
      <c r="G165" s="16">
        <v>-17881161.76</v>
      </c>
      <c r="H165" s="16">
        <f t="shared" si="44"/>
        <v>-471814.16999999806</v>
      </c>
      <c r="I165" s="53">
        <f t="shared" si="45"/>
        <v>-0.026386102666742947</v>
      </c>
      <c r="J165" s="174"/>
      <c r="K165" s="256">
        <v>-18594142.6</v>
      </c>
      <c r="L165" s="16">
        <f t="shared" si="46"/>
        <v>241166.6700000018</v>
      </c>
      <c r="M165" s="53" t="str">
        <f t="shared" si="47"/>
        <v>N.M.</v>
      </c>
      <c r="N165" s="174"/>
      <c r="O165" s="256">
        <v>-18024475.96</v>
      </c>
      <c r="P165" s="16">
        <f t="shared" si="48"/>
        <v>-328499.9699999988</v>
      </c>
      <c r="Q165" s="53">
        <f t="shared" si="49"/>
        <v>-0.01822521612994505</v>
      </c>
    </row>
    <row r="166" spans="1:17" s="15" customFormat="1" ht="12.75" hidden="1" outlineLevel="2">
      <c r="A166" s="15" t="s">
        <v>625</v>
      </c>
      <c r="B166" s="15" t="s">
        <v>626</v>
      </c>
      <c r="C166" s="134" t="s">
        <v>627</v>
      </c>
      <c r="D166" s="16"/>
      <c r="E166" s="16"/>
      <c r="F166" s="16">
        <v>549001.33</v>
      </c>
      <c r="G166" s="16">
        <v>519366.84</v>
      </c>
      <c r="H166" s="16">
        <f t="shared" si="44"/>
        <v>29634.489999999932</v>
      </c>
      <c r="I166" s="53">
        <f t="shared" si="45"/>
        <v>0.05705887961580283</v>
      </c>
      <c r="J166" s="174"/>
      <c r="K166" s="256">
        <v>642325.25</v>
      </c>
      <c r="L166" s="16">
        <f t="shared" si="46"/>
        <v>-93323.92000000004</v>
      </c>
      <c r="M166" s="53" t="str">
        <f t="shared" si="47"/>
        <v>N.M.</v>
      </c>
      <c r="N166" s="174"/>
      <c r="O166" s="256">
        <v>253339.49000000002</v>
      </c>
      <c r="P166" s="16">
        <f t="shared" si="48"/>
        <v>295661.83999999997</v>
      </c>
      <c r="Q166" s="53">
        <f t="shared" si="49"/>
        <v>1.1670578479494056</v>
      </c>
    </row>
    <row r="167" spans="1:17" s="15" customFormat="1" ht="12.75" hidden="1" outlineLevel="2">
      <c r="A167" s="15" t="s">
        <v>628</v>
      </c>
      <c r="B167" s="15" t="s">
        <v>629</v>
      </c>
      <c r="C167" s="134" t="s">
        <v>630</v>
      </c>
      <c r="D167" s="16"/>
      <c r="E167" s="16"/>
      <c r="F167" s="16">
        <v>749.74</v>
      </c>
      <c r="G167" s="16">
        <v>935.07</v>
      </c>
      <c r="H167" s="16">
        <f t="shared" si="44"/>
        <v>-185.33000000000004</v>
      </c>
      <c r="I167" s="53">
        <f t="shared" si="45"/>
        <v>-0.19819906531061848</v>
      </c>
      <c r="J167" s="174"/>
      <c r="K167" s="256">
        <v>0</v>
      </c>
      <c r="L167" s="16">
        <f t="shared" si="46"/>
        <v>749.74</v>
      </c>
      <c r="M167" s="53" t="str">
        <f t="shared" si="47"/>
        <v>N.M.</v>
      </c>
      <c r="N167" s="174"/>
      <c r="O167" s="256">
        <v>2928.12</v>
      </c>
      <c r="P167" s="16">
        <f t="shared" si="48"/>
        <v>-2178.38</v>
      </c>
      <c r="Q167" s="53">
        <f t="shared" si="49"/>
        <v>-0.7439517506113138</v>
      </c>
    </row>
    <row r="168" spans="1:17" s="67" customFormat="1" ht="12.75" collapsed="1">
      <c r="A168" s="67" t="s">
        <v>126</v>
      </c>
      <c r="B168" s="87"/>
      <c r="C168" s="82" t="s">
        <v>102</v>
      </c>
      <c r="D168" s="66"/>
      <c r="E168" s="66"/>
      <c r="F168" s="51">
        <v>2088622.405000001</v>
      </c>
      <c r="G168" s="51">
        <v>1999966.7850000001</v>
      </c>
      <c r="H168" s="51">
        <f>+F168-G168</f>
        <v>88655.62000000081</v>
      </c>
      <c r="I168" s="136">
        <f>IF(G168&lt;0,IF(H168=0,0,IF(OR(G168=0,F168=0),"N.M.",IF(ABS(H168/G168)&gt;=10,"N.M.",H168/(-G168)))),IF(H168=0,0,IF(OR(G168=0,F168=0),"N.M.",IF(ABS(H168/G168)&gt;=10,"N.M.",H168/G168))))</f>
        <v>0.04432854618633119</v>
      </c>
      <c r="J168" s="157"/>
      <c r="K168" s="51">
        <v>2301112.204999998</v>
      </c>
      <c r="L168" s="51">
        <f>+F168-K168</f>
        <v>-212489.79999999725</v>
      </c>
      <c r="M168" s="136" t="str">
        <f>IF(K168&lt;0,IF(L168=0,0,IF(OR(K168=0,N168=0),"N.M.",IF(ABS(L168/K168)&gt;=10,"N.M.",L168/(-K168)))),IF(L168=0,0,IF(OR(K168=0,N168=0),"N.M.",IF(ABS(L168/K168)&gt;=10,"N.M.",L168/K168))))</f>
        <v>N.M.</v>
      </c>
      <c r="N168" s="157"/>
      <c r="O168" s="51">
        <v>1397543.3449999995</v>
      </c>
      <c r="P168" s="51">
        <f>+F168-O168</f>
        <v>691079.0600000015</v>
      </c>
      <c r="Q168" s="136">
        <f>IF(O168&lt;0,IF(P168=0,0,IF(OR(O168=0,F168=0),"N.M.",IF(ABS(P168/O168)&gt;=10,"N.M.",P168/(-O168)))),IF(P168=0,0,IF(OR(O168=0,F168=0),"N.M.",IF(ABS(P168/O168)&gt;=10,"N.M.",P168/O168))))</f>
        <v>0.49449561795165764</v>
      </c>
    </row>
    <row r="169" spans="2:17" s="67" customFormat="1" ht="0.75" customHeight="1" hidden="1" outlineLevel="1">
      <c r="B169" s="87"/>
      <c r="C169" s="82"/>
      <c r="D169" s="66"/>
      <c r="E169" s="66"/>
      <c r="F169" s="51"/>
      <c r="G169" s="51"/>
      <c r="H169" s="51"/>
      <c r="I169" s="136"/>
      <c r="J169" s="157"/>
      <c r="K169" s="51"/>
      <c r="L169" s="51"/>
      <c r="M169" s="136"/>
      <c r="N169" s="157"/>
      <c r="O169" s="51"/>
      <c r="P169" s="51"/>
      <c r="Q169" s="136"/>
    </row>
    <row r="170" spans="1:17" s="15" customFormat="1" ht="12.75" hidden="1" outlineLevel="2">
      <c r="A170" s="15" t="s">
        <v>631</v>
      </c>
      <c r="B170" s="15" t="s">
        <v>632</v>
      </c>
      <c r="C170" s="134" t="s">
        <v>633</v>
      </c>
      <c r="D170" s="16"/>
      <c r="E170" s="16"/>
      <c r="F170" s="16">
        <v>13.92</v>
      </c>
      <c r="G170" s="16">
        <v>51.410000000000004</v>
      </c>
      <c r="H170" s="16">
        <f aca="true" t="shared" si="50" ref="H170:H180">+F170-G170</f>
        <v>-37.49</v>
      </c>
      <c r="I170" s="53">
        <f aca="true" t="shared" si="51" ref="I170:I180">IF(G170&lt;0,IF(H170=0,0,IF(OR(G170=0,F170=0),"N.M.",IF(ABS(H170/G170)&gt;=10,"N.M.",H170/(-G170)))),IF(H170=0,0,IF(OR(G170=0,F170=0),"N.M.",IF(ABS(H170/G170)&gt;=10,"N.M.",H170/G170))))</f>
        <v>-0.729235557284575</v>
      </c>
      <c r="J170" s="174"/>
      <c r="K170" s="256">
        <v>26.09</v>
      </c>
      <c r="L170" s="16">
        <f aca="true" t="shared" si="52" ref="L170:L180">+F170-K170</f>
        <v>-12.17</v>
      </c>
      <c r="M170" s="53" t="str">
        <f aca="true" t="shared" si="53" ref="M170:M180">IF(K170&lt;0,IF(L170=0,0,IF(OR(K170=0,N170=0),"N.M.",IF(ABS(L170/K170)&gt;=10,"N.M.",L170/(-K170)))),IF(L170=0,0,IF(OR(K170=0,N170=0),"N.M.",IF(ABS(L170/K170)&gt;=10,"N.M.",L170/K170))))</f>
        <v>N.M.</v>
      </c>
      <c r="N170" s="174"/>
      <c r="O170" s="256">
        <v>50.67</v>
      </c>
      <c r="P170" s="16">
        <f aca="true" t="shared" si="54" ref="P170:P180">+F170-O170</f>
        <v>-36.75</v>
      </c>
      <c r="Q170" s="53">
        <f aca="true" t="shared" si="55" ref="Q170:Q180">IF(O170&lt;0,IF(P170=0,0,IF(OR(O170=0,F170=0),"N.M.",IF(ABS(P170/O170)&gt;=10,"N.M.",P170/(-O170)))),IF(P170=0,0,IF(OR(O170=0,F170=0),"N.M.",IF(ABS(P170/O170)&gt;=10,"N.M.",P170/O170))))</f>
        <v>-0.7252812314979278</v>
      </c>
    </row>
    <row r="171" spans="1:17" s="15" customFormat="1" ht="12.75" hidden="1" outlineLevel="2">
      <c r="A171" s="15" t="s">
        <v>634</v>
      </c>
      <c r="B171" s="15" t="s">
        <v>635</v>
      </c>
      <c r="C171" s="134" t="s">
        <v>636</v>
      </c>
      <c r="D171" s="16"/>
      <c r="E171" s="16"/>
      <c r="F171" s="16">
        <v>0.02</v>
      </c>
      <c r="G171" s="16">
        <v>34.5</v>
      </c>
      <c r="H171" s="16">
        <f t="shared" si="50"/>
        <v>-34.48</v>
      </c>
      <c r="I171" s="53">
        <f t="shared" si="51"/>
        <v>-0.9994202898550724</v>
      </c>
      <c r="J171" s="174"/>
      <c r="K171" s="256">
        <v>0.08</v>
      </c>
      <c r="L171" s="16">
        <f t="shared" si="52"/>
        <v>-0.06</v>
      </c>
      <c r="M171" s="53" t="str">
        <f t="shared" si="53"/>
        <v>N.M.</v>
      </c>
      <c r="N171" s="174"/>
      <c r="O171" s="256">
        <v>33.17</v>
      </c>
      <c r="P171" s="16">
        <f t="shared" si="54"/>
        <v>-33.15</v>
      </c>
      <c r="Q171" s="53">
        <f t="shared" si="55"/>
        <v>-0.999397045523063</v>
      </c>
    </row>
    <row r="172" spans="1:17" s="15" customFormat="1" ht="12.75" hidden="1" outlineLevel="2">
      <c r="A172" s="15" t="s">
        <v>637</v>
      </c>
      <c r="B172" s="15" t="s">
        <v>638</v>
      </c>
      <c r="C172" s="134" t="s">
        <v>639</v>
      </c>
      <c r="D172" s="16"/>
      <c r="E172" s="16"/>
      <c r="F172" s="16">
        <v>0</v>
      </c>
      <c r="G172" s="16">
        <v>372.78000000000003</v>
      </c>
      <c r="H172" s="16">
        <f t="shared" si="50"/>
        <v>-372.78000000000003</v>
      </c>
      <c r="I172" s="53" t="str">
        <f t="shared" si="51"/>
        <v>N.M.</v>
      </c>
      <c r="J172" s="174"/>
      <c r="K172" s="256">
        <v>0</v>
      </c>
      <c r="L172" s="16">
        <f t="shared" si="52"/>
        <v>0</v>
      </c>
      <c r="M172" s="53">
        <f t="shared" si="53"/>
        <v>0</v>
      </c>
      <c r="N172" s="174"/>
      <c r="O172" s="256">
        <v>0</v>
      </c>
      <c r="P172" s="16">
        <f t="shared" si="54"/>
        <v>0</v>
      </c>
      <c r="Q172" s="53">
        <f t="shared" si="55"/>
        <v>0</v>
      </c>
    </row>
    <row r="173" spans="1:17" s="15" customFormat="1" ht="12.75" hidden="1" outlineLevel="2">
      <c r="A173" s="15" t="s">
        <v>640</v>
      </c>
      <c r="B173" s="15" t="s">
        <v>641</v>
      </c>
      <c r="C173" s="134" t="s">
        <v>642</v>
      </c>
      <c r="D173" s="16"/>
      <c r="E173" s="16"/>
      <c r="F173" s="16">
        <v>118658.832</v>
      </c>
      <c r="G173" s="16">
        <v>4011023.132</v>
      </c>
      <c r="H173" s="16">
        <f t="shared" si="50"/>
        <v>-3892364.3000000003</v>
      </c>
      <c r="I173" s="53">
        <f t="shared" si="51"/>
        <v>-0.9704168168332569</v>
      </c>
      <c r="J173" s="174"/>
      <c r="K173" s="256">
        <v>333416.502</v>
      </c>
      <c r="L173" s="16">
        <f t="shared" si="52"/>
        <v>-214757.66999999998</v>
      </c>
      <c r="M173" s="53" t="str">
        <f t="shared" si="53"/>
        <v>N.M.</v>
      </c>
      <c r="N173" s="174"/>
      <c r="O173" s="256">
        <v>1381154.022</v>
      </c>
      <c r="P173" s="16">
        <f t="shared" si="54"/>
        <v>-1262495.1900000002</v>
      </c>
      <c r="Q173" s="53">
        <f t="shared" si="55"/>
        <v>-0.9140871835364355</v>
      </c>
    </row>
    <row r="174" spans="1:17" s="15" customFormat="1" ht="12.75" hidden="1" outlineLevel="2">
      <c r="A174" s="15" t="s">
        <v>643</v>
      </c>
      <c r="B174" s="15" t="s">
        <v>644</v>
      </c>
      <c r="C174" s="134" t="s">
        <v>645</v>
      </c>
      <c r="D174" s="16"/>
      <c r="E174" s="16"/>
      <c r="F174" s="16">
        <v>3981065.365</v>
      </c>
      <c r="G174" s="16">
        <v>8553420.475</v>
      </c>
      <c r="H174" s="16">
        <f t="shared" si="50"/>
        <v>-4572355.109999999</v>
      </c>
      <c r="I174" s="53">
        <f t="shared" si="51"/>
        <v>-0.5345645199325946</v>
      </c>
      <c r="J174" s="174"/>
      <c r="K174" s="256">
        <v>4295205.135</v>
      </c>
      <c r="L174" s="16">
        <f t="shared" si="52"/>
        <v>-314139.76999999955</v>
      </c>
      <c r="M174" s="53" t="str">
        <f t="shared" si="53"/>
        <v>N.M.</v>
      </c>
      <c r="N174" s="174"/>
      <c r="O174" s="256">
        <v>5596940.615</v>
      </c>
      <c r="P174" s="16">
        <f t="shared" si="54"/>
        <v>-1615875.25</v>
      </c>
      <c r="Q174" s="53">
        <f t="shared" si="55"/>
        <v>-0.28870687776629195</v>
      </c>
    </row>
    <row r="175" spans="1:17" s="15" customFormat="1" ht="12.75" hidden="1" outlineLevel="2">
      <c r="A175" s="15" t="s">
        <v>646</v>
      </c>
      <c r="B175" s="15" t="s">
        <v>647</v>
      </c>
      <c r="C175" s="134" t="s">
        <v>648</v>
      </c>
      <c r="D175" s="16"/>
      <c r="E175" s="16"/>
      <c r="F175" s="16">
        <v>-1796005</v>
      </c>
      <c r="G175" s="16">
        <v>-9716247</v>
      </c>
      <c r="H175" s="16">
        <f t="shared" si="50"/>
        <v>7920242</v>
      </c>
      <c r="I175" s="53">
        <f t="shared" si="51"/>
        <v>0.8151544521253937</v>
      </c>
      <c r="J175" s="174"/>
      <c r="K175" s="256">
        <v>-1244618</v>
      </c>
      <c r="L175" s="16">
        <f t="shared" si="52"/>
        <v>-551387</v>
      </c>
      <c r="M175" s="53" t="str">
        <f t="shared" si="53"/>
        <v>N.M.</v>
      </c>
      <c r="N175" s="174"/>
      <c r="O175" s="256">
        <v>-3374582</v>
      </c>
      <c r="P175" s="16">
        <f t="shared" si="54"/>
        <v>1578577</v>
      </c>
      <c r="Q175" s="53">
        <f t="shared" si="55"/>
        <v>0.46778445448947453</v>
      </c>
    </row>
    <row r="176" spans="1:17" s="15" customFormat="1" ht="12.75" hidden="1" outlineLevel="2">
      <c r="A176" s="15" t="s">
        <v>649</v>
      </c>
      <c r="B176" s="15" t="s">
        <v>650</v>
      </c>
      <c r="C176" s="134" t="s">
        <v>651</v>
      </c>
      <c r="D176" s="16"/>
      <c r="E176" s="16"/>
      <c r="F176" s="16">
        <v>0</v>
      </c>
      <c r="G176" s="16">
        <v>0</v>
      </c>
      <c r="H176" s="16">
        <f t="shared" si="50"/>
        <v>0</v>
      </c>
      <c r="I176" s="53">
        <f t="shared" si="51"/>
        <v>0</v>
      </c>
      <c r="J176" s="174"/>
      <c r="K176" s="256">
        <v>0</v>
      </c>
      <c r="L176" s="16">
        <f t="shared" si="52"/>
        <v>0</v>
      </c>
      <c r="M176" s="53">
        <f t="shared" si="53"/>
        <v>0</v>
      </c>
      <c r="N176" s="174"/>
      <c r="O176" s="256">
        <v>8.22</v>
      </c>
      <c r="P176" s="16">
        <f t="shared" si="54"/>
        <v>-8.22</v>
      </c>
      <c r="Q176" s="53" t="str">
        <f t="shared" si="55"/>
        <v>N.M.</v>
      </c>
    </row>
    <row r="177" spans="1:17" s="15" customFormat="1" ht="12.75" hidden="1" outlineLevel="2">
      <c r="A177" s="15" t="s">
        <v>652</v>
      </c>
      <c r="B177" s="15" t="s">
        <v>653</v>
      </c>
      <c r="C177" s="134" t="s">
        <v>654</v>
      </c>
      <c r="D177" s="16"/>
      <c r="E177" s="16"/>
      <c r="F177" s="16">
        <v>0</v>
      </c>
      <c r="G177" s="16">
        <v>0.02</v>
      </c>
      <c r="H177" s="16">
        <f t="shared" si="50"/>
        <v>-0.02</v>
      </c>
      <c r="I177" s="53" t="str">
        <f t="shared" si="51"/>
        <v>N.M.</v>
      </c>
      <c r="J177" s="174"/>
      <c r="K177" s="256">
        <v>0</v>
      </c>
      <c r="L177" s="16">
        <f t="shared" si="52"/>
        <v>0</v>
      </c>
      <c r="M177" s="53">
        <f t="shared" si="53"/>
        <v>0</v>
      </c>
      <c r="N177" s="174"/>
      <c r="O177" s="256">
        <v>0</v>
      </c>
      <c r="P177" s="16">
        <f t="shared" si="54"/>
        <v>0</v>
      </c>
      <c r="Q177" s="53">
        <f t="shared" si="55"/>
        <v>0</v>
      </c>
    </row>
    <row r="178" spans="1:17" s="15" customFormat="1" ht="12.75" hidden="1" outlineLevel="2">
      <c r="A178" s="15" t="s">
        <v>655</v>
      </c>
      <c r="B178" s="15" t="s">
        <v>656</v>
      </c>
      <c r="C178" s="134" t="s">
        <v>657</v>
      </c>
      <c r="D178" s="16"/>
      <c r="E178" s="16"/>
      <c r="F178" s="16">
        <v>0</v>
      </c>
      <c r="G178" s="16">
        <v>942</v>
      </c>
      <c r="H178" s="16">
        <f t="shared" si="50"/>
        <v>-942</v>
      </c>
      <c r="I178" s="53" t="str">
        <f t="shared" si="51"/>
        <v>N.M.</v>
      </c>
      <c r="J178" s="174"/>
      <c r="K178" s="256">
        <v>0</v>
      </c>
      <c r="L178" s="16">
        <f t="shared" si="52"/>
        <v>0</v>
      </c>
      <c r="M178" s="53">
        <f t="shared" si="53"/>
        <v>0</v>
      </c>
      <c r="N178" s="174"/>
      <c r="O178" s="256">
        <v>0</v>
      </c>
      <c r="P178" s="16">
        <f t="shared" si="54"/>
        <v>0</v>
      </c>
      <c r="Q178" s="53">
        <f t="shared" si="55"/>
        <v>0</v>
      </c>
    </row>
    <row r="179" spans="1:17" s="15" customFormat="1" ht="12.75" hidden="1" outlineLevel="2">
      <c r="A179" s="15" t="s">
        <v>658</v>
      </c>
      <c r="B179" s="15" t="s">
        <v>659</v>
      </c>
      <c r="C179" s="134" t="s">
        <v>660</v>
      </c>
      <c r="D179" s="16"/>
      <c r="E179" s="16"/>
      <c r="F179" s="16">
        <v>962</v>
      </c>
      <c r="G179" s="16">
        <v>0</v>
      </c>
      <c r="H179" s="16">
        <f t="shared" si="50"/>
        <v>962</v>
      </c>
      <c r="I179" s="53" t="str">
        <f t="shared" si="51"/>
        <v>N.M.</v>
      </c>
      <c r="J179" s="174"/>
      <c r="K179" s="256">
        <v>962</v>
      </c>
      <c r="L179" s="16">
        <f t="shared" si="52"/>
        <v>0</v>
      </c>
      <c r="M179" s="53">
        <f t="shared" si="53"/>
        <v>0</v>
      </c>
      <c r="N179" s="174"/>
      <c r="O179" s="256">
        <v>0</v>
      </c>
      <c r="P179" s="16">
        <f t="shared" si="54"/>
        <v>962</v>
      </c>
      <c r="Q179" s="53" t="str">
        <f t="shared" si="55"/>
        <v>N.M.</v>
      </c>
    </row>
    <row r="180" spans="1:17" s="15" customFormat="1" ht="12.75" hidden="1" outlineLevel="2">
      <c r="A180" s="15" t="s">
        <v>661</v>
      </c>
      <c r="B180" s="15" t="s">
        <v>662</v>
      </c>
      <c r="C180" s="134" t="s">
        <v>663</v>
      </c>
      <c r="D180" s="16"/>
      <c r="E180" s="16"/>
      <c r="F180" s="16">
        <v>299416.817</v>
      </c>
      <c r="G180" s="16">
        <v>1162070.007</v>
      </c>
      <c r="H180" s="16">
        <f t="shared" si="50"/>
        <v>-862653.19</v>
      </c>
      <c r="I180" s="53">
        <f t="shared" si="51"/>
        <v>-0.7423418424050247</v>
      </c>
      <c r="J180" s="174"/>
      <c r="K180" s="256">
        <v>64636.027</v>
      </c>
      <c r="L180" s="16">
        <f t="shared" si="52"/>
        <v>234780.78999999998</v>
      </c>
      <c r="M180" s="53" t="str">
        <f t="shared" si="53"/>
        <v>N.M.</v>
      </c>
      <c r="N180" s="174"/>
      <c r="O180" s="256">
        <v>72149.167</v>
      </c>
      <c r="P180" s="16">
        <f t="shared" si="54"/>
        <v>227267.64999999997</v>
      </c>
      <c r="Q180" s="53">
        <f t="shared" si="55"/>
        <v>3.1499691465599313</v>
      </c>
    </row>
    <row r="181" spans="1:17" s="67" customFormat="1" ht="12" customHeight="1" collapsed="1">
      <c r="A181" s="67" t="s">
        <v>127</v>
      </c>
      <c r="B181" s="87"/>
      <c r="C181" s="96" t="s">
        <v>103</v>
      </c>
      <c r="D181" s="51"/>
      <c r="E181" s="51"/>
      <c r="F181" s="197">
        <v>2604111.954</v>
      </c>
      <c r="G181" s="197">
        <v>4011667.324</v>
      </c>
      <c r="H181" s="197">
        <f>+F181-G181</f>
        <v>-1407555.37</v>
      </c>
      <c r="I181" s="138">
        <f>IF(G181&lt;0,IF(H181=0,0,IF(OR(G181=0,F181=0),"N.M.",IF(ABS(H181/G181)&gt;=10,"N.M.",H181/(-G181)))),IF(H181=0,0,IF(OR(G181=0,F181=0),"N.M.",IF(ABS(H181/G181)&gt;=10,"N.M.",H181/G181))))</f>
        <v>-0.3508654273446928</v>
      </c>
      <c r="J181" s="157"/>
      <c r="K181" s="197">
        <v>3449627.834</v>
      </c>
      <c r="L181" s="197">
        <f>+F181-K181</f>
        <v>-845515.8799999999</v>
      </c>
      <c r="M181" s="138" t="str">
        <f>IF(K181&lt;0,IF(L181=0,0,IF(OR(K181=0,N181=0),"N.M.",IF(ABS(L181/K181)&gt;=10,"N.M.",L181/(-K181)))),IF(L181=0,0,IF(OR(K181=0,N181=0),"N.M.",IF(ABS(L181/K181)&gt;=10,"N.M.",L181/K181))))</f>
        <v>N.M.</v>
      </c>
      <c r="N181" s="157"/>
      <c r="O181" s="197">
        <v>3675753.864</v>
      </c>
      <c r="P181" s="197">
        <f>+F181-O181</f>
        <v>-1071641.9100000001</v>
      </c>
      <c r="Q181" s="138">
        <f>IF(O181&lt;0,IF(P181=0,0,IF(OR(O181=0,F181=0),"N.M.",IF(ABS(P181/O181)&gt;=10,"N.M.",P181/(-O181)))),IF(P181=0,0,IF(OR(O181=0,F181=0),"N.M.",IF(ABS(P181/O181)&gt;=10,"N.M.",P181/O181))))</f>
        <v>-0.2915434356188982</v>
      </c>
    </row>
    <row r="182" spans="1:17" s="75" customFormat="1" ht="12" customHeight="1">
      <c r="A182" s="75" t="s">
        <v>106</v>
      </c>
      <c r="B182" s="93"/>
      <c r="C182" s="75" t="s">
        <v>139</v>
      </c>
      <c r="D182" s="74"/>
      <c r="E182" s="74"/>
      <c r="F182" s="74">
        <f>+F181+F168+F154+F148+F144+F131+F125+F113+F109+F95+F78+F75</f>
        <v>158775230.88700002</v>
      </c>
      <c r="G182" s="74">
        <f>+G181+G168+G154+G148+G144+G131+G125+G113+G109+G95+G78+G75</f>
        <v>111660666.121</v>
      </c>
      <c r="H182" s="74">
        <f>+F182-G182</f>
        <v>47114564.76600002</v>
      </c>
      <c r="I182" s="137">
        <f>IF(G182&lt;0,IF(H182=0,0,IF(OR(G182=0,F182=0),"N.M.",IF(ABS(H182/G182)&gt;=10,"N.M.",H182/(-G182)))),IF(H182=0,0,IF(OR(G182=0,F182=0),"N.M.",IF(ABS(H182/G182)&gt;=10,"N.M.",H182/G182))))</f>
        <v>0.42194414920420387</v>
      </c>
      <c r="J182" s="163" t="s">
        <v>65</v>
      </c>
      <c r="K182" s="74">
        <f>+K181+K168+K154+K148+K144+K131+K125+K113+K109+K95+K78+K75</f>
        <v>181917747.255</v>
      </c>
      <c r="L182" s="74">
        <f>+F182-K182</f>
        <v>-23142516.36799997</v>
      </c>
      <c r="M182" s="137">
        <f>IF(K182&lt;0,IF(L182=0,0,IF(OR(K182=0,N182=0),"N.M.",IF(ABS(L182/K182)&gt;=10,"N.M.",L182/(-K182)))),IF(L182=0,0,IF(OR(K182=0,N182=0),"N.M.",IF(ABS(L182/K182)&gt;=10,"N.M.",L182/K182))))</f>
        <v>-0.1272141762813298</v>
      </c>
      <c r="N182" s="163" t="s">
        <v>65</v>
      </c>
      <c r="O182" s="74">
        <f>+O181+O168+O154+O148+O144+O131+O125+O113+O109+O95+O78+O75</f>
        <v>165680945.86699998</v>
      </c>
      <c r="P182" s="74">
        <f>+F182-O182</f>
        <v>-6905714.9799999595</v>
      </c>
      <c r="Q182" s="137">
        <f>IF(O182&lt;0,IF(P182=0,0,IF(OR(O182=0,F182=0),"N.M.",IF(ABS(P182/O182)&gt;=10,"N.M.",P182/(-O182)))),IF(P182=0,0,IF(OR(O182=0,F182=0),"N.M.",IF(ABS(P182/O182)&gt;=10,"N.M.",P182/O182))))</f>
        <v>-0.04168080369086924</v>
      </c>
    </row>
    <row r="183" spans="2:17" s="67" customFormat="1" ht="6" customHeight="1">
      <c r="B183" s="87"/>
      <c r="D183" s="51"/>
      <c r="E183" s="51"/>
      <c r="F183" s="51"/>
      <c r="G183" s="51"/>
      <c r="H183" s="51"/>
      <c r="I183" s="136"/>
      <c r="J183" s="162"/>
      <c r="K183" s="51"/>
      <c r="L183" s="51"/>
      <c r="M183" s="136"/>
      <c r="N183" s="162"/>
      <c r="O183" s="51"/>
      <c r="P183" s="51"/>
      <c r="Q183" s="136"/>
    </row>
    <row r="184" spans="2:17" s="67" customFormat="1" ht="0.75" customHeight="1" hidden="1" outlineLevel="1">
      <c r="B184" s="87"/>
      <c r="D184" s="51"/>
      <c r="E184" s="51"/>
      <c r="F184" s="51"/>
      <c r="G184" s="51"/>
      <c r="H184" s="51"/>
      <c r="I184" s="136"/>
      <c r="J184" s="162"/>
      <c r="K184" s="51"/>
      <c r="L184" s="51"/>
      <c r="M184" s="136"/>
      <c r="N184" s="162"/>
      <c r="O184" s="51"/>
      <c r="P184" s="51"/>
      <c r="Q184" s="136"/>
    </row>
    <row r="185" spans="1:17" s="15" customFormat="1" ht="12.75" hidden="1" outlineLevel="2">
      <c r="A185" s="15" t="s">
        <v>664</v>
      </c>
      <c r="B185" s="15" t="s">
        <v>665</v>
      </c>
      <c r="C185" s="134" t="s">
        <v>666</v>
      </c>
      <c r="D185" s="16"/>
      <c r="E185" s="16"/>
      <c r="F185" s="16">
        <v>5204956.02</v>
      </c>
      <c r="G185" s="16">
        <v>6456335.62</v>
      </c>
      <c r="H185" s="16">
        <f aca="true" t="shared" si="56" ref="H185:H208">+F185-G185</f>
        <v>-1251379.6000000006</v>
      </c>
      <c r="I185" s="53">
        <f aca="true" t="shared" si="57" ref="I185:I208">IF(G185&lt;0,IF(H185=0,0,IF(OR(G185=0,F185=0),"N.M.",IF(ABS(H185/G185)&gt;=10,"N.M.",H185/(-G185)))),IF(H185=0,0,IF(OR(G185=0,F185=0),"N.M.",IF(ABS(H185/G185)&gt;=10,"N.M.",H185/G185))))</f>
        <v>-0.1938219562383903</v>
      </c>
      <c r="J185" s="174"/>
      <c r="K185" s="256">
        <v>5204956.02</v>
      </c>
      <c r="L185" s="16">
        <f aca="true" t="shared" si="58" ref="L185:L208">+F185-K185</f>
        <v>0</v>
      </c>
      <c r="M185" s="53">
        <f aca="true" t="shared" si="59" ref="M185:M208">IF(K185&lt;0,IF(L185=0,0,IF(OR(K185=0,N185=0),"N.M.",IF(ABS(L185/K185)&gt;=10,"N.M.",L185/(-K185)))),IF(L185=0,0,IF(OR(K185=0,N185=0),"N.M.",IF(ABS(L185/K185)&gt;=10,"N.M.",L185/K185))))</f>
        <v>0</v>
      </c>
      <c r="N185" s="174"/>
      <c r="O185" s="256">
        <v>6456335.62</v>
      </c>
      <c r="P185" s="16">
        <f aca="true" t="shared" si="60" ref="P185:P208">+F185-O185</f>
        <v>-1251379.6000000006</v>
      </c>
      <c r="Q185" s="53">
        <f aca="true" t="shared" si="61" ref="Q185:Q208">IF(O185&lt;0,IF(P185=0,0,IF(OR(O185=0,F185=0),"N.M.",IF(ABS(P185/O185)&gt;=10,"N.M.",P185/(-O185)))),IF(P185=0,0,IF(OR(O185=0,F185=0),"N.M.",IF(ABS(P185/O185)&gt;=10,"N.M.",P185/O185))))</f>
        <v>-0.1938219562383903</v>
      </c>
    </row>
    <row r="186" spans="1:17" s="15" customFormat="1" ht="12.75" hidden="1" outlineLevel="2">
      <c r="A186" s="15" t="s">
        <v>667</v>
      </c>
      <c r="B186" s="15" t="s">
        <v>668</v>
      </c>
      <c r="C186" s="134" t="s">
        <v>669</v>
      </c>
      <c r="D186" s="16"/>
      <c r="E186" s="16"/>
      <c r="F186" s="16">
        <v>1543204</v>
      </c>
      <c r="G186" s="16">
        <v>1183873</v>
      </c>
      <c r="H186" s="16">
        <f t="shared" si="56"/>
        <v>359331</v>
      </c>
      <c r="I186" s="53">
        <f t="shared" si="57"/>
        <v>0.303521577061053</v>
      </c>
      <c r="J186" s="174"/>
      <c r="K186" s="256">
        <v>1506673</v>
      </c>
      <c r="L186" s="16">
        <f t="shared" si="58"/>
        <v>36531</v>
      </c>
      <c r="M186" s="53" t="str">
        <f t="shared" si="59"/>
        <v>N.M.</v>
      </c>
      <c r="N186" s="174"/>
      <c r="O186" s="256">
        <v>1244548</v>
      </c>
      <c r="P186" s="16">
        <f t="shared" si="60"/>
        <v>298656</v>
      </c>
      <c r="Q186" s="53">
        <f t="shared" si="61"/>
        <v>0.23997145951783297</v>
      </c>
    </row>
    <row r="187" spans="1:17" s="15" customFormat="1" ht="12.75" hidden="1" outlineLevel="2">
      <c r="A187" s="15" t="s">
        <v>670</v>
      </c>
      <c r="B187" s="15" t="s">
        <v>671</v>
      </c>
      <c r="C187" s="134" t="s">
        <v>672</v>
      </c>
      <c r="D187" s="16"/>
      <c r="E187" s="16"/>
      <c r="F187" s="16">
        <v>-19252886.51</v>
      </c>
      <c r="G187" s="16">
        <v>-16017598</v>
      </c>
      <c r="H187" s="16">
        <f t="shared" si="56"/>
        <v>-3235288.5100000016</v>
      </c>
      <c r="I187" s="53">
        <f t="shared" si="57"/>
        <v>-0.20198337540997105</v>
      </c>
      <c r="J187" s="174"/>
      <c r="K187" s="256">
        <v>-18959550.51</v>
      </c>
      <c r="L187" s="16">
        <f t="shared" si="58"/>
        <v>-293336</v>
      </c>
      <c r="M187" s="53" t="str">
        <f t="shared" si="59"/>
        <v>N.M.</v>
      </c>
      <c r="N187" s="174"/>
      <c r="O187" s="256">
        <v>-16945216</v>
      </c>
      <c r="P187" s="16">
        <f t="shared" si="60"/>
        <v>-2307670.5100000016</v>
      </c>
      <c r="Q187" s="53">
        <f t="shared" si="61"/>
        <v>-0.1361841896851596</v>
      </c>
    </row>
    <row r="188" spans="1:17" s="15" customFormat="1" ht="12.75" hidden="1" outlineLevel="2">
      <c r="A188" s="15" t="s">
        <v>673</v>
      </c>
      <c r="B188" s="15" t="s">
        <v>674</v>
      </c>
      <c r="C188" s="134" t="s">
        <v>675</v>
      </c>
      <c r="D188" s="16"/>
      <c r="E188" s="16"/>
      <c r="F188" s="16">
        <v>4647847</v>
      </c>
      <c r="G188" s="16">
        <v>3925747</v>
      </c>
      <c r="H188" s="16">
        <f t="shared" si="56"/>
        <v>722100</v>
      </c>
      <c r="I188" s="53">
        <f t="shared" si="57"/>
        <v>0.1839395152056411</v>
      </c>
      <c r="J188" s="174"/>
      <c r="K188" s="256">
        <v>4566143</v>
      </c>
      <c r="L188" s="16">
        <f t="shared" si="58"/>
        <v>81704</v>
      </c>
      <c r="M188" s="53" t="str">
        <f t="shared" si="59"/>
        <v>N.M.</v>
      </c>
      <c r="N188" s="174"/>
      <c r="O188" s="256">
        <v>4018519</v>
      </c>
      <c r="P188" s="16">
        <f t="shared" si="60"/>
        <v>629328</v>
      </c>
      <c r="Q188" s="53">
        <f t="shared" si="61"/>
        <v>0.15660694897796926</v>
      </c>
    </row>
    <row r="189" spans="1:17" s="15" customFormat="1" ht="12.75" hidden="1" outlineLevel="2">
      <c r="A189" s="15" t="s">
        <v>676</v>
      </c>
      <c r="B189" s="15" t="s">
        <v>677</v>
      </c>
      <c r="C189" s="134" t="s">
        <v>678</v>
      </c>
      <c r="D189" s="16"/>
      <c r="E189" s="16"/>
      <c r="F189" s="16">
        <v>13061835.51</v>
      </c>
      <c r="G189" s="16">
        <v>11308965</v>
      </c>
      <c r="H189" s="16">
        <f t="shared" si="56"/>
        <v>1752870.5099999998</v>
      </c>
      <c r="I189" s="53">
        <f t="shared" si="57"/>
        <v>0.15499831416933377</v>
      </c>
      <c r="J189" s="174"/>
      <c r="K189" s="256">
        <v>12886734.51</v>
      </c>
      <c r="L189" s="16">
        <f t="shared" si="58"/>
        <v>175101</v>
      </c>
      <c r="M189" s="53" t="str">
        <f t="shared" si="59"/>
        <v>N.M.</v>
      </c>
      <c r="N189" s="174"/>
      <c r="O189" s="256">
        <v>11708655</v>
      </c>
      <c r="P189" s="16">
        <f t="shared" si="60"/>
        <v>1353180.5099999998</v>
      </c>
      <c r="Q189" s="53">
        <f t="shared" si="61"/>
        <v>0.11557096096861678</v>
      </c>
    </row>
    <row r="190" spans="1:17" s="15" customFormat="1" ht="12.75" hidden="1" outlineLevel="2">
      <c r="A190" s="15" t="s">
        <v>679</v>
      </c>
      <c r="B190" s="15" t="s">
        <v>680</v>
      </c>
      <c r="C190" s="134" t="s">
        <v>681</v>
      </c>
      <c r="D190" s="16"/>
      <c r="E190" s="16"/>
      <c r="F190" s="16">
        <v>707400</v>
      </c>
      <c r="G190" s="16">
        <v>740808</v>
      </c>
      <c r="H190" s="16">
        <f t="shared" si="56"/>
        <v>-33408</v>
      </c>
      <c r="I190" s="53">
        <f t="shared" si="57"/>
        <v>-0.0450967052191661</v>
      </c>
      <c r="J190" s="174"/>
      <c r="K190" s="256">
        <v>710184</v>
      </c>
      <c r="L190" s="16">
        <f t="shared" si="58"/>
        <v>-2784</v>
      </c>
      <c r="M190" s="53" t="str">
        <f t="shared" si="59"/>
        <v>N.M.</v>
      </c>
      <c r="N190" s="174"/>
      <c r="O190" s="256">
        <v>732456</v>
      </c>
      <c r="P190" s="16">
        <f t="shared" si="60"/>
        <v>-25056</v>
      </c>
      <c r="Q190" s="53">
        <f t="shared" si="61"/>
        <v>-0.03420819817163079</v>
      </c>
    </row>
    <row r="191" spans="1:17" s="15" customFormat="1" ht="12.75" hidden="1" outlineLevel="2">
      <c r="A191" s="15" t="s">
        <v>682</v>
      </c>
      <c r="B191" s="15" t="s">
        <v>683</v>
      </c>
      <c r="C191" s="134" t="s">
        <v>684</v>
      </c>
      <c r="D191" s="16"/>
      <c r="E191" s="16"/>
      <c r="F191" s="16">
        <v>110239</v>
      </c>
      <c r="G191" s="16">
        <v>115447</v>
      </c>
      <c r="H191" s="16">
        <f t="shared" si="56"/>
        <v>-5208</v>
      </c>
      <c r="I191" s="53">
        <f t="shared" si="57"/>
        <v>-0.045111609656379115</v>
      </c>
      <c r="J191" s="174"/>
      <c r="K191" s="256">
        <v>110673</v>
      </c>
      <c r="L191" s="16">
        <f t="shared" si="58"/>
        <v>-434</v>
      </c>
      <c r="M191" s="53" t="str">
        <f t="shared" si="59"/>
        <v>N.M.</v>
      </c>
      <c r="N191" s="174"/>
      <c r="O191" s="256">
        <v>114145</v>
      </c>
      <c r="P191" s="16">
        <f t="shared" si="60"/>
        <v>-3906</v>
      </c>
      <c r="Q191" s="53">
        <f t="shared" si="61"/>
        <v>-0.03421963292303649</v>
      </c>
    </row>
    <row r="192" spans="1:17" s="15" customFormat="1" ht="12.75" hidden="1" outlineLevel="2">
      <c r="A192" s="15" t="s">
        <v>685</v>
      </c>
      <c r="B192" s="15" t="s">
        <v>686</v>
      </c>
      <c r="C192" s="134" t="s">
        <v>687</v>
      </c>
      <c r="D192" s="16"/>
      <c r="E192" s="16"/>
      <c r="F192" s="16">
        <v>322712.12</v>
      </c>
      <c r="G192" s="16">
        <v>0</v>
      </c>
      <c r="H192" s="16">
        <f t="shared" si="56"/>
        <v>322712.12</v>
      </c>
      <c r="I192" s="53" t="str">
        <f t="shared" si="57"/>
        <v>N.M.</v>
      </c>
      <c r="J192" s="174"/>
      <c r="K192" s="256">
        <v>0</v>
      </c>
      <c r="L192" s="16">
        <f t="shared" si="58"/>
        <v>322712.12</v>
      </c>
      <c r="M192" s="53" t="str">
        <f t="shared" si="59"/>
        <v>N.M.</v>
      </c>
      <c r="N192" s="174"/>
      <c r="O192" s="256">
        <v>0</v>
      </c>
      <c r="P192" s="16">
        <f t="shared" si="60"/>
        <v>322712.12</v>
      </c>
      <c r="Q192" s="53" t="str">
        <f t="shared" si="61"/>
        <v>N.M.</v>
      </c>
    </row>
    <row r="193" spans="1:17" s="15" customFormat="1" ht="12.75" hidden="1" outlineLevel="2">
      <c r="A193" s="15" t="s">
        <v>688</v>
      </c>
      <c r="B193" s="15" t="s">
        <v>689</v>
      </c>
      <c r="C193" s="134" t="s">
        <v>690</v>
      </c>
      <c r="D193" s="16"/>
      <c r="E193" s="16"/>
      <c r="F193" s="16">
        <v>0</v>
      </c>
      <c r="G193" s="16">
        <v>0</v>
      </c>
      <c r="H193" s="16">
        <f t="shared" si="56"/>
        <v>0</v>
      </c>
      <c r="I193" s="53">
        <f t="shared" si="57"/>
        <v>0</v>
      </c>
      <c r="J193" s="174"/>
      <c r="K193" s="256">
        <v>-2948.82</v>
      </c>
      <c r="L193" s="16">
        <f t="shared" si="58"/>
        <v>2948.82</v>
      </c>
      <c r="M193" s="53" t="str">
        <f t="shared" si="59"/>
        <v>N.M.</v>
      </c>
      <c r="N193" s="174"/>
      <c r="O193" s="256">
        <v>93036.27</v>
      </c>
      <c r="P193" s="16">
        <f t="shared" si="60"/>
        <v>-93036.27</v>
      </c>
      <c r="Q193" s="53" t="str">
        <f t="shared" si="61"/>
        <v>N.M.</v>
      </c>
    </row>
    <row r="194" spans="1:17" s="15" customFormat="1" ht="12.75" hidden="1" outlineLevel="2">
      <c r="A194" s="15" t="s">
        <v>691</v>
      </c>
      <c r="B194" s="15" t="s">
        <v>692</v>
      </c>
      <c r="C194" s="134" t="s">
        <v>693</v>
      </c>
      <c r="D194" s="16"/>
      <c r="E194" s="16"/>
      <c r="F194" s="16">
        <v>17619165</v>
      </c>
      <c r="G194" s="16">
        <v>22317609</v>
      </c>
      <c r="H194" s="16">
        <f t="shared" si="56"/>
        <v>-4698444</v>
      </c>
      <c r="I194" s="53">
        <f t="shared" si="57"/>
        <v>-0.21052631578947367</v>
      </c>
      <c r="J194" s="174"/>
      <c r="K194" s="256">
        <v>18010702</v>
      </c>
      <c r="L194" s="16">
        <f t="shared" si="58"/>
        <v>-391537</v>
      </c>
      <c r="M194" s="53" t="str">
        <f t="shared" si="59"/>
        <v>N.M.</v>
      </c>
      <c r="N194" s="174"/>
      <c r="O194" s="256">
        <v>21142998</v>
      </c>
      <c r="P194" s="16">
        <f t="shared" si="60"/>
        <v>-3523833</v>
      </c>
      <c r="Q194" s="53">
        <f t="shared" si="61"/>
        <v>-0.16666666666666666</v>
      </c>
    </row>
    <row r="195" spans="1:17" s="15" customFormat="1" ht="12.75" hidden="1" outlineLevel="2">
      <c r="A195" s="15" t="s">
        <v>694</v>
      </c>
      <c r="B195" s="15" t="s">
        <v>695</v>
      </c>
      <c r="C195" s="134" t="s">
        <v>696</v>
      </c>
      <c r="D195" s="16"/>
      <c r="E195" s="16"/>
      <c r="F195" s="16">
        <v>-135719.65</v>
      </c>
      <c r="G195" s="16">
        <v>-158147.65</v>
      </c>
      <c r="H195" s="16">
        <f t="shared" si="56"/>
        <v>22428</v>
      </c>
      <c r="I195" s="53">
        <f t="shared" si="57"/>
        <v>0.14181684014906323</v>
      </c>
      <c r="J195" s="174"/>
      <c r="K195" s="256">
        <v>-137588.65</v>
      </c>
      <c r="L195" s="16">
        <f t="shared" si="58"/>
        <v>1869</v>
      </c>
      <c r="M195" s="53" t="str">
        <f t="shared" si="59"/>
        <v>N.M.</v>
      </c>
      <c r="N195" s="174"/>
      <c r="O195" s="256">
        <v>-152540.65</v>
      </c>
      <c r="P195" s="16">
        <f t="shared" si="60"/>
        <v>16821</v>
      </c>
      <c r="Q195" s="53">
        <f t="shared" si="61"/>
        <v>0.11027224546375015</v>
      </c>
    </row>
    <row r="196" spans="1:17" s="15" customFormat="1" ht="12.75" hidden="1" outlineLevel="2">
      <c r="A196" s="15" t="s">
        <v>697</v>
      </c>
      <c r="B196" s="15" t="s">
        <v>698</v>
      </c>
      <c r="C196" s="134" t="s">
        <v>699</v>
      </c>
      <c r="D196" s="16"/>
      <c r="E196" s="16"/>
      <c r="F196" s="16">
        <v>296833.108</v>
      </c>
      <c r="G196" s="16">
        <v>320158.328</v>
      </c>
      <c r="H196" s="16">
        <f t="shared" si="56"/>
        <v>-23325.219999999972</v>
      </c>
      <c r="I196" s="53">
        <f t="shared" si="57"/>
        <v>-0.07285526553599435</v>
      </c>
      <c r="J196" s="174"/>
      <c r="K196" s="256">
        <v>298846.968</v>
      </c>
      <c r="L196" s="16">
        <f t="shared" si="58"/>
        <v>-2013.859999999986</v>
      </c>
      <c r="M196" s="53" t="str">
        <f t="shared" si="59"/>
        <v>N.M.</v>
      </c>
      <c r="N196" s="174"/>
      <c r="O196" s="256">
        <v>314496.108</v>
      </c>
      <c r="P196" s="16">
        <f t="shared" si="60"/>
        <v>-17663</v>
      </c>
      <c r="Q196" s="53">
        <f t="shared" si="61"/>
        <v>-0.05616285718868101</v>
      </c>
    </row>
    <row r="197" spans="1:17" s="15" customFormat="1" ht="12.75" hidden="1" outlineLevel="2">
      <c r="A197" s="15" t="s">
        <v>700</v>
      </c>
      <c r="B197" s="15" t="s">
        <v>701</v>
      </c>
      <c r="C197" s="134" t="s">
        <v>702</v>
      </c>
      <c r="D197" s="16"/>
      <c r="E197" s="16"/>
      <c r="F197" s="16">
        <v>425788.761</v>
      </c>
      <c r="G197" s="16">
        <v>537625.181</v>
      </c>
      <c r="H197" s="16">
        <f t="shared" si="56"/>
        <v>-111836.41999999998</v>
      </c>
      <c r="I197" s="53">
        <f t="shared" si="57"/>
        <v>-0.20801931150616992</v>
      </c>
      <c r="J197" s="174"/>
      <c r="K197" s="256">
        <v>435423.601</v>
      </c>
      <c r="L197" s="16">
        <f t="shared" si="58"/>
        <v>-9634.840000000026</v>
      </c>
      <c r="M197" s="53" t="str">
        <f t="shared" si="59"/>
        <v>N.M.</v>
      </c>
      <c r="N197" s="174"/>
      <c r="O197" s="256">
        <v>510427.131</v>
      </c>
      <c r="P197" s="16">
        <f t="shared" si="60"/>
        <v>-84638.37</v>
      </c>
      <c r="Q197" s="53">
        <f t="shared" si="61"/>
        <v>-0.1658187131122542</v>
      </c>
    </row>
    <row r="198" spans="1:17" s="15" customFormat="1" ht="12.75" hidden="1" outlineLevel="2">
      <c r="A198" s="15" t="s">
        <v>703</v>
      </c>
      <c r="B198" s="15" t="s">
        <v>704</v>
      </c>
      <c r="C198" s="134" t="s">
        <v>705</v>
      </c>
      <c r="D198" s="16"/>
      <c r="E198" s="16"/>
      <c r="F198" s="16">
        <v>313603.495</v>
      </c>
      <c r="G198" s="16">
        <v>338246.555</v>
      </c>
      <c r="H198" s="16">
        <f t="shared" si="56"/>
        <v>-24643.059999999998</v>
      </c>
      <c r="I198" s="53">
        <f t="shared" si="57"/>
        <v>-0.07285531703345803</v>
      </c>
      <c r="J198" s="174"/>
      <c r="K198" s="256">
        <v>315731.135</v>
      </c>
      <c r="L198" s="16">
        <f t="shared" si="58"/>
        <v>-2127.640000000014</v>
      </c>
      <c r="M198" s="53" t="str">
        <f t="shared" si="59"/>
        <v>N.M.</v>
      </c>
      <c r="N198" s="174"/>
      <c r="O198" s="256">
        <v>332264.425</v>
      </c>
      <c r="P198" s="16">
        <f t="shared" si="60"/>
        <v>-18660.929999999993</v>
      </c>
      <c r="Q198" s="53">
        <f t="shared" si="61"/>
        <v>-0.05616288894003622</v>
      </c>
    </row>
    <row r="199" spans="1:17" s="15" customFormat="1" ht="12.75" hidden="1" outlineLevel="2">
      <c r="A199" s="15" t="s">
        <v>706</v>
      </c>
      <c r="B199" s="15" t="s">
        <v>707</v>
      </c>
      <c r="C199" s="134" t="s">
        <v>708</v>
      </c>
      <c r="D199" s="16"/>
      <c r="E199" s="16"/>
      <c r="F199" s="16">
        <v>184012.37</v>
      </c>
      <c r="G199" s="16">
        <v>210198.84</v>
      </c>
      <c r="H199" s="16">
        <f t="shared" si="56"/>
        <v>-26186.47</v>
      </c>
      <c r="I199" s="53">
        <f t="shared" si="57"/>
        <v>-0.1245795171847761</v>
      </c>
      <c r="J199" s="174"/>
      <c r="K199" s="256">
        <v>186271.25</v>
      </c>
      <c r="L199" s="16">
        <f t="shared" si="58"/>
        <v>-2258.8800000000047</v>
      </c>
      <c r="M199" s="53" t="str">
        <f t="shared" si="59"/>
        <v>N.M.</v>
      </c>
      <c r="N199" s="174"/>
      <c r="O199" s="256">
        <v>203837.28</v>
      </c>
      <c r="P199" s="16">
        <f t="shared" si="60"/>
        <v>-19824.910000000003</v>
      </c>
      <c r="Q199" s="53">
        <f t="shared" si="61"/>
        <v>-0.09725850933646683</v>
      </c>
    </row>
    <row r="200" spans="1:17" s="15" customFormat="1" ht="12.75" hidden="1" outlineLevel="2">
      <c r="A200" s="15" t="s">
        <v>709</v>
      </c>
      <c r="B200" s="15" t="s">
        <v>710</v>
      </c>
      <c r="C200" s="134" t="s">
        <v>711</v>
      </c>
      <c r="D200" s="16"/>
      <c r="E200" s="16"/>
      <c r="F200" s="16">
        <v>155359.065</v>
      </c>
      <c r="G200" s="16">
        <v>167567.255</v>
      </c>
      <c r="H200" s="16">
        <f t="shared" si="56"/>
        <v>-12208.190000000002</v>
      </c>
      <c r="I200" s="53">
        <f t="shared" si="57"/>
        <v>-0.0728554633182957</v>
      </c>
      <c r="J200" s="174"/>
      <c r="K200" s="256">
        <v>156413.095</v>
      </c>
      <c r="L200" s="16">
        <f t="shared" si="58"/>
        <v>-1054.0299999999988</v>
      </c>
      <c r="M200" s="53" t="str">
        <f t="shared" si="59"/>
        <v>N.M.</v>
      </c>
      <c r="N200" s="174"/>
      <c r="O200" s="256">
        <v>164603.705</v>
      </c>
      <c r="P200" s="16">
        <f t="shared" si="60"/>
        <v>-9244.639999999985</v>
      </c>
      <c r="Q200" s="53">
        <f t="shared" si="61"/>
        <v>-0.05616301285563399</v>
      </c>
    </row>
    <row r="201" spans="1:17" s="15" customFormat="1" ht="12.75" hidden="1" outlineLevel="2">
      <c r="A201" s="15" t="s">
        <v>712</v>
      </c>
      <c r="B201" s="15" t="s">
        <v>713</v>
      </c>
      <c r="C201" s="134" t="s">
        <v>714</v>
      </c>
      <c r="D201" s="16"/>
      <c r="E201" s="16"/>
      <c r="F201" s="16">
        <v>0.01</v>
      </c>
      <c r="G201" s="16">
        <v>0</v>
      </c>
      <c r="H201" s="16">
        <f t="shared" si="56"/>
        <v>0.01</v>
      </c>
      <c r="I201" s="53" t="str">
        <f t="shared" si="57"/>
        <v>N.M.</v>
      </c>
      <c r="J201" s="174"/>
      <c r="K201" s="256">
        <v>0</v>
      </c>
      <c r="L201" s="16">
        <f t="shared" si="58"/>
        <v>0.01</v>
      </c>
      <c r="M201" s="53" t="str">
        <f t="shared" si="59"/>
        <v>N.M.</v>
      </c>
      <c r="N201" s="174"/>
      <c r="O201" s="256">
        <v>0</v>
      </c>
      <c r="P201" s="16">
        <f t="shared" si="60"/>
        <v>0.01</v>
      </c>
      <c r="Q201" s="53" t="str">
        <f t="shared" si="61"/>
        <v>N.M.</v>
      </c>
    </row>
    <row r="202" spans="1:17" s="15" customFormat="1" ht="12.75" hidden="1" outlineLevel="2">
      <c r="A202" s="15" t="s">
        <v>715</v>
      </c>
      <c r="B202" s="15" t="s">
        <v>716</v>
      </c>
      <c r="C202" s="134" t="s">
        <v>717</v>
      </c>
      <c r="D202" s="16"/>
      <c r="E202" s="16"/>
      <c r="F202" s="16">
        <v>40625515.5</v>
      </c>
      <c r="G202" s="16">
        <v>40052819</v>
      </c>
      <c r="H202" s="16">
        <f t="shared" si="56"/>
        <v>572696.5</v>
      </c>
      <c r="I202" s="53">
        <f t="shared" si="57"/>
        <v>0.014298531646424188</v>
      </c>
      <c r="J202" s="174"/>
      <c r="K202" s="256">
        <v>41400479</v>
      </c>
      <c r="L202" s="16">
        <f t="shared" si="58"/>
        <v>-774963.5</v>
      </c>
      <c r="M202" s="53" t="str">
        <f t="shared" si="59"/>
        <v>N.M.</v>
      </c>
      <c r="N202" s="174"/>
      <c r="O202" s="256">
        <v>42950406</v>
      </c>
      <c r="P202" s="16">
        <f t="shared" si="60"/>
        <v>-2324890.5</v>
      </c>
      <c r="Q202" s="53">
        <f t="shared" si="61"/>
        <v>-0.05412965130061867</v>
      </c>
    </row>
    <row r="203" spans="1:17" s="15" customFormat="1" ht="12.75" hidden="1" outlineLevel="2">
      <c r="A203" s="15" t="s">
        <v>718</v>
      </c>
      <c r="B203" s="15" t="s">
        <v>719</v>
      </c>
      <c r="C203" s="134" t="s">
        <v>720</v>
      </c>
      <c r="D203" s="16"/>
      <c r="E203" s="16"/>
      <c r="F203" s="16">
        <v>15494891.5</v>
      </c>
      <c r="G203" s="16">
        <v>14351208</v>
      </c>
      <c r="H203" s="16">
        <f t="shared" si="56"/>
        <v>1143683.5</v>
      </c>
      <c r="I203" s="53">
        <f t="shared" si="57"/>
        <v>0.07969248999805452</v>
      </c>
      <c r="J203" s="174"/>
      <c r="K203" s="256">
        <v>15674017</v>
      </c>
      <c r="L203" s="16">
        <f t="shared" si="58"/>
        <v>-179125.5</v>
      </c>
      <c r="M203" s="53" t="str">
        <f t="shared" si="59"/>
        <v>N.M.</v>
      </c>
      <c r="N203" s="174"/>
      <c r="O203" s="256">
        <v>16032268</v>
      </c>
      <c r="P203" s="16">
        <f t="shared" si="60"/>
        <v>-537376.5</v>
      </c>
      <c r="Q203" s="53">
        <f t="shared" si="61"/>
        <v>-0.033518432950347385</v>
      </c>
    </row>
    <row r="204" spans="1:17" s="15" customFormat="1" ht="12.75" hidden="1" outlineLevel="2">
      <c r="A204" s="15" t="s">
        <v>721</v>
      </c>
      <c r="B204" s="15" t="s">
        <v>722</v>
      </c>
      <c r="C204" s="134" t="s">
        <v>723</v>
      </c>
      <c r="D204" s="16"/>
      <c r="E204" s="16"/>
      <c r="F204" s="16">
        <v>-130541.75</v>
      </c>
      <c r="G204" s="16">
        <v>-122394</v>
      </c>
      <c r="H204" s="16">
        <f t="shared" si="56"/>
        <v>-8147.75</v>
      </c>
      <c r="I204" s="53">
        <f t="shared" si="57"/>
        <v>-0.06656984819517296</v>
      </c>
      <c r="J204" s="174"/>
      <c r="K204" s="256">
        <v>-130196.5</v>
      </c>
      <c r="L204" s="16">
        <f t="shared" si="58"/>
        <v>-345.25</v>
      </c>
      <c r="M204" s="53" t="str">
        <f t="shared" si="59"/>
        <v>N.M.</v>
      </c>
      <c r="N204" s="174"/>
      <c r="O204" s="256">
        <v>-129506</v>
      </c>
      <c r="P204" s="16">
        <f t="shared" si="60"/>
        <v>-1035.75</v>
      </c>
      <c r="Q204" s="53">
        <f t="shared" si="61"/>
        <v>-0.007997698948311276</v>
      </c>
    </row>
    <row r="205" spans="1:17" s="15" customFormat="1" ht="12.75" hidden="1" outlineLevel="2">
      <c r="A205" s="15" t="s">
        <v>724</v>
      </c>
      <c r="B205" s="15" t="s">
        <v>725</v>
      </c>
      <c r="C205" s="134" t="s">
        <v>726</v>
      </c>
      <c r="D205" s="16"/>
      <c r="E205" s="16"/>
      <c r="F205" s="16">
        <v>237505</v>
      </c>
      <c r="G205" s="16">
        <v>287501</v>
      </c>
      <c r="H205" s="16">
        <f t="shared" si="56"/>
        <v>-49996</v>
      </c>
      <c r="I205" s="53">
        <f t="shared" si="57"/>
        <v>-0.17389852557034585</v>
      </c>
      <c r="J205" s="174"/>
      <c r="K205" s="256">
        <v>208338</v>
      </c>
      <c r="L205" s="16">
        <f t="shared" si="58"/>
        <v>29167</v>
      </c>
      <c r="M205" s="53" t="str">
        <f t="shared" si="59"/>
        <v>N.M.</v>
      </c>
      <c r="N205" s="174"/>
      <c r="O205" s="256">
        <v>275002</v>
      </c>
      <c r="P205" s="16">
        <f t="shared" si="60"/>
        <v>-37497</v>
      </c>
      <c r="Q205" s="53">
        <f t="shared" si="61"/>
        <v>-0.13635173562374092</v>
      </c>
    </row>
    <row r="206" spans="1:17" s="15" customFormat="1" ht="12.75" hidden="1" outlineLevel="2">
      <c r="A206" s="15" t="s">
        <v>727</v>
      </c>
      <c r="B206" s="15" t="s">
        <v>728</v>
      </c>
      <c r="C206" s="134" t="s">
        <v>729</v>
      </c>
      <c r="D206" s="16"/>
      <c r="E206" s="16"/>
      <c r="F206" s="16">
        <v>83538915.03</v>
      </c>
      <c r="G206" s="16">
        <v>80015202.6</v>
      </c>
      <c r="H206" s="16">
        <f t="shared" si="56"/>
        <v>3523712.430000007</v>
      </c>
      <c r="I206" s="53">
        <f t="shared" si="57"/>
        <v>0.04403803671678771</v>
      </c>
      <c r="J206" s="174"/>
      <c r="K206" s="256">
        <v>83514753.82</v>
      </c>
      <c r="L206" s="16">
        <f t="shared" si="58"/>
        <v>24161.210000008345</v>
      </c>
      <c r="M206" s="53" t="str">
        <f t="shared" si="59"/>
        <v>N.M.</v>
      </c>
      <c r="N206" s="174"/>
      <c r="O206" s="256">
        <v>83182558.29</v>
      </c>
      <c r="P206" s="16">
        <f t="shared" si="60"/>
        <v>356356.73999999464</v>
      </c>
      <c r="Q206" s="53">
        <f t="shared" si="61"/>
        <v>0.004284031981291382</v>
      </c>
    </row>
    <row r="207" spans="1:17" s="15" customFormat="1" ht="12.75" hidden="1" outlineLevel="2">
      <c r="A207" s="15" t="s">
        <v>730</v>
      </c>
      <c r="B207" s="15" t="s">
        <v>731</v>
      </c>
      <c r="C207" s="134" t="s">
        <v>732</v>
      </c>
      <c r="D207" s="16"/>
      <c r="E207" s="16"/>
      <c r="F207" s="16">
        <v>41321698.07</v>
      </c>
      <c r="G207" s="16">
        <v>37640547</v>
      </c>
      <c r="H207" s="16">
        <f t="shared" si="56"/>
        <v>3681151.0700000003</v>
      </c>
      <c r="I207" s="53">
        <f t="shared" si="57"/>
        <v>0.09779749135951718</v>
      </c>
      <c r="J207" s="174"/>
      <c r="K207" s="256">
        <v>41389273.07</v>
      </c>
      <c r="L207" s="16">
        <f t="shared" si="58"/>
        <v>-67575</v>
      </c>
      <c r="M207" s="53" t="str">
        <f t="shared" si="59"/>
        <v>N.M.</v>
      </c>
      <c r="N207" s="174"/>
      <c r="O207" s="256">
        <v>42232048.27</v>
      </c>
      <c r="P207" s="16">
        <f t="shared" si="60"/>
        <v>-910350.200000003</v>
      </c>
      <c r="Q207" s="53">
        <f t="shared" si="61"/>
        <v>-0.02155590925119017</v>
      </c>
    </row>
    <row r="208" spans="1:17" s="15" customFormat="1" ht="12.75" hidden="1" outlineLevel="2">
      <c r="A208" s="15" t="s">
        <v>733</v>
      </c>
      <c r="B208" s="15" t="s">
        <v>734</v>
      </c>
      <c r="C208" s="134" t="s">
        <v>735</v>
      </c>
      <c r="D208" s="16"/>
      <c r="E208" s="16"/>
      <c r="F208" s="16">
        <v>1314482.45</v>
      </c>
      <c r="G208" s="16">
        <v>0</v>
      </c>
      <c r="H208" s="16">
        <f t="shared" si="56"/>
        <v>1314482.45</v>
      </c>
      <c r="I208" s="53" t="str">
        <f t="shared" si="57"/>
        <v>N.M.</v>
      </c>
      <c r="J208" s="174"/>
      <c r="K208" s="256">
        <v>1562540.72</v>
      </c>
      <c r="L208" s="16">
        <f t="shared" si="58"/>
        <v>-248058.27000000002</v>
      </c>
      <c r="M208" s="53" t="str">
        <f t="shared" si="59"/>
        <v>N.M.</v>
      </c>
      <c r="N208" s="174"/>
      <c r="O208" s="256">
        <v>0</v>
      </c>
      <c r="P208" s="16">
        <f t="shared" si="60"/>
        <v>1314482.45</v>
      </c>
      <c r="Q208" s="53" t="str">
        <f t="shared" si="61"/>
        <v>N.M.</v>
      </c>
    </row>
    <row r="209" spans="1:17" s="67" customFormat="1" ht="12.75" hidden="1" outlineLevel="1">
      <c r="A209" s="67" t="s">
        <v>142</v>
      </c>
      <c r="B209" s="87"/>
      <c r="C209" s="82" t="s">
        <v>140</v>
      </c>
      <c r="D209" s="66"/>
      <c r="E209" s="66"/>
      <c r="F209" s="51">
        <v>207606815.09899998</v>
      </c>
      <c r="G209" s="51">
        <v>203671718.729</v>
      </c>
      <c r="H209" s="51">
        <f>+F209-G209</f>
        <v>3935096.369999975</v>
      </c>
      <c r="I209" s="136">
        <f>IF(G209&lt;0,IF(H209=0,0,IF(OR(G209=0,F209=0),"N.M.",IF(ABS(H209/G209)&gt;=10,"N.M.",H209/(-G209)))),IF(H209=0,0,IF(OR(G209=0,F209=0),"N.M.",IF(ABS(H209/G209)&gt;=10,"N.M.",H209/G209))))</f>
        <v>0.01932077951006986</v>
      </c>
      <c r="J209" s="162"/>
      <c r="K209" s="51">
        <v>208907868.70899996</v>
      </c>
      <c r="L209" s="51">
        <f>+F209-K209</f>
        <v>-1301053.6099999845</v>
      </c>
      <c r="M209" s="136" t="str">
        <f>IF(K209&lt;0,IF(L209=0,0,IF(OR(K209=0,N209=0),"N.M.",IF(ABS(L209/K209)&gt;=10,"N.M.",L209/(-K209)))),IF(L209=0,0,IF(OR(K209=0,N209=0),"N.M.",IF(ABS(L209/K209)&gt;=10,"N.M.",L209/K209))))</f>
        <v>N.M.</v>
      </c>
      <c r="N209" s="162"/>
      <c r="O209" s="51">
        <v>214481341.44900003</v>
      </c>
      <c r="P209" s="51">
        <f>+F209-O209</f>
        <v>-6874526.350000054</v>
      </c>
      <c r="Q209" s="136">
        <f>IF(O209&lt;0,IF(P209=0,0,IF(OR(O209=0,F209=0),"N.M.",IF(ABS(P209/O209)&gt;=10,"N.M.",P209/(-O209)))),IF(P209=0,0,IF(OR(O209=0,F209=0),"N.M.",IF(ABS(P209/O209)&gt;=10,"N.M.",P209/O209))))</f>
        <v>-0.03205186196410795</v>
      </c>
    </row>
    <row r="210" spans="1:17" s="15" customFormat="1" ht="12.75" hidden="1" outlineLevel="2">
      <c r="A210" s="15" t="s">
        <v>736</v>
      </c>
      <c r="B210" s="15" t="s">
        <v>737</v>
      </c>
      <c r="C210" s="134" t="s">
        <v>738</v>
      </c>
      <c r="D210" s="16"/>
      <c r="E210" s="16"/>
      <c r="F210" s="16">
        <v>712228.15</v>
      </c>
      <c r="G210" s="16">
        <v>745876.75</v>
      </c>
      <c r="H210" s="16">
        <f>+F210-G210</f>
        <v>-33648.59999999998</v>
      </c>
      <c r="I210" s="53">
        <f>IF(G210&lt;0,IF(H210=0,0,IF(OR(G210=0,F210=0),"N.M.",IF(ABS(H210/G210)&gt;=10,"N.M.",H210/(-G210)))),IF(H210=0,0,IF(OR(G210=0,F210=0),"N.M.",IF(ABS(H210/G210)&gt;=10,"N.M.",H210/G210))))</f>
        <v>-0.04511281522047708</v>
      </c>
      <c r="J210" s="174"/>
      <c r="K210" s="256">
        <v>715032.2000000001</v>
      </c>
      <c r="L210" s="16">
        <f>+F210-K210</f>
        <v>-2804.0500000000466</v>
      </c>
      <c r="M210" s="53" t="str">
        <f>IF(K210&lt;0,IF(L210=0,0,IF(OR(K210=0,N210=0),"N.M.",IF(ABS(L210/K210)&gt;=10,"N.M.",L210/(-K210)))),IF(L210=0,0,IF(OR(K210=0,N210=0),"N.M.",IF(ABS(L210/K210)&gt;=10,"N.M.",L210/K210))))</f>
        <v>N.M.</v>
      </c>
      <c r="N210" s="174"/>
      <c r="O210" s="256">
        <v>737464.6</v>
      </c>
      <c r="P210" s="16">
        <f>+F210-O210</f>
        <v>-25236.449999999953</v>
      </c>
      <c r="Q210" s="53">
        <f>IF(O210&lt;0,IF(P210=0,0,IF(OR(O210=0,F210=0),"N.M.",IF(ABS(P210/O210)&gt;=10,"N.M.",P210/(-O210)))),IF(P210=0,0,IF(OR(O210=0,F210=0),"N.M.",IF(ABS(P210/O210)&gt;=10,"N.M.",P210/O210))))</f>
        <v>-0.0342205578410136</v>
      </c>
    </row>
    <row r="211" spans="1:17" s="67" customFormat="1" ht="12.75" hidden="1" outlineLevel="1">
      <c r="A211" s="67" t="s">
        <v>143</v>
      </c>
      <c r="B211" s="87"/>
      <c r="C211" s="96" t="s">
        <v>141</v>
      </c>
      <c r="D211" s="66"/>
      <c r="E211" s="66"/>
      <c r="F211" s="197">
        <v>712228.15</v>
      </c>
      <c r="G211" s="197">
        <v>745876.75</v>
      </c>
      <c r="H211" s="197">
        <f>+F211-G211</f>
        <v>-33648.59999999998</v>
      </c>
      <c r="I211" s="138">
        <f>IF(G211&lt;0,IF(H211=0,0,IF(OR(G211=0,F211=0),"N.M.",IF(ABS(H211/G211)&gt;=10,"N.M.",H211/(-G211)))),IF(H211=0,0,IF(OR(G211=0,F211=0),"N.M.",IF(ABS(H211/G211)&gt;=10,"N.M.",H211/G211))))</f>
        <v>-0.04511281522047708</v>
      </c>
      <c r="J211" s="162"/>
      <c r="K211" s="197">
        <v>715032.2000000001</v>
      </c>
      <c r="L211" s="197">
        <f>+F211-K211</f>
        <v>-2804.0500000000466</v>
      </c>
      <c r="M211" s="138" t="str">
        <f>IF(K211&lt;0,IF(L211=0,0,IF(OR(K211=0,N211=0),"N.M.",IF(ABS(L211/K211)&gt;=10,"N.M.",L211/(-K211)))),IF(L211=0,0,IF(OR(K211=0,N211=0),"N.M.",IF(ABS(L211/K211)&gt;=10,"N.M.",L211/K211))))</f>
        <v>N.M.</v>
      </c>
      <c r="N211" s="162"/>
      <c r="O211" s="197">
        <v>737464.6</v>
      </c>
      <c r="P211" s="197">
        <f>+F211-O211</f>
        <v>-25236.449999999953</v>
      </c>
      <c r="Q211" s="138">
        <f>IF(O211&lt;0,IF(P211=0,0,IF(OR(O211=0,F211=0),"N.M.",IF(ABS(P211/O211)&gt;=10,"N.M.",P211/(-O211)))),IF(P211=0,0,IF(OR(O211=0,F211=0),"N.M.",IF(ABS(P211/O211)&gt;=10,"N.M.",P211/O211))))</f>
        <v>-0.0342205578410136</v>
      </c>
    </row>
    <row r="212" spans="1:17" s="75" customFormat="1" ht="12" customHeight="1" collapsed="1">
      <c r="A212" s="75" t="s">
        <v>152</v>
      </c>
      <c r="B212" s="93"/>
      <c r="C212" s="75" t="s">
        <v>67</v>
      </c>
      <c r="D212" s="74"/>
      <c r="E212" s="74"/>
      <c r="F212" s="74">
        <f>+F211+F209</f>
        <v>208319043.24899998</v>
      </c>
      <c r="G212" s="74">
        <f>+G211+G209</f>
        <v>204417595.479</v>
      </c>
      <c r="H212" s="74">
        <f>+F212-G212</f>
        <v>3901447.769999981</v>
      </c>
      <c r="I212" s="137">
        <f>IF(G212&lt;0,IF(H212=0,0,IF(OR(G212=0,F212=0),"N.M.",IF(ABS(H212/G212)&gt;=10,"N.M.",H212/(-G212)))),IF(H212=0,0,IF(OR(G212=0,F212=0),"N.M.",IF(ABS(H212/G212)&gt;=10,"N.M.",H212/G212))))</f>
        <v>0.019085674894364853</v>
      </c>
      <c r="J212" s="163"/>
      <c r="K212" s="74">
        <f>+K211+K209</f>
        <v>209622900.90899995</v>
      </c>
      <c r="L212" s="74">
        <f>+F212-K212</f>
        <v>-1303857.6599999666</v>
      </c>
      <c r="M212" s="137" t="str">
        <f>IF(K212&lt;0,IF(L212=0,0,IF(OR(K212=0,N212=0),"N.M.",IF(ABS(L212/K212)&gt;=10,"N.M.",L212/(-K212)))),IF(L212=0,0,IF(OR(K212=0,N212=0),"N.M.",IF(ABS(L212/K212)&gt;=10,"N.M.",L212/K212))))</f>
        <v>N.M.</v>
      </c>
      <c r="N212" s="163"/>
      <c r="O212" s="74">
        <f>+O211+O209</f>
        <v>215218806.04900002</v>
      </c>
      <c r="P212" s="74">
        <f>+F212-O212</f>
        <v>-6899762.800000042</v>
      </c>
      <c r="Q212" s="137">
        <f>IF(O212&lt;0,IF(P212=0,0,IF(OR(O212=0,F212=0),"N.M.",IF(ABS(P212/O212)&gt;=10,"N.M.",P212/(-O212)))),IF(P212=0,0,IF(OR(O212=0,F212=0),"N.M.",IF(ABS(P212/O212)&gt;=10,"N.M.",P212/O212))))</f>
        <v>-0.03205929317547248</v>
      </c>
    </row>
    <row r="213" spans="2:17" s="67" customFormat="1" ht="7.5" customHeight="1">
      <c r="B213" s="87"/>
      <c r="D213" s="51"/>
      <c r="E213" s="51"/>
      <c r="F213" s="51"/>
      <c r="G213" s="51"/>
      <c r="H213" s="51"/>
      <c r="I213" s="136"/>
      <c r="J213" s="162"/>
      <c r="K213" s="51"/>
      <c r="L213" s="51"/>
      <c r="M213" s="136"/>
      <c r="N213" s="162"/>
      <c r="O213" s="51"/>
      <c r="P213" s="51"/>
      <c r="Q213" s="136"/>
    </row>
    <row r="214" spans="2:17" s="67" customFormat="1" ht="0.75" customHeight="1" hidden="1" outlineLevel="1">
      <c r="B214" s="87"/>
      <c r="D214" s="51"/>
      <c r="E214" s="51"/>
      <c r="F214" s="51"/>
      <c r="G214" s="51"/>
      <c r="H214" s="51"/>
      <c r="I214" s="136"/>
      <c r="J214" s="162"/>
      <c r="K214" s="51"/>
      <c r="L214" s="51"/>
      <c r="M214" s="136"/>
      <c r="N214" s="162"/>
      <c r="O214" s="51"/>
      <c r="P214" s="51"/>
      <c r="Q214" s="136"/>
    </row>
    <row r="215" spans="1:17" s="15" customFormat="1" ht="12.75" hidden="1" outlineLevel="2">
      <c r="A215" s="15" t="s">
        <v>739</v>
      </c>
      <c r="B215" s="15" t="s">
        <v>740</v>
      </c>
      <c r="C215" s="134" t="s">
        <v>741</v>
      </c>
      <c r="D215" s="16"/>
      <c r="E215" s="16"/>
      <c r="F215" s="16">
        <v>2585856.44</v>
      </c>
      <c r="G215" s="16">
        <v>2890317.92</v>
      </c>
      <c r="H215" s="16">
        <f>+F215-G215</f>
        <v>-304461.48</v>
      </c>
      <c r="I215" s="53">
        <f>IF(G215&lt;0,IF(H215=0,0,IF(OR(G215=0,F215=0),"N.M.",IF(ABS(H215/G215)&gt;=10,"N.M.",H215/(-G215)))),IF(H215=0,0,IF(OR(G215=0,F215=0),"N.M.",IF(ABS(H215/G215)&gt;=10,"N.M.",H215/G215))))</f>
        <v>-0.1053384051260354</v>
      </c>
      <c r="J215" s="174"/>
      <c r="K215" s="256">
        <v>2611228.23</v>
      </c>
      <c r="L215" s="16">
        <f>+F215-K215</f>
        <v>-25371.790000000037</v>
      </c>
      <c r="M215" s="53" t="str">
        <f>IF(K215&lt;0,IF(L215=0,0,IF(OR(K215=0,N215=0),"N.M.",IF(ABS(L215/K215)&gt;=10,"N.M.",L215/(-K215)))),IF(L215=0,0,IF(OR(K215=0,N215=0),"N.M.",IF(ABS(L215/K215)&gt;=10,"N.M.",L215/K215))))</f>
        <v>N.M.</v>
      </c>
      <c r="N215" s="174"/>
      <c r="O215" s="256">
        <v>2814202.55</v>
      </c>
      <c r="P215" s="16">
        <f>+F215-O215</f>
        <v>-228346.10999999987</v>
      </c>
      <c r="Q215" s="53">
        <f>IF(O215&lt;0,IF(P215=0,0,IF(OR(O215=0,F215=0),"N.M.",IF(ABS(P215/O215)&gt;=10,"N.M.",P215/(-O215)))),IF(P215=0,0,IF(OR(O215=0,F215=0),"N.M.",IF(ABS(P215/O215)&gt;=10,"N.M.",P215/O215))))</f>
        <v>-0.08114060944191806</v>
      </c>
    </row>
    <row r="216" spans="1:17" s="67" customFormat="1" ht="12.75" hidden="1" outlineLevel="1">
      <c r="A216" s="67" t="s">
        <v>164</v>
      </c>
      <c r="B216" s="87"/>
      <c r="C216" s="82" t="s">
        <v>144</v>
      </c>
      <c r="D216" s="66"/>
      <c r="E216" s="66"/>
      <c r="F216" s="51">
        <v>2585856.44</v>
      </c>
      <c r="G216" s="51">
        <v>2890317.92</v>
      </c>
      <c r="H216" s="51">
        <f>+F216-G216</f>
        <v>-304461.48</v>
      </c>
      <c r="I216" s="136">
        <f>IF(G216&lt;0,IF(H216=0,0,IF(OR(G216=0,F216=0),"N.M.",IF(ABS(H216/G216)&gt;=10,"N.M.",H216/(-G216)))),IF(H216=0,0,IF(OR(G216=0,F216=0),"N.M.",IF(ABS(H216/G216)&gt;=10,"N.M.",H216/G216))))</f>
        <v>-0.1053384051260354</v>
      </c>
      <c r="J216" s="162"/>
      <c r="K216" s="51">
        <v>2611228.23</v>
      </c>
      <c r="L216" s="51">
        <f>+F216-K216</f>
        <v>-25371.790000000037</v>
      </c>
      <c r="M216" s="136" t="str">
        <f>IF(K216&lt;0,IF(L216=0,0,IF(OR(K216=0,N216=0),"N.M.",IF(ABS(L216/K216)&gt;=10,"N.M.",L216/(-K216)))),IF(L216=0,0,IF(OR(K216=0,N216=0),"N.M.",IF(ABS(L216/K216)&gt;=10,"N.M.",L216/K216))))</f>
        <v>N.M.</v>
      </c>
      <c r="N216" s="162"/>
      <c r="O216" s="51">
        <v>2814202.55</v>
      </c>
      <c r="P216" s="51">
        <f>+F216-O216</f>
        <v>-228346.10999999987</v>
      </c>
      <c r="Q216" s="136">
        <f>IF(O216&lt;0,IF(P216=0,0,IF(OR(O216=0,F216=0),"N.M.",IF(ABS(P216/O216)&gt;=10,"N.M.",P216/(-O216)))),IF(P216=0,0,IF(OR(O216=0,F216=0),"N.M.",IF(ABS(P216/O216)&gt;=10,"N.M.",P216/O216))))</f>
        <v>-0.08114060944191806</v>
      </c>
    </row>
    <row r="217" spans="1:17" s="15" customFormat="1" ht="12.75" hidden="1" outlineLevel="2">
      <c r="A217" s="15" t="s">
        <v>742</v>
      </c>
      <c r="B217" s="15" t="s">
        <v>743</v>
      </c>
      <c r="C217" s="134" t="s">
        <v>744</v>
      </c>
      <c r="D217" s="16"/>
      <c r="E217" s="16"/>
      <c r="F217" s="16">
        <v>0</v>
      </c>
      <c r="G217" s="16">
        <v>0</v>
      </c>
      <c r="H217" s="16">
        <f>+F217-G217</f>
        <v>0</v>
      </c>
      <c r="I217" s="53">
        <f>IF(G217&lt;0,IF(H217=0,0,IF(OR(G217=0,F217=0),"N.M.",IF(ABS(H217/G217)&gt;=10,"N.M.",H217/(-G217)))),IF(H217=0,0,IF(OR(G217=0,F217=0),"N.M.",IF(ABS(H217/G217)&gt;=10,"N.M.",H217/G217))))</f>
        <v>0</v>
      </c>
      <c r="J217" s="174"/>
      <c r="K217" s="256">
        <v>-1150</v>
      </c>
      <c r="L217" s="16">
        <f>+F217-K217</f>
        <v>1150</v>
      </c>
      <c r="M217" s="53" t="str">
        <f>IF(K217&lt;0,IF(L217=0,0,IF(OR(K217=0,N217=0),"N.M.",IF(ABS(L217/K217)&gt;=10,"N.M.",L217/(-K217)))),IF(L217=0,0,IF(OR(K217=0,N217=0),"N.M.",IF(ABS(L217/K217)&gt;=10,"N.M.",L217/K217))))</f>
        <v>N.M.</v>
      </c>
      <c r="N217" s="174"/>
      <c r="O217" s="256">
        <v>0</v>
      </c>
      <c r="P217" s="16">
        <f>+F217-O217</f>
        <v>0</v>
      </c>
      <c r="Q217" s="53">
        <f>IF(O217&lt;0,IF(P217=0,0,IF(OR(O217=0,F217=0),"N.M.",IF(ABS(P217/O217)&gt;=10,"N.M.",P217/(-O217)))),IF(P217=0,0,IF(OR(O217=0,F217=0),"N.M.",IF(ABS(P217/O217)&gt;=10,"N.M.",P217/O217))))</f>
        <v>0</v>
      </c>
    </row>
    <row r="218" spans="1:17" s="15" customFormat="1" ht="12.75" hidden="1" outlineLevel="2">
      <c r="A218" s="15" t="s">
        <v>745</v>
      </c>
      <c r="B218" s="15" t="s">
        <v>746</v>
      </c>
      <c r="C218" s="134" t="s">
        <v>747</v>
      </c>
      <c r="D218" s="16"/>
      <c r="E218" s="16"/>
      <c r="F218" s="16">
        <v>0</v>
      </c>
      <c r="G218" s="16">
        <v>0</v>
      </c>
      <c r="H218" s="16">
        <f>+F218-G218</f>
        <v>0</v>
      </c>
      <c r="I218" s="53">
        <f>IF(G218&lt;0,IF(H218=0,0,IF(OR(G218=0,F218=0),"N.M.",IF(ABS(H218/G218)&gt;=10,"N.M.",H218/(-G218)))),IF(H218=0,0,IF(OR(G218=0,F218=0),"N.M.",IF(ABS(H218/G218)&gt;=10,"N.M.",H218/G218))))</f>
        <v>0</v>
      </c>
      <c r="J218" s="174"/>
      <c r="K218" s="256">
        <v>11118.79</v>
      </c>
      <c r="L218" s="16">
        <f>+F218-K218</f>
        <v>-11118.79</v>
      </c>
      <c r="M218" s="53" t="str">
        <f>IF(K218&lt;0,IF(L218=0,0,IF(OR(K218=0,N218=0),"N.M.",IF(ABS(L218/K218)&gt;=10,"N.M.",L218/(-K218)))),IF(L218=0,0,IF(OR(K218=0,N218=0),"N.M.",IF(ABS(L218/K218)&gt;=10,"N.M.",L218/K218))))</f>
        <v>N.M.</v>
      </c>
      <c r="N218" s="174"/>
      <c r="O218" s="256">
        <v>0</v>
      </c>
      <c r="P218" s="16">
        <f>+F218-O218</f>
        <v>0</v>
      </c>
      <c r="Q218" s="53">
        <f>IF(O218&lt;0,IF(P218=0,0,IF(OR(O218=0,F218=0),"N.M.",IF(ABS(P218/O218)&gt;=10,"N.M.",P218/(-O218)))),IF(P218=0,0,IF(OR(O218=0,F218=0),"N.M.",IF(ABS(P218/O218)&gt;=10,"N.M.",P218/O218))))</f>
        <v>0</v>
      </c>
    </row>
    <row r="219" spans="1:17" s="67" customFormat="1" ht="12.75" hidden="1" outlineLevel="1">
      <c r="A219" s="67" t="s">
        <v>150</v>
      </c>
      <c r="B219" s="87"/>
      <c r="C219" s="82" t="s">
        <v>145</v>
      </c>
      <c r="D219" s="66"/>
      <c r="E219" s="66"/>
      <c r="F219" s="51">
        <v>0</v>
      </c>
      <c r="G219" s="51">
        <v>0</v>
      </c>
      <c r="H219" s="51">
        <f>+F219-G219</f>
        <v>0</v>
      </c>
      <c r="I219" s="136">
        <f>IF(G219&lt;0,IF(H219=0,0,IF(OR(G219=0,F219=0),"N.M.",IF(ABS(H219/G219)&gt;=10,"N.M.",H219/(-G219)))),IF(H219=0,0,IF(OR(G219=0,F219=0),"N.M.",IF(ABS(H219/G219)&gt;=10,"N.M.",H219/G219))))</f>
        <v>0</v>
      </c>
      <c r="J219" s="162"/>
      <c r="K219" s="51">
        <v>9968.79</v>
      </c>
      <c r="L219" s="51">
        <f>+F219-K219</f>
        <v>-9968.79</v>
      </c>
      <c r="M219" s="136" t="str">
        <f>IF(K219&lt;0,IF(L219=0,0,IF(OR(K219=0,N219=0),"N.M.",IF(ABS(L219/K219)&gt;=10,"N.M.",L219/(-K219)))),IF(L219=0,0,IF(OR(K219=0,N219=0),"N.M.",IF(ABS(L219/K219)&gt;=10,"N.M.",L219/K219))))</f>
        <v>N.M.</v>
      </c>
      <c r="N219" s="162"/>
      <c r="O219" s="51">
        <v>0</v>
      </c>
      <c r="P219" s="51">
        <f>+F219-O219</f>
        <v>0</v>
      </c>
      <c r="Q219" s="136">
        <f>IF(O219&lt;0,IF(P219=0,0,IF(OR(O219=0,F219=0),"N.M.",IF(ABS(P219/O219)&gt;=10,"N.M.",P219/(-O219)))),IF(P219=0,0,IF(OR(O219=0,F219=0),"N.M.",IF(ABS(P219/O219)&gt;=10,"N.M.",P219/O219))))</f>
        <v>0</v>
      </c>
    </row>
    <row r="220" spans="1:17" s="15" customFormat="1" ht="12.75" hidden="1" outlineLevel="2">
      <c r="A220" s="15" t="s">
        <v>748</v>
      </c>
      <c r="B220" s="15" t="s">
        <v>749</v>
      </c>
      <c r="C220" s="134" t="s">
        <v>750</v>
      </c>
      <c r="D220" s="16"/>
      <c r="E220" s="16"/>
      <c r="F220" s="16">
        <v>25700092.24</v>
      </c>
      <c r="G220" s="16">
        <v>21072898.44</v>
      </c>
      <c r="H220" s="16">
        <f aca="true" t="shared" si="62" ref="H220:H230">+F220-G220</f>
        <v>4627193.799999997</v>
      </c>
      <c r="I220" s="53">
        <f aca="true" t="shared" si="63" ref="I220:I230">IF(G220&lt;0,IF(H220=0,0,IF(OR(G220=0,F220=0),"N.M.",IF(ABS(H220/G220)&gt;=10,"N.M.",H220/(-G220)))),IF(H220=0,0,IF(OR(G220=0,F220=0),"N.M.",IF(ABS(H220/G220)&gt;=10,"N.M.",H220/G220))))</f>
        <v>0.21958032081703502</v>
      </c>
      <c r="J220" s="174"/>
      <c r="K220" s="256">
        <v>25638402.47</v>
      </c>
      <c r="L220" s="16">
        <f aca="true" t="shared" si="64" ref="L220:L230">+F220-K220</f>
        <v>61689.76999999955</v>
      </c>
      <c r="M220" s="53" t="str">
        <f aca="true" t="shared" si="65" ref="M220:M230">IF(K220&lt;0,IF(L220=0,0,IF(OR(K220=0,N220=0),"N.M.",IF(ABS(L220/K220)&gt;=10,"N.M.",L220/(-K220)))),IF(L220=0,0,IF(OR(K220=0,N220=0),"N.M.",IF(ABS(L220/K220)&gt;=10,"N.M.",L220/K220))))</f>
        <v>N.M.</v>
      </c>
      <c r="N220" s="174"/>
      <c r="O220" s="256">
        <v>21673627.77</v>
      </c>
      <c r="P220" s="16">
        <f aca="true" t="shared" si="66" ref="P220:P230">+F220-O220</f>
        <v>4026464.469999999</v>
      </c>
      <c r="Q220" s="53">
        <f aca="true" t="shared" si="67" ref="Q220:Q230">IF(O220&lt;0,IF(P220=0,0,IF(OR(O220=0,F220=0),"N.M.",IF(ABS(P220/O220)&gt;=10,"N.M.",P220/(-O220)))),IF(P220=0,0,IF(OR(O220=0,F220=0),"N.M.",IF(ABS(P220/O220)&gt;=10,"N.M.",P220/O220))))</f>
        <v>0.18577713490001488</v>
      </c>
    </row>
    <row r="221" spans="1:17" s="15" customFormat="1" ht="12.75" hidden="1" outlineLevel="2">
      <c r="A221" s="15" t="s">
        <v>751</v>
      </c>
      <c r="B221" s="15" t="s">
        <v>752</v>
      </c>
      <c r="C221" s="134" t="s">
        <v>753</v>
      </c>
      <c r="D221" s="16"/>
      <c r="E221" s="16"/>
      <c r="F221" s="16">
        <v>455.09000000000003</v>
      </c>
      <c r="G221" s="16">
        <v>251.96</v>
      </c>
      <c r="H221" s="16">
        <f t="shared" si="62"/>
        <v>203.13000000000002</v>
      </c>
      <c r="I221" s="53">
        <f t="shared" si="63"/>
        <v>0.8061993967296397</v>
      </c>
      <c r="J221" s="174"/>
      <c r="K221" s="256">
        <v>455.09000000000003</v>
      </c>
      <c r="L221" s="16">
        <f t="shared" si="64"/>
        <v>0</v>
      </c>
      <c r="M221" s="53">
        <f t="shared" si="65"/>
        <v>0</v>
      </c>
      <c r="N221" s="174"/>
      <c r="O221" s="256">
        <v>323.09000000000003</v>
      </c>
      <c r="P221" s="16">
        <f t="shared" si="66"/>
        <v>132</v>
      </c>
      <c r="Q221" s="53">
        <f t="shared" si="67"/>
        <v>0.408554891825807</v>
      </c>
    </row>
    <row r="222" spans="1:17" s="15" customFormat="1" ht="12.75" hidden="1" outlineLevel="2">
      <c r="A222" s="15" t="s">
        <v>754</v>
      </c>
      <c r="B222" s="15" t="s">
        <v>755</v>
      </c>
      <c r="C222" s="134" t="s">
        <v>756</v>
      </c>
      <c r="D222" s="16"/>
      <c r="E222" s="16"/>
      <c r="F222" s="16">
        <v>0</v>
      </c>
      <c r="G222" s="16">
        <v>2260594</v>
      </c>
      <c r="H222" s="16">
        <f t="shared" si="62"/>
        <v>-2260594</v>
      </c>
      <c r="I222" s="53" t="str">
        <f t="shared" si="63"/>
        <v>N.M.</v>
      </c>
      <c r="J222" s="174"/>
      <c r="K222" s="256">
        <v>0</v>
      </c>
      <c r="L222" s="16">
        <f t="shared" si="64"/>
        <v>0</v>
      </c>
      <c r="M222" s="53">
        <f t="shared" si="65"/>
        <v>0</v>
      </c>
      <c r="N222" s="174"/>
      <c r="O222" s="256">
        <v>0</v>
      </c>
      <c r="P222" s="16">
        <f t="shared" si="66"/>
        <v>0</v>
      </c>
      <c r="Q222" s="53">
        <f t="shared" si="67"/>
        <v>0</v>
      </c>
    </row>
    <row r="223" spans="1:17" s="15" customFormat="1" ht="12.75" hidden="1" outlineLevel="2">
      <c r="A223" s="15" t="s">
        <v>757</v>
      </c>
      <c r="B223" s="15" t="s">
        <v>758</v>
      </c>
      <c r="C223" s="134" t="s">
        <v>756</v>
      </c>
      <c r="D223" s="16"/>
      <c r="E223" s="16"/>
      <c r="F223" s="16">
        <v>2110934.34</v>
      </c>
      <c r="G223" s="16">
        <v>0</v>
      </c>
      <c r="H223" s="16">
        <f t="shared" si="62"/>
        <v>2110934.34</v>
      </c>
      <c r="I223" s="53" t="str">
        <f t="shared" si="63"/>
        <v>N.M.</v>
      </c>
      <c r="J223" s="174"/>
      <c r="K223" s="256">
        <v>2814574.34</v>
      </c>
      <c r="L223" s="16">
        <f t="shared" si="64"/>
        <v>-703640</v>
      </c>
      <c r="M223" s="53" t="str">
        <f t="shared" si="65"/>
        <v>N.M.</v>
      </c>
      <c r="N223" s="174"/>
      <c r="O223" s="256">
        <v>7970436</v>
      </c>
      <c r="P223" s="16">
        <f t="shared" si="66"/>
        <v>-5859501.66</v>
      </c>
      <c r="Q223" s="53">
        <f t="shared" si="67"/>
        <v>-0.7351544708470151</v>
      </c>
    </row>
    <row r="224" spans="1:17" s="15" customFormat="1" ht="12.75" hidden="1" outlineLevel="2">
      <c r="A224" s="15" t="s">
        <v>759</v>
      </c>
      <c r="B224" s="15" t="s">
        <v>760</v>
      </c>
      <c r="C224" s="134" t="s">
        <v>761</v>
      </c>
      <c r="D224" s="16"/>
      <c r="E224" s="16"/>
      <c r="F224" s="16">
        <v>0</v>
      </c>
      <c r="G224" s="16">
        <v>24.13</v>
      </c>
      <c r="H224" s="16">
        <f t="shared" si="62"/>
        <v>-24.13</v>
      </c>
      <c r="I224" s="53" t="str">
        <f t="shared" si="63"/>
        <v>N.M.</v>
      </c>
      <c r="J224" s="174"/>
      <c r="K224" s="256">
        <v>0</v>
      </c>
      <c r="L224" s="16">
        <f t="shared" si="64"/>
        <v>0</v>
      </c>
      <c r="M224" s="53">
        <f t="shared" si="65"/>
        <v>0</v>
      </c>
      <c r="N224" s="174"/>
      <c r="O224" s="256">
        <v>0</v>
      </c>
      <c r="P224" s="16">
        <f t="shared" si="66"/>
        <v>0</v>
      </c>
      <c r="Q224" s="53">
        <f t="shared" si="67"/>
        <v>0</v>
      </c>
    </row>
    <row r="225" spans="1:17" s="15" customFormat="1" ht="12.75" hidden="1" outlineLevel="2">
      <c r="A225" s="15" t="s">
        <v>762</v>
      </c>
      <c r="B225" s="15" t="s">
        <v>763</v>
      </c>
      <c r="C225" s="134" t="s">
        <v>764</v>
      </c>
      <c r="D225" s="16"/>
      <c r="E225" s="16"/>
      <c r="F225" s="16">
        <v>899567.3200000001</v>
      </c>
      <c r="G225" s="16">
        <v>803488.15</v>
      </c>
      <c r="H225" s="16">
        <f t="shared" si="62"/>
        <v>96079.17000000004</v>
      </c>
      <c r="I225" s="53">
        <f t="shared" si="63"/>
        <v>0.11957758182245755</v>
      </c>
      <c r="J225" s="174"/>
      <c r="K225" s="256">
        <v>1014359.75</v>
      </c>
      <c r="L225" s="16">
        <f t="shared" si="64"/>
        <v>-114792.42999999993</v>
      </c>
      <c r="M225" s="53" t="str">
        <f t="shared" si="65"/>
        <v>N.M.</v>
      </c>
      <c r="N225" s="174"/>
      <c r="O225" s="256">
        <v>1257028.69</v>
      </c>
      <c r="P225" s="16">
        <f t="shared" si="66"/>
        <v>-357461.3699999999</v>
      </c>
      <c r="Q225" s="53">
        <f t="shared" si="67"/>
        <v>-0.28437009659660184</v>
      </c>
    </row>
    <row r="226" spans="1:17" s="15" customFormat="1" ht="12.75" hidden="1" outlineLevel="2">
      <c r="A226" s="15" t="s">
        <v>765</v>
      </c>
      <c r="B226" s="15" t="s">
        <v>766</v>
      </c>
      <c r="C226" s="134" t="s">
        <v>767</v>
      </c>
      <c r="D226" s="16"/>
      <c r="E226" s="16"/>
      <c r="F226" s="16">
        <v>0</v>
      </c>
      <c r="G226" s="16">
        <v>26569</v>
      </c>
      <c r="H226" s="16">
        <f t="shared" si="62"/>
        <v>-26569</v>
      </c>
      <c r="I226" s="53" t="str">
        <f t="shared" si="63"/>
        <v>N.M.</v>
      </c>
      <c r="J226" s="174"/>
      <c r="K226" s="256">
        <v>0</v>
      </c>
      <c r="L226" s="16">
        <f t="shared" si="64"/>
        <v>0</v>
      </c>
      <c r="M226" s="53">
        <f t="shared" si="65"/>
        <v>0</v>
      </c>
      <c r="N226" s="174"/>
      <c r="O226" s="256">
        <v>0</v>
      </c>
      <c r="P226" s="16">
        <f t="shared" si="66"/>
        <v>0</v>
      </c>
      <c r="Q226" s="53">
        <f t="shared" si="67"/>
        <v>0</v>
      </c>
    </row>
    <row r="227" spans="1:17" s="15" customFormat="1" ht="12.75" hidden="1" outlineLevel="2">
      <c r="A227" s="15" t="s">
        <v>768</v>
      </c>
      <c r="B227" s="15" t="s">
        <v>769</v>
      </c>
      <c r="C227" s="134" t="s">
        <v>767</v>
      </c>
      <c r="D227" s="16"/>
      <c r="E227" s="16"/>
      <c r="F227" s="16">
        <v>19744</v>
      </c>
      <c r="G227" s="16">
        <v>0</v>
      </c>
      <c r="H227" s="16">
        <f t="shared" si="62"/>
        <v>19744</v>
      </c>
      <c r="I227" s="53" t="str">
        <f t="shared" si="63"/>
        <v>N.M.</v>
      </c>
      <c r="J227" s="174"/>
      <c r="K227" s="256">
        <v>26328</v>
      </c>
      <c r="L227" s="16">
        <f t="shared" si="64"/>
        <v>-6584</v>
      </c>
      <c r="M227" s="53" t="str">
        <f t="shared" si="65"/>
        <v>N.M.</v>
      </c>
      <c r="N227" s="174"/>
      <c r="O227" s="256">
        <v>0</v>
      </c>
      <c r="P227" s="16">
        <f t="shared" si="66"/>
        <v>19744</v>
      </c>
      <c r="Q227" s="53" t="str">
        <f t="shared" si="67"/>
        <v>N.M.</v>
      </c>
    </row>
    <row r="228" spans="1:17" s="15" customFormat="1" ht="12.75" hidden="1" outlineLevel="2">
      <c r="A228" s="15" t="s">
        <v>770</v>
      </c>
      <c r="B228" s="15" t="s">
        <v>771</v>
      </c>
      <c r="C228" s="134" t="s">
        <v>772</v>
      </c>
      <c r="D228" s="16"/>
      <c r="E228" s="16"/>
      <c r="F228" s="16">
        <v>766249.9</v>
      </c>
      <c r="G228" s="16">
        <v>347415.03</v>
      </c>
      <c r="H228" s="16">
        <f t="shared" si="62"/>
        <v>418834.87</v>
      </c>
      <c r="I228" s="53">
        <f t="shared" si="63"/>
        <v>1.2055749862059795</v>
      </c>
      <c r="J228" s="174"/>
      <c r="K228" s="256">
        <v>778243.24</v>
      </c>
      <c r="L228" s="16">
        <f t="shared" si="64"/>
        <v>-11993.339999999967</v>
      </c>
      <c r="M228" s="53" t="str">
        <f t="shared" si="65"/>
        <v>N.M.</v>
      </c>
      <c r="N228" s="174"/>
      <c r="O228" s="256">
        <v>311615.7</v>
      </c>
      <c r="P228" s="16">
        <f t="shared" si="66"/>
        <v>454634.2</v>
      </c>
      <c r="Q228" s="53">
        <f t="shared" si="67"/>
        <v>1.4589579408226223</v>
      </c>
    </row>
    <row r="229" spans="1:17" s="15" customFormat="1" ht="12.75" hidden="1" outlineLevel="2">
      <c r="A229" s="15" t="s">
        <v>773</v>
      </c>
      <c r="B229" s="15" t="s">
        <v>774</v>
      </c>
      <c r="C229" s="134" t="s">
        <v>775</v>
      </c>
      <c r="D229" s="16"/>
      <c r="E229" s="16"/>
      <c r="F229" s="16">
        <v>897.4200000000001</v>
      </c>
      <c r="G229" s="16">
        <v>1462.67</v>
      </c>
      <c r="H229" s="16">
        <f t="shared" si="62"/>
        <v>-565.25</v>
      </c>
      <c r="I229" s="53">
        <f t="shared" si="63"/>
        <v>-0.38645080571830964</v>
      </c>
      <c r="J229" s="174"/>
      <c r="K229" s="256">
        <v>956.08</v>
      </c>
      <c r="L229" s="16">
        <f t="shared" si="64"/>
        <v>-58.65999999999997</v>
      </c>
      <c r="M229" s="53" t="str">
        <f t="shared" si="65"/>
        <v>N.M.</v>
      </c>
      <c r="N229" s="174"/>
      <c r="O229" s="256">
        <v>578.77</v>
      </c>
      <c r="P229" s="16">
        <f t="shared" si="66"/>
        <v>318.6500000000001</v>
      </c>
      <c r="Q229" s="53">
        <f t="shared" si="67"/>
        <v>0.5505641273735683</v>
      </c>
    </row>
    <row r="230" spans="1:17" s="15" customFormat="1" ht="12.75" hidden="1" outlineLevel="2">
      <c r="A230" s="15" t="s">
        <v>776</v>
      </c>
      <c r="B230" s="15" t="s">
        <v>777</v>
      </c>
      <c r="C230" s="134" t="s">
        <v>778</v>
      </c>
      <c r="D230" s="16"/>
      <c r="E230" s="16"/>
      <c r="F230" s="16">
        <v>0</v>
      </c>
      <c r="G230" s="16">
        <v>13403.31</v>
      </c>
      <c r="H230" s="16">
        <f t="shared" si="62"/>
        <v>-13403.31</v>
      </c>
      <c r="I230" s="53" t="str">
        <f t="shared" si="63"/>
        <v>N.M.</v>
      </c>
      <c r="J230" s="174"/>
      <c r="K230" s="256">
        <v>49440.76</v>
      </c>
      <c r="L230" s="16">
        <f t="shared" si="64"/>
        <v>-49440.76</v>
      </c>
      <c r="M230" s="53" t="str">
        <f t="shared" si="65"/>
        <v>N.M.</v>
      </c>
      <c r="N230" s="174"/>
      <c r="O230" s="256">
        <v>26580.31</v>
      </c>
      <c r="P230" s="16">
        <f t="shared" si="66"/>
        <v>-26580.31</v>
      </c>
      <c r="Q230" s="53" t="str">
        <f t="shared" si="67"/>
        <v>N.M.</v>
      </c>
    </row>
    <row r="231" spans="1:17" s="67" customFormat="1" ht="12.75" hidden="1" outlineLevel="1">
      <c r="A231" s="67" t="s">
        <v>149</v>
      </c>
      <c r="B231" s="87"/>
      <c r="C231" s="82" t="s">
        <v>146</v>
      </c>
      <c r="D231" s="66"/>
      <c r="E231" s="66"/>
      <c r="F231" s="51">
        <v>29497940.31</v>
      </c>
      <c r="G231" s="51">
        <v>24526106.69</v>
      </c>
      <c r="H231" s="51">
        <f>+F231-G231</f>
        <v>4971833.619999997</v>
      </c>
      <c r="I231" s="136">
        <f>IF(G231&lt;0,IF(H231=0,0,IF(OR(G231=0,F231=0),"N.M.",IF(ABS(H231/G231)&gt;=10,"N.M.",H231/(-G231)))),IF(H231=0,0,IF(OR(G231=0,F231=0),"N.M.",IF(ABS(H231/G231)&gt;=10,"N.M.",H231/G231))))</f>
        <v>0.20271597456709903</v>
      </c>
      <c r="J231" s="162"/>
      <c r="K231" s="51">
        <v>30322759.729999997</v>
      </c>
      <c r="L231" s="51">
        <f>+F231-K231</f>
        <v>-824819.4199999981</v>
      </c>
      <c r="M231" s="136" t="str">
        <f>IF(K231&lt;0,IF(L231=0,0,IF(OR(K231=0,N231=0),"N.M.",IF(ABS(L231/K231)&gt;=10,"N.M.",L231/(-K231)))),IF(L231=0,0,IF(OR(K231=0,N231=0),"N.M.",IF(ABS(L231/K231)&gt;=10,"N.M.",L231/K231))))</f>
        <v>N.M.</v>
      </c>
      <c r="N231" s="162"/>
      <c r="O231" s="51">
        <v>31240190.33</v>
      </c>
      <c r="P231" s="51">
        <f>+F231-O231</f>
        <v>-1742250.0199999996</v>
      </c>
      <c r="Q231" s="136">
        <f>IF(O231&lt;0,IF(P231=0,0,IF(OR(O231=0,F231=0),"N.M.",IF(ABS(P231/O231)&gt;=10,"N.M.",P231/(-O231)))),IF(P231=0,0,IF(OR(O231=0,F231=0),"N.M.",IF(ABS(P231/O231)&gt;=10,"N.M.",P231/O231))))</f>
        <v>-0.05576950721477886</v>
      </c>
    </row>
    <row r="232" spans="1:17" s="15" customFormat="1" ht="12.75" hidden="1" outlineLevel="2">
      <c r="A232" s="15" t="s">
        <v>779</v>
      </c>
      <c r="B232" s="15" t="s">
        <v>780</v>
      </c>
      <c r="C232" s="134" t="s">
        <v>781</v>
      </c>
      <c r="D232" s="16"/>
      <c r="E232" s="16"/>
      <c r="F232" s="16">
        <v>63978</v>
      </c>
      <c r="G232" s="16">
        <v>244449.65</v>
      </c>
      <c r="H232" s="16">
        <f aca="true" t="shared" si="68" ref="H232:H237">+F232-G232</f>
        <v>-180471.65</v>
      </c>
      <c r="I232" s="53">
        <f aca="true" t="shared" si="69" ref="I232:I237">IF(G232&lt;0,IF(H232=0,0,IF(OR(G232=0,F232=0),"N.M.",IF(ABS(H232/G232)&gt;=10,"N.M.",H232/(-G232)))),IF(H232=0,0,IF(OR(G232=0,F232=0),"N.M.",IF(ABS(H232/G232)&gt;=10,"N.M.",H232/G232))))</f>
        <v>-0.7382773916837271</v>
      </c>
      <c r="J232" s="174"/>
      <c r="K232" s="256">
        <v>25933</v>
      </c>
      <c r="L232" s="16">
        <f aca="true" t="shared" si="70" ref="L232:L237">+F232-K232</f>
        <v>38045</v>
      </c>
      <c r="M232" s="53" t="str">
        <f aca="true" t="shared" si="71" ref="M232:M237">IF(K232&lt;0,IF(L232=0,0,IF(OR(K232=0,N232=0),"N.M.",IF(ABS(L232/K232)&gt;=10,"N.M.",L232/(-K232)))),IF(L232=0,0,IF(OR(K232=0,N232=0),"N.M.",IF(ABS(L232/K232)&gt;=10,"N.M.",L232/K232))))</f>
        <v>N.M.</v>
      </c>
      <c r="N232" s="174"/>
      <c r="O232" s="256">
        <v>54733.05</v>
      </c>
      <c r="P232" s="16">
        <f aca="true" t="shared" si="72" ref="P232:P237">+F232-O232</f>
        <v>9244.949999999997</v>
      </c>
      <c r="Q232" s="53">
        <f aca="true" t="shared" si="73" ref="Q232:Q237">IF(O232&lt;0,IF(P232=0,0,IF(OR(O232=0,F232=0),"N.M.",IF(ABS(P232/O232)&gt;=10,"N.M.",P232/(-O232)))),IF(P232=0,0,IF(OR(O232=0,F232=0),"N.M.",IF(ABS(P232/O232)&gt;=10,"N.M.",P232/O232))))</f>
        <v>0.1689098268779101</v>
      </c>
    </row>
    <row r="233" spans="1:17" s="15" customFormat="1" ht="12.75" hidden="1" outlineLevel="2">
      <c r="A233" s="15" t="s">
        <v>782</v>
      </c>
      <c r="B233" s="15" t="s">
        <v>783</v>
      </c>
      <c r="C233" s="134" t="s">
        <v>784</v>
      </c>
      <c r="D233" s="16"/>
      <c r="E233" s="16"/>
      <c r="F233" s="16">
        <v>192496.62</v>
      </c>
      <c r="G233" s="16">
        <v>225031.26</v>
      </c>
      <c r="H233" s="16">
        <f t="shared" si="68"/>
        <v>-32534.640000000014</v>
      </c>
      <c r="I233" s="53">
        <f t="shared" si="69"/>
        <v>-0.1445783132530121</v>
      </c>
      <c r="J233" s="174"/>
      <c r="K233" s="256">
        <v>195207.84</v>
      </c>
      <c r="L233" s="16">
        <f t="shared" si="70"/>
        <v>-2711.220000000001</v>
      </c>
      <c r="M233" s="53" t="str">
        <f t="shared" si="71"/>
        <v>N.M.</v>
      </c>
      <c r="N233" s="174"/>
      <c r="O233" s="256">
        <v>216897.6</v>
      </c>
      <c r="P233" s="16">
        <f t="shared" si="72"/>
        <v>-24400.98000000001</v>
      </c>
      <c r="Q233" s="53">
        <f t="shared" si="73"/>
        <v>-0.11250000000000004</v>
      </c>
    </row>
    <row r="234" spans="1:17" s="15" customFormat="1" ht="12.75" hidden="1" outlineLevel="2">
      <c r="A234" s="15" t="s">
        <v>785</v>
      </c>
      <c r="B234" s="15" t="s">
        <v>786</v>
      </c>
      <c r="C234" s="134" t="s">
        <v>787</v>
      </c>
      <c r="D234" s="16"/>
      <c r="E234" s="16"/>
      <c r="F234" s="16">
        <v>15512412.2</v>
      </c>
      <c r="G234" s="16">
        <v>10691488.84</v>
      </c>
      <c r="H234" s="16">
        <f t="shared" si="68"/>
        <v>4820923.359999999</v>
      </c>
      <c r="I234" s="53">
        <f t="shared" si="69"/>
        <v>0.45091225666939005</v>
      </c>
      <c r="J234" s="174"/>
      <c r="K234" s="256">
        <v>14876965.68</v>
      </c>
      <c r="L234" s="16">
        <f t="shared" si="70"/>
        <v>635446.5199999996</v>
      </c>
      <c r="M234" s="53" t="str">
        <f t="shared" si="71"/>
        <v>N.M.</v>
      </c>
      <c r="N234" s="174"/>
      <c r="O234" s="256">
        <v>14422180.22</v>
      </c>
      <c r="P234" s="16">
        <f t="shared" si="72"/>
        <v>1090231.9799999986</v>
      </c>
      <c r="Q234" s="53">
        <f t="shared" si="73"/>
        <v>0.07559411707309802</v>
      </c>
    </row>
    <row r="235" spans="1:17" s="15" customFormat="1" ht="12.75" hidden="1" outlineLevel="2">
      <c r="A235" s="15" t="s">
        <v>788</v>
      </c>
      <c r="B235" s="15" t="s">
        <v>789</v>
      </c>
      <c r="C235" s="134" t="s">
        <v>790</v>
      </c>
      <c r="D235" s="16"/>
      <c r="E235" s="16"/>
      <c r="F235" s="16">
        <v>510324.64</v>
      </c>
      <c r="G235" s="16">
        <v>524709.64</v>
      </c>
      <c r="H235" s="16">
        <f t="shared" si="68"/>
        <v>-14385</v>
      </c>
      <c r="I235" s="53">
        <f t="shared" si="69"/>
        <v>-0.0274151624124916</v>
      </c>
      <c r="J235" s="174"/>
      <c r="K235" s="256">
        <v>407234.24</v>
      </c>
      <c r="L235" s="16">
        <f t="shared" si="70"/>
        <v>103090.40000000002</v>
      </c>
      <c r="M235" s="53" t="str">
        <f t="shared" si="71"/>
        <v>N.M.</v>
      </c>
      <c r="N235" s="174"/>
      <c r="O235" s="256">
        <v>407301.79000000004</v>
      </c>
      <c r="P235" s="16">
        <f t="shared" si="72"/>
        <v>103022.84999999998</v>
      </c>
      <c r="Q235" s="53">
        <f t="shared" si="73"/>
        <v>0.25293984099603384</v>
      </c>
    </row>
    <row r="236" spans="1:17" s="15" customFormat="1" ht="12.75" hidden="1" outlineLevel="2">
      <c r="A236" s="15" t="s">
        <v>791</v>
      </c>
      <c r="B236" s="15" t="s">
        <v>792</v>
      </c>
      <c r="C236" s="134" t="s">
        <v>793</v>
      </c>
      <c r="D236" s="16"/>
      <c r="E236" s="16"/>
      <c r="F236" s="16">
        <v>13029602.85</v>
      </c>
      <c r="G236" s="16">
        <v>12159099.81</v>
      </c>
      <c r="H236" s="16">
        <f t="shared" si="68"/>
        <v>870503.0399999991</v>
      </c>
      <c r="I236" s="53">
        <f t="shared" si="69"/>
        <v>0.07159272097462938</v>
      </c>
      <c r="J236" s="174"/>
      <c r="K236" s="256">
        <v>13088602.29</v>
      </c>
      <c r="L236" s="16">
        <f t="shared" si="70"/>
        <v>-58999.43999999948</v>
      </c>
      <c r="M236" s="53" t="str">
        <f t="shared" si="71"/>
        <v>N.M.</v>
      </c>
      <c r="N236" s="174"/>
      <c r="O236" s="256">
        <v>13666359.26</v>
      </c>
      <c r="P236" s="16">
        <f t="shared" si="72"/>
        <v>-636756.4100000001</v>
      </c>
      <c r="Q236" s="53">
        <f t="shared" si="73"/>
        <v>-0.04659298046288885</v>
      </c>
    </row>
    <row r="237" spans="1:17" s="15" customFormat="1" ht="12.75" hidden="1" outlineLevel="2">
      <c r="A237" s="15" t="s">
        <v>794</v>
      </c>
      <c r="B237" s="15" t="s">
        <v>795</v>
      </c>
      <c r="C237" s="134" t="s">
        <v>796</v>
      </c>
      <c r="D237" s="16"/>
      <c r="E237" s="16"/>
      <c r="F237" s="16">
        <v>662474.6</v>
      </c>
      <c r="G237" s="16">
        <v>394241.60000000003</v>
      </c>
      <c r="H237" s="16">
        <f t="shared" si="68"/>
        <v>268232.99999999994</v>
      </c>
      <c r="I237" s="53">
        <f t="shared" si="69"/>
        <v>0.6803772103197631</v>
      </c>
      <c r="J237" s="174"/>
      <c r="K237" s="256">
        <v>631293.38</v>
      </c>
      <c r="L237" s="16">
        <f t="shared" si="70"/>
        <v>31181.219999999972</v>
      </c>
      <c r="M237" s="53" t="str">
        <f t="shared" si="71"/>
        <v>N.M.</v>
      </c>
      <c r="N237" s="174"/>
      <c r="O237" s="256">
        <v>381843.53</v>
      </c>
      <c r="P237" s="16">
        <f t="shared" si="72"/>
        <v>280631.06999999995</v>
      </c>
      <c r="Q237" s="53">
        <f t="shared" si="73"/>
        <v>0.7349373446238566</v>
      </c>
    </row>
    <row r="238" spans="1:17" s="67" customFormat="1" ht="12.75" hidden="1" outlineLevel="1">
      <c r="A238" s="67" t="s">
        <v>148</v>
      </c>
      <c r="B238" s="87"/>
      <c r="C238" s="96" t="s">
        <v>147</v>
      </c>
      <c r="D238" s="66"/>
      <c r="E238" s="66"/>
      <c r="F238" s="197">
        <v>29971288.91</v>
      </c>
      <c r="G238" s="197">
        <v>24239020.800000004</v>
      </c>
      <c r="H238" s="197">
        <f>+F238-G238</f>
        <v>5732268.109999996</v>
      </c>
      <c r="I238" s="138">
        <f>IF(G238&lt;0,IF(H238=0,0,IF(OR(G238=0,F238=0),"N.M.",IF(ABS(H238/G238)&gt;=10,"N.M.",H238/(-G238)))),IF(H238=0,0,IF(OR(G238=0,F238=0),"N.M.",IF(ABS(H238/G238)&gt;=10,"N.M.",H238/G238))))</f>
        <v>0.23648926073779328</v>
      </c>
      <c r="J238" s="162"/>
      <c r="K238" s="197">
        <v>29225236.429999996</v>
      </c>
      <c r="L238" s="197">
        <f>+F238-K238</f>
        <v>746052.4800000042</v>
      </c>
      <c r="M238" s="138" t="str">
        <f>IF(K238&lt;0,IF(L238=0,0,IF(OR(K238=0,N238=0),"N.M.",IF(ABS(L238/K238)&gt;=10,"N.M.",L238/(-K238)))),IF(L238=0,0,IF(OR(K238=0,N238=0),"N.M.",IF(ABS(L238/K238)&gt;=10,"N.M.",L238/K238))))</f>
        <v>N.M.</v>
      </c>
      <c r="N238" s="162"/>
      <c r="O238" s="197">
        <v>29149315.450000003</v>
      </c>
      <c r="P238" s="197">
        <f>+F238-O238</f>
        <v>821973.4599999972</v>
      </c>
      <c r="Q238" s="138">
        <f>IF(O238&lt;0,IF(P238=0,0,IF(OR(O238=0,F238=0),"N.M.",IF(ABS(P238/O238)&gt;=10,"N.M.",P238/(-O238)))),IF(P238=0,0,IF(OR(O238=0,F238=0),"N.M.",IF(ABS(P238/O238)&gt;=10,"N.M.",P238/O238))))</f>
        <v>0.028198722587840296</v>
      </c>
    </row>
    <row r="239" spans="1:17" s="75" customFormat="1" ht="12" customHeight="1" collapsed="1">
      <c r="A239" s="75" t="s">
        <v>151</v>
      </c>
      <c r="B239" s="93"/>
      <c r="C239" s="75" t="s">
        <v>68</v>
      </c>
      <c r="D239" s="74"/>
      <c r="E239" s="74"/>
      <c r="F239" s="74">
        <f>+F216+F219+F231+F238</f>
        <v>62055085.66</v>
      </c>
      <c r="G239" s="74">
        <f>+G216+G219+G231+G238</f>
        <v>51655445.410000004</v>
      </c>
      <c r="H239" s="74">
        <f>+F239-G239</f>
        <v>10399640.249999993</v>
      </c>
      <c r="I239" s="137">
        <f>IF(G239&lt;0,IF(H239=0,0,IF(OR(G239=0,F239=0),"N.M.",IF(ABS(H239/G239)&gt;=10,"N.M.",H239/(-G239)))),IF(H239=0,0,IF(OR(G239=0,F239=0),"N.M.",IF(ABS(H239/G239)&gt;=10,"N.M.",H239/G239))))</f>
        <v>0.2013270850237741</v>
      </c>
      <c r="J239" s="163"/>
      <c r="K239" s="74">
        <f>+K216+K219+K231+K238</f>
        <v>62169193.17999999</v>
      </c>
      <c r="L239" s="74">
        <f>+F239-K239</f>
        <v>-114107.51999999583</v>
      </c>
      <c r="M239" s="137" t="str">
        <f>IF(K239&lt;0,IF(L239=0,0,IF(OR(K239=0,N239=0),"N.M.",IF(ABS(L239/K239)&gt;=10,"N.M.",L239/(-K239)))),IF(L239=0,0,IF(OR(K239=0,N239=0),"N.M.",IF(ABS(L239/K239)&gt;=10,"N.M.",L239/K239))))</f>
        <v>N.M.</v>
      </c>
      <c r="N239" s="163"/>
      <c r="O239" s="74">
        <f>+O216+O219+O231+O238</f>
        <v>63203708.33</v>
      </c>
      <c r="P239" s="74">
        <f>+F239-O239</f>
        <v>-1148622.6700000018</v>
      </c>
      <c r="Q239" s="137">
        <f>IF(O239&lt;0,IF(P239=0,0,IF(OR(O239=0,F239=0),"N.M.",IF(ABS(P239/O239)&gt;=10,"N.M.",P239/(-O239)))),IF(P239=0,0,IF(OR(O239=0,F239=0),"N.M.",IF(ABS(P239/O239)&gt;=10,"N.M.",P239/O239))))</f>
        <v>-0.018173342994414168</v>
      </c>
    </row>
    <row r="240" spans="1:17" s="75" customFormat="1" ht="9" customHeight="1">
      <c r="A240" s="67"/>
      <c r="B240" s="88"/>
      <c r="C240" s="71"/>
      <c r="D240" s="74"/>
      <c r="E240" s="74"/>
      <c r="F240" s="74"/>
      <c r="G240" s="74"/>
      <c r="H240" s="74"/>
      <c r="I240" s="137"/>
      <c r="J240" s="163"/>
      <c r="K240" s="74"/>
      <c r="L240" s="74"/>
      <c r="M240" s="137"/>
      <c r="N240" s="163"/>
      <c r="O240" s="74"/>
      <c r="P240" s="74"/>
      <c r="Q240" s="137"/>
    </row>
    <row r="241" spans="1:17" s="95" customFormat="1" ht="12" customHeight="1">
      <c r="A241" s="93" t="s">
        <v>153</v>
      </c>
      <c r="B241" s="93"/>
      <c r="C241" s="75" t="s">
        <v>69</v>
      </c>
      <c r="D241" s="94"/>
      <c r="E241" s="94"/>
      <c r="F241" s="232">
        <v>1559922980.2780008</v>
      </c>
      <c r="G241" s="232">
        <v>1493661052.771</v>
      </c>
      <c r="H241" s="74">
        <f>+F241-G241</f>
        <v>66261927.50700092</v>
      </c>
      <c r="I241" s="137">
        <f>IF(G241&lt;0,IF(H241=0,0,IF(OR(G241=0,F241=0),"N.M.",IF(ABS(H241/G241)&gt;=10,"N.M.",H241/(-G241)))),IF(H241=0,0,IF(OR(G241=0,F241=0),"N.M.",IF(ABS(H241/G241)&gt;=10,"N.M.",H241/G241))))</f>
        <v>0.04436209097376782</v>
      </c>
      <c r="J241" s="164"/>
      <c r="K241" s="232">
        <v>1580767961.8560002</v>
      </c>
      <c r="L241" s="74">
        <f>+F241-K241</f>
        <v>-20844981.577999353</v>
      </c>
      <c r="M241" s="137" t="str">
        <f>IF(K241&lt;0,IF(L241=0,0,IF(OR(K241=0,N241=0),"N.M.",IF(ABS(L241/K241)&gt;=10,"N.M.",L241/(-K241)))),IF(L241=0,0,IF(OR(K241=0,N241=0),"N.M.",IF(ABS(L241/K241)&gt;=10,"N.M.",L241/K241))))</f>
        <v>N.M.</v>
      </c>
      <c r="N241" s="164"/>
      <c r="O241" s="232">
        <v>1573464080.4780002</v>
      </c>
      <c r="P241" s="74">
        <f>+F241-O241</f>
        <v>-13541100.199999332</v>
      </c>
      <c r="Q241" s="137">
        <f>IF(O241&lt;0,IF(P241=0,0,IF(OR(O241=0,F241=0),"N.M.",IF(ABS(P241/O241)&gt;=10,"N.M.",P241/(-O241)))),IF(P241=0,0,IF(OR(O241=0,F241=0),"N.M.",IF(ABS(P241/O241)&gt;=10,"N.M.",P241/O241))))</f>
        <v>-0.008605916314203819</v>
      </c>
    </row>
    <row r="242" spans="2:17" s="89" customFormat="1" ht="12" customHeight="1">
      <c r="B242" s="90"/>
      <c r="C242" s="91"/>
      <c r="D242" s="92"/>
      <c r="E242" s="92"/>
      <c r="F242" s="233" t="str">
        <f>IF(ABS(F31+F61+F182+F212+F239-F241)&gt;$C$576,$C$577," ")</f>
        <v> </v>
      </c>
      <c r="G242" s="233" t="str">
        <f>IF(ABS(G31+G61+G182+G212+G239-G241)&gt;$C$576,$C$577," ")</f>
        <v> </v>
      </c>
      <c r="H242" s="233"/>
      <c r="I242" s="140"/>
      <c r="J242" s="165"/>
      <c r="K242" s="233" t="str">
        <f>IF(ABS(K31+K61+K182+K212+K239-K241)&gt;$C$576,$C$577," ")</f>
        <v> </v>
      </c>
      <c r="L242" s="233"/>
      <c r="M242" s="140"/>
      <c r="N242" s="165"/>
      <c r="O242" s="233" t="str">
        <f>IF(ABS(O31+O61+O182+O212+O239-O241)&gt;$C$576,$C$577," ")</f>
        <v> </v>
      </c>
      <c r="P242" s="233"/>
      <c r="Q242" s="140"/>
    </row>
    <row r="243" spans="3:17" s="63" customFormat="1" ht="12.75">
      <c r="C243" s="62" t="s">
        <v>181</v>
      </c>
      <c r="D243" s="64"/>
      <c r="E243" s="64"/>
      <c r="F243" s="231"/>
      <c r="G243" s="231"/>
      <c r="H243" s="244"/>
      <c r="I243" s="65"/>
      <c r="J243" s="158"/>
      <c r="K243" s="231"/>
      <c r="L243" s="244"/>
      <c r="M243" s="65"/>
      <c r="N243" s="158"/>
      <c r="O243" s="231"/>
      <c r="P243" s="244"/>
      <c r="Q243" s="65"/>
    </row>
    <row r="244" spans="3:17" ht="12.75">
      <c r="C244" s="97" t="s">
        <v>170</v>
      </c>
      <c r="D244" s="98"/>
      <c r="E244" s="99"/>
      <c r="F244" s="98"/>
      <c r="G244" s="98"/>
      <c r="H244" s="98"/>
      <c r="I244" s="141"/>
      <c r="J244" s="166"/>
      <c r="K244" s="98"/>
      <c r="L244" s="98"/>
      <c r="M244" s="141"/>
      <c r="N244" s="166"/>
      <c r="O244" s="98"/>
      <c r="P244" s="98"/>
      <c r="Q244" s="141"/>
    </row>
    <row r="245" spans="3:17" s="1" customFormat="1" ht="12.75">
      <c r="C245" s="100" t="str">
        <f>"Authorized: "&amp;TEXT(CSA,"#,##0")&amp;" Shares"</f>
        <v>Authorized: 2,000,000 Shares</v>
      </c>
      <c r="D245" s="101" t="s">
        <v>18</v>
      </c>
      <c r="E245" s="102"/>
      <c r="F245" s="101" t="s">
        <v>18</v>
      </c>
      <c r="G245" s="101"/>
      <c r="H245" s="101" t="s">
        <v>18</v>
      </c>
      <c r="I245" s="142"/>
      <c r="J245" s="167"/>
      <c r="K245" s="101" t="s">
        <v>18</v>
      </c>
      <c r="L245" s="101" t="s">
        <v>18</v>
      </c>
      <c r="M245" s="142"/>
      <c r="N245" s="167"/>
      <c r="O245" s="101" t="s">
        <v>18</v>
      </c>
      <c r="P245" s="101" t="s">
        <v>18</v>
      </c>
      <c r="Q245" s="142"/>
    </row>
    <row r="246" spans="3:17" s="1" customFormat="1" ht="12.75">
      <c r="C246" s="100" t="str">
        <f>"Outstanding: "&amp;TEXT(CSO,"#,##0")&amp;" Shares"</f>
        <v>Outstanding: 1,009,000 Shares</v>
      </c>
      <c r="D246" s="101" t="s">
        <v>18</v>
      </c>
      <c r="E246" s="102"/>
      <c r="F246" s="101" t="s">
        <v>18</v>
      </c>
      <c r="G246" s="101"/>
      <c r="H246" s="101" t="s">
        <v>18</v>
      </c>
      <c r="I246" s="142"/>
      <c r="J246" s="167"/>
      <c r="K246" s="101" t="s">
        <v>18</v>
      </c>
      <c r="L246" s="101" t="s">
        <v>18</v>
      </c>
      <c r="M246" s="142"/>
      <c r="N246" s="167"/>
      <c r="O246" s="101" t="s">
        <v>18</v>
      </c>
      <c r="P246" s="101" t="s">
        <v>18</v>
      </c>
      <c r="Q246" s="142"/>
    </row>
    <row r="247" spans="3:17" s="1" customFormat="1" ht="0.75" customHeight="1" hidden="1" outlineLevel="1">
      <c r="C247" s="100"/>
      <c r="D247" s="101"/>
      <c r="E247" s="102"/>
      <c r="F247" s="101"/>
      <c r="G247" s="101"/>
      <c r="H247" s="101"/>
      <c r="I247" s="142"/>
      <c r="J247" s="167"/>
      <c r="K247" s="101"/>
      <c r="L247" s="101"/>
      <c r="M247" s="142"/>
      <c r="N247" s="167"/>
      <c r="O247" s="101"/>
      <c r="P247" s="101"/>
      <c r="Q247" s="142"/>
    </row>
    <row r="248" spans="1:17" s="15" customFormat="1" ht="12.75" hidden="1" outlineLevel="2">
      <c r="A248" s="15" t="s">
        <v>797</v>
      </c>
      <c r="B248" s="15" t="s">
        <v>798</v>
      </c>
      <c r="C248" s="134" t="s">
        <v>799</v>
      </c>
      <c r="D248" s="16"/>
      <c r="E248" s="16"/>
      <c r="F248" s="16">
        <v>50450000</v>
      </c>
      <c r="G248" s="16">
        <v>50450000</v>
      </c>
      <c r="H248" s="16">
        <f>+F248-G248</f>
        <v>0</v>
      </c>
      <c r="I248" s="53">
        <f>IF(G248&lt;0,IF(H248=0,0,IF(OR(G248=0,F248=0),"N.M.",IF(ABS(H248/G248)&gt;=10,"N.M.",H248/(-G248)))),IF(H248=0,0,IF(OR(G248=0,F248=0),"N.M.",IF(ABS(H248/G248)&gt;=10,"N.M.",H248/G248))))</f>
        <v>0</v>
      </c>
      <c r="J248" s="174"/>
      <c r="K248" s="256">
        <v>50450000</v>
      </c>
      <c r="L248" s="16">
        <f>+F248-K248</f>
        <v>0</v>
      </c>
      <c r="M248" s="53">
        <f>IF(K248&lt;0,IF(L248=0,0,IF(OR(K248=0,N248=0),"N.M.",IF(ABS(L248/K248)&gt;=10,"N.M.",L248/(-K248)))),IF(L248=0,0,IF(OR(K248=0,N248=0),"N.M.",IF(ABS(L248/K248)&gt;=10,"N.M.",L248/K248))))</f>
        <v>0</v>
      </c>
      <c r="N248" s="174"/>
      <c r="O248" s="256">
        <v>50450000</v>
      </c>
      <c r="P248" s="16">
        <f>+F248-O248</f>
        <v>0</v>
      </c>
      <c r="Q248" s="53">
        <f>IF(O248&lt;0,IF(P248=0,0,IF(OR(O248=0,F248=0),"N.M.",IF(ABS(P248/O248)&gt;=10,"N.M.",P248/(-O248)))),IF(P248=0,0,IF(OR(O248=0,F248=0),"N.M.",IF(ABS(P248/O248)&gt;=10,"N.M.",P248/O248))))</f>
        <v>0</v>
      </c>
    </row>
    <row r="249" spans="1:17" ht="12.75" collapsed="1">
      <c r="A249" s="11" t="s">
        <v>241</v>
      </c>
      <c r="C249" s="111" t="s">
        <v>175</v>
      </c>
      <c r="D249" s="103"/>
      <c r="E249" s="104"/>
      <c r="F249" s="103">
        <v>50450000</v>
      </c>
      <c r="G249" s="103">
        <v>50450000</v>
      </c>
      <c r="H249" s="51">
        <f>+F249-G249</f>
        <v>0</v>
      </c>
      <c r="I249" s="136">
        <f>IF(G249&lt;0,IF(H249=0,0,IF(OR(G249=0,F249=0),"N.M.",IF(ABS(H249/G249)&gt;=10,"N.M.",H249/(-G249)))),IF(H249=0,0,IF(OR(G249=0,F249=0),"N.M.",IF(ABS(H249/G249)&gt;=10,"N.M.",H249/G249))))</f>
        <v>0</v>
      </c>
      <c r="J249" s="166"/>
      <c r="K249" s="103">
        <v>50450000</v>
      </c>
      <c r="L249" s="51">
        <f>+F249-K249</f>
        <v>0</v>
      </c>
      <c r="M249" s="136">
        <f>IF(K249&lt;0,IF(L249=0,0,IF(OR(K249=0,N249=0),"N.M.",IF(ABS(L249/K249)&gt;=10,"N.M.",L249/(-K249)))),IF(L249=0,0,IF(OR(K249=0,N249=0),"N.M.",IF(ABS(L249/K249)&gt;=10,"N.M.",L249/K249))))</f>
        <v>0</v>
      </c>
      <c r="N249" s="166"/>
      <c r="O249" s="103">
        <v>50450000</v>
      </c>
      <c r="P249" s="51">
        <f>+F249-O249</f>
        <v>0</v>
      </c>
      <c r="Q249" s="136">
        <f>IF(O249&lt;0,IF(P249=0,0,IF(OR(O249=0,F249=0),"N.M.",IF(ABS(P249/O249)&gt;=10,"N.M.",P249/(-O249)))),IF(P249=0,0,IF(OR(O249=0,F249=0),"N.M.",IF(ABS(P249/O249)&gt;=10,"N.M.",P249/O249))))</f>
        <v>0</v>
      </c>
    </row>
    <row r="250" spans="3:17" ht="0.75" customHeight="1" hidden="1" outlineLevel="1">
      <c r="C250" s="111"/>
      <c r="D250" s="103"/>
      <c r="E250" s="104"/>
      <c r="F250" s="103"/>
      <c r="G250" s="103"/>
      <c r="H250" s="51"/>
      <c r="I250" s="136"/>
      <c r="J250" s="166"/>
      <c r="K250" s="103"/>
      <c r="L250" s="51"/>
      <c r="M250" s="136"/>
      <c r="N250" s="166"/>
      <c r="O250" s="103"/>
      <c r="P250" s="51"/>
      <c r="Q250" s="136"/>
    </row>
    <row r="251" spans="1:17" ht="12.75" collapsed="1">
      <c r="A251" s="11" t="s">
        <v>242</v>
      </c>
      <c r="C251" s="111" t="s">
        <v>176</v>
      </c>
      <c r="D251" s="103"/>
      <c r="E251" s="104"/>
      <c r="F251" s="103">
        <v>0</v>
      </c>
      <c r="G251" s="103">
        <v>0</v>
      </c>
      <c r="H251" s="51">
        <f>+F251-G251</f>
        <v>0</v>
      </c>
      <c r="I251" s="136">
        <f>IF(G251&lt;0,IF(H251=0,0,IF(OR(G251=0,F251=0),"N.M.",IF(ABS(H251/G251)&gt;=10,"N.M.",H251/(-G251)))),IF(H251=0,0,IF(OR(G251=0,F251=0),"N.M.",IF(ABS(H251/G251)&gt;=10,"N.M.",H251/G251))))</f>
        <v>0</v>
      </c>
      <c r="J251" s="166"/>
      <c r="K251" s="103">
        <v>0</v>
      </c>
      <c r="L251" s="51">
        <f>+F251-K251</f>
        <v>0</v>
      </c>
      <c r="M251" s="136">
        <f>IF(K251&lt;0,IF(L251=0,0,IF(OR(K251=0,N251=0),"N.M.",IF(ABS(L251/K251)&gt;=10,"N.M.",L251/(-K251)))),IF(L251=0,0,IF(OR(K251=0,N251=0),"N.M.",IF(ABS(L251/K251)&gt;=10,"N.M.",L251/K251))))</f>
        <v>0</v>
      </c>
      <c r="N251" s="166"/>
      <c r="O251" s="103">
        <v>0</v>
      </c>
      <c r="P251" s="51">
        <f>+F251-O251</f>
        <v>0</v>
      </c>
      <c r="Q251" s="136">
        <f>IF(O251&lt;0,IF(P251=0,0,IF(OR(O251=0,F251=0),"N.M.",IF(ABS(P251/O251)&gt;=10,"N.M.",P251/(-O251)))),IF(P251=0,0,IF(OR(O251=0,F251=0),"N.M.",IF(ABS(P251/O251)&gt;=10,"N.M.",P251/O251))))</f>
        <v>0</v>
      </c>
    </row>
    <row r="252" spans="3:17" ht="0.75" customHeight="1" hidden="1" outlineLevel="1">
      <c r="C252" s="111"/>
      <c r="D252" s="103"/>
      <c r="E252" s="104"/>
      <c r="F252" s="103"/>
      <c r="G252" s="103"/>
      <c r="H252" s="51"/>
      <c r="I252" s="136"/>
      <c r="J252" s="166"/>
      <c r="K252" s="103"/>
      <c r="L252" s="51"/>
      <c r="M252" s="136"/>
      <c r="N252" s="166"/>
      <c r="O252" s="103"/>
      <c r="P252" s="51"/>
      <c r="Q252" s="136"/>
    </row>
    <row r="253" spans="1:17" s="15" customFormat="1" ht="12.75" hidden="1" outlineLevel="2">
      <c r="A253" s="15" t="s">
        <v>800</v>
      </c>
      <c r="B253" s="15" t="s">
        <v>801</v>
      </c>
      <c r="C253" s="134" t="s">
        <v>802</v>
      </c>
      <c r="D253" s="16"/>
      <c r="E253" s="16"/>
      <c r="F253" s="16">
        <v>238750000</v>
      </c>
      <c r="G253" s="16">
        <v>238750000</v>
      </c>
      <c r="H253" s="16">
        <f>+F253-G253</f>
        <v>0</v>
      </c>
      <c r="I253" s="53">
        <f>IF(G253&lt;0,IF(H253=0,0,IF(OR(G253=0,F253=0),"N.M.",IF(ABS(H253/G253)&gt;=10,"N.M.",H253/(-G253)))),IF(H253=0,0,IF(OR(G253=0,F253=0),"N.M.",IF(ABS(H253/G253)&gt;=10,"N.M.",H253/G253))))</f>
        <v>0</v>
      </c>
      <c r="J253" s="174"/>
      <c r="K253" s="256">
        <v>238750000</v>
      </c>
      <c r="L253" s="16">
        <f>+F253-K253</f>
        <v>0</v>
      </c>
      <c r="M253" s="53">
        <f>IF(K253&lt;0,IF(L253=0,0,IF(OR(K253=0,N253=0),"N.M.",IF(ABS(L253/K253)&gt;=10,"N.M.",L253/(-K253)))),IF(L253=0,0,IF(OR(K253=0,N253=0),"N.M.",IF(ABS(L253/K253)&gt;=10,"N.M.",L253/K253))))</f>
        <v>0</v>
      </c>
      <c r="N253" s="174"/>
      <c r="O253" s="256">
        <v>238750000</v>
      </c>
      <c r="P253" s="16">
        <f>+F253-O253</f>
        <v>0</v>
      </c>
      <c r="Q253" s="53">
        <f>IF(O253&lt;0,IF(P253=0,0,IF(OR(O253=0,F253=0),"N.M.",IF(ABS(P253/O253)&gt;=10,"N.M.",P253/(-O253)))),IF(P253=0,0,IF(OR(O253=0,F253=0),"N.M.",IF(ABS(P253/O253)&gt;=10,"N.M.",P253/O253))))</f>
        <v>0</v>
      </c>
    </row>
    <row r="254" spans="1:17" s="15" customFormat="1" ht="12.75" hidden="1" outlineLevel="2">
      <c r="A254" s="15" t="s">
        <v>803</v>
      </c>
      <c r="B254" s="15" t="s">
        <v>804</v>
      </c>
      <c r="C254" s="134" t="s">
        <v>805</v>
      </c>
      <c r="D254" s="16"/>
      <c r="E254" s="16"/>
      <c r="F254" s="16">
        <v>-17867.66</v>
      </c>
      <c r="G254" s="16">
        <v>-438945.76</v>
      </c>
      <c r="H254" s="16">
        <f>+F254-G254</f>
        <v>421078.10000000003</v>
      </c>
      <c r="I254" s="53">
        <f>IF(G254&lt;0,IF(H254=0,0,IF(OR(G254=0,F254=0),"N.M.",IF(ABS(H254/G254)&gt;=10,"N.M.",H254/(-G254)))),IF(H254=0,0,IF(OR(G254=0,F254=0),"N.M.",IF(ABS(H254/G254)&gt;=10,"N.M.",H254/G254))))</f>
        <v>0.9592941506030267</v>
      </c>
      <c r="J254" s="174"/>
      <c r="K254" s="256">
        <v>205643.03</v>
      </c>
      <c r="L254" s="16">
        <f>+F254-K254</f>
        <v>-223510.69</v>
      </c>
      <c r="M254" s="53" t="str">
        <f>IF(K254&lt;0,IF(L254=0,0,IF(OR(K254=0,N254=0),"N.M.",IF(ABS(L254/K254)&gt;=10,"N.M.",L254/(-K254)))),IF(L254=0,0,IF(OR(K254=0,N254=0),"N.M.",IF(ABS(L254/K254)&gt;=10,"N.M.",L254/K254))))</f>
        <v>N.M.</v>
      </c>
      <c r="N254" s="174"/>
      <c r="O254" s="256">
        <v>-48318.73</v>
      </c>
      <c r="P254" s="16">
        <f>+F254-O254</f>
        <v>30451.070000000003</v>
      </c>
      <c r="Q254" s="53">
        <f>IF(O254&lt;0,IF(P254=0,0,IF(OR(O254=0,F254=0),"N.M.",IF(ABS(P254/O254)&gt;=10,"N.M.",P254/(-O254)))),IF(P254=0,0,IF(OR(O254=0,F254=0),"N.M.",IF(ABS(P254/O254)&gt;=10,"N.M.",P254/O254))))</f>
        <v>0.6302125490467154</v>
      </c>
    </row>
    <row r="255" spans="1:17" s="15" customFormat="1" ht="12.75" hidden="1" outlineLevel="2">
      <c r="A255" s="15" t="s">
        <v>806</v>
      </c>
      <c r="B255" s="15" t="s">
        <v>807</v>
      </c>
      <c r="C255" s="134" t="s">
        <v>808</v>
      </c>
      <c r="D255" s="16"/>
      <c r="E255" s="16"/>
      <c r="F255" s="16">
        <v>-357494.23</v>
      </c>
      <c r="G255" s="16">
        <v>-417915.79000000004</v>
      </c>
      <c r="H255" s="16">
        <f>+F255-G255</f>
        <v>60421.560000000056</v>
      </c>
      <c r="I255" s="53">
        <f>IF(G255&lt;0,IF(H255=0,0,IF(OR(G255=0,F255=0),"N.M.",IF(ABS(H255/G255)&gt;=10,"N.M.",H255/(-G255)))),IF(H255=0,0,IF(OR(G255=0,F255=0),"N.M.",IF(ABS(H255/G255)&gt;=10,"N.M.",H255/G255))))</f>
        <v>0.14457831325301218</v>
      </c>
      <c r="J255" s="174"/>
      <c r="K255" s="256">
        <v>-362529.36</v>
      </c>
      <c r="L255" s="16">
        <f>+F255-K255</f>
        <v>5035.130000000005</v>
      </c>
      <c r="M255" s="53" t="str">
        <f>IF(K255&lt;0,IF(L255=0,0,IF(OR(K255=0,N255=0),"N.M.",IF(ABS(L255/K255)&gt;=10,"N.M.",L255/(-K255)))),IF(L255=0,0,IF(OR(K255=0,N255=0),"N.M.",IF(ABS(L255/K255)&gt;=10,"N.M.",L255/K255))))</f>
        <v>N.M.</v>
      </c>
      <c r="N255" s="174"/>
      <c r="O255" s="256">
        <v>-402810.4</v>
      </c>
      <c r="P255" s="16">
        <f>+F255-O255</f>
        <v>45316.17000000004</v>
      </c>
      <c r="Q255" s="53">
        <f>IF(O255&lt;0,IF(P255=0,0,IF(OR(O255=0,F255=0),"N.M.",IF(ABS(P255/O255)&gt;=10,"N.M.",P255/(-O255)))),IF(P255=0,0,IF(OR(O255=0,F255=0),"N.M.",IF(ABS(P255/O255)&gt;=10,"N.M.",P255/O255))))</f>
        <v>0.1125000000000001</v>
      </c>
    </row>
    <row r="256" spans="1:17" ht="12.75" collapsed="1">
      <c r="A256" s="11" t="s">
        <v>243</v>
      </c>
      <c r="C256" s="111" t="s">
        <v>177</v>
      </c>
      <c r="D256" s="103"/>
      <c r="E256" s="104"/>
      <c r="F256" s="103">
        <v>238374638.11</v>
      </c>
      <c r="G256" s="103">
        <v>237893138.45000002</v>
      </c>
      <c r="H256" s="51">
        <f>+F256-G256</f>
        <v>481499.6599999964</v>
      </c>
      <c r="I256" s="136">
        <f>IF(G256&lt;0,IF(H256=0,0,IF(OR(G256=0,F256=0),"N.M.",IF(ABS(H256/G256)&gt;=10,"N.M.",H256/(-G256)))),IF(H256=0,0,IF(OR(G256=0,F256=0),"N.M.",IF(ABS(H256/G256)&gt;=10,"N.M.",H256/G256))))</f>
        <v>0.002024016594750156</v>
      </c>
      <c r="J256" s="166"/>
      <c r="K256" s="103">
        <v>238593113.67</v>
      </c>
      <c r="L256" s="51">
        <f>+F256-K256</f>
        <v>-218475.55999997258</v>
      </c>
      <c r="M256" s="136" t="str">
        <f>IF(K256&lt;0,IF(L256=0,0,IF(OR(K256=0,N256=0),"N.M.",IF(ABS(L256/K256)&gt;=10,"N.M.",L256/(-K256)))),IF(L256=0,0,IF(OR(K256=0,N256=0),"N.M.",IF(ABS(L256/K256)&gt;=10,"N.M.",L256/K256))))</f>
        <v>N.M.</v>
      </c>
      <c r="N256" s="166"/>
      <c r="O256" s="103">
        <v>238298870.87</v>
      </c>
      <c r="P256" s="51">
        <f>+F256-O256</f>
        <v>75767.24000000954</v>
      </c>
      <c r="Q256" s="136">
        <f>IF(O256&lt;0,IF(P256=0,0,IF(OR(O256=0,F256=0),"N.M.",IF(ABS(P256/O256)&gt;=10,"N.M.",P256/(-O256)))),IF(P256=0,0,IF(OR(O256=0,F256=0),"N.M.",IF(ABS(P256/O256)&gt;=10,"N.M.",P256/O256))))</f>
        <v>0.00031795047841977857</v>
      </c>
    </row>
    <row r="257" spans="3:17" ht="0.75" customHeight="1" hidden="1" outlineLevel="1">
      <c r="C257" s="111"/>
      <c r="D257" s="103"/>
      <c r="E257" s="104"/>
      <c r="F257" s="103"/>
      <c r="G257" s="103"/>
      <c r="H257" s="51"/>
      <c r="I257" s="136"/>
      <c r="J257" s="166"/>
      <c r="K257" s="103"/>
      <c r="L257" s="51"/>
      <c r="M257" s="136"/>
      <c r="N257" s="166"/>
      <c r="O257" s="103"/>
      <c r="P257" s="51"/>
      <c r="Q257" s="136"/>
    </row>
    <row r="258" spans="1:17" ht="12.75" collapsed="1">
      <c r="A258" s="11" t="s">
        <v>244</v>
      </c>
      <c r="C258" s="112" t="s">
        <v>228</v>
      </c>
      <c r="D258" s="103"/>
      <c r="E258" s="104"/>
      <c r="F258" s="234">
        <v>171661257.748</v>
      </c>
      <c r="G258" s="234">
        <v>146575862.87700003</v>
      </c>
      <c r="H258" s="197">
        <f>+F258-G258</f>
        <v>25085394.870999962</v>
      </c>
      <c r="I258" s="138">
        <f>IF(G258&lt;0,IF(H258=0,0,IF(OR(G258=0,F258=0),"N.M.",IF(ABS(H258/G258)&gt;=10,"N.M.",H258/(-G258)))),IF(H258=0,0,IF(OR(G258=0,F258=0),"N.M.",IF(ABS(H258/G258)&gt;=10,"N.M.",H258/G258))))</f>
        <v>0.17114274054828874</v>
      </c>
      <c r="J258" s="166"/>
      <c r="K258" s="234">
        <v>167475695.28200024</v>
      </c>
      <c r="L258" s="197">
        <f>+F258-K258</f>
        <v>4185562.4659997523</v>
      </c>
      <c r="M258" s="138" t="str">
        <f>IF(K258&lt;0,IF(L258=0,0,IF(OR(K258=0,N258=0),"N.M.",IF(ABS(L258/K258)&gt;=10,"N.M.",L258/(-K258)))),IF(L258=0,0,IF(OR(K258=0,N258=0),"N.M.",IF(ABS(L258/K258)&gt;=10,"N.M.",L258/K258))))</f>
        <v>N.M.</v>
      </c>
      <c r="N258" s="166"/>
      <c r="O258" s="234">
        <v>157466514.06299987</v>
      </c>
      <c r="P258" s="197">
        <f>+F258-O258</f>
        <v>14194743.685000122</v>
      </c>
      <c r="Q258" s="138">
        <f>IF(O258&lt;0,IF(P258=0,0,IF(OR(O258=0,F258=0),"N.M.",IF(ABS(P258/O258)&gt;=10,"N.M.",P258/(-O258)))),IF(P258=0,0,IF(OR(O258=0,F258=0),"N.M.",IF(ABS(P258/O258)&gt;=10,"N.M.",P258/O258))))</f>
        <v>0.09014452227805735</v>
      </c>
    </row>
    <row r="259" spans="1:17" s="13" customFormat="1" ht="12.75">
      <c r="A259" s="13" t="s">
        <v>245</v>
      </c>
      <c r="C259" s="110" t="s">
        <v>171</v>
      </c>
      <c r="D259" s="33"/>
      <c r="F259" s="33">
        <v>460485895.8579998</v>
      </c>
      <c r="G259" s="33">
        <v>434919001.32699996</v>
      </c>
      <c r="H259" s="74">
        <f>+F259-G259</f>
        <v>25566894.53099984</v>
      </c>
      <c r="I259" s="137">
        <f>IF(G259&lt;0,IF(H259=0,0,IF(OR(G259=0,F259=0),"N.M.",IF(ABS(H259/G259)&gt;=10,"N.M.",H259/(-G259)))),IF(H259=0,0,IF(OR(G259=0,F259=0),"N.M.",IF(ABS(H259/G259)&gt;=10,"N.M.",H259/G259))))</f>
        <v>0.05878541625680091</v>
      </c>
      <c r="J259" s="168"/>
      <c r="K259" s="33">
        <v>456518808.95199966</v>
      </c>
      <c r="L259" s="74">
        <f>+F259-K259</f>
        <v>3967086.9060001373</v>
      </c>
      <c r="M259" s="137" t="str">
        <f>IF(K259&lt;0,IF(L259=0,0,IF(OR(K259=0,N259=0),"N.M.",IF(ABS(L259/K259)&gt;=10,"N.M.",L259/(-K259)))),IF(L259=0,0,IF(OR(K259=0,N259=0),"N.M.",IF(ABS(L259/K259)&gt;=10,"N.M.",L259/K259))))</f>
        <v>N.M.</v>
      </c>
      <c r="N259" s="168"/>
      <c r="O259" s="33">
        <v>446215384.93300027</v>
      </c>
      <c r="P259" s="74">
        <f>+F259-O259</f>
        <v>14270510.924999535</v>
      </c>
      <c r="Q259" s="137">
        <f>IF(O259&lt;0,IF(P259=0,0,IF(OR(O259=0,F259=0),"N.M.",IF(ABS(P259/O259)&gt;=10,"N.M.",P259/(-O259)))),IF(P259=0,0,IF(OR(O259=0,F259=0),"N.M.",IF(ABS(P259/O259)&gt;=10,"N.M.",P259/O259))))</f>
        <v>0.031981216710271584</v>
      </c>
    </row>
    <row r="260" spans="3:17" ht="12.75">
      <c r="C260" s="105"/>
      <c r="D260" s="105"/>
      <c r="E260" s="105"/>
      <c r="F260" s="108"/>
      <c r="G260" s="108"/>
      <c r="H260" s="108"/>
      <c r="I260" s="143"/>
      <c r="J260" s="169"/>
      <c r="K260" s="108"/>
      <c r="L260" s="108"/>
      <c r="M260" s="143"/>
      <c r="N260" s="169"/>
      <c r="O260" s="108"/>
      <c r="P260" s="108"/>
      <c r="Q260" s="143"/>
    </row>
    <row r="261" spans="3:17" ht="0.75" customHeight="1" hidden="1" outlineLevel="1">
      <c r="C261" s="105"/>
      <c r="D261" s="108"/>
      <c r="E261" s="107"/>
      <c r="F261" s="108"/>
      <c r="G261" s="108"/>
      <c r="H261" s="108"/>
      <c r="I261" s="141"/>
      <c r="J261" s="166"/>
      <c r="K261" s="108"/>
      <c r="L261" s="108"/>
      <c r="M261" s="141"/>
      <c r="N261" s="166"/>
      <c r="O261" s="108"/>
      <c r="P261" s="108"/>
      <c r="Q261" s="141"/>
    </row>
    <row r="262" spans="1:17" ht="14.25" customHeight="1" collapsed="1">
      <c r="A262" s="11" t="s">
        <v>246</v>
      </c>
      <c r="C262" s="111" t="s">
        <v>178</v>
      </c>
      <c r="D262" s="103"/>
      <c r="E262" s="104"/>
      <c r="F262" s="103">
        <v>0</v>
      </c>
      <c r="G262" s="103">
        <v>0</v>
      </c>
      <c r="H262" s="51">
        <f>+F262-G262</f>
        <v>0</v>
      </c>
      <c r="I262" s="136">
        <f>IF(G262&lt;0,IF(H262=0,0,IF(OR(G262=0,F262=0),"N.M.",IF(ABS(H262/G262)&gt;=10,"N.M.",H262/(-G262)))),IF(H262=0,0,IF(OR(G262=0,F262=0),"N.M.",IF(ABS(H262/G262)&gt;=10,"N.M.",H262/G262))))</f>
        <v>0</v>
      </c>
      <c r="J262" s="166"/>
      <c r="K262" s="103">
        <v>0</v>
      </c>
      <c r="L262" s="51">
        <f>+F262-K262</f>
        <v>0</v>
      </c>
      <c r="M262" s="136">
        <f>IF(K262&lt;0,IF(L262=0,0,IF(OR(K262=0,N262=0),"N.M.",IF(ABS(L262/K262)&gt;=10,"N.M.",L262/(-K262)))),IF(L262=0,0,IF(OR(K262=0,N262=0),"N.M.",IF(ABS(L262/K262)&gt;=10,"N.M.",L262/K262))))</f>
        <v>0</v>
      </c>
      <c r="N262" s="166"/>
      <c r="O262" s="103">
        <v>0</v>
      </c>
      <c r="P262" s="51">
        <f>+F262-O262</f>
        <v>0</v>
      </c>
      <c r="Q262" s="136">
        <f>IF(O262&lt;0,IF(P262=0,0,IF(OR(O262=0,F262=0),"N.M.",IF(ABS(P262/O262)&gt;=10,"N.M.",P262/(-O262)))),IF(P262=0,0,IF(OR(O262=0,F262=0),"N.M.",IF(ABS(P262/O262)&gt;=10,"N.M.",P262/O262))))</f>
        <v>0</v>
      </c>
    </row>
    <row r="263" spans="3:17" ht="0.75" customHeight="1" hidden="1" outlineLevel="1">
      <c r="C263" s="111"/>
      <c r="D263" s="103"/>
      <c r="E263" s="104"/>
      <c r="F263" s="103"/>
      <c r="G263" s="103"/>
      <c r="H263" s="51"/>
      <c r="I263" s="136"/>
      <c r="J263" s="166"/>
      <c r="K263" s="103"/>
      <c r="L263" s="51"/>
      <c r="M263" s="136"/>
      <c r="N263" s="166"/>
      <c r="O263" s="103"/>
      <c r="P263" s="51"/>
      <c r="Q263" s="136"/>
    </row>
    <row r="264" spans="1:17" ht="12.75" collapsed="1">
      <c r="A264" s="11" t="s">
        <v>247</v>
      </c>
      <c r="C264" s="112" t="s">
        <v>179</v>
      </c>
      <c r="D264" s="103"/>
      <c r="E264" s="104"/>
      <c r="F264" s="234">
        <v>0</v>
      </c>
      <c r="G264" s="234">
        <v>0</v>
      </c>
      <c r="H264" s="197">
        <f>+F264-G264</f>
        <v>0</v>
      </c>
      <c r="I264" s="138">
        <f>IF(G264&lt;0,IF(H264=0,0,IF(OR(G264=0,F264=0),"N.M.",IF(ABS(H264/G264)&gt;=10,"N.M.",H264/(-G264)))),IF(H264=0,0,IF(OR(G264=0,F264=0),"N.M.",IF(ABS(H264/G264)&gt;=10,"N.M.",H264/G264))))</f>
        <v>0</v>
      </c>
      <c r="J264" s="166"/>
      <c r="K264" s="234">
        <v>0</v>
      </c>
      <c r="L264" s="197">
        <f>+F264-K264</f>
        <v>0</v>
      </c>
      <c r="M264" s="138">
        <f>IF(K264&lt;0,IF(L264=0,0,IF(OR(K264=0,N264=0),"N.M.",IF(ABS(L264/K264)&gt;=10,"N.M.",L264/(-K264)))),IF(L264=0,0,IF(OR(K264=0,N264=0),"N.M.",IF(ABS(L264/K264)&gt;=10,"N.M.",L264/K264))))</f>
        <v>0</v>
      </c>
      <c r="N264" s="166"/>
      <c r="O264" s="234">
        <v>0</v>
      </c>
      <c r="P264" s="197">
        <f>+F264-O264</f>
        <v>0</v>
      </c>
      <c r="Q264" s="138">
        <f>IF(O264&lt;0,IF(P264=0,0,IF(OR(O264=0,F264=0),"N.M.",IF(ABS(P264/O264)&gt;=10,"N.M.",P264/(-O264)))),IF(P264=0,0,IF(OR(O264=0,F264=0),"N.M.",IF(ABS(P264/O264)&gt;=10,"N.M.",P264/O264))))</f>
        <v>0</v>
      </c>
    </row>
    <row r="265" spans="3:17" s="13" customFormat="1" ht="12.75">
      <c r="C265" s="110" t="s">
        <v>172</v>
      </c>
      <c r="D265" s="33"/>
      <c r="F265" s="33">
        <f>+F264+F262</f>
        <v>0</v>
      </c>
      <c r="G265" s="33"/>
      <c r="H265" s="74">
        <f>+F265-G265</f>
        <v>0</v>
      </c>
      <c r="I265" s="137">
        <f>IF(G265&lt;0,IF(H265=0,0,IF(OR(G265=0,F265=0),"N.M.",IF(ABS(H265/G265)&gt;=10,"N.M.",H265/(-G265)))),IF(H265=0,0,IF(OR(G265=0,F265=0),"N.M.",IF(ABS(H265/G265)&gt;=10,"N.M.",H265/G265))))</f>
        <v>0</v>
      </c>
      <c r="J265" s="168"/>
      <c r="K265" s="33">
        <f>+K264+K262</f>
        <v>0</v>
      </c>
      <c r="L265" s="74">
        <f>+F265-K265</f>
        <v>0</v>
      </c>
      <c r="M265" s="137">
        <f>IF(K265&lt;0,IF(L265=0,0,IF(OR(K265=0,N265=0),"N.M.",IF(ABS(L265/K265)&gt;=10,"N.M.",L265/(-K265)))),IF(L265=0,0,IF(OR(K265=0,N265=0),"N.M.",IF(ABS(L265/K265)&gt;=10,"N.M.",L265/K265))))</f>
        <v>0</v>
      </c>
      <c r="N265" s="168"/>
      <c r="O265" s="33">
        <f>+O264+O262</f>
        <v>0</v>
      </c>
      <c r="P265" s="74">
        <f>+F265-O265</f>
        <v>0</v>
      </c>
      <c r="Q265" s="137">
        <f>IF(O265&lt;0,IF(P265=0,0,IF(OR(O265=0,F265=0),"N.M.",IF(ABS(P265/O265)&gt;=10,"N.M.",P265/(-O265)))),IF(P265=0,0,IF(OR(O265=0,F265=0),"N.M.",IF(ABS(P265/O265)&gt;=10,"N.M.",P265/O265))))</f>
        <v>0</v>
      </c>
    </row>
    <row r="266" spans="3:17" ht="12.75">
      <c r="C266" s="105"/>
      <c r="D266" s="108"/>
      <c r="E266" s="107"/>
      <c r="F266" s="108"/>
      <c r="G266" s="108"/>
      <c r="H266" s="108"/>
      <c r="I266" s="141"/>
      <c r="J266" s="166"/>
      <c r="K266" s="108"/>
      <c r="L266" s="108"/>
      <c r="M266" s="141"/>
      <c r="N266" s="166"/>
      <c r="O266" s="108"/>
      <c r="P266" s="108"/>
      <c r="Q266" s="141"/>
    </row>
    <row r="267" spans="1:17" s="14" customFormat="1" ht="12.75">
      <c r="A267" s="14" t="s">
        <v>248</v>
      </c>
      <c r="C267" s="109" t="s">
        <v>173</v>
      </c>
      <c r="D267" s="31"/>
      <c r="F267" s="31">
        <v>0</v>
      </c>
      <c r="G267" s="31">
        <v>0</v>
      </c>
      <c r="H267" s="74">
        <f>+F267-G267</f>
        <v>0</v>
      </c>
      <c r="I267" s="137">
        <f>IF(G267&lt;0,IF(H267=0,0,IF(OR(G267=0,F267=0),"N.M.",IF(ABS(H267/G267)&gt;=10,"N.M.",H267/(-G267)))),IF(H267=0,0,IF(OR(G267=0,F267=0),"N.M.",IF(ABS(H267/G267)&gt;=10,"N.M.",H267/G267))))</f>
        <v>0</v>
      </c>
      <c r="J267" s="170"/>
      <c r="K267" s="31">
        <v>0</v>
      </c>
      <c r="L267" s="74">
        <f>+F267-K267</f>
        <v>0</v>
      </c>
      <c r="M267" s="137">
        <f>IF(K267&lt;0,IF(L267=0,0,IF(OR(K267=0,N267=0),"N.M.",IF(ABS(L267/K267)&gt;=10,"N.M.",L267/(-K267)))),IF(L267=0,0,IF(OR(K267=0,N267=0),"N.M.",IF(ABS(L267/K267)&gt;=10,"N.M.",L267/K267))))</f>
        <v>0</v>
      </c>
      <c r="N267" s="170"/>
      <c r="O267" s="31">
        <v>0</v>
      </c>
      <c r="P267" s="74">
        <f>+F267-O267</f>
        <v>0</v>
      </c>
      <c r="Q267" s="137">
        <f>IF(O267&lt;0,IF(P267=0,0,IF(OR(O267=0,F267=0),"N.M.",IF(ABS(P267/O267)&gt;=10,"N.M.",P267/(-O267)))),IF(P267=0,0,IF(OR(O267=0,F267=0),"N.M.",IF(ABS(P267/O267)&gt;=10,"N.M.",P267/O267))))</f>
        <v>0</v>
      </c>
    </row>
    <row r="268" spans="3:17" ht="12.75">
      <c r="C268" s="105"/>
      <c r="D268" s="108"/>
      <c r="E268" s="107"/>
      <c r="F268" s="108"/>
      <c r="G268" s="108"/>
      <c r="H268" s="108"/>
      <c r="I268" s="141"/>
      <c r="J268" s="166"/>
      <c r="K268" s="108"/>
      <c r="L268" s="108"/>
      <c r="M268" s="141"/>
      <c r="N268" s="166"/>
      <c r="O268" s="108"/>
      <c r="P268" s="108"/>
      <c r="Q268" s="141"/>
    </row>
    <row r="269" spans="3:17" ht="0.75" customHeight="1" hidden="1" outlineLevel="1">
      <c r="C269" s="105"/>
      <c r="D269" s="108"/>
      <c r="E269" s="107"/>
      <c r="F269" s="108"/>
      <c r="G269" s="108"/>
      <c r="H269" s="108"/>
      <c r="I269" s="141"/>
      <c r="J269" s="166"/>
      <c r="K269" s="108"/>
      <c r="L269" s="108"/>
      <c r="M269" s="141"/>
      <c r="N269" s="166"/>
      <c r="O269" s="108"/>
      <c r="P269" s="108"/>
      <c r="Q269" s="141"/>
    </row>
    <row r="270" spans="1:17" s="15" customFormat="1" ht="12.75" hidden="1" outlineLevel="2">
      <c r="A270" s="15" t="s">
        <v>809</v>
      </c>
      <c r="B270" s="15" t="s">
        <v>810</v>
      </c>
      <c r="C270" s="134" t="s">
        <v>811</v>
      </c>
      <c r="D270" s="16"/>
      <c r="E270" s="16"/>
      <c r="F270" s="16">
        <v>20000000</v>
      </c>
      <c r="G270" s="16">
        <v>20000000</v>
      </c>
      <c r="H270" s="16">
        <f>+F270-G270</f>
        <v>0</v>
      </c>
      <c r="I270" s="53">
        <f>IF(G270&lt;0,IF(H270=0,0,IF(OR(G270=0,F270=0),"N.M.",IF(ABS(H270/G270)&gt;=10,"N.M.",H270/(-G270)))),IF(H270=0,0,IF(OR(G270=0,F270=0),"N.M.",IF(ABS(H270/G270)&gt;=10,"N.M.",H270/G270))))</f>
        <v>0</v>
      </c>
      <c r="J270" s="174"/>
      <c r="K270" s="256">
        <v>20000000</v>
      </c>
      <c r="L270" s="16">
        <f>+F270-K270</f>
        <v>0</v>
      </c>
      <c r="M270" s="53">
        <f>IF(K270&lt;0,IF(L270=0,0,IF(OR(K270=0,N270=0),"N.M.",IF(ABS(L270/K270)&gt;=10,"N.M.",L270/(-K270)))),IF(L270=0,0,IF(OR(K270=0,N270=0),"N.M.",IF(ABS(L270/K270)&gt;=10,"N.M.",L270/K270))))</f>
        <v>0</v>
      </c>
      <c r="N270" s="174"/>
      <c r="O270" s="256">
        <v>20000000</v>
      </c>
      <c r="P270" s="16">
        <f>+F270-O270</f>
        <v>0</v>
      </c>
      <c r="Q270" s="53">
        <f>IF(O270&lt;0,IF(P270=0,0,IF(OR(O270=0,F270=0),"N.M.",IF(ABS(P270/O270)&gt;=10,"N.M.",P270/(-O270)))),IF(P270=0,0,IF(OR(O270=0,F270=0),"N.M.",IF(ABS(P270/O270)&gt;=10,"N.M.",P270/O270))))</f>
        <v>0</v>
      </c>
    </row>
    <row r="271" spans="1:17" s="15" customFormat="1" ht="12.75" hidden="1" outlineLevel="2">
      <c r="A271" s="15" t="s">
        <v>812</v>
      </c>
      <c r="B271" s="15" t="s">
        <v>813</v>
      </c>
      <c r="C271" s="134" t="s">
        <v>814</v>
      </c>
      <c r="D271" s="16"/>
      <c r="E271" s="16"/>
      <c r="F271" s="16">
        <v>530000000</v>
      </c>
      <c r="G271" s="16">
        <v>530000000</v>
      </c>
      <c r="H271" s="16">
        <f>+F271-G271</f>
        <v>0</v>
      </c>
      <c r="I271" s="53">
        <f>IF(G271&lt;0,IF(H271=0,0,IF(OR(G271=0,F271=0),"N.M.",IF(ABS(H271/G271)&gt;=10,"N.M.",H271/(-G271)))),IF(H271=0,0,IF(OR(G271=0,F271=0),"N.M.",IF(ABS(H271/G271)&gt;=10,"N.M.",H271/G271))))</f>
        <v>0</v>
      </c>
      <c r="J271" s="174"/>
      <c r="K271" s="256">
        <v>530000000</v>
      </c>
      <c r="L271" s="16">
        <f>+F271-K271</f>
        <v>0</v>
      </c>
      <c r="M271" s="53">
        <f>IF(K271&lt;0,IF(L271=0,0,IF(OR(K271=0,N271=0),"N.M.",IF(ABS(L271/K271)&gt;=10,"N.M.",L271/(-K271)))),IF(L271=0,0,IF(OR(K271=0,N271=0),"N.M.",IF(ABS(L271/K271)&gt;=10,"N.M.",L271/K271))))</f>
        <v>0</v>
      </c>
      <c r="N271" s="174"/>
      <c r="O271" s="256">
        <v>530000000</v>
      </c>
      <c r="P271" s="16">
        <f>+F271-O271</f>
        <v>0</v>
      </c>
      <c r="Q271" s="53">
        <f>IF(O271&lt;0,IF(P271=0,0,IF(OR(O271=0,F271=0),"N.M.",IF(ABS(P271/O271)&gt;=10,"N.M.",P271/(-O271)))),IF(P271=0,0,IF(OR(O271=0,F271=0),"N.M.",IF(ABS(P271/O271)&gt;=10,"N.M.",P271/O271))))</f>
        <v>0</v>
      </c>
    </row>
    <row r="272" spans="1:17" s="15" customFormat="1" ht="12.75" hidden="1" outlineLevel="2">
      <c r="A272" s="15" t="s">
        <v>815</v>
      </c>
      <c r="B272" s="15" t="s">
        <v>816</v>
      </c>
      <c r="C272" s="134" t="s">
        <v>817</v>
      </c>
      <c r="D272" s="16"/>
      <c r="E272" s="16"/>
      <c r="F272" s="16">
        <v>-986456.25</v>
      </c>
      <c r="G272" s="16">
        <v>-1153181.25</v>
      </c>
      <c r="H272" s="16">
        <f>+F272-G272</f>
        <v>166725</v>
      </c>
      <c r="I272" s="53">
        <f>IF(G272&lt;0,IF(H272=0,0,IF(OR(G272=0,F272=0),"N.M.",IF(ABS(H272/G272)&gt;=10,"N.M.",H272/(-G272)))),IF(H272=0,0,IF(OR(G272=0,F272=0),"N.M.",IF(ABS(H272/G272)&gt;=10,"N.M.",H272/G272))))</f>
        <v>0.14457831325301204</v>
      </c>
      <c r="J272" s="174"/>
      <c r="K272" s="256">
        <v>-1000350</v>
      </c>
      <c r="L272" s="16">
        <f>+F272-K272</f>
        <v>13893.75</v>
      </c>
      <c r="M272" s="53" t="str">
        <f>IF(K272&lt;0,IF(L272=0,0,IF(OR(K272=0,N272=0),"N.M.",IF(ABS(L272/K272)&gt;=10,"N.M.",L272/(-K272)))),IF(L272=0,0,IF(OR(K272=0,N272=0),"N.M.",IF(ABS(L272/K272)&gt;=10,"N.M.",L272/K272))))</f>
        <v>N.M.</v>
      </c>
      <c r="N272" s="174"/>
      <c r="O272" s="256">
        <v>-1111500</v>
      </c>
      <c r="P272" s="16">
        <f>+F272-O272</f>
        <v>125043.75</v>
      </c>
      <c r="Q272" s="53">
        <f>IF(O272&lt;0,IF(P272=0,0,IF(OR(O272=0,F272=0),"N.M.",IF(ABS(P272/O272)&gt;=10,"N.M.",P272/(-O272)))),IF(P272=0,0,IF(OR(O272=0,F272=0),"N.M.",IF(ABS(P272/O272)&gt;=10,"N.M.",P272/O272))))</f>
        <v>0.1125</v>
      </c>
    </row>
    <row r="273" spans="1:17" s="13" customFormat="1" ht="12.75" collapsed="1">
      <c r="A273" s="13" t="s">
        <v>249</v>
      </c>
      <c r="C273" s="109" t="s">
        <v>180</v>
      </c>
      <c r="D273" s="33"/>
      <c r="F273" s="33">
        <v>549013543.75</v>
      </c>
      <c r="G273" s="33">
        <v>548846818.75</v>
      </c>
      <c r="H273" s="74">
        <f>+F273-G273</f>
        <v>166725</v>
      </c>
      <c r="I273" s="137">
        <f>IF(G273&lt;0,IF(H273=0,0,IF(OR(G273=0,F273=0),"N.M.",IF(ABS(H273/G273)&gt;=10,"N.M.",H273/(-G273)))),IF(H273=0,0,IF(OR(G273=0,F273=0),"N.M.",IF(ABS(H273/G273)&gt;=10,"N.M.",H273/G273))))</f>
        <v>0.0003037732830076643</v>
      </c>
      <c r="J273" s="168"/>
      <c r="K273" s="33">
        <v>548999650</v>
      </c>
      <c r="L273" s="74">
        <f>+F273-K273</f>
        <v>13893.75</v>
      </c>
      <c r="M273" s="137" t="str">
        <f>IF(K273&lt;0,IF(L273=0,0,IF(OR(K273=0,N273=0),"N.M.",IF(ABS(L273/K273)&gt;=10,"N.M.",L273/(-K273)))),IF(L273=0,0,IF(OR(K273=0,N273=0),"N.M.",IF(ABS(L273/K273)&gt;=10,"N.M.",L273/K273))))</f>
        <v>N.M.</v>
      </c>
      <c r="N273" s="168"/>
      <c r="O273" s="33">
        <v>548888500</v>
      </c>
      <c r="P273" s="74">
        <f>+F273-O273</f>
        <v>125043.75</v>
      </c>
      <c r="Q273" s="137">
        <f>IF(O273&lt;0,IF(P273=0,0,IF(OR(O273=0,F273=0),"N.M.",IF(ABS(P273/O273)&gt;=10,"N.M.",P273/(-O273)))),IF(P273=0,0,IF(OR(O273=0,F273=0),"N.M.",IF(ABS(P273/O273)&gt;=10,"N.M.",P273/O273))))</f>
        <v>0.00022781266140573176</v>
      </c>
    </row>
    <row r="274" spans="1:17" ht="12.75">
      <c r="A274" s="11" t="s">
        <v>174</v>
      </c>
      <c r="C274" s="113"/>
      <c r="D274" s="103"/>
      <c r="E274" s="104"/>
      <c r="F274" s="234"/>
      <c r="G274" s="234"/>
      <c r="H274" s="234"/>
      <c r="I274" s="144"/>
      <c r="J274" s="166"/>
      <c r="K274" s="234"/>
      <c r="L274" s="234"/>
      <c r="M274" s="144"/>
      <c r="N274" s="166"/>
      <c r="O274" s="234"/>
      <c r="P274" s="234"/>
      <c r="Q274" s="144"/>
    </row>
    <row r="275" spans="1:17" s="13" customFormat="1" ht="12.75">
      <c r="A275" s="13" t="s">
        <v>250</v>
      </c>
      <c r="C275" s="13" t="s">
        <v>169</v>
      </c>
      <c r="D275" s="33"/>
      <c r="F275" s="33">
        <v>1009499439.6079998</v>
      </c>
      <c r="G275" s="33">
        <v>983765820.0770006</v>
      </c>
      <c r="H275" s="74">
        <f>+F275-G275</f>
        <v>25733619.530999184</v>
      </c>
      <c r="I275" s="137">
        <f>IF(G275&lt;0,IF(H275=0,0,IF(OR(G275=0,F275=0),"N.M.",IF(ABS(H275/G275)&gt;=10,"N.M.",H275/(-G275)))),IF(H275=0,0,IF(OR(G275=0,F275=0),"N.M.",IF(ABS(H275/G275)&gt;=10,"N.M.",H275/G275))))</f>
        <v>0.02615827771794814</v>
      </c>
      <c r="J275" s="168"/>
      <c r="K275" s="33">
        <v>1005518458.9520005</v>
      </c>
      <c r="L275" s="74">
        <f>+F275-K275</f>
        <v>3980980.655999303</v>
      </c>
      <c r="M275" s="137" t="str">
        <f>IF(K275&lt;0,IF(L275=0,0,IF(OR(K275=0,N275=0),"N.M.",IF(ABS(L275/K275)&gt;=10,"N.M.",L275/(-K275)))),IF(L275=0,0,IF(OR(K275=0,N275=0),"N.M.",IF(ABS(L275/K275)&gt;=10,"N.M.",L275/K275))))</f>
        <v>N.M.</v>
      </c>
      <c r="N275" s="168"/>
      <c r="O275" s="33">
        <v>995103884.9330002</v>
      </c>
      <c r="P275" s="74">
        <f>+F275-O275</f>
        <v>14395554.674999595</v>
      </c>
      <c r="Q275" s="137">
        <f>IF(O275&lt;0,IF(P275=0,0,IF(OR(O275=0,F275=0),"N.M.",IF(ABS(P275/O275)&gt;=10,"N.M.",P275/(-O275)))),IF(P275=0,0,IF(OR(O275=0,F275=0),"N.M.",IF(ABS(P275/O275)&gt;=10,"N.M.",P275/O275))))</f>
        <v>0.01446638375446483</v>
      </c>
    </row>
    <row r="276" spans="4:17" ht="12.75">
      <c r="D276" s="106"/>
      <c r="E276" s="11"/>
      <c r="F276" s="233" t="str">
        <f>IF(ABS(+F259+F262+F264+F267+F273-F275)&gt;$C$576,$J$181," ")</f>
        <v> </v>
      </c>
      <c r="G276" s="233" t="str">
        <f>IF(ABS(+G259+G262+G264+G267+G273-G275)&gt;$C$576,$J$181," ")</f>
        <v> </v>
      </c>
      <c r="H276" s="233" t="str">
        <f>IF(ABS(+H259+H262+H264+H267+H273-H275)&gt;$C$576,$J$181," ")</f>
        <v> </v>
      </c>
      <c r="I276" s="141"/>
      <c r="J276" s="166"/>
      <c r="K276" s="233" t="str">
        <f>IF(ABS(+K259+K262+K264+K267+K273-K275)&gt;$C$576,$J$181," ")</f>
        <v> </v>
      </c>
      <c r="L276" s="233" t="str">
        <f>IF(ABS(+L259+L262+L264+L267+L273-L275)&gt;$C$576,$J$181," ")</f>
        <v> </v>
      </c>
      <c r="M276" s="141"/>
      <c r="N276" s="166"/>
      <c r="O276" s="233" t="str">
        <f>IF(ABS(+O259+O262+O264+O267+O273-O275)&gt;$C$576,$J$181," ")</f>
        <v> </v>
      </c>
      <c r="P276" s="233" t="str">
        <f>IF(ABS(+P259+P262+P264+P267+P273-P275)&gt;$C$576,$J$181," ")</f>
        <v> </v>
      </c>
      <c r="Q276" s="141"/>
    </row>
    <row r="277" spans="3:17" ht="0.75" customHeight="1" hidden="1" outlineLevel="1">
      <c r="C277" s="119"/>
      <c r="D277" s="108"/>
      <c r="E277" s="107"/>
      <c r="F277" s="108"/>
      <c r="G277" s="108"/>
      <c r="H277" s="108"/>
      <c r="I277" s="141"/>
      <c r="J277" s="166"/>
      <c r="K277" s="108"/>
      <c r="L277" s="108"/>
      <c r="M277" s="141"/>
      <c r="N277" s="166"/>
      <c r="O277" s="108"/>
      <c r="P277" s="108"/>
      <c r="Q277" s="141"/>
    </row>
    <row r="278" spans="1:17" s="15" customFormat="1" ht="12.75" hidden="1" outlineLevel="2">
      <c r="A278" s="15" t="s">
        <v>818</v>
      </c>
      <c r="B278" s="15" t="s">
        <v>819</v>
      </c>
      <c r="C278" s="134" t="s">
        <v>820</v>
      </c>
      <c r="D278" s="16"/>
      <c r="E278" s="16"/>
      <c r="F278" s="16">
        <v>2730395.63</v>
      </c>
      <c r="G278" s="16">
        <v>2918171.12</v>
      </c>
      <c r="H278" s="16">
        <f>+F278-G278</f>
        <v>-187775.49000000022</v>
      </c>
      <c r="I278" s="53">
        <f>IF(G278&lt;0,IF(H278=0,0,IF(OR(G278=0,F278=0),"N.M.",IF(ABS(H278/G278)&gt;=10,"N.M.",H278/(-G278)))),IF(H278=0,0,IF(OR(G278=0,F278=0),"N.M.",IF(ABS(H278/G278)&gt;=10,"N.M.",H278/G278))))</f>
        <v>-0.06434697702031957</v>
      </c>
      <c r="J278" s="174"/>
      <c r="K278" s="256">
        <v>2827393.68</v>
      </c>
      <c r="L278" s="16">
        <f>+F278-K278</f>
        <v>-96998.05000000028</v>
      </c>
      <c r="M278" s="53" t="str">
        <f>IF(K278&lt;0,IF(L278=0,0,IF(OR(K278=0,N278=0),"N.M.",IF(ABS(L278/K278)&gt;=10,"N.M.",L278/(-K278)))),IF(L278=0,0,IF(OR(K278=0,N278=0),"N.M.",IF(ABS(L278/K278)&gt;=10,"N.M.",L278/K278))))</f>
        <v>N.M.</v>
      </c>
      <c r="N278" s="174"/>
      <c r="O278" s="256">
        <v>3568506.2199999997</v>
      </c>
      <c r="P278" s="16">
        <f>+F278-O278</f>
        <v>-838110.5899999999</v>
      </c>
      <c r="Q278" s="53">
        <f>IF(O278&lt;0,IF(P278=0,0,IF(OR(O278=0,F278=0),"N.M.",IF(ABS(P278/O278)&gt;=10,"N.M.",P278/(-O278)))),IF(P278=0,0,IF(OR(O278=0,F278=0),"N.M.",IF(ABS(P278/O278)&gt;=10,"N.M.",P278/O278))))</f>
        <v>-0.2348631439403796</v>
      </c>
    </row>
    <row r="279" spans="1:17" s="15" customFormat="1" ht="12.75" hidden="1" outlineLevel="2">
      <c r="A279" s="15" t="s">
        <v>821</v>
      </c>
      <c r="B279" s="15" t="s">
        <v>822</v>
      </c>
      <c r="C279" s="134" t="s">
        <v>823</v>
      </c>
      <c r="D279" s="16"/>
      <c r="E279" s="16"/>
      <c r="F279" s="16">
        <v>603.71</v>
      </c>
      <c r="G279" s="16">
        <v>4904.5</v>
      </c>
      <c r="H279" s="16">
        <f>+F279-G279</f>
        <v>-4300.79</v>
      </c>
      <c r="I279" s="53">
        <f>IF(G279&lt;0,IF(H279=0,0,IF(OR(G279=0,F279=0),"N.M.",IF(ABS(H279/G279)&gt;=10,"N.M.",H279/(-G279)))),IF(H279=0,0,IF(OR(G279=0,F279=0),"N.M.",IF(ABS(H279/G279)&gt;=10,"N.M.",H279/G279))))</f>
        <v>-0.876906922214293</v>
      </c>
      <c r="J279" s="174"/>
      <c r="K279" s="256">
        <v>569.54</v>
      </c>
      <c r="L279" s="16">
        <f>+F279-K279</f>
        <v>34.17000000000007</v>
      </c>
      <c r="M279" s="53" t="str">
        <f>IF(K279&lt;0,IF(L279=0,0,IF(OR(K279=0,N279=0),"N.M.",IF(ABS(L279/K279)&gt;=10,"N.M.",L279/(-K279)))),IF(L279=0,0,IF(OR(K279=0,N279=0),"N.M.",IF(ABS(L279/K279)&gt;=10,"N.M.",L279/K279))))</f>
        <v>N.M.</v>
      </c>
      <c r="N279" s="174"/>
      <c r="O279" s="256">
        <v>277.83</v>
      </c>
      <c r="P279" s="16">
        <f>+F279-O279</f>
        <v>325.88000000000005</v>
      </c>
      <c r="Q279" s="53">
        <f>IF(O279&lt;0,IF(P279=0,0,IF(OR(O279=0,F279=0),"N.M.",IF(ABS(P279/O279)&gt;=10,"N.M.",P279/(-O279)))),IF(P279=0,0,IF(OR(O279=0,F279=0),"N.M.",IF(ABS(P279/O279)&gt;=10,"N.M.",P279/O279))))</f>
        <v>1.1729474858726563</v>
      </c>
    </row>
    <row r="280" spans="1:17" ht="12.75" collapsed="1">
      <c r="A280" s="11" t="s">
        <v>251</v>
      </c>
      <c r="C280" s="120" t="s">
        <v>183</v>
      </c>
      <c r="D280" s="103"/>
      <c r="E280" s="104"/>
      <c r="F280" s="103">
        <v>2730999.34</v>
      </c>
      <c r="G280" s="103">
        <v>2923075.62</v>
      </c>
      <c r="H280" s="51">
        <f>+F280-G280</f>
        <v>-192076.28000000026</v>
      </c>
      <c r="I280" s="136">
        <f>IF(G280&lt;0,IF(H280=0,0,IF(OR(G280=0,F280=0),"N.M.",IF(ABS(H280/G280)&gt;=10,"N.M.",H280/(-G280)))),IF(H280=0,0,IF(OR(G280=0,F280=0),"N.M.",IF(ABS(H280/G280)&gt;=10,"N.M.",H280/G280))))</f>
        <v>-0.06571033560876549</v>
      </c>
      <c r="J280" s="166"/>
      <c r="K280" s="103">
        <v>2827963.22</v>
      </c>
      <c r="L280" s="51">
        <f>+F280-K280</f>
        <v>-96963.88000000035</v>
      </c>
      <c r="M280" s="136" t="str">
        <f>IF(K280&lt;0,IF(L280=0,0,IF(OR(K280=0,N280=0),"N.M.",IF(ABS(L280/K280)&gt;=10,"N.M.",L280/(-K280)))),IF(L280=0,0,IF(OR(K280=0,N280=0),"N.M.",IF(ABS(L280/K280)&gt;=10,"N.M.",L280/K280))))</f>
        <v>N.M.</v>
      </c>
      <c r="N280" s="166"/>
      <c r="O280" s="103">
        <v>3568784.05</v>
      </c>
      <c r="P280" s="51">
        <f>+F280-O280</f>
        <v>-837784.71</v>
      </c>
      <c r="Q280" s="136">
        <f>IF(O280&lt;0,IF(P280=0,0,IF(OR(O280=0,F280=0),"N.M.",IF(ABS(P280/O280)&gt;=10,"N.M.",P280/(-O280)))),IF(P280=0,0,IF(OR(O280=0,F280=0),"N.M.",IF(ABS(P280/O280)&gt;=10,"N.M.",P280/O280))))</f>
        <v>-0.23475354581905847</v>
      </c>
    </row>
    <row r="281" spans="3:17" ht="0.75" customHeight="1" hidden="1" outlineLevel="1">
      <c r="C281" s="120"/>
      <c r="D281" s="103"/>
      <c r="E281" s="104"/>
      <c r="F281" s="103"/>
      <c r="G281" s="103"/>
      <c r="H281" s="51"/>
      <c r="I281" s="136"/>
      <c r="J281" s="166"/>
      <c r="K281" s="103"/>
      <c r="L281" s="51"/>
      <c r="M281" s="136"/>
      <c r="N281" s="166"/>
      <c r="O281" s="103"/>
      <c r="P281" s="51"/>
      <c r="Q281" s="136"/>
    </row>
    <row r="282" spans="1:17" ht="12.75" collapsed="1">
      <c r="A282" s="11" t="s">
        <v>252</v>
      </c>
      <c r="C282" s="120" t="s">
        <v>184</v>
      </c>
      <c r="E282" s="11"/>
      <c r="F282" s="18">
        <v>0</v>
      </c>
      <c r="G282" s="18">
        <v>0</v>
      </c>
      <c r="H282" s="51">
        <f>+F282-G282</f>
        <v>0</v>
      </c>
      <c r="I282" s="136">
        <f>IF(G282&lt;0,IF(H282=0,0,IF(OR(G282=0,F282=0),"N.M.",IF(ABS(H282/G282)&gt;=10,"N.M.",H282/(-G282)))),IF(H282=0,0,IF(OR(G282=0,F282=0),"N.M.",IF(ABS(H282/G282)&gt;=10,"N.M.",H282/G282))))</f>
        <v>0</v>
      </c>
      <c r="J282" s="166"/>
      <c r="K282" s="18">
        <v>0</v>
      </c>
      <c r="L282" s="51">
        <f>+F282-K282</f>
        <v>0</v>
      </c>
      <c r="M282" s="136">
        <f>IF(K282&lt;0,IF(L282=0,0,IF(OR(K282=0,N282=0),"N.M.",IF(ABS(L282/K282)&gt;=10,"N.M.",L282/(-K282)))),IF(L282=0,0,IF(OR(K282=0,N282=0),"N.M.",IF(ABS(L282/K282)&gt;=10,"N.M.",L282/K282))))</f>
        <v>0</v>
      </c>
      <c r="N282" s="166"/>
      <c r="O282" s="18">
        <v>0</v>
      </c>
      <c r="P282" s="51">
        <f>+F282-O282</f>
        <v>0</v>
      </c>
      <c r="Q282" s="136">
        <f>IF(O282&lt;0,IF(P282=0,0,IF(OR(O282=0,F282=0),"N.M.",IF(ABS(P282/O282)&gt;=10,"N.M.",P282/(-O282)))),IF(P282=0,0,IF(OR(O282=0,F282=0),"N.M.",IF(ABS(P282/O282)&gt;=10,"N.M.",P282/O282))))</f>
        <v>0</v>
      </c>
    </row>
    <row r="283" spans="3:17" ht="0.75" customHeight="1" hidden="1" outlineLevel="1">
      <c r="C283" s="120"/>
      <c r="E283" s="11"/>
      <c r="H283" s="51"/>
      <c r="I283" s="136"/>
      <c r="J283" s="166"/>
      <c r="K283" s="18"/>
      <c r="L283" s="51"/>
      <c r="M283" s="136"/>
      <c r="N283" s="166"/>
      <c r="O283" s="18"/>
      <c r="P283" s="51"/>
      <c r="Q283" s="136"/>
    </row>
    <row r="284" spans="1:17" s="15" customFormat="1" ht="12.75" hidden="1" outlineLevel="2">
      <c r="A284" s="15" t="s">
        <v>824</v>
      </c>
      <c r="B284" s="15" t="s">
        <v>825</v>
      </c>
      <c r="C284" s="134" t="s">
        <v>826</v>
      </c>
      <c r="D284" s="16"/>
      <c r="E284" s="16"/>
      <c r="F284" s="16">
        <v>54461.1</v>
      </c>
      <c r="G284" s="16">
        <v>58844.64</v>
      </c>
      <c r="H284" s="16">
        <f aca="true" t="shared" si="74" ref="H284:H296">+F284-G284</f>
        <v>-4383.540000000001</v>
      </c>
      <c r="I284" s="53">
        <f aca="true" t="shared" si="75" ref="I284:I296">IF(G284&lt;0,IF(H284=0,0,IF(OR(G284=0,F284=0),"N.M.",IF(ABS(H284/G284)&gt;=10,"N.M.",H284/(-G284)))),IF(H284=0,0,IF(OR(G284=0,F284=0),"N.M.",IF(ABS(H284/G284)&gt;=10,"N.M.",H284/G284))))</f>
        <v>-0.07449344579217412</v>
      </c>
      <c r="J284" s="174"/>
      <c r="K284" s="256">
        <v>84557.06</v>
      </c>
      <c r="L284" s="16">
        <f aca="true" t="shared" si="76" ref="L284:L296">+F284-K284</f>
        <v>-30095.96</v>
      </c>
      <c r="M284" s="53" t="str">
        <f aca="true" t="shared" si="77" ref="M284:M296">IF(K284&lt;0,IF(L284=0,0,IF(OR(K284=0,N284=0),"N.M.",IF(ABS(L284/K284)&gt;=10,"N.M.",L284/(-K284)))),IF(L284=0,0,IF(OR(K284=0,N284=0),"N.M.",IF(ABS(L284/K284)&gt;=10,"N.M.",L284/K284))))</f>
        <v>N.M.</v>
      </c>
      <c r="N284" s="174"/>
      <c r="O284" s="256">
        <v>50087.67</v>
      </c>
      <c r="P284" s="16">
        <f aca="true" t="shared" si="78" ref="P284:P296">+F284-O284</f>
        <v>4373.43</v>
      </c>
      <c r="Q284" s="53">
        <f aca="true" t="shared" si="79" ref="Q284:Q296">IF(O284&lt;0,IF(P284=0,0,IF(OR(O284=0,F284=0),"N.M.",IF(ABS(P284/O284)&gt;=10,"N.M.",P284/(-O284)))),IF(P284=0,0,IF(OR(O284=0,F284=0),"N.M.",IF(ABS(P284/O284)&gt;=10,"N.M.",P284/O284))))</f>
        <v>0.08731550100054565</v>
      </c>
    </row>
    <row r="285" spans="1:17" s="15" customFormat="1" ht="12.75" hidden="1" outlineLevel="2">
      <c r="A285" s="15" t="s">
        <v>827</v>
      </c>
      <c r="B285" s="15" t="s">
        <v>828</v>
      </c>
      <c r="C285" s="134" t="s">
        <v>829</v>
      </c>
      <c r="D285" s="16"/>
      <c r="E285" s="16"/>
      <c r="F285" s="16">
        <v>130256.32</v>
      </c>
      <c r="G285" s="16">
        <v>129247.96</v>
      </c>
      <c r="H285" s="16">
        <f t="shared" si="74"/>
        <v>1008.3600000000006</v>
      </c>
      <c r="I285" s="53">
        <f t="shared" si="75"/>
        <v>0.00780174789605964</v>
      </c>
      <c r="J285" s="174"/>
      <c r="K285" s="256">
        <v>130172.99</v>
      </c>
      <c r="L285" s="16">
        <f t="shared" si="76"/>
        <v>83.33000000000175</v>
      </c>
      <c r="M285" s="53" t="str">
        <f t="shared" si="77"/>
        <v>N.M.</v>
      </c>
      <c r="N285" s="174"/>
      <c r="O285" s="256">
        <v>129506.35</v>
      </c>
      <c r="P285" s="16">
        <f t="shared" si="78"/>
        <v>749.9700000000012</v>
      </c>
      <c r="Q285" s="53">
        <f t="shared" si="79"/>
        <v>0.005790990171524416</v>
      </c>
    </row>
    <row r="286" spans="1:17" s="15" customFormat="1" ht="12.75" hidden="1" outlineLevel="2">
      <c r="A286" s="15" t="s">
        <v>830</v>
      </c>
      <c r="B286" s="15" t="s">
        <v>831</v>
      </c>
      <c r="C286" s="134" t="s">
        <v>832</v>
      </c>
      <c r="D286" s="16"/>
      <c r="E286" s="16"/>
      <c r="F286" s="16">
        <v>402628.65</v>
      </c>
      <c r="G286" s="16">
        <v>662005.27</v>
      </c>
      <c r="H286" s="16">
        <f t="shared" si="74"/>
        <v>-259376.62</v>
      </c>
      <c r="I286" s="53">
        <f t="shared" si="75"/>
        <v>-0.3918044640339494</v>
      </c>
      <c r="J286" s="174"/>
      <c r="K286" s="256">
        <v>559351.2000000001</v>
      </c>
      <c r="L286" s="16">
        <f t="shared" si="76"/>
        <v>-156722.55000000005</v>
      </c>
      <c r="M286" s="53" t="str">
        <f t="shared" si="77"/>
        <v>N.M.</v>
      </c>
      <c r="N286" s="174"/>
      <c r="O286" s="256">
        <v>702953.08</v>
      </c>
      <c r="P286" s="16">
        <f t="shared" si="78"/>
        <v>-300324.42999999993</v>
      </c>
      <c r="Q286" s="53">
        <f t="shared" si="79"/>
        <v>-0.42723254018603907</v>
      </c>
    </row>
    <row r="287" spans="1:17" s="15" customFormat="1" ht="12.75" hidden="1" outlineLevel="2">
      <c r="A287" s="15" t="s">
        <v>833</v>
      </c>
      <c r="B287" s="15" t="s">
        <v>834</v>
      </c>
      <c r="C287" s="134" t="s">
        <v>835</v>
      </c>
      <c r="D287" s="16"/>
      <c r="E287" s="16"/>
      <c r="F287" s="16">
        <v>5961890.404</v>
      </c>
      <c r="G287" s="16">
        <v>5341247.09</v>
      </c>
      <c r="H287" s="16">
        <f t="shared" si="74"/>
        <v>620643.3140000002</v>
      </c>
      <c r="I287" s="53">
        <f t="shared" si="75"/>
        <v>0.11619820306796559</v>
      </c>
      <c r="J287" s="174"/>
      <c r="K287" s="256">
        <v>5875807.734</v>
      </c>
      <c r="L287" s="16">
        <f t="shared" si="76"/>
        <v>86082.66999999993</v>
      </c>
      <c r="M287" s="53" t="str">
        <f t="shared" si="77"/>
        <v>N.M.</v>
      </c>
      <c r="N287" s="174"/>
      <c r="O287" s="256">
        <v>5608808.6</v>
      </c>
      <c r="P287" s="16">
        <f t="shared" si="78"/>
        <v>353081.80400000047</v>
      </c>
      <c r="Q287" s="53">
        <f t="shared" si="79"/>
        <v>0.0629513019930829</v>
      </c>
    </row>
    <row r="288" spans="1:17" s="15" customFormat="1" ht="12.75" hidden="1" outlineLevel="2">
      <c r="A288" s="15" t="s">
        <v>836</v>
      </c>
      <c r="B288" s="15" t="s">
        <v>837</v>
      </c>
      <c r="C288" s="134" t="s">
        <v>666</v>
      </c>
      <c r="D288" s="16"/>
      <c r="E288" s="16"/>
      <c r="F288" s="16">
        <v>4321430.38</v>
      </c>
      <c r="G288" s="16">
        <v>5182903.62</v>
      </c>
      <c r="H288" s="16">
        <f t="shared" si="74"/>
        <v>-861473.2400000002</v>
      </c>
      <c r="I288" s="53">
        <f t="shared" si="75"/>
        <v>-0.16621440473554477</v>
      </c>
      <c r="J288" s="174"/>
      <c r="K288" s="256">
        <v>4321430.38</v>
      </c>
      <c r="L288" s="16">
        <f t="shared" si="76"/>
        <v>0</v>
      </c>
      <c r="M288" s="53">
        <f t="shared" si="77"/>
        <v>0</v>
      </c>
      <c r="N288" s="174"/>
      <c r="O288" s="256">
        <v>5182903.62</v>
      </c>
      <c r="P288" s="16">
        <f t="shared" si="78"/>
        <v>-861473.2400000002</v>
      </c>
      <c r="Q288" s="53">
        <f t="shared" si="79"/>
        <v>-0.16621440473554477</v>
      </c>
    </row>
    <row r="289" spans="1:17" s="15" customFormat="1" ht="12.75" hidden="1" outlineLevel="2">
      <c r="A289" s="15" t="s">
        <v>838</v>
      </c>
      <c r="B289" s="15" t="s">
        <v>839</v>
      </c>
      <c r="C289" s="134" t="s">
        <v>840</v>
      </c>
      <c r="D289" s="16"/>
      <c r="E289" s="16"/>
      <c r="F289" s="16">
        <v>-328499.97000000003</v>
      </c>
      <c r="G289" s="16">
        <v>-3044980.6</v>
      </c>
      <c r="H289" s="16">
        <f t="shared" si="74"/>
        <v>2716480.63</v>
      </c>
      <c r="I289" s="53">
        <f t="shared" si="75"/>
        <v>0.8921175491233014</v>
      </c>
      <c r="J289" s="174"/>
      <c r="K289" s="256">
        <v>-569666.64</v>
      </c>
      <c r="L289" s="16">
        <f t="shared" si="76"/>
        <v>241166.66999999998</v>
      </c>
      <c r="M289" s="53" t="str">
        <f t="shared" si="77"/>
        <v>N.M.</v>
      </c>
      <c r="N289" s="174"/>
      <c r="O289" s="256">
        <v>0</v>
      </c>
      <c r="P289" s="16">
        <f t="shared" si="78"/>
        <v>-328499.97000000003</v>
      </c>
      <c r="Q289" s="53" t="str">
        <f t="shared" si="79"/>
        <v>N.M.</v>
      </c>
    </row>
    <row r="290" spans="1:17" s="15" customFormat="1" ht="12.75" hidden="1" outlineLevel="2">
      <c r="A290" s="15" t="s">
        <v>841</v>
      </c>
      <c r="B290" s="15" t="s">
        <v>842</v>
      </c>
      <c r="C290" s="134" t="s">
        <v>843</v>
      </c>
      <c r="D290" s="16"/>
      <c r="E290" s="16"/>
      <c r="F290" s="16">
        <v>550418.75</v>
      </c>
      <c r="G290" s="16">
        <v>621298.48</v>
      </c>
      <c r="H290" s="16">
        <f t="shared" si="74"/>
        <v>-70879.72999999998</v>
      </c>
      <c r="I290" s="53">
        <f t="shared" si="75"/>
        <v>-0.11408321810154756</v>
      </c>
      <c r="J290" s="174"/>
      <c r="K290" s="256">
        <v>667915.4500000001</v>
      </c>
      <c r="L290" s="16">
        <f t="shared" si="76"/>
        <v>-117496.70000000007</v>
      </c>
      <c r="M290" s="53" t="str">
        <f t="shared" si="77"/>
        <v>N.M.</v>
      </c>
      <c r="N290" s="174"/>
      <c r="O290" s="256">
        <v>604735.51</v>
      </c>
      <c r="P290" s="16">
        <f t="shared" si="78"/>
        <v>-54316.76000000001</v>
      </c>
      <c r="Q290" s="53">
        <f t="shared" si="79"/>
        <v>-0.0898190351018084</v>
      </c>
    </row>
    <row r="291" spans="1:17" s="15" customFormat="1" ht="12.75" hidden="1" outlineLevel="2">
      <c r="A291" s="15" t="s">
        <v>844</v>
      </c>
      <c r="B291" s="15" t="s">
        <v>845</v>
      </c>
      <c r="C291" s="134" t="s">
        <v>846</v>
      </c>
      <c r="D291" s="16"/>
      <c r="E291" s="16"/>
      <c r="F291" s="16">
        <v>265950.96</v>
      </c>
      <c r="G291" s="16">
        <v>320334.93</v>
      </c>
      <c r="H291" s="16">
        <f t="shared" si="74"/>
        <v>-54383.96999999997</v>
      </c>
      <c r="I291" s="53">
        <f t="shared" si="75"/>
        <v>-0.1697722131020803</v>
      </c>
      <c r="J291" s="174"/>
      <c r="K291" s="256">
        <v>261872.39</v>
      </c>
      <c r="L291" s="16">
        <f t="shared" si="76"/>
        <v>4078.570000000007</v>
      </c>
      <c r="M291" s="53" t="str">
        <f t="shared" si="77"/>
        <v>N.M.</v>
      </c>
      <c r="N291" s="174"/>
      <c r="O291" s="256">
        <v>319534.44</v>
      </c>
      <c r="P291" s="16">
        <f t="shared" si="78"/>
        <v>-53583.47999999998</v>
      </c>
      <c r="Q291" s="53">
        <f t="shared" si="79"/>
        <v>-0.16769234640247224</v>
      </c>
    </row>
    <row r="292" spans="1:17" s="15" customFormat="1" ht="12.75" hidden="1" outlineLevel="2">
      <c r="A292" s="15" t="s">
        <v>847</v>
      </c>
      <c r="B292" s="15" t="s">
        <v>848</v>
      </c>
      <c r="C292" s="134" t="s">
        <v>849</v>
      </c>
      <c r="D292" s="16"/>
      <c r="E292" s="16"/>
      <c r="F292" s="16">
        <v>-130541.75</v>
      </c>
      <c r="G292" s="16">
        <v>-122588</v>
      </c>
      <c r="H292" s="16">
        <f t="shared" si="74"/>
        <v>-7953.75</v>
      </c>
      <c r="I292" s="53">
        <f t="shared" si="75"/>
        <v>-0.06488196234541717</v>
      </c>
      <c r="J292" s="174"/>
      <c r="K292" s="256">
        <v>-130196.5</v>
      </c>
      <c r="L292" s="16">
        <f t="shared" si="76"/>
        <v>-345.25</v>
      </c>
      <c r="M292" s="53" t="str">
        <f t="shared" si="77"/>
        <v>N.M.</v>
      </c>
      <c r="N292" s="174"/>
      <c r="O292" s="256">
        <v>-129506</v>
      </c>
      <c r="P292" s="16">
        <f t="shared" si="78"/>
        <v>-1035.75</v>
      </c>
      <c r="Q292" s="53">
        <f t="shared" si="79"/>
        <v>-0.007997698948311276</v>
      </c>
    </row>
    <row r="293" spans="1:17" s="15" customFormat="1" ht="12.75" hidden="1" outlineLevel="2">
      <c r="A293" s="15" t="s">
        <v>850</v>
      </c>
      <c r="B293" s="15" t="s">
        <v>851</v>
      </c>
      <c r="C293" s="134" t="s">
        <v>852</v>
      </c>
      <c r="D293" s="16"/>
      <c r="E293" s="16"/>
      <c r="F293" s="16">
        <v>22601039.54</v>
      </c>
      <c r="G293" s="16">
        <v>25216637.84</v>
      </c>
      <c r="H293" s="16">
        <f t="shared" si="74"/>
        <v>-2615598.3000000007</v>
      </c>
      <c r="I293" s="53">
        <f t="shared" si="75"/>
        <v>-0.10372510072897176</v>
      </c>
      <c r="J293" s="174"/>
      <c r="K293" s="256">
        <v>23376003.04</v>
      </c>
      <c r="L293" s="16">
        <f t="shared" si="76"/>
        <v>-774963.5</v>
      </c>
      <c r="M293" s="53" t="str">
        <f t="shared" si="77"/>
        <v>N.M.</v>
      </c>
      <c r="N293" s="174"/>
      <c r="O293" s="256">
        <v>24925930.04</v>
      </c>
      <c r="P293" s="16">
        <f t="shared" si="78"/>
        <v>-2324890.5</v>
      </c>
      <c r="Q293" s="53">
        <f t="shared" si="79"/>
        <v>-0.09327196603172365</v>
      </c>
    </row>
    <row r="294" spans="1:17" s="15" customFormat="1" ht="12.75" hidden="1" outlineLevel="2">
      <c r="A294" s="15" t="s">
        <v>853</v>
      </c>
      <c r="B294" s="15" t="s">
        <v>854</v>
      </c>
      <c r="C294" s="134" t="s">
        <v>855</v>
      </c>
      <c r="D294" s="16"/>
      <c r="E294" s="16"/>
      <c r="F294" s="16">
        <v>15494891.5</v>
      </c>
      <c r="G294" s="16">
        <v>14351208</v>
      </c>
      <c r="H294" s="16">
        <f t="shared" si="74"/>
        <v>1143683.5</v>
      </c>
      <c r="I294" s="53">
        <f t="shared" si="75"/>
        <v>0.07969248999805452</v>
      </c>
      <c r="J294" s="174"/>
      <c r="K294" s="256">
        <v>15674017</v>
      </c>
      <c r="L294" s="16">
        <f t="shared" si="76"/>
        <v>-179125.5</v>
      </c>
      <c r="M294" s="53" t="str">
        <f t="shared" si="77"/>
        <v>N.M.</v>
      </c>
      <c r="N294" s="174"/>
      <c r="O294" s="256">
        <v>16032268</v>
      </c>
      <c r="P294" s="16">
        <f t="shared" si="78"/>
        <v>-537376.5</v>
      </c>
      <c r="Q294" s="53">
        <f t="shared" si="79"/>
        <v>-0.033518432950347385</v>
      </c>
    </row>
    <row r="295" spans="1:17" s="15" customFormat="1" ht="12.75" hidden="1" outlineLevel="2">
      <c r="A295" s="15" t="s">
        <v>856</v>
      </c>
      <c r="B295" s="15" t="s">
        <v>857</v>
      </c>
      <c r="C295" s="134" t="s">
        <v>858</v>
      </c>
      <c r="D295" s="16"/>
      <c r="E295" s="16"/>
      <c r="F295" s="16">
        <v>-6000772.17</v>
      </c>
      <c r="G295" s="16">
        <v>-5362765.93</v>
      </c>
      <c r="H295" s="16">
        <f t="shared" si="74"/>
        <v>-638006.2400000002</v>
      </c>
      <c r="I295" s="53">
        <f t="shared" si="75"/>
        <v>-0.11896962282670433</v>
      </c>
      <c r="J295" s="174"/>
      <c r="K295" s="256">
        <v>-5930085.75</v>
      </c>
      <c r="L295" s="16">
        <f t="shared" si="76"/>
        <v>-70686.41999999993</v>
      </c>
      <c r="M295" s="53" t="str">
        <f t="shared" si="77"/>
        <v>N.M.</v>
      </c>
      <c r="N295" s="174"/>
      <c r="O295" s="256">
        <v>-5601495.61</v>
      </c>
      <c r="P295" s="16">
        <f t="shared" si="78"/>
        <v>-399276.5599999996</v>
      </c>
      <c r="Q295" s="53">
        <f t="shared" si="79"/>
        <v>-0.07128034864245829</v>
      </c>
    </row>
    <row r="296" spans="1:17" s="15" customFormat="1" ht="12.75" hidden="1" outlineLevel="2">
      <c r="A296" s="15" t="s">
        <v>859</v>
      </c>
      <c r="B296" s="15" t="s">
        <v>860</v>
      </c>
      <c r="C296" s="134" t="s">
        <v>861</v>
      </c>
      <c r="D296" s="16"/>
      <c r="E296" s="16"/>
      <c r="F296" s="16">
        <v>4281452.59</v>
      </c>
      <c r="G296" s="16">
        <v>3302606.38</v>
      </c>
      <c r="H296" s="16">
        <f t="shared" si="74"/>
        <v>978846.21</v>
      </c>
      <c r="I296" s="53">
        <f t="shared" si="75"/>
        <v>0.2963859744012243</v>
      </c>
      <c r="J296" s="174"/>
      <c r="K296" s="256">
        <v>4337520.97</v>
      </c>
      <c r="L296" s="16">
        <f t="shared" si="76"/>
        <v>-56068.37999999989</v>
      </c>
      <c r="M296" s="53" t="str">
        <f t="shared" si="77"/>
        <v>N.M.</v>
      </c>
      <c r="N296" s="174"/>
      <c r="O296" s="256">
        <v>4186406.25</v>
      </c>
      <c r="P296" s="16">
        <f t="shared" si="78"/>
        <v>95046.33999999985</v>
      </c>
      <c r="Q296" s="53">
        <f t="shared" si="79"/>
        <v>0.02270356346806998</v>
      </c>
    </row>
    <row r="297" spans="1:17" ht="12.75" collapsed="1">
      <c r="A297" s="11" t="s">
        <v>253</v>
      </c>
      <c r="C297" s="121" t="s">
        <v>185</v>
      </c>
      <c r="D297" s="103"/>
      <c r="E297" s="104"/>
      <c r="F297" s="234">
        <v>47604606.304000005</v>
      </c>
      <c r="G297" s="234">
        <v>46655999.68000001</v>
      </c>
      <c r="H297" s="197">
        <f>+F297-G297</f>
        <v>948606.623999998</v>
      </c>
      <c r="I297" s="138">
        <f>IF(G297&lt;0,IF(H297=0,0,IF(OR(G297=0,F297=0),"N.M.",IF(ABS(H297/G297)&gt;=10,"N.M.",H297/(-G297)))),IF(H297=0,0,IF(OR(G297=0,F297=0),"N.M.",IF(ABS(H297/G297)&gt;=10,"N.M.",H297/G297))))</f>
        <v>0.020331932238216225</v>
      </c>
      <c r="J297" s="166"/>
      <c r="K297" s="234">
        <v>48658699.324</v>
      </c>
      <c r="L297" s="197">
        <f>+F297-K297</f>
        <v>-1054093.0199999958</v>
      </c>
      <c r="M297" s="138" t="str">
        <f>IF(K297&lt;0,IF(L297=0,0,IF(OR(K297=0,N297=0),"N.M.",IF(ABS(L297/K297)&gt;=10,"N.M.",L297/(-K297)))),IF(L297=0,0,IF(OR(K297=0,N297=0),"N.M.",IF(ABS(L297/K297)&gt;=10,"N.M.",L297/K297))))</f>
        <v>N.M.</v>
      </c>
      <c r="N297" s="166"/>
      <c r="O297" s="234">
        <v>52012131.95</v>
      </c>
      <c r="P297" s="197">
        <f>+F297-O297</f>
        <v>-4407525.645999998</v>
      </c>
      <c r="Q297" s="138">
        <f>IF(O297&lt;0,IF(P297=0,0,IF(OR(O297=0,F297=0),"N.M.",IF(ABS(P297/O297)&gt;=10,"N.M.",P297/(-O297)))),IF(P297=0,0,IF(OR(O297=0,F297=0),"N.M.",IF(ABS(P297/O297)&gt;=10,"N.M.",P297/O297))))</f>
        <v>-0.08474033808567998</v>
      </c>
    </row>
    <row r="298" spans="1:17" s="13" customFormat="1" ht="12.75">
      <c r="A298" s="13" t="s">
        <v>254</v>
      </c>
      <c r="C298" s="110" t="s">
        <v>182</v>
      </c>
      <c r="D298" s="33"/>
      <c r="F298" s="33">
        <v>50335605.643999994</v>
      </c>
      <c r="G298" s="33">
        <v>49579075.3</v>
      </c>
      <c r="H298" s="74">
        <f>+F298-G298</f>
        <v>756530.3439999968</v>
      </c>
      <c r="I298" s="137">
        <f>IF(G298&lt;0,IF(H298=0,0,IF(OR(G298=0,F298=0),"N.M.",IF(ABS(H298/G298)&gt;=10,"N.M.",H298/(-G298)))),IF(H298=0,0,IF(OR(G298=0,F298=0),"N.M.",IF(ABS(H298/G298)&gt;=10,"N.M.",H298/G298))))</f>
        <v>0.015259065229076526</v>
      </c>
      <c r="J298" s="168"/>
      <c r="K298" s="33">
        <v>51486662.544</v>
      </c>
      <c r="L298" s="74">
        <f>+F298-K298</f>
        <v>-1151056.900000006</v>
      </c>
      <c r="M298" s="137" t="str">
        <f>IF(K298&lt;0,IF(L298=0,0,IF(OR(K298=0,N298=0),"N.M.",IF(ABS(L298/K298)&gt;=10,"N.M.",L298/(-K298)))),IF(L298=0,0,IF(OR(K298=0,N298=0),"N.M.",IF(ABS(L298/K298)&gt;=10,"N.M.",L298/K298))))</f>
        <v>N.M.</v>
      </c>
      <c r="N298" s="168"/>
      <c r="O298" s="33">
        <v>55580916</v>
      </c>
      <c r="P298" s="74">
        <f>+F298-O298</f>
        <v>-5245310.356000006</v>
      </c>
      <c r="Q298" s="137">
        <f>IF(O298&lt;0,IF(P298=0,0,IF(OR(O298=0,F298=0),"N.M.",IF(ABS(P298/O298)&gt;=10,"N.M.",P298/(-O298)))),IF(P298=0,0,IF(OR(O298=0,F298=0),"N.M.",IF(ABS(P298/O298)&gt;=10,"N.M.",P298/O298))))</f>
        <v>-0.09437250649125693</v>
      </c>
    </row>
    <row r="299" spans="3:17" ht="12.75">
      <c r="C299" s="122"/>
      <c r="D299" s="106"/>
      <c r="E299" s="11"/>
      <c r="F299" s="233" t="str">
        <f>IF(ABS(+F280+F282+F297-F298)&gt;$C$576,$J$181," ")</f>
        <v> </v>
      </c>
      <c r="G299" s="233" t="str">
        <f>IF(ABS(+G280+G282+G297-G298)&gt;$C$576,$J$181," ")</f>
        <v> </v>
      </c>
      <c r="H299" s="233" t="str">
        <f>IF(ABS(+H280+H282+H297-H298)&gt;$C$576,$J$181," ")</f>
        <v> </v>
      </c>
      <c r="I299" s="141"/>
      <c r="J299" s="166"/>
      <c r="K299" s="233" t="str">
        <f>IF(ABS(+K280+K282+K297-K298)&gt;$C$576,$J$181," ")</f>
        <v> </v>
      </c>
      <c r="L299" s="233" t="str">
        <f>IF(ABS(+L280+L282+L297-L298)&gt;$C$576,$J$181," ")</f>
        <v> </v>
      </c>
      <c r="M299" s="141"/>
      <c r="N299" s="166"/>
      <c r="O299" s="233" t="str">
        <f>IF(ABS(+O280+O282+O297-O298)&gt;$C$576,$J$181," ")</f>
        <v> </v>
      </c>
      <c r="P299" s="233" t="str">
        <f>IF(ABS(+P280+P282+P297-P298)&gt;$C$576,$J$181," ")</f>
        <v> </v>
      </c>
      <c r="Q299" s="141"/>
    </row>
    <row r="300" spans="3:17" ht="0.75" customHeight="1" hidden="1" outlineLevel="1">
      <c r="C300" s="122"/>
      <c r="D300" s="106"/>
      <c r="E300" s="11"/>
      <c r="F300" s="106"/>
      <c r="G300" s="106"/>
      <c r="H300" s="106"/>
      <c r="I300" s="141"/>
      <c r="J300" s="166"/>
      <c r="K300" s="106"/>
      <c r="L300" s="106"/>
      <c r="M300" s="141"/>
      <c r="N300" s="166"/>
      <c r="O300" s="106"/>
      <c r="P300" s="106"/>
      <c r="Q300" s="141"/>
    </row>
    <row r="301" spans="1:17" s="227" customFormat="1" ht="12.75" collapsed="1">
      <c r="A301" s="227" t="s">
        <v>255</v>
      </c>
      <c r="C301" s="228" t="s">
        <v>186</v>
      </c>
      <c r="D301" s="18"/>
      <c r="E301" s="11"/>
      <c r="F301" s="18">
        <v>0</v>
      </c>
      <c r="G301" s="18">
        <v>0</v>
      </c>
      <c r="H301" s="51">
        <f>+F301-G301</f>
        <v>0</v>
      </c>
      <c r="I301" s="136">
        <f>IF(G301&lt;0,IF(H301=0,0,IF(OR(G301=0,F301=0),"N.M.",IF(ABS(H301/G301)&gt;=10,"N.M.",H301/(-G301)))),IF(H301=0,0,IF(OR(G301=0,F301=0),"N.M.",IF(ABS(H301/G301)&gt;=10,"N.M.",H301/G301))))</f>
        <v>0</v>
      </c>
      <c r="J301" s="229"/>
      <c r="K301" s="18">
        <v>0</v>
      </c>
      <c r="L301" s="51">
        <f>+F301-K301</f>
        <v>0</v>
      </c>
      <c r="M301" s="136">
        <f>IF(K301&lt;0,IF(L301=0,0,IF(OR(K301=0,N301=0),"N.M.",IF(ABS(L301/K301)&gt;=10,"N.M.",L301/(-K301)))),IF(L301=0,0,IF(OR(K301=0,N301=0),"N.M.",IF(ABS(L301/K301)&gt;=10,"N.M.",L301/K301))))</f>
        <v>0</v>
      </c>
      <c r="N301" s="229"/>
      <c r="O301" s="18">
        <v>0</v>
      </c>
      <c r="P301" s="51">
        <f>+F301-O301</f>
        <v>0</v>
      </c>
      <c r="Q301" s="136">
        <f>IF(O301&lt;0,IF(P301=0,0,IF(OR(O301=0,F301=0),"N.M.",IF(ABS(P301/O301)&gt;=10,"N.M.",P301/(-O301)))),IF(P301=0,0,IF(OR(O301=0,F301=0),"N.M.",IF(ABS(P301/O301)&gt;=10,"N.M.",P301/O301))))</f>
        <v>0</v>
      </c>
    </row>
    <row r="302" spans="3:17" s="227" customFormat="1" ht="0.75" customHeight="1" hidden="1" outlineLevel="1">
      <c r="C302" s="228"/>
      <c r="D302" s="18"/>
      <c r="E302" s="11"/>
      <c r="F302" s="18"/>
      <c r="G302" s="18"/>
      <c r="H302" s="51"/>
      <c r="I302" s="136"/>
      <c r="J302" s="229"/>
      <c r="K302" s="18"/>
      <c r="L302" s="51"/>
      <c r="M302" s="136"/>
      <c r="N302" s="229"/>
      <c r="O302" s="18"/>
      <c r="P302" s="51"/>
      <c r="Q302" s="136"/>
    </row>
    <row r="303" spans="1:17" ht="12.75" collapsed="1">
      <c r="A303" s="11" t="s">
        <v>256</v>
      </c>
      <c r="C303" s="228" t="s">
        <v>187</v>
      </c>
      <c r="E303" s="11"/>
      <c r="F303" s="18">
        <v>0</v>
      </c>
      <c r="G303" s="18">
        <v>0</v>
      </c>
      <c r="H303" s="51">
        <f>+F303-G303</f>
        <v>0</v>
      </c>
      <c r="I303" s="136">
        <f>IF(G303&lt;0,IF(H303=0,0,IF(OR(G303=0,F303=0),"N.M.",IF(ABS(H303/G303)&gt;=10,"N.M.",H303/(-G303)))),IF(H303=0,0,IF(OR(G303=0,F303=0),"N.M.",IF(ABS(H303/G303)&gt;=10,"N.M.",H303/G303))))</f>
        <v>0</v>
      </c>
      <c r="J303" s="166"/>
      <c r="K303" s="18">
        <v>0</v>
      </c>
      <c r="L303" s="51">
        <f>+F303-K303</f>
        <v>0</v>
      </c>
      <c r="M303" s="136">
        <f>IF(K303&lt;0,IF(L303=0,0,IF(OR(K303=0,N303=0),"N.M.",IF(ABS(L303/K303)&gt;=10,"N.M.",L303/(-K303)))),IF(L303=0,0,IF(OR(K303=0,N303=0),"N.M.",IF(ABS(L303/K303)&gt;=10,"N.M.",L303/K303))))</f>
        <v>0</v>
      </c>
      <c r="N303" s="166"/>
      <c r="O303" s="18">
        <v>0</v>
      </c>
      <c r="P303" s="51">
        <f>+F303-O303</f>
        <v>0</v>
      </c>
      <c r="Q303" s="136">
        <f>IF(O303&lt;0,IF(P303=0,0,IF(OR(O303=0,F303=0),"N.M.",IF(ABS(P303/O303)&gt;=10,"N.M.",P303/(-O303)))),IF(P303=0,0,IF(OR(O303=0,F303=0),"N.M.",IF(ABS(P303/O303)&gt;=10,"N.M.",P303/O303))))</f>
        <v>0</v>
      </c>
    </row>
    <row r="304" spans="3:17" ht="0.75" customHeight="1" hidden="1" outlineLevel="1">
      <c r="C304" s="228"/>
      <c r="E304" s="11"/>
      <c r="H304" s="51"/>
      <c r="I304" s="136"/>
      <c r="J304" s="166"/>
      <c r="K304" s="18"/>
      <c r="L304" s="51"/>
      <c r="M304" s="136"/>
      <c r="N304" s="166"/>
      <c r="O304" s="18"/>
      <c r="P304" s="51"/>
      <c r="Q304" s="136"/>
    </row>
    <row r="305" spans="1:17" ht="12.75" collapsed="1">
      <c r="A305" s="11" t="s">
        <v>257</v>
      </c>
      <c r="C305" s="228" t="s">
        <v>188</v>
      </c>
      <c r="E305" s="11"/>
      <c r="F305" s="18">
        <v>0</v>
      </c>
      <c r="G305" s="18">
        <v>0</v>
      </c>
      <c r="H305" s="51">
        <f>+F305-G305</f>
        <v>0</v>
      </c>
      <c r="I305" s="136">
        <f>IF(G305&lt;0,IF(H305=0,0,IF(OR(G305=0,F305=0),"N.M.",IF(ABS(H305/G305)&gt;=10,"N.M.",H305/(-G305)))),IF(H305=0,0,IF(OR(G305=0,F305=0),"N.M.",IF(ABS(H305/G305)&gt;=10,"N.M.",H305/G305))))</f>
        <v>0</v>
      </c>
      <c r="J305" s="166"/>
      <c r="K305" s="18">
        <v>0</v>
      </c>
      <c r="L305" s="51">
        <f>+F305-K305</f>
        <v>0</v>
      </c>
      <c r="M305" s="136">
        <f>IF(K305&lt;0,IF(L305=0,0,IF(OR(K305=0,N305=0),"N.M.",IF(ABS(L305/K305)&gt;=10,"N.M.",L305/(-K305)))),IF(L305=0,0,IF(OR(K305=0,N305=0),"N.M.",IF(ABS(L305/K305)&gt;=10,"N.M.",L305/K305))))</f>
        <v>0</v>
      </c>
      <c r="N305" s="166"/>
      <c r="O305" s="18">
        <v>0</v>
      </c>
      <c r="P305" s="51">
        <f>+F305-O305</f>
        <v>0</v>
      </c>
      <c r="Q305" s="136">
        <f>IF(O305&lt;0,IF(P305=0,0,IF(OR(O305=0,F305=0),"N.M.",IF(ABS(P305/O305)&gt;=10,"N.M.",P305/(-O305)))),IF(P305=0,0,IF(OR(O305=0,F305=0),"N.M.",IF(ABS(P305/O305)&gt;=10,"N.M.",P305/O305))))</f>
        <v>0</v>
      </c>
    </row>
    <row r="306" spans="3:17" ht="0.75" customHeight="1" hidden="1" outlineLevel="1">
      <c r="C306" s="228"/>
      <c r="E306" s="11"/>
      <c r="H306" s="51"/>
      <c r="I306" s="136"/>
      <c r="J306" s="166"/>
      <c r="K306" s="18"/>
      <c r="L306" s="51"/>
      <c r="M306" s="136"/>
      <c r="N306" s="166"/>
      <c r="O306" s="18"/>
      <c r="P306" s="51"/>
      <c r="Q306" s="136"/>
    </row>
    <row r="307" spans="1:17" ht="12.75" collapsed="1">
      <c r="A307" s="11" t="s">
        <v>258</v>
      </c>
      <c r="C307" s="228" t="s">
        <v>189</v>
      </c>
      <c r="E307" s="11"/>
      <c r="F307" s="18">
        <v>0</v>
      </c>
      <c r="G307" s="18">
        <v>0</v>
      </c>
      <c r="H307" s="51">
        <f>+F307-G307</f>
        <v>0</v>
      </c>
      <c r="I307" s="136">
        <f>IF(G307&lt;0,IF(H307=0,0,IF(OR(G307=0,F307=0),"N.M.",IF(ABS(H307/G307)&gt;=10,"N.M.",H307/(-G307)))),IF(H307=0,0,IF(OR(G307=0,F307=0),"N.M.",IF(ABS(H307/G307)&gt;=10,"N.M.",H307/G307))))</f>
        <v>0</v>
      </c>
      <c r="J307" s="166"/>
      <c r="K307" s="18">
        <v>0</v>
      </c>
      <c r="L307" s="51">
        <f>+F307-K307</f>
        <v>0</v>
      </c>
      <c r="M307" s="136">
        <f>IF(K307&lt;0,IF(L307=0,0,IF(OR(K307=0,N307=0),"N.M.",IF(ABS(L307/K307)&gt;=10,"N.M.",L307/(-K307)))),IF(L307=0,0,IF(OR(K307=0,N307=0),"N.M.",IF(ABS(L307/K307)&gt;=10,"N.M.",L307/K307))))</f>
        <v>0</v>
      </c>
      <c r="N307" s="166"/>
      <c r="O307" s="18">
        <v>0</v>
      </c>
      <c r="P307" s="51">
        <f>+F307-O307</f>
        <v>0</v>
      </c>
      <c r="Q307" s="136">
        <f>IF(O307&lt;0,IF(P307=0,0,IF(OR(O307=0,F307=0),"N.M.",IF(ABS(P307/O307)&gt;=10,"N.M.",P307/(-O307)))),IF(P307=0,0,IF(OR(O307=0,F307=0),"N.M.",IF(ABS(P307/O307)&gt;=10,"N.M.",P307/O307))))</f>
        <v>0</v>
      </c>
    </row>
    <row r="308" spans="3:17" ht="0.75" customHeight="1" hidden="1" outlineLevel="1">
      <c r="C308" s="228"/>
      <c r="E308" s="11"/>
      <c r="H308" s="51"/>
      <c r="I308" s="136"/>
      <c r="J308" s="166"/>
      <c r="K308" s="18"/>
      <c r="L308" s="51"/>
      <c r="M308" s="136"/>
      <c r="N308" s="166"/>
      <c r="O308" s="18"/>
      <c r="P308" s="51"/>
      <c r="Q308" s="136"/>
    </row>
    <row r="309" spans="1:17" ht="12.75" collapsed="1">
      <c r="A309" s="11" t="s">
        <v>259</v>
      </c>
      <c r="C309" s="228" t="s">
        <v>190</v>
      </c>
      <c r="E309" s="11"/>
      <c r="F309" s="18">
        <v>0</v>
      </c>
      <c r="G309" s="18">
        <v>0</v>
      </c>
      <c r="H309" s="51">
        <f>+F309-G309</f>
        <v>0</v>
      </c>
      <c r="I309" s="136">
        <f>IF(G309&lt;0,IF(H309=0,0,IF(OR(G309=0,F309=0),"N.M.",IF(ABS(H309/G309)&gt;=10,"N.M.",H309/(-G309)))),IF(H309=0,0,IF(OR(G309=0,F309=0),"N.M.",IF(ABS(H309/G309)&gt;=10,"N.M.",H309/G309))))</f>
        <v>0</v>
      </c>
      <c r="J309" s="166"/>
      <c r="K309" s="18">
        <v>0</v>
      </c>
      <c r="L309" s="51">
        <f>+F309-K309</f>
        <v>0</v>
      </c>
      <c r="M309" s="136">
        <f>IF(K309&lt;0,IF(L309=0,0,IF(OR(K309=0,N309=0),"N.M.",IF(ABS(L309/K309)&gt;=10,"N.M.",L309/(-K309)))),IF(L309=0,0,IF(OR(K309=0,N309=0),"N.M.",IF(ABS(L309/K309)&gt;=10,"N.M.",L309/K309))))</f>
        <v>0</v>
      </c>
      <c r="N309" s="166"/>
      <c r="O309" s="18">
        <v>0</v>
      </c>
      <c r="P309" s="51">
        <f>+F309-O309</f>
        <v>0</v>
      </c>
      <c r="Q309" s="136">
        <f>IF(O309&lt;0,IF(P309=0,0,IF(OR(O309=0,F309=0),"N.M.",IF(ABS(P309/O309)&gt;=10,"N.M.",P309/(-O309)))),IF(P309=0,0,IF(OR(O309=0,F309=0),"N.M.",IF(ABS(P309/O309)&gt;=10,"N.M.",P309/O309))))</f>
        <v>0</v>
      </c>
    </row>
    <row r="310" spans="3:17" ht="0.75" customHeight="1" hidden="1" outlineLevel="1">
      <c r="C310" s="228"/>
      <c r="E310" s="11"/>
      <c r="H310" s="51"/>
      <c r="I310" s="136"/>
      <c r="J310" s="166"/>
      <c r="K310" s="18"/>
      <c r="L310" s="51"/>
      <c r="M310" s="136"/>
      <c r="N310" s="166"/>
      <c r="O310" s="18"/>
      <c r="P310" s="51"/>
      <c r="Q310" s="136"/>
    </row>
    <row r="311" spans="1:17" s="15" customFormat="1" ht="12.75" hidden="1" outlineLevel="2">
      <c r="A311" s="15" t="s">
        <v>862</v>
      </c>
      <c r="B311" s="15" t="s">
        <v>863</v>
      </c>
      <c r="C311" s="134" t="s">
        <v>864</v>
      </c>
      <c r="D311" s="16"/>
      <c r="E311" s="16"/>
      <c r="F311" s="16">
        <v>6177399.622</v>
      </c>
      <c r="G311" s="16">
        <v>2499568.342</v>
      </c>
      <c r="H311" s="16">
        <f aca="true" t="shared" si="80" ref="H311:H330">+F311-G311</f>
        <v>3677831.2800000003</v>
      </c>
      <c r="I311" s="53">
        <f aca="true" t="shared" si="81" ref="I311:I330">IF(G311&lt;0,IF(H311=0,0,IF(OR(G311=0,F311=0),"N.M.",IF(ABS(H311/G311)&gt;=10,"N.M.",H311/(-G311)))),IF(H311=0,0,IF(OR(G311=0,F311=0),"N.M.",IF(ABS(H311/G311)&gt;=10,"N.M.",H311/G311))))</f>
        <v>1.4713865663129766</v>
      </c>
      <c r="J311" s="174"/>
      <c r="K311" s="256">
        <v>5932505.872</v>
      </c>
      <c r="L311" s="16">
        <f aca="true" t="shared" si="82" ref="L311:L330">+F311-K311</f>
        <v>244893.75</v>
      </c>
      <c r="M311" s="53" t="str">
        <f aca="true" t="shared" si="83" ref="M311:M330">IF(K311&lt;0,IF(L311=0,0,IF(OR(K311=0,N311=0),"N.M.",IF(ABS(L311/K311)&gt;=10,"N.M.",L311/(-K311)))),IF(L311=0,0,IF(OR(K311=0,N311=0),"N.M.",IF(ABS(L311/K311)&gt;=10,"N.M.",L311/K311))))</f>
        <v>N.M.</v>
      </c>
      <c r="N311" s="174"/>
      <c r="O311" s="256">
        <v>3331658.662</v>
      </c>
      <c r="P311" s="16">
        <f aca="true" t="shared" si="84" ref="P311:P330">+F311-O311</f>
        <v>2845740.9600000004</v>
      </c>
      <c r="Q311" s="53">
        <f aca="true" t="shared" si="85" ref="Q311:Q330">IF(O311&lt;0,IF(P311=0,0,IF(OR(O311=0,F311=0),"N.M.",IF(ABS(P311/O311)&gt;=10,"N.M.",P311/(-O311)))),IF(P311=0,0,IF(OR(O311=0,F311=0),"N.M.",IF(ABS(P311/O311)&gt;=10,"N.M.",P311/O311))))</f>
        <v>0.8541514148666411</v>
      </c>
    </row>
    <row r="312" spans="1:17" s="15" customFormat="1" ht="12.75" hidden="1" outlineLevel="2">
      <c r="A312" s="15" t="s">
        <v>865</v>
      </c>
      <c r="B312" s="15" t="s">
        <v>866</v>
      </c>
      <c r="C312" s="134" t="s">
        <v>867</v>
      </c>
      <c r="D312" s="16"/>
      <c r="E312" s="16"/>
      <c r="F312" s="16">
        <v>7252045.11</v>
      </c>
      <c r="G312" s="16">
        <v>3161651.21</v>
      </c>
      <c r="H312" s="16">
        <f t="shared" si="80"/>
        <v>4090393.9000000004</v>
      </c>
      <c r="I312" s="53">
        <f t="shared" si="81"/>
        <v>1.2937524186926364</v>
      </c>
      <c r="J312" s="174"/>
      <c r="K312" s="256">
        <v>6100591.16</v>
      </c>
      <c r="L312" s="16">
        <f t="shared" si="82"/>
        <v>1151453.9500000002</v>
      </c>
      <c r="M312" s="53" t="str">
        <f t="shared" si="83"/>
        <v>N.M.</v>
      </c>
      <c r="N312" s="174"/>
      <c r="O312" s="256">
        <v>7882515.02</v>
      </c>
      <c r="P312" s="16">
        <f t="shared" si="84"/>
        <v>-630469.9099999992</v>
      </c>
      <c r="Q312" s="53">
        <f t="shared" si="85"/>
        <v>-0.07998334394547076</v>
      </c>
    </row>
    <row r="313" spans="1:17" s="15" customFormat="1" ht="12.75" hidden="1" outlineLevel="2">
      <c r="A313" s="15" t="s">
        <v>868</v>
      </c>
      <c r="B313" s="15" t="s">
        <v>869</v>
      </c>
      <c r="C313" s="134" t="s">
        <v>870</v>
      </c>
      <c r="D313" s="16"/>
      <c r="E313" s="16"/>
      <c r="F313" s="16">
        <v>251960.25</v>
      </c>
      <c r="G313" s="16">
        <v>120925.24</v>
      </c>
      <c r="H313" s="16">
        <f t="shared" si="80"/>
        <v>131035.01</v>
      </c>
      <c r="I313" s="53">
        <f t="shared" si="81"/>
        <v>1.0836034726910608</v>
      </c>
      <c r="J313" s="174"/>
      <c r="K313" s="256">
        <v>246193.95</v>
      </c>
      <c r="L313" s="16">
        <f t="shared" si="82"/>
        <v>5766.299999999988</v>
      </c>
      <c r="M313" s="53" t="str">
        <f t="shared" si="83"/>
        <v>N.M.</v>
      </c>
      <c r="N313" s="174"/>
      <c r="O313" s="256">
        <v>172765.66</v>
      </c>
      <c r="P313" s="16">
        <f t="shared" si="84"/>
        <v>79194.59</v>
      </c>
      <c r="Q313" s="53">
        <f t="shared" si="85"/>
        <v>0.45839312048470743</v>
      </c>
    </row>
    <row r="314" spans="1:17" s="15" customFormat="1" ht="12.75" hidden="1" outlineLevel="2">
      <c r="A314" s="15" t="s">
        <v>871</v>
      </c>
      <c r="B314" s="15" t="s">
        <v>872</v>
      </c>
      <c r="C314" s="134" t="s">
        <v>873</v>
      </c>
      <c r="D314" s="16"/>
      <c r="E314" s="16"/>
      <c r="F314" s="16">
        <v>0</v>
      </c>
      <c r="G314" s="16">
        <v>0</v>
      </c>
      <c r="H314" s="16">
        <f t="shared" si="80"/>
        <v>0</v>
      </c>
      <c r="I314" s="53">
        <f t="shared" si="81"/>
        <v>0</v>
      </c>
      <c r="J314" s="174"/>
      <c r="K314" s="256">
        <v>0</v>
      </c>
      <c r="L314" s="16">
        <f t="shared" si="82"/>
        <v>0</v>
      </c>
      <c r="M314" s="53">
        <f t="shared" si="83"/>
        <v>0</v>
      </c>
      <c r="N314" s="174"/>
      <c r="O314" s="256">
        <v>486000</v>
      </c>
      <c r="P314" s="16">
        <f t="shared" si="84"/>
        <v>-486000</v>
      </c>
      <c r="Q314" s="53" t="str">
        <f t="shared" si="85"/>
        <v>N.M.</v>
      </c>
    </row>
    <row r="315" spans="1:17" s="15" customFormat="1" ht="12.75" hidden="1" outlineLevel="2">
      <c r="A315" s="15" t="s">
        <v>874</v>
      </c>
      <c r="B315" s="15" t="s">
        <v>875</v>
      </c>
      <c r="C315" s="134" t="s">
        <v>876</v>
      </c>
      <c r="D315" s="16"/>
      <c r="E315" s="16"/>
      <c r="F315" s="16">
        <v>10112697.76</v>
      </c>
      <c r="G315" s="16">
        <v>15443665.28</v>
      </c>
      <c r="H315" s="16">
        <f t="shared" si="80"/>
        <v>-5330967.52</v>
      </c>
      <c r="I315" s="53">
        <f t="shared" si="81"/>
        <v>-0.3451879734083436</v>
      </c>
      <c r="J315" s="174"/>
      <c r="K315" s="256">
        <v>15770820.17</v>
      </c>
      <c r="L315" s="16">
        <f t="shared" si="82"/>
        <v>-5658122.41</v>
      </c>
      <c r="M315" s="53" t="str">
        <f t="shared" si="83"/>
        <v>N.M.</v>
      </c>
      <c r="N315" s="174"/>
      <c r="O315" s="256">
        <v>14034985.82</v>
      </c>
      <c r="P315" s="16">
        <f t="shared" si="84"/>
        <v>-3922288.0600000005</v>
      </c>
      <c r="Q315" s="53">
        <f t="shared" si="85"/>
        <v>-0.279465053282113</v>
      </c>
    </row>
    <row r="316" spans="1:17" s="15" customFormat="1" ht="12.75" hidden="1" outlineLevel="2">
      <c r="A316" s="15" t="s">
        <v>877</v>
      </c>
      <c r="B316" s="15" t="s">
        <v>878</v>
      </c>
      <c r="C316" s="134" t="s">
        <v>879</v>
      </c>
      <c r="D316" s="16"/>
      <c r="E316" s="16"/>
      <c r="F316" s="16">
        <v>298678.60000000003</v>
      </c>
      <c r="G316" s="16">
        <v>363467.72000000003</v>
      </c>
      <c r="H316" s="16">
        <f t="shared" si="80"/>
        <v>-64789.119999999995</v>
      </c>
      <c r="I316" s="53">
        <f t="shared" si="81"/>
        <v>-0.17825274827706844</v>
      </c>
      <c r="J316" s="174"/>
      <c r="K316" s="256">
        <v>438381.4</v>
      </c>
      <c r="L316" s="16">
        <f t="shared" si="82"/>
        <v>-139702.8</v>
      </c>
      <c r="M316" s="53" t="str">
        <f t="shared" si="83"/>
        <v>N.M.</v>
      </c>
      <c r="N316" s="174"/>
      <c r="O316" s="256">
        <v>170374.74</v>
      </c>
      <c r="P316" s="16">
        <f t="shared" si="84"/>
        <v>128303.86000000004</v>
      </c>
      <c r="Q316" s="53">
        <f t="shared" si="85"/>
        <v>0.7530685593416022</v>
      </c>
    </row>
    <row r="317" spans="1:17" s="15" customFormat="1" ht="12.75" hidden="1" outlineLevel="2">
      <c r="A317" s="15" t="s">
        <v>880</v>
      </c>
      <c r="B317" s="15" t="s">
        <v>881</v>
      </c>
      <c r="C317" s="134" t="s">
        <v>882</v>
      </c>
      <c r="D317" s="16"/>
      <c r="E317" s="16"/>
      <c r="F317" s="16">
        <v>1230880.339</v>
      </c>
      <c r="G317" s="16">
        <v>2605397.949</v>
      </c>
      <c r="H317" s="16">
        <f t="shared" si="80"/>
        <v>-1374517.61</v>
      </c>
      <c r="I317" s="53">
        <f t="shared" si="81"/>
        <v>-0.5275653228051267</v>
      </c>
      <c r="J317" s="174"/>
      <c r="K317" s="256">
        <v>1598076.729</v>
      </c>
      <c r="L317" s="16">
        <f t="shared" si="82"/>
        <v>-367196.39000000013</v>
      </c>
      <c r="M317" s="53" t="str">
        <f t="shared" si="83"/>
        <v>N.M.</v>
      </c>
      <c r="N317" s="174"/>
      <c r="O317" s="256">
        <v>2340114.009</v>
      </c>
      <c r="P317" s="16">
        <f t="shared" si="84"/>
        <v>-1109233.6700000002</v>
      </c>
      <c r="Q317" s="53">
        <f t="shared" si="85"/>
        <v>-0.47400838836651743</v>
      </c>
    </row>
    <row r="318" spans="1:17" s="15" customFormat="1" ht="12.75" hidden="1" outlineLevel="2">
      <c r="A318" s="15" t="s">
        <v>883</v>
      </c>
      <c r="B318" s="15" t="s">
        <v>884</v>
      </c>
      <c r="C318" s="134" t="s">
        <v>885</v>
      </c>
      <c r="D318" s="16"/>
      <c r="E318" s="16"/>
      <c r="F318" s="16">
        <v>773476.87</v>
      </c>
      <c r="G318" s="16">
        <v>890521.63</v>
      </c>
      <c r="H318" s="16">
        <f t="shared" si="80"/>
        <v>-117044.76000000001</v>
      </c>
      <c r="I318" s="53">
        <f t="shared" si="81"/>
        <v>-0.13143393271649112</v>
      </c>
      <c r="J318" s="174"/>
      <c r="K318" s="256">
        <v>507939.98000000004</v>
      </c>
      <c r="L318" s="16">
        <f t="shared" si="82"/>
        <v>265536.88999999996</v>
      </c>
      <c r="M318" s="53" t="str">
        <f t="shared" si="83"/>
        <v>N.M.</v>
      </c>
      <c r="N318" s="174"/>
      <c r="O318" s="256">
        <v>570063.39</v>
      </c>
      <c r="P318" s="16">
        <f t="shared" si="84"/>
        <v>203413.47999999998</v>
      </c>
      <c r="Q318" s="53">
        <f t="shared" si="85"/>
        <v>0.3568260715707423</v>
      </c>
    </row>
    <row r="319" spans="1:17" s="15" customFormat="1" ht="12.75" hidden="1" outlineLevel="2">
      <c r="A319" s="15" t="s">
        <v>886</v>
      </c>
      <c r="B319" s="15" t="s">
        <v>887</v>
      </c>
      <c r="C319" s="134" t="s">
        <v>888</v>
      </c>
      <c r="D319" s="16"/>
      <c r="E319" s="16"/>
      <c r="F319" s="16">
        <v>0</v>
      </c>
      <c r="G319" s="16">
        <v>2769.58</v>
      </c>
      <c r="H319" s="16">
        <f t="shared" si="80"/>
        <v>-2769.58</v>
      </c>
      <c r="I319" s="53" t="str">
        <f t="shared" si="81"/>
        <v>N.M.</v>
      </c>
      <c r="J319" s="174"/>
      <c r="K319" s="256">
        <v>0</v>
      </c>
      <c r="L319" s="16">
        <f t="shared" si="82"/>
        <v>0</v>
      </c>
      <c r="M319" s="53">
        <f t="shared" si="83"/>
        <v>0</v>
      </c>
      <c r="N319" s="174"/>
      <c r="O319" s="256">
        <v>0</v>
      </c>
      <c r="P319" s="16">
        <f t="shared" si="84"/>
        <v>0</v>
      </c>
      <c r="Q319" s="53">
        <f t="shared" si="85"/>
        <v>0</v>
      </c>
    </row>
    <row r="320" spans="1:17" s="15" customFormat="1" ht="12.75" hidden="1" outlineLevel="2">
      <c r="A320" s="15" t="s">
        <v>889</v>
      </c>
      <c r="B320" s="15" t="s">
        <v>890</v>
      </c>
      <c r="C320" s="134" t="s">
        <v>891</v>
      </c>
      <c r="D320" s="16"/>
      <c r="E320" s="16"/>
      <c r="F320" s="16">
        <v>0.002</v>
      </c>
      <c r="G320" s="16">
        <v>0.002</v>
      </c>
      <c r="H320" s="16">
        <f t="shared" si="80"/>
        <v>0</v>
      </c>
      <c r="I320" s="53">
        <f t="shared" si="81"/>
        <v>0</v>
      </c>
      <c r="J320" s="174"/>
      <c r="K320" s="256">
        <v>0.002</v>
      </c>
      <c r="L320" s="16">
        <f t="shared" si="82"/>
        <v>0</v>
      </c>
      <c r="M320" s="53">
        <f t="shared" si="83"/>
        <v>0</v>
      </c>
      <c r="N320" s="174"/>
      <c r="O320" s="256">
        <v>448.16200000000003</v>
      </c>
      <c r="P320" s="16">
        <f t="shared" si="84"/>
        <v>-448.16</v>
      </c>
      <c r="Q320" s="53">
        <f t="shared" si="85"/>
        <v>-0.9999955373280197</v>
      </c>
    </row>
    <row r="321" spans="1:17" s="15" customFormat="1" ht="12.75" hidden="1" outlineLevel="2">
      <c r="A321" s="15" t="s">
        <v>892</v>
      </c>
      <c r="B321" s="15" t="s">
        <v>893</v>
      </c>
      <c r="C321" s="134" t="s">
        <v>894</v>
      </c>
      <c r="D321" s="16"/>
      <c r="E321" s="16"/>
      <c r="F321" s="16">
        <v>8480.771</v>
      </c>
      <c r="G321" s="16">
        <v>10798.661</v>
      </c>
      <c r="H321" s="16">
        <f t="shared" si="80"/>
        <v>-2317.8899999999994</v>
      </c>
      <c r="I321" s="53">
        <f t="shared" si="81"/>
        <v>-0.2146460565805334</v>
      </c>
      <c r="J321" s="174"/>
      <c r="K321" s="256">
        <v>10656.491</v>
      </c>
      <c r="L321" s="16">
        <f t="shared" si="82"/>
        <v>-2175.7199999999993</v>
      </c>
      <c r="M321" s="53" t="str">
        <f t="shared" si="83"/>
        <v>N.M.</v>
      </c>
      <c r="N321" s="174"/>
      <c r="O321" s="256">
        <v>10813.181</v>
      </c>
      <c r="P321" s="16">
        <f t="shared" si="84"/>
        <v>-2332.41</v>
      </c>
      <c r="Q321" s="53">
        <f t="shared" si="85"/>
        <v>-0.21570063425369462</v>
      </c>
    </row>
    <row r="322" spans="1:17" s="15" customFormat="1" ht="12.75" hidden="1" outlineLevel="2">
      <c r="A322" s="15" t="s">
        <v>895</v>
      </c>
      <c r="B322" s="15" t="s">
        <v>896</v>
      </c>
      <c r="C322" s="134" t="s">
        <v>897</v>
      </c>
      <c r="D322" s="16"/>
      <c r="E322" s="16"/>
      <c r="F322" s="16">
        <v>0</v>
      </c>
      <c r="G322" s="16">
        <v>821.63</v>
      </c>
      <c r="H322" s="16">
        <f t="shared" si="80"/>
        <v>-821.63</v>
      </c>
      <c r="I322" s="53" t="str">
        <f t="shared" si="81"/>
        <v>N.M.</v>
      </c>
      <c r="J322" s="174"/>
      <c r="K322" s="256">
        <v>0</v>
      </c>
      <c r="L322" s="16">
        <f t="shared" si="82"/>
        <v>0</v>
      </c>
      <c r="M322" s="53">
        <f t="shared" si="83"/>
        <v>0</v>
      </c>
      <c r="N322" s="174"/>
      <c r="O322" s="256">
        <v>2939.39</v>
      </c>
      <c r="P322" s="16">
        <f t="shared" si="84"/>
        <v>-2939.39</v>
      </c>
      <c r="Q322" s="53" t="str">
        <f t="shared" si="85"/>
        <v>N.M.</v>
      </c>
    </row>
    <row r="323" spans="1:17" s="15" customFormat="1" ht="12.75" hidden="1" outlineLevel="2">
      <c r="A323" s="15" t="s">
        <v>898</v>
      </c>
      <c r="B323" s="15" t="s">
        <v>899</v>
      </c>
      <c r="C323" s="134" t="s">
        <v>900</v>
      </c>
      <c r="D323" s="16"/>
      <c r="E323" s="16"/>
      <c r="F323" s="16">
        <v>25350.74</v>
      </c>
      <c r="G323" s="16">
        <v>8730</v>
      </c>
      <c r="H323" s="16">
        <f t="shared" si="80"/>
        <v>16620.74</v>
      </c>
      <c r="I323" s="53">
        <f t="shared" si="81"/>
        <v>1.9038648339060713</v>
      </c>
      <c r="J323" s="174"/>
      <c r="K323" s="256">
        <v>29598.74</v>
      </c>
      <c r="L323" s="16">
        <f t="shared" si="82"/>
        <v>-4248</v>
      </c>
      <c r="M323" s="53" t="str">
        <f t="shared" si="83"/>
        <v>N.M.</v>
      </c>
      <c r="N323" s="174"/>
      <c r="O323" s="256">
        <v>12831</v>
      </c>
      <c r="P323" s="16">
        <f t="shared" si="84"/>
        <v>12519.740000000002</v>
      </c>
      <c r="Q323" s="53">
        <f t="shared" si="85"/>
        <v>0.975741563401138</v>
      </c>
    </row>
    <row r="324" spans="1:17" s="15" customFormat="1" ht="12.75" hidden="1" outlineLevel="2">
      <c r="A324" s="15" t="s">
        <v>901</v>
      </c>
      <c r="B324" s="15" t="s">
        <v>902</v>
      </c>
      <c r="C324" s="134" t="s">
        <v>903</v>
      </c>
      <c r="D324" s="16"/>
      <c r="E324" s="16"/>
      <c r="F324" s="16">
        <v>84976.51</v>
      </c>
      <c r="G324" s="16">
        <v>146578.9</v>
      </c>
      <c r="H324" s="16">
        <f t="shared" si="80"/>
        <v>-61602.39</v>
      </c>
      <c r="I324" s="53">
        <f t="shared" si="81"/>
        <v>-0.42026778751921323</v>
      </c>
      <c r="J324" s="174"/>
      <c r="K324" s="256">
        <v>127190.07</v>
      </c>
      <c r="L324" s="16">
        <f t="shared" si="82"/>
        <v>-42213.56000000001</v>
      </c>
      <c r="M324" s="53" t="str">
        <f t="shared" si="83"/>
        <v>N.M.</v>
      </c>
      <c r="N324" s="174"/>
      <c r="O324" s="256">
        <v>133012.89</v>
      </c>
      <c r="P324" s="16">
        <f t="shared" si="84"/>
        <v>-48036.38000000002</v>
      </c>
      <c r="Q324" s="53">
        <f t="shared" si="85"/>
        <v>-0.3611407886859688</v>
      </c>
    </row>
    <row r="325" spans="1:17" s="15" customFormat="1" ht="12.75" hidden="1" outlineLevel="2">
      <c r="A325" s="15" t="s">
        <v>904</v>
      </c>
      <c r="B325" s="15" t="s">
        <v>905</v>
      </c>
      <c r="C325" s="134" t="s">
        <v>906</v>
      </c>
      <c r="D325" s="16"/>
      <c r="E325" s="16"/>
      <c r="F325" s="16">
        <v>625382.724</v>
      </c>
      <c r="G325" s="16">
        <v>995340.264</v>
      </c>
      <c r="H325" s="16">
        <f t="shared" si="80"/>
        <v>-369957.5399999999</v>
      </c>
      <c r="I325" s="53">
        <f t="shared" si="81"/>
        <v>-0.3716895150139329</v>
      </c>
      <c r="J325" s="174"/>
      <c r="K325" s="256">
        <v>994846.944</v>
      </c>
      <c r="L325" s="16">
        <f t="shared" si="82"/>
        <v>-369464.22</v>
      </c>
      <c r="M325" s="53" t="str">
        <f t="shared" si="83"/>
        <v>N.M.</v>
      </c>
      <c r="N325" s="174"/>
      <c r="O325" s="256">
        <v>1362905.884</v>
      </c>
      <c r="P325" s="16">
        <f t="shared" si="84"/>
        <v>-737523.16</v>
      </c>
      <c r="Q325" s="53">
        <f t="shared" si="85"/>
        <v>-0.5411401980564052</v>
      </c>
    </row>
    <row r="326" spans="1:17" s="15" customFormat="1" ht="12.75" hidden="1" outlineLevel="2">
      <c r="A326" s="15" t="s">
        <v>907</v>
      </c>
      <c r="B326" s="15" t="s">
        <v>908</v>
      </c>
      <c r="C326" s="134" t="s">
        <v>909</v>
      </c>
      <c r="D326" s="16"/>
      <c r="E326" s="16"/>
      <c r="F326" s="16">
        <v>102.39800000000001</v>
      </c>
      <c r="G326" s="16">
        <v>-0.002</v>
      </c>
      <c r="H326" s="16">
        <f t="shared" si="80"/>
        <v>102.4</v>
      </c>
      <c r="I326" s="53" t="str">
        <f t="shared" si="81"/>
        <v>N.M.</v>
      </c>
      <c r="J326" s="174"/>
      <c r="K326" s="256">
        <v>69.168</v>
      </c>
      <c r="L326" s="16">
        <f t="shared" si="82"/>
        <v>33.230000000000004</v>
      </c>
      <c r="M326" s="53" t="str">
        <f t="shared" si="83"/>
        <v>N.M.</v>
      </c>
      <c r="N326" s="174"/>
      <c r="O326" s="256">
        <v>0.998</v>
      </c>
      <c r="P326" s="16">
        <f t="shared" si="84"/>
        <v>101.4</v>
      </c>
      <c r="Q326" s="53" t="str">
        <f t="shared" si="85"/>
        <v>N.M.</v>
      </c>
    </row>
    <row r="327" spans="1:17" s="15" customFormat="1" ht="12.75" hidden="1" outlineLevel="2">
      <c r="A327" s="15" t="s">
        <v>910</v>
      </c>
      <c r="B327" s="15" t="s">
        <v>911</v>
      </c>
      <c r="C327" s="134" t="s">
        <v>912</v>
      </c>
      <c r="D327" s="16"/>
      <c r="E327" s="16"/>
      <c r="F327" s="16">
        <v>0</v>
      </c>
      <c r="G327" s="16">
        <v>909781.76</v>
      </c>
      <c r="H327" s="16">
        <f t="shared" si="80"/>
        <v>-909781.76</v>
      </c>
      <c r="I327" s="53" t="str">
        <f t="shared" si="81"/>
        <v>N.M.</v>
      </c>
      <c r="J327" s="174"/>
      <c r="K327" s="256">
        <v>0</v>
      </c>
      <c r="L327" s="16">
        <f t="shared" si="82"/>
        <v>0</v>
      </c>
      <c r="M327" s="53">
        <f t="shared" si="83"/>
        <v>0</v>
      </c>
      <c r="N327" s="174"/>
      <c r="O327" s="256">
        <v>1746196.9100000001</v>
      </c>
      <c r="P327" s="16">
        <f t="shared" si="84"/>
        <v>-1746196.9100000001</v>
      </c>
      <c r="Q327" s="53" t="str">
        <f t="shared" si="85"/>
        <v>N.M.</v>
      </c>
    </row>
    <row r="328" spans="1:17" s="15" customFormat="1" ht="12.75" hidden="1" outlineLevel="2">
      <c r="A328" s="15" t="s">
        <v>913</v>
      </c>
      <c r="B328" s="15" t="s">
        <v>914</v>
      </c>
      <c r="C328" s="134" t="s">
        <v>915</v>
      </c>
      <c r="D328" s="16"/>
      <c r="E328" s="16"/>
      <c r="F328" s="16">
        <v>212343.56</v>
      </c>
      <c r="G328" s="16">
        <v>0</v>
      </c>
      <c r="H328" s="16">
        <f t="shared" si="80"/>
        <v>212343.56</v>
      </c>
      <c r="I328" s="53" t="str">
        <f t="shared" si="81"/>
        <v>N.M.</v>
      </c>
      <c r="J328" s="174"/>
      <c r="K328" s="256">
        <v>0</v>
      </c>
      <c r="L328" s="16">
        <f t="shared" si="82"/>
        <v>212343.56</v>
      </c>
      <c r="M328" s="53" t="str">
        <f t="shared" si="83"/>
        <v>N.M.</v>
      </c>
      <c r="N328" s="174"/>
      <c r="O328" s="256">
        <v>0</v>
      </c>
      <c r="P328" s="16">
        <f t="shared" si="84"/>
        <v>212343.56</v>
      </c>
      <c r="Q328" s="53" t="str">
        <f t="shared" si="85"/>
        <v>N.M.</v>
      </c>
    </row>
    <row r="329" spans="1:17" s="15" customFormat="1" ht="12.75" hidden="1" outlineLevel="2">
      <c r="A329" s="15" t="s">
        <v>916</v>
      </c>
      <c r="B329" s="15" t="s">
        <v>917</v>
      </c>
      <c r="C329" s="134" t="s">
        <v>918</v>
      </c>
      <c r="D329" s="16"/>
      <c r="E329" s="16"/>
      <c r="F329" s="16">
        <v>245125.23</v>
      </c>
      <c r="G329" s="16">
        <v>670296.48</v>
      </c>
      <c r="H329" s="16">
        <f t="shared" si="80"/>
        <v>-425171.25</v>
      </c>
      <c r="I329" s="53">
        <f t="shared" si="81"/>
        <v>-0.6343032712927271</v>
      </c>
      <c r="J329" s="174"/>
      <c r="K329" s="256">
        <v>280005.44</v>
      </c>
      <c r="L329" s="16">
        <f t="shared" si="82"/>
        <v>-34880.20999999999</v>
      </c>
      <c r="M329" s="53" t="str">
        <f t="shared" si="83"/>
        <v>N.M.</v>
      </c>
      <c r="N329" s="174"/>
      <c r="O329" s="256">
        <v>540256.06</v>
      </c>
      <c r="P329" s="16">
        <f t="shared" si="84"/>
        <v>-295130.8300000001</v>
      </c>
      <c r="Q329" s="53">
        <f t="shared" si="85"/>
        <v>-0.5462795364109383</v>
      </c>
    </row>
    <row r="330" spans="1:17" s="15" customFormat="1" ht="12.75" hidden="1" outlineLevel="2">
      <c r="A330" s="15" t="s">
        <v>919</v>
      </c>
      <c r="B330" s="15" t="s">
        <v>920</v>
      </c>
      <c r="C330" s="134" t="s">
        <v>921</v>
      </c>
      <c r="D330" s="16"/>
      <c r="E330" s="16"/>
      <c r="F330" s="16">
        <v>412435.61</v>
      </c>
      <c r="G330" s="16">
        <v>486496.89</v>
      </c>
      <c r="H330" s="16">
        <f t="shared" si="80"/>
        <v>-74061.28000000003</v>
      </c>
      <c r="I330" s="53">
        <f t="shared" si="81"/>
        <v>-0.15223382003531416</v>
      </c>
      <c r="J330" s="174"/>
      <c r="K330" s="256">
        <v>711941.86</v>
      </c>
      <c r="L330" s="16">
        <f t="shared" si="82"/>
        <v>-299506.25</v>
      </c>
      <c r="M330" s="53" t="str">
        <f t="shared" si="83"/>
        <v>N.M.</v>
      </c>
      <c r="N330" s="174"/>
      <c r="O330" s="256">
        <v>535782.76</v>
      </c>
      <c r="P330" s="16">
        <f t="shared" si="84"/>
        <v>-123347.15000000002</v>
      </c>
      <c r="Q330" s="53">
        <f t="shared" si="85"/>
        <v>-0.23021858710048831</v>
      </c>
    </row>
    <row r="331" spans="1:17" ht="12.75" collapsed="1">
      <c r="A331" s="11" t="s">
        <v>260</v>
      </c>
      <c r="C331" s="228" t="s">
        <v>191</v>
      </c>
      <c r="E331" s="11"/>
      <c r="F331" s="18">
        <v>27711336.096</v>
      </c>
      <c r="G331" s="18">
        <v>28316811.535999995</v>
      </c>
      <c r="H331" s="51">
        <f>+F331-G331</f>
        <v>-605475.4399999939</v>
      </c>
      <c r="I331" s="136">
        <f>IF(G331&lt;0,IF(H331=0,0,IF(OR(G331=0,F331=0),"N.M.",IF(ABS(H331/G331)&gt;=10,"N.M.",H331/(-G331)))),IF(H331=0,0,IF(OR(G331=0,F331=0),"N.M.",IF(ABS(H331/G331)&gt;=10,"N.M.",H331/G331))))</f>
        <v>-0.021382189842604107</v>
      </c>
      <c r="J331" s="166"/>
      <c r="K331" s="18">
        <v>32748817.976</v>
      </c>
      <c r="L331" s="51">
        <f>+F331-K331</f>
        <v>-5037481.879999999</v>
      </c>
      <c r="M331" s="136" t="str">
        <f>IF(K331&lt;0,IF(L331=0,0,IF(OR(K331=0,N331=0),"N.M.",IF(ABS(L331/K331)&gt;=10,"N.M.",L331/(-K331)))),IF(L331=0,0,IF(OR(K331=0,N331=0),"N.M.",IF(ABS(L331/K331)&gt;=10,"N.M.",L331/K331))))</f>
        <v>N.M.</v>
      </c>
      <c r="N331" s="166"/>
      <c r="O331" s="18">
        <v>33333664.536000002</v>
      </c>
      <c r="P331" s="51">
        <f>+F331-O331</f>
        <v>-5622328.440000001</v>
      </c>
      <c r="Q331" s="136">
        <f>IF(O331&lt;0,IF(P331=0,0,IF(OR(O331=0,F331=0),"N.M.",IF(ABS(P331/O331)&gt;=10,"N.M.",P331/(-O331)))),IF(P331=0,0,IF(OR(O331=0,F331=0),"N.M.",IF(ABS(P331/O331)&gt;=10,"N.M.",P331/O331))))</f>
        <v>-0.16866817729949693</v>
      </c>
    </row>
    <row r="332" spans="3:17" ht="0.75" customHeight="1" hidden="1" outlineLevel="1">
      <c r="C332" s="228"/>
      <c r="E332" s="11"/>
      <c r="H332" s="51"/>
      <c r="I332" s="136"/>
      <c r="J332" s="166"/>
      <c r="K332" s="18"/>
      <c r="L332" s="51"/>
      <c r="M332" s="136"/>
      <c r="N332" s="166"/>
      <c r="O332" s="18"/>
      <c r="P332" s="51"/>
      <c r="Q332" s="136"/>
    </row>
    <row r="333" spans="1:17" s="15" customFormat="1" ht="12.75" hidden="1" outlineLevel="2">
      <c r="A333" s="15" t="s">
        <v>922</v>
      </c>
      <c r="B333" s="15" t="s">
        <v>923</v>
      </c>
      <c r="C333" s="134" t="s">
        <v>924</v>
      </c>
      <c r="D333" s="16"/>
      <c r="E333" s="16"/>
      <c r="F333" s="16">
        <v>19567698.916</v>
      </c>
      <c r="G333" s="16">
        <v>13036233.465</v>
      </c>
      <c r="H333" s="16">
        <f aca="true" t="shared" si="86" ref="H333:H344">+F333-G333</f>
        <v>6531465.451000001</v>
      </c>
      <c r="I333" s="53">
        <f aca="true" t="shared" si="87" ref="I333:I344">IF(G333&lt;0,IF(H333=0,0,IF(OR(G333=0,F333=0),"N.M.",IF(ABS(H333/G333)&gt;=10,"N.M.",H333/(-G333)))),IF(H333=0,0,IF(OR(G333=0,F333=0),"N.M.",IF(ABS(H333/G333)&gt;=10,"N.M.",H333/G333))))</f>
        <v>0.5010239705000559</v>
      </c>
      <c r="J333" s="174"/>
      <c r="K333" s="256">
        <v>21544910.21</v>
      </c>
      <c r="L333" s="16">
        <f aca="true" t="shared" si="88" ref="L333:L344">+F333-K333</f>
        <v>-1977211.2939999998</v>
      </c>
      <c r="M333" s="53" t="str">
        <f aca="true" t="shared" si="89" ref="M333:M344">IF(K333&lt;0,IF(L333=0,0,IF(OR(K333=0,N333=0),"N.M.",IF(ABS(L333/K333)&gt;=10,"N.M.",L333/(-K333)))),IF(L333=0,0,IF(OR(K333=0,N333=0),"N.M.",IF(ABS(L333/K333)&gt;=10,"N.M.",L333/K333))))</f>
        <v>N.M.</v>
      </c>
      <c r="N333" s="174"/>
      <c r="O333" s="256">
        <v>23739034.464</v>
      </c>
      <c r="P333" s="16">
        <f aca="true" t="shared" si="90" ref="P333:P344">+F333-O333</f>
        <v>-4171335.5480000004</v>
      </c>
      <c r="Q333" s="53">
        <f aca="true" t="shared" si="91" ref="Q333:Q344">IF(O333&lt;0,IF(P333=0,0,IF(OR(O333=0,F333=0),"N.M.",IF(ABS(P333/O333)&gt;=10,"N.M.",P333/(-O333)))),IF(P333=0,0,IF(OR(O333=0,F333=0),"N.M.",IF(ABS(P333/O333)&gt;=10,"N.M.",P333/O333))))</f>
        <v>-0.17571631038009516</v>
      </c>
    </row>
    <row r="334" spans="1:17" s="15" customFormat="1" ht="12.75" hidden="1" outlineLevel="2">
      <c r="A334" s="15" t="s">
        <v>925</v>
      </c>
      <c r="B334" s="15" t="s">
        <v>926</v>
      </c>
      <c r="C334" s="134" t="s">
        <v>927</v>
      </c>
      <c r="D334" s="16"/>
      <c r="E334" s="16"/>
      <c r="F334" s="16">
        <v>0</v>
      </c>
      <c r="G334" s="16">
        <v>0</v>
      </c>
      <c r="H334" s="16">
        <f t="shared" si="86"/>
        <v>0</v>
      </c>
      <c r="I334" s="53">
        <f t="shared" si="87"/>
        <v>0</v>
      </c>
      <c r="J334" s="174"/>
      <c r="K334" s="256">
        <v>0</v>
      </c>
      <c r="L334" s="16">
        <f t="shared" si="88"/>
        <v>0</v>
      </c>
      <c r="M334" s="53">
        <f t="shared" si="89"/>
        <v>0</v>
      </c>
      <c r="N334" s="174"/>
      <c r="O334" s="256">
        <v>11503060.96</v>
      </c>
      <c r="P334" s="16">
        <f t="shared" si="90"/>
        <v>-11503060.96</v>
      </c>
      <c r="Q334" s="53" t="str">
        <f t="shared" si="91"/>
        <v>N.M.</v>
      </c>
    </row>
    <row r="335" spans="1:17" s="15" customFormat="1" ht="12.75" hidden="1" outlineLevel="2">
      <c r="A335" s="15" t="s">
        <v>928</v>
      </c>
      <c r="B335" s="15" t="s">
        <v>929</v>
      </c>
      <c r="C335" s="134" t="s">
        <v>930</v>
      </c>
      <c r="D335" s="16"/>
      <c r="E335" s="16"/>
      <c r="F335" s="16">
        <v>5322749</v>
      </c>
      <c r="G335" s="16">
        <v>188111</v>
      </c>
      <c r="H335" s="16">
        <f t="shared" si="86"/>
        <v>5134638</v>
      </c>
      <c r="I335" s="53" t="str">
        <f t="shared" si="87"/>
        <v>N.M.</v>
      </c>
      <c r="J335" s="174"/>
      <c r="K335" s="256">
        <v>5057147</v>
      </c>
      <c r="L335" s="16">
        <f t="shared" si="88"/>
        <v>265602</v>
      </c>
      <c r="M335" s="53" t="str">
        <f t="shared" si="89"/>
        <v>N.M.</v>
      </c>
      <c r="N335" s="174"/>
      <c r="O335" s="256">
        <v>7048455</v>
      </c>
      <c r="P335" s="16">
        <f t="shared" si="90"/>
        <v>-1725706</v>
      </c>
      <c r="Q335" s="53">
        <f t="shared" si="91"/>
        <v>-0.2448346481604834</v>
      </c>
    </row>
    <row r="336" spans="1:17" s="15" customFormat="1" ht="12.75" hidden="1" outlineLevel="2">
      <c r="A336" s="15" t="s">
        <v>931</v>
      </c>
      <c r="B336" s="15" t="s">
        <v>932</v>
      </c>
      <c r="C336" s="134" t="s">
        <v>933</v>
      </c>
      <c r="D336" s="16"/>
      <c r="E336" s="16"/>
      <c r="F336" s="16">
        <v>19239.93</v>
      </c>
      <c r="G336" s="16">
        <v>16973.15</v>
      </c>
      <c r="H336" s="16">
        <f t="shared" si="86"/>
        <v>2266.779999999999</v>
      </c>
      <c r="I336" s="53">
        <f t="shared" si="87"/>
        <v>0.1335509319130508</v>
      </c>
      <c r="J336" s="174"/>
      <c r="K336" s="256">
        <v>39220.71</v>
      </c>
      <c r="L336" s="16">
        <f t="shared" si="88"/>
        <v>-19980.78</v>
      </c>
      <c r="M336" s="53" t="str">
        <f t="shared" si="89"/>
        <v>N.M.</v>
      </c>
      <c r="N336" s="174"/>
      <c r="O336" s="256">
        <v>35368.17</v>
      </c>
      <c r="P336" s="16">
        <f t="shared" si="90"/>
        <v>-16128.239999999998</v>
      </c>
      <c r="Q336" s="53">
        <f t="shared" si="91"/>
        <v>-0.4560100225711423</v>
      </c>
    </row>
    <row r="337" spans="1:17" s="15" customFormat="1" ht="12.75" hidden="1" outlineLevel="2">
      <c r="A337" s="15" t="s">
        <v>934</v>
      </c>
      <c r="B337" s="15" t="s">
        <v>935</v>
      </c>
      <c r="C337" s="134" t="s">
        <v>936</v>
      </c>
      <c r="D337" s="16"/>
      <c r="E337" s="16"/>
      <c r="F337" s="16">
        <v>206392.21</v>
      </c>
      <c r="G337" s="16">
        <v>188833.01</v>
      </c>
      <c r="H337" s="16">
        <f t="shared" si="86"/>
        <v>17559.199999999983</v>
      </c>
      <c r="I337" s="53">
        <f t="shared" si="87"/>
        <v>0.09298797916741348</v>
      </c>
      <c r="J337" s="174"/>
      <c r="K337" s="256">
        <v>160208</v>
      </c>
      <c r="L337" s="16">
        <f t="shared" si="88"/>
        <v>46184.20999999999</v>
      </c>
      <c r="M337" s="53" t="str">
        <f t="shared" si="89"/>
        <v>N.M.</v>
      </c>
      <c r="N337" s="174"/>
      <c r="O337" s="256">
        <v>195155.55000000002</v>
      </c>
      <c r="P337" s="16">
        <f t="shared" si="90"/>
        <v>11236.659999999974</v>
      </c>
      <c r="Q337" s="53">
        <f t="shared" si="91"/>
        <v>0.05757796793378397</v>
      </c>
    </row>
    <row r="338" spans="1:17" s="15" customFormat="1" ht="12.75" hidden="1" outlineLevel="2">
      <c r="A338" s="15" t="s">
        <v>937</v>
      </c>
      <c r="B338" s="15" t="s">
        <v>938</v>
      </c>
      <c r="C338" s="134" t="s">
        <v>939</v>
      </c>
      <c r="D338" s="16"/>
      <c r="E338" s="16"/>
      <c r="F338" s="16">
        <v>2865304.09</v>
      </c>
      <c r="G338" s="16">
        <v>2657455</v>
      </c>
      <c r="H338" s="16">
        <f t="shared" si="86"/>
        <v>207849.08999999985</v>
      </c>
      <c r="I338" s="53">
        <f t="shared" si="87"/>
        <v>0.0782135878123994</v>
      </c>
      <c r="J338" s="174"/>
      <c r="K338" s="256">
        <v>2770747.71</v>
      </c>
      <c r="L338" s="16">
        <f t="shared" si="88"/>
        <v>94556.37999999989</v>
      </c>
      <c r="M338" s="53" t="str">
        <f t="shared" si="89"/>
        <v>N.M.</v>
      </c>
      <c r="N338" s="174"/>
      <c r="O338" s="256">
        <v>3073686.353</v>
      </c>
      <c r="P338" s="16">
        <f t="shared" si="90"/>
        <v>-208382.26300000027</v>
      </c>
      <c r="Q338" s="53">
        <f t="shared" si="91"/>
        <v>-0.06779555200764502</v>
      </c>
    </row>
    <row r="339" spans="1:17" s="15" customFormat="1" ht="12.75" hidden="1" outlineLevel="2">
      <c r="A339" s="15" t="s">
        <v>940</v>
      </c>
      <c r="B339" s="15" t="s">
        <v>941</v>
      </c>
      <c r="C339" s="134" t="s">
        <v>942</v>
      </c>
      <c r="D339" s="16"/>
      <c r="E339" s="16"/>
      <c r="F339" s="16">
        <v>89047.45</v>
      </c>
      <c r="G339" s="16">
        <v>89867.14</v>
      </c>
      <c r="H339" s="16">
        <f t="shared" si="86"/>
        <v>-819.6900000000023</v>
      </c>
      <c r="I339" s="53">
        <f t="shared" si="87"/>
        <v>-0.009121131483654675</v>
      </c>
      <c r="J339" s="174"/>
      <c r="K339" s="256">
        <v>7206.95</v>
      </c>
      <c r="L339" s="16">
        <f t="shared" si="88"/>
        <v>81840.5</v>
      </c>
      <c r="M339" s="53" t="str">
        <f t="shared" si="89"/>
        <v>N.M.</v>
      </c>
      <c r="N339" s="174"/>
      <c r="O339" s="256">
        <v>170474.55000000002</v>
      </c>
      <c r="P339" s="16">
        <f t="shared" si="90"/>
        <v>-81427.10000000002</v>
      </c>
      <c r="Q339" s="53">
        <f t="shared" si="91"/>
        <v>-0.4776495963767026</v>
      </c>
    </row>
    <row r="340" spans="1:17" s="15" customFormat="1" ht="12.75" hidden="1" outlineLevel="2">
      <c r="A340" s="15" t="s">
        <v>943</v>
      </c>
      <c r="B340" s="15" t="s">
        <v>944</v>
      </c>
      <c r="C340" s="134" t="s">
        <v>945</v>
      </c>
      <c r="D340" s="16"/>
      <c r="E340" s="16"/>
      <c r="F340" s="16">
        <v>751.0500000000001</v>
      </c>
      <c r="G340" s="16">
        <v>520.97</v>
      </c>
      <c r="H340" s="16">
        <f t="shared" si="86"/>
        <v>230.08000000000004</v>
      </c>
      <c r="I340" s="53">
        <f t="shared" si="87"/>
        <v>0.44163771426377724</v>
      </c>
      <c r="J340" s="174"/>
      <c r="K340" s="256">
        <v>120</v>
      </c>
      <c r="L340" s="16">
        <f t="shared" si="88"/>
        <v>631.0500000000001</v>
      </c>
      <c r="M340" s="53" t="str">
        <f t="shared" si="89"/>
        <v>N.M.</v>
      </c>
      <c r="N340" s="174"/>
      <c r="O340" s="256">
        <v>13.98</v>
      </c>
      <c r="P340" s="16">
        <f t="shared" si="90"/>
        <v>737.07</v>
      </c>
      <c r="Q340" s="53" t="str">
        <f t="shared" si="91"/>
        <v>N.M.</v>
      </c>
    </row>
    <row r="341" spans="1:17" s="15" customFormat="1" ht="12.75" hidden="1" outlineLevel="2">
      <c r="A341" s="15" t="s">
        <v>946</v>
      </c>
      <c r="B341" s="15" t="s">
        <v>947</v>
      </c>
      <c r="C341" s="134" t="s">
        <v>948</v>
      </c>
      <c r="D341" s="16"/>
      <c r="E341" s="16"/>
      <c r="F341" s="16">
        <v>799.19</v>
      </c>
      <c r="G341" s="16">
        <v>8015.64</v>
      </c>
      <c r="H341" s="16">
        <f t="shared" si="86"/>
        <v>-7216.450000000001</v>
      </c>
      <c r="I341" s="53">
        <f t="shared" si="87"/>
        <v>-0.900296170985723</v>
      </c>
      <c r="J341" s="174"/>
      <c r="K341" s="256">
        <v>11.59</v>
      </c>
      <c r="L341" s="16">
        <f t="shared" si="88"/>
        <v>787.6</v>
      </c>
      <c r="M341" s="53" t="str">
        <f t="shared" si="89"/>
        <v>N.M.</v>
      </c>
      <c r="N341" s="174"/>
      <c r="O341" s="256">
        <v>17859.600000000002</v>
      </c>
      <c r="P341" s="16">
        <f t="shared" si="90"/>
        <v>-17060.410000000003</v>
      </c>
      <c r="Q341" s="53">
        <f t="shared" si="91"/>
        <v>-0.9552515173912071</v>
      </c>
    </row>
    <row r="342" spans="1:17" s="15" customFormat="1" ht="12.75" hidden="1" outlineLevel="2">
      <c r="A342" s="15" t="s">
        <v>949</v>
      </c>
      <c r="B342" s="15" t="s">
        <v>950</v>
      </c>
      <c r="C342" s="134" t="s">
        <v>951</v>
      </c>
      <c r="D342" s="16"/>
      <c r="E342" s="16"/>
      <c r="F342" s="16">
        <v>39997.88</v>
      </c>
      <c r="G342" s="16">
        <v>2183.13</v>
      </c>
      <c r="H342" s="16">
        <f t="shared" si="86"/>
        <v>37814.75</v>
      </c>
      <c r="I342" s="53" t="str">
        <f t="shared" si="87"/>
        <v>N.M.</v>
      </c>
      <c r="J342" s="174"/>
      <c r="K342" s="256">
        <v>19056.61</v>
      </c>
      <c r="L342" s="16">
        <f t="shared" si="88"/>
        <v>20941.269999999997</v>
      </c>
      <c r="M342" s="53" t="str">
        <f t="shared" si="89"/>
        <v>N.M.</v>
      </c>
      <c r="N342" s="174"/>
      <c r="O342" s="256">
        <v>5942.24</v>
      </c>
      <c r="P342" s="16">
        <f t="shared" si="90"/>
        <v>34055.64</v>
      </c>
      <c r="Q342" s="53">
        <f t="shared" si="91"/>
        <v>5.731111500040389</v>
      </c>
    </row>
    <row r="343" spans="1:17" s="15" customFormat="1" ht="12.75" hidden="1" outlineLevel="2">
      <c r="A343" s="15" t="s">
        <v>952</v>
      </c>
      <c r="B343" s="15" t="s">
        <v>953</v>
      </c>
      <c r="C343" s="134" t="s">
        <v>954</v>
      </c>
      <c r="D343" s="16"/>
      <c r="E343" s="16"/>
      <c r="F343" s="16">
        <v>350000</v>
      </c>
      <c r="G343" s="16">
        <v>350000</v>
      </c>
      <c r="H343" s="16">
        <f t="shared" si="86"/>
        <v>0</v>
      </c>
      <c r="I343" s="53">
        <f t="shared" si="87"/>
        <v>0</v>
      </c>
      <c r="J343" s="174"/>
      <c r="K343" s="256">
        <v>262500</v>
      </c>
      <c r="L343" s="16">
        <f t="shared" si="88"/>
        <v>87500</v>
      </c>
      <c r="M343" s="53" t="str">
        <f t="shared" si="89"/>
        <v>N.M.</v>
      </c>
      <c r="N343" s="174"/>
      <c r="O343" s="256">
        <v>87500</v>
      </c>
      <c r="P343" s="16">
        <f t="shared" si="90"/>
        <v>262500</v>
      </c>
      <c r="Q343" s="53">
        <f t="shared" si="91"/>
        <v>3</v>
      </c>
    </row>
    <row r="344" spans="1:17" s="15" customFormat="1" ht="12.75" hidden="1" outlineLevel="2">
      <c r="A344" s="15" t="s">
        <v>955</v>
      </c>
      <c r="B344" s="15" t="s">
        <v>956</v>
      </c>
      <c r="C344" s="134" t="s">
        <v>957</v>
      </c>
      <c r="D344" s="16"/>
      <c r="E344" s="16"/>
      <c r="F344" s="16">
        <v>0</v>
      </c>
      <c r="G344" s="16">
        <v>589</v>
      </c>
      <c r="H344" s="16">
        <f t="shared" si="86"/>
        <v>-589</v>
      </c>
      <c r="I344" s="53" t="str">
        <f t="shared" si="87"/>
        <v>N.M.</v>
      </c>
      <c r="J344" s="174"/>
      <c r="K344" s="256">
        <v>0</v>
      </c>
      <c r="L344" s="16">
        <f t="shared" si="88"/>
        <v>0</v>
      </c>
      <c r="M344" s="53">
        <f t="shared" si="89"/>
        <v>0</v>
      </c>
      <c r="N344" s="174"/>
      <c r="O344" s="256">
        <v>1051</v>
      </c>
      <c r="P344" s="16">
        <f t="shared" si="90"/>
        <v>-1051</v>
      </c>
      <c r="Q344" s="53" t="str">
        <f t="shared" si="91"/>
        <v>N.M.</v>
      </c>
    </row>
    <row r="345" spans="1:17" ht="12.75" collapsed="1">
      <c r="A345" s="11" t="s">
        <v>261</v>
      </c>
      <c r="C345" s="228" t="s">
        <v>192</v>
      </c>
      <c r="E345" s="11"/>
      <c r="F345" s="18">
        <v>28461979.716000002</v>
      </c>
      <c r="G345" s="18">
        <v>16538781.505000003</v>
      </c>
      <c r="H345" s="51">
        <f>+F345-G345</f>
        <v>11923198.211</v>
      </c>
      <c r="I345" s="136">
        <f>IF(G345&lt;0,IF(H345=0,0,IF(OR(G345=0,F345=0),"N.M.",IF(ABS(H345/G345)&gt;=10,"N.M.",H345/(-G345)))),IF(H345=0,0,IF(OR(G345=0,F345=0),"N.M.",IF(ABS(H345/G345)&gt;=10,"N.M.",H345/G345))))</f>
        <v>0.7209236186713863</v>
      </c>
      <c r="J345" s="166"/>
      <c r="K345" s="18">
        <v>29861128.78</v>
      </c>
      <c r="L345" s="51">
        <f>+F345-K345</f>
        <v>-1399149.0639999993</v>
      </c>
      <c r="M345" s="136" t="str">
        <f>IF(K345&lt;0,IF(L345=0,0,IF(OR(K345=0,N345=0),"N.M.",IF(ABS(L345/K345)&gt;=10,"N.M.",L345/(-K345)))),IF(L345=0,0,IF(OR(K345=0,N345=0),"N.M.",IF(ABS(L345/K345)&gt;=10,"N.M.",L345/K345))))</f>
        <v>N.M.</v>
      </c>
      <c r="N345" s="166"/>
      <c r="O345" s="18">
        <v>45877601.867</v>
      </c>
      <c r="P345" s="51">
        <f>+F345-O345</f>
        <v>-17415622.150999997</v>
      </c>
      <c r="Q345" s="136">
        <f>IF(O345&lt;0,IF(P345=0,0,IF(OR(O345=0,F345=0),"N.M.",IF(ABS(P345/O345)&gt;=10,"N.M.",P345/(-O345)))),IF(P345=0,0,IF(OR(O345=0,F345=0),"N.M.",IF(ABS(P345/O345)&gt;=10,"N.M.",P345/O345))))</f>
        <v>-0.3796105603228391</v>
      </c>
    </row>
    <row r="346" spans="3:17" ht="0.75" customHeight="1" hidden="1" outlineLevel="1">
      <c r="C346" s="228"/>
      <c r="E346" s="11"/>
      <c r="H346" s="51"/>
      <c r="I346" s="136"/>
      <c r="J346" s="166"/>
      <c r="K346" s="18"/>
      <c r="L346" s="51"/>
      <c r="M346" s="136"/>
      <c r="N346" s="166"/>
      <c r="O346" s="18"/>
      <c r="P346" s="51"/>
      <c r="Q346" s="136"/>
    </row>
    <row r="347" spans="1:17" s="15" customFormat="1" ht="12.75" hidden="1" outlineLevel="2">
      <c r="A347" s="15" t="s">
        <v>958</v>
      </c>
      <c r="B347" s="15" t="s">
        <v>959</v>
      </c>
      <c r="C347" s="134" t="s">
        <v>960</v>
      </c>
      <c r="D347" s="16"/>
      <c r="E347" s="16"/>
      <c r="F347" s="16">
        <v>21115978.38</v>
      </c>
      <c r="G347" s="16">
        <v>18828968.23</v>
      </c>
      <c r="H347" s="16">
        <f>+F347-G347</f>
        <v>2287010.1499999985</v>
      </c>
      <c r="I347" s="53">
        <f>IF(G347&lt;0,IF(H347=0,0,IF(OR(G347=0,F347=0),"N.M.",IF(ABS(H347/G347)&gt;=10,"N.M.",H347/(-G347)))),IF(H347=0,0,IF(OR(G347=0,F347=0),"N.M.",IF(ABS(H347/G347)&gt;=10,"N.M.",H347/G347))))</f>
        <v>0.1214623192340475</v>
      </c>
      <c r="J347" s="174"/>
      <c r="K347" s="256">
        <v>21024450.73</v>
      </c>
      <c r="L347" s="16">
        <f>+F347-K347</f>
        <v>91527.64999999851</v>
      </c>
      <c r="M347" s="53" t="str">
        <f>IF(K347&lt;0,IF(L347=0,0,IF(OR(K347=0,N347=0),"N.M.",IF(ABS(L347/K347)&gt;=10,"N.M.",L347/(-K347)))),IF(L347=0,0,IF(OR(K347=0,N347=0),"N.M.",IF(ABS(L347/K347)&gt;=10,"N.M.",L347/K347))))</f>
        <v>N.M.</v>
      </c>
      <c r="N347" s="174"/>
      <c r="O347" s="256">
        <v>19370357.42</v>
      </c>
      <c r="P347" s="16">
        <f>+F347-O347</f>
        <v>1745620.9599999972</v>
      </c>
      <c r="Q347" s="53">
        <f>IF(O347&lt;0,IF(P347=0,0,IF(OR(O347=0,F347=0),"N.M.",IF(ABS(P347/O347)&gt;=10,"N.M.",P347/(-O347)))),IF(P347=0,0,IF(OR(O347=0,F347=0),"N.M.",IF(ABS(P347/O347)&gt;=10,"N.M.",P347/O347))))</f>
        <v>0.09011815952335675</v>
      </c>
    </row>
    <row r="348" spans="1:17" s="15" customFormat="1" ht="12.75" hidden="1" outlineLevel="2">
      <c r="A348" s="15" t="s">
        <v>961</v>
      </c>
      <c r="B348" s="15" t="s">
        <v>962</v>
      </c>
      <c r="C348" s="134" t="s">
        <v>963</v>
      </c>
      <c r="D348" s="16"/>
      <c r="E348" s="16"/>
      <c r="F348" s="16">
        <v>340524.48</v>
      </c>
      <c r="G348" s="16">
        <v>1616880.46</v>
      </c>
      <c r="H348" s="16">
        <f>+F348-G348</f>
        <v>-1276355.98</v>
      </c>
      <c r="I348" s="53">
        <f>IF(G348&lt;0,IF(H348=0,0,IF(OR(G348=0,F348=0),"N.M.",IF(ABS(H348/G348)&gt;=10,"N.M.",H348/(-G348)))),IF(H348=0,0,IF(OR(G348=0,F348=0),"N.M.",IF(ABS(H348/G348)&gt;=10,"N.M.",H348/G348))))</f>
        <v>-0.7893941522430175</v>
      </c>
      <c r="J348" s="174"/>
      <c r="K348" s="256">
        <v>491201.7</v>
      </c>
      <c r="L348" s="16">
        <f>+F348-K348</f>
        <v>-150677.22000000003</v>
      </c>
      <c r="M348" s="53" t="str">
        <f>IF(K348&lt;0,IF(L348=0,0,IF(OR(K348=0,N348=0),"N.M.",IF(ABS(L348/K348)&gt;=10,"N.M.",L348/(-K348)))),IF(L348=0,0,IF(OR(K348=0,N348=0),"N.M.",IF(ABS(L348/K348)&gt;=10,"N.M.",L348/K348))))</f>
        <v>N.M.</v>
      </c>
      <c r="N348" s="174"/>
      <c r="O348" s="256">
        <v>697186.54</v>
      </c>
      <c r="P348" s="16">
        <f>+F348-O348</f>
        <v>-356662.06000000006</v>
      </c>
      <c r="Q348" s="53">
        <f>IF(O348&lt;0,IF(P348=0,0,IF(OR(O348=0,F348=0),"N.M.",IF(ABS(P348/O348)&gt;=10,"N.M.",P348/(-O348)))),IF(P348=0,0,IF(OR(O348=0,F348=0),"N.M.",IF(ABS(P348/O348)&gt;=10,"N.M.",P348/O348))))</f>
        <v>-0.5115733588316264</v>
      </c>
    </row>
    <row r="349" spans="1:17" s="15" customFormat="1" ht="12.75" hidden="1" outlineLevel="2">
      <c r="A349" s="15" t="s">
        <v>964</v>
      </c>
      <c r="B349" s="15" t="s">
        <v>965</v>
      </c>
      <c r="C349" s="134" t="s">
        <v>966</v>
      </c>
      <c r="D349" s="16"/>
      <c r="E349" s="16"/>
      <c r="F349" s="16">
        <v>-296985</v>
      </c>
      <c r="G349" s="16">
        <v>-1307921</v>
      </c>
      <c r="H349" s="16">
        <f>+F349-G349</f>
        <v>1010936</v>
      </c>
      <c r="I349" s="53">
        <f>IF(G349&lt;0,IF(H349=0,0,IF(OR(G349=0,F349=0),"N.M.",IF(ABS(H349/G349)&gt;=10,"N.M.",H349/(-G349)))),IF(H349=0,0,IF(OR(G349=0,F349=0),"N.M.",IF(ABS(H349/G349)&gt;=10,"N.M.",H349/G349))))</f>
        <v>0.7729335334473565</v>
      </c>
      <c r="J349" s="174"/>
      <c r="K349" s="256">
        <v>-103225</v>
      </c>
      <c r="L349" s="16">
        <f>+F349-K349</f>
        <v>-193760</v>
      </c>
      <c r="M349" s="53" t="str">
        <f>IF(K349&lt;0,IF(L349=0,0,IF(OR(K349=0,N349=0),"N.M.",IF(ABS(L349/K349)&gt;=10,"N.M.",L349/(-K349)))),IF(L349=0,0,IF(OR(K349=0,N349=0),"N.M.",IF(ABS(L349/K349)&gt;=10,"N.M.",L349/K349))))</f>
        <v>N.M.</v>
      </c>
      <c r="N349" s="174"/>
      <c r="O349" s="256">
        <v>-375017</v>
      </c>
      <c r="P349" s="16">
        <f>+F349-O349</f>
        <v>78032</v>
      </c>
      <c r="Q349" s="53">
        <f>IF(O349&lt;0,IF(P349=0,0,IF(OR(O349=0,F349=0),"N.M.",IF(ABS(P349/O349)&gt;=10,"N.M.",P349/(-O349)))),IF(P349=0,0,IF(OR(O349=0,F349=0),"N.M.",IF(ABS(P349/O349)&gt;=10,"N.M.",P349/O349))))</f>
        <v>0.20807590055917466</v>
      </c>
    </row>
    <row r="350" spans="1:17" ht="12.75" collapsed="1">
      <c r="A350" s="11" t="s">
        <v>262</v>
      </c>
      <c r="C350" s="228" t="s">
        <v>193</v>
      </c>
      <c r="E350" s="11"/>
      <c r="F350" s="18">
        <v>21159517.86</v>
      </c>
      <c r="G350" s="18">
        <v>19137927.69</v>
      </c>
      <c r="H350" s="51">
        <f>+F350-G350</f>
        <v>2021590.169999998</v>
      </c>
      <c r="I350" s="136">
        <f>IF(G350&lt;0,IF(H350=0,0,IF(OR(G350=0,F350=0),"N.M.",IF(ABS(H350/G350)&gt;=10,"N.M.",H350/(-G350)))),IF(H350=0,0,IF(OR(G350=0,F350=0),"N.M.",IF(ABS(H350/G350)&gt;=10,"N.M.",H350/G350))))</f>
        <v>0.10563265797353412</v>
      </c>
      <c r="J350" s="166"/>
      <c r="K350" s="18">
        <v>21412427.43</v>
      </c>
      <c r="L350" s="51">
        <f>+F350-K350</f>
        <v>-252909.5700000003</v>
      </c>
      <c r="M350" s="136" t="str">
        <f>IF(K350&lt;0,IF(L350=0,0,IF(OR(K350=0,N350=0),"N.M.",IF(ABS(L350/K350)&gt;=10,"N.M.",L350/(-K350)))),IF(L350=0,0,IF(OR(K350=0,N350=0),"N.M.",IF(ABS(L350/K350)&gt;=10,"N.M.",L350/K350))))</f>
        <v>N.M.</v>
      </c>
      <c r="N350" s="166"/>
      <c r="O350" s="18">
        <v>19692526.96</v>
      </c>
      <c r="P350" s="51">
        <f>+F350-O350</f>
        <v>1466990.8999999985</v>
      </c>
      <c r="Q350" s="136">
        <f>IF(O350&lt;0,IF(P350=0,0,IF(OR(O350=0,F350=0),"N.M.",IF(ABS(P350/O350)&gt;=10,"N.M.",P350/(-O350)))),IF(P350=0,0,IF(OR(O350=0,F350=0),"N.M.",IF(ABS(P350/O350)&gt;=10,"N.M.",P350/O350))))</f>
        <v>0.07449480216428245</v>
      </c>
    </row>
    <row r="351" spans="3:17" ht="0.75" customHeight="1" hidden="1" outlineLevel="1">
      <c r="C351" s="228"/>
      <c r="E351" s="11"/>
      <c r="H351" s="51"/>
      <c r="I351" s="136"/>
      <c r="J351" s="166"/>
      <c r="K351" s="18"/>
      <c r="L351" s="51"/>
      <c r="M351" s="136"/>
      <c r="N351" s="166"/>
      <c r="O351" s="18"/>
      <c r="P351" s="51"/>
      <c r="Q351" s="136"/>
    </row>
    <row r="352" spans="1:17" s="15" customFormat="1" ht="12.75" hidden="1" outlineLevel="2">
      <c r="A352" s="15" t="s">
        <v>967</v>
      </c>
      <c r="B352" s="15" t="s">
        <v>968</v>
      </c>
      <c r="C352" s="134" t="s">
        <v>969</v>
      </c>
      <c r="D352" s="16"/>
      <c r="E352" s="16"/>
      <c r="F352" s="16">
        <v>8856833.9</v>
      </c>
      <c r="G352" s="16">
        <v>-3382423.42</v>
      </c>
      <c r="H352" s="16">
        <f aca="true" t="shared" si="92" ref="H352:H383">+F352-G352</f>
        <v>12239257.32</v>
      </c>
      <c r="I352" s="53">
        <f aca="true" t="shared" si="93" ref="I352:I383">IF(G352&lt;0,IF(H352=0,0,IF(OR(G352=0,F352=0),"N.M.",IF(ABS(H352/G352)&gt;=10,"N.M.",H352/(-G352)))),IF(H352=0,0,IF(OR(G352=0,F352=0),"N.M.",IF(ABS(H352/G352)&gt;=10,"N.M.",H352/G352))))</f>
        <v>3.6184876345256622</v>
      </c>
      <c r="J352" s="174"/>
      <c r="K352" s="256">
        <v>20250847.03</v>
      </c>
      <c r="L352" s="16">
        <f aca="true" t="shared" si="94" ref="L352:L383">+F352-K352</f>
        <v>-11394013.13</v>
      </c>
      <c r="M352" s="53" t="str">
        <f aca="true" t="shared" si="95" ref="M352:M383">IF(K352&lt;0,IF(L352=0,0,IF(OR(K352=0,N352=0),"N.M.",IF(ABS(L352/K352)&gt;=10,"N.M.",L352/(-K352)))),IF(L352=0,0,IF(OR(K352=0,N352=0),"N.M.",IF(ABS(L352/K352)&gt;=10,"N.M.",L352/K352))))</f>
        <v>N.M.</v>
      </c>
      <c r="N352" s="174"/>
      <c r="O352" s="256">
        <v>6894905.85</v>
      </c>
      <c r="P352" s="16">
        <f aca="true" t="shared" si="96" ref="P352:P383">+F352-O352</f>
        <v>1961928.0500000007</v>
      </c>
      <c r="Q352" s="53">
        <f aca="true" t="shared" si="97" ref="Q352:Q383">IF(O352&lt;0,IF(P352=0,0,IF(OR(O352=0,F352=0),"N.M.",IF(ABS(P352/O352)&gt;=10,"N.M.",P352/(-O352)))),IF(P352=0,0,IF(OR(O352=0,F352=0),"N.M.",IF(ABS(P352/O352)&gt;=10,"N.M.",P352/O352))))</f>
        <v>0.28454747500286764</v>
      </c>
    </row>
    <row r="353" spans="1:17" s="15" customFormat="1" ht="12.75" hidden="1" outlineLevel="2">
      <c r="A353" s="15" t="s">
        <v>970</v>
      </c>
      <c r="B353" s="15" t="s">
        <v>971</v>
      </c>
      <c r="C353" s="134" t="s">
        <v>972</v>
      </c>
      <c r="D353" s="16"/>
      <c r="E353" s="16"/>
      <c r="F353" s="16">
        <v>0</v>
      </c>
      <c r="G353" s="16">
        <v>-4725396.5600000005</v>
      </c>
      <c r="H353" s="16">
        <f t="shared" si="92"/>
        <v>4725396.5600000005</v>
      </c>
      <c r="I353" s="53" t="str">
        <f t="shared" si="93"/>
        <v>N.M.</v>
      </c>
      <c r="J353" s="174"/>
      <c r="K353" s="256">
        <v>0</v>
      </c>
      <c r="L353" s="16">
        <f t="shared" si="94"/>
        <v>0</v>
      </c>
      <c r="M353" s="53">
        <f t="shared" si="95"/>
        <v>0</v>
      </c>
      <c r="N353" s="174"/>
      <c r="O353" s="256">
        <v>0</v>
      </c>
      <c r="P353" s="16">
        <f t="shared" si="96"/>
        <v>0</v>
      </c>
      <c r="Q353" s="53">
        <f t="shared" si="97"/>
        <v>0</v>
      </c>
    </row>
    <row r="354" spans="1:17" s="15" customFormat="1" ht="12.75" hidden="1" outlineLevel="2">
      <c r="A354" s="15" t="s">
        <v>973</v>
      </c>
      <c r="B354" s="15" t="s">
        <v>974</v>
      </c>
      <c r="C354" s="134" t="s">
        <v>972</v>
      </c>
      <c r="D354" s="16"/>
      <c r="E354" s="16"/>
      <c r="F354" s="16">
        <v>-1397402.7</v>
      </c>
      <c r="G354" s="16">
        <v>517122.58</v>
      </c>
      <c r="H354" s="16">
        <f t="shared" si="92"/>
        <v>-1914525.28</v>
      </c>
      <c r="I354" s="53">
        <f t="shared" si="93"/>
        <v>-3.7022658728226485</v>
      </c>
      <c r="J354" s="174"/>
      <c r="K354" s="256">
        <v>-1397402.7</v>
      </c>
      <c r="L354" s="16">
        <f t="shared" si="94"/>
        <v>0</v>
      </c>
      <c r="M354" s="53">
        <f t="shared" si="95"/>
        <v>0</v>
      </c>
      <c r="N354" s="174"/>
      <c r="O354" s="256">
        <v>-1419402.7</v>
      </c>
      <c r="P354" s="16">
        <f t="shared" si="96"/>
        <v>22000</v>
      </c>
      <c r="Q354" s="53">
        <f t="shared" si="97"/>
        <v>0.015499477350578522</v>
      </c>
    </row>
    <row r="355" spans="1:17" s="15" customFormat="1" ht="12.75" hidden="1" outlineLevel="2">
      <c r="A355" s="15" t="s">
        <v>975</v>
      </c>
      <c r="B355" s="15" t="s">
        <v>976</v>
      </c>
      <c r="C355" s="134" t="s">
        <v>972</v>
      </c>
      <c r="D355" s="16"/>
      <c r="E355" s="16"/>
      <c r="F355" s="16">
        <v>2395884.98</v>
      </c>
      <c r="G355" s="16">
        <v>0</v>
      </c>
      <c r="H355" s="16">
        <f t="shared" si="92"/>
        <v>2395884.98</v>
      </c>
      <c r="I355" s="53" t="str">
        <f t="shared" si="93"/>
        <v>N.M.</v>
      </c>
      <c r="J355" s="174"/>
      <c r="K355" s="256">
        <v>3046044.31</v>
      </c>
      <c r="L355" s="16">
        <f t="shared" si="94"/>
        <v>-650159.3300000001</v>
      </c>
      <c r="M355" s="53" t="str">
        <f t="shared" si="95"/>
        <v>N.M.</v>
      </c>
      <c r="N355" s="174"/>
      <c r="O355" s="256">
        <v>0</v>
      </c>
      <c r="P355" s="16">
        <f t="shared" si="96"/>
        <v>2395884.98</v>
      </c>
      <c r="Q355" s="53" t="str">
        <f t="shared" si="97"/>
        <v>N.M.</v>
      </c>
    </row>
    <row r="356" spans="1:17" s="15" customFormat="1" ht="12.75" hidden="1" outlineLevel="2">
      <c r="A356" s="15" t="s">
        <v>977</v>
      </c>
      <c r="B356" s="15" t="s">
        <v>978</v>
      </c>
      <c r="C356" s="134" t="s">
        <v>979</v>
      </c>
      <c r="D356" s="16"/>
      <c r="E356" s="16"/>
      <c r="F356" s="16">
        <v>86926.44</v>
      </c>
      <c r="G356" s="16">
        <v>81762.14</v>
      </c>
      <c r="H356" s="16">
        <f t="shared" si="92"/>
        <v>5164.300000000003</v>
      </c>
      <c r="I356" s="53">
        <f t="shared" si="93"/>
        <v>0.0631624857177173</v>
      </c>
      <c r="J356" s="174"/>
      <c r="K356" s="256">
        <v>77704.87</v>
      </c>
      <c r="L356" s="16">
        <f t="shared" si="94"/>
        <v>9221.570000000007</v>
      </c>
      <c r="M356" s="53" t="str">
        <f t="shared" si="95"/>
        <v>N.M.</v>
      </c>
      <c r="N356" s="174"/>
      <c r="O356" s="256">
        <v>168874.31</v>
      </c>
      <c r="P356" s="16">
        <f t="shared" si="96"/>
        <v>-81947.87</v>
      </c>
      <c r="Q356" s="53">
        <f t="shared" si="97"/>
        <v>-0.48525954006858707</v>
      </c>
    </row>
    <row r="357" spans="1:17" s="15" customFormat="1" ht="12.75" hidden="1" outlineLevel="2">
      <c r="A357" s="15" t="s">
        <v>980</v>
      </c>
      <c r="B357" s="15" t="s">
        <v>981</v>
      </c>
      <c r="C357" s="134" t="s">
        <v>982</v>
      </c>
      <c r="D357" s="16"/>
      <c r="E357" s="16"/>
      <c r="F357" s="16">
        <v>56</v>
      </c>
      <c r="G357" s="16">
        <v>1343.04</v>
      </c>
      <c r="H357" s="16">
        <f t="shared" si="92"/>
        <v>-1287.04</v>
      </c>
      <c r="I357" s="53">
        <f t="shared" si="93"/>
        <v>-0.9583035501548726</v>
      </c>
      <c r="J357" s="174"/>
      <c r="K357" s="256">
        <v>56</v>
      </c>
      <c r="L357" s="16">
        <f t="shared" si="94"/>
        <v>0</v>
      </c>
      <c r="M357" s="53">
        <f t="shared" si="95"/>
        <v>0</v>
      </c>
      <c r="N357" s="174"/>
      <c r="O357" s="256">
        <v>7203.53</v>
      </c>
      <c r="P357" s="16">
        <f t="shared" si="96"/>
        <v>-7147.53</v>
      </c>
      <c r="Q357" s="53">
        <f t="shared" si="97"/>
        <v>-0.992226033625181</v>
      </c>
    </row>
    <row r="358" spans="1:17" s="15" customFormat="1" ht="12.75" hidden="1" outlineLevel="2">
      <c r="A358" s="15" t="s">
        <v>983</v>
      </c>
      <c r="B358" s="15" t="s">
        <v>984</v>
      </c>
      <c r="C358" s="134" t="s">
        <v>985</v>
      </c>
      <c r="D358" s="16"/>
      <c r="E358" s="16"/>
      <c r="F358" s="16">
        <v>80</v>
      </c>
      <c r="G358" s="16">
        <v>1956.83</v>
      </c>
      <c r="H358" s="16">
        <f t="shared" si="92"/>
        <v>-1876.83</v>
      </c>
      <c r="I358" s="53">
        <f t="shared" si="93"/>
        <v>-0.9591175523678602</v>
      </c>
      <c r="J358" s="174"/>
      <c r="K358" s="256">
        <v>80</v>
      </c>
      <c r="L358" s="16">
        <f t="shared" si="94"/>
        <v>0</v>
      </c>
      <c r="M358" s="53">
        <f t="shared" si="95"/>
        <v>0</v>
      </c>
      <c r="N358" s="174"/>
      <c r="O358" s="256">
        <v>9585.49</v>
      </c>
      <c r="P358" s="16">
        <f t="shared" si="96"/>
        <v>-9505.49</v>
      </c>
      <c r="Q358" s="53">
        <f t="shared" si="97"/>
        <v>-0.9916540521141851</v>
      </c>
    </row>
    <row r="359" spans="1:17" s="15" customFormat="1" ht="12.75" hidden="1" outlineLevel="2">
      <c r="A359" s="15" t="s">
        <v>986</v>
      </c>
      <c r="B359" s="15" t="s">
        <v>987</v>
      </c>
      <c r="C359" s="134" t="s">
        <v>988</v>
      </c>
      <c r="D359" s="16"/>
      <c r="E359" s="16"/>
      <c r="F359" s="16">
        <v>0</v>
      </c>
      <c r="G359" s="16">
        <v>21652.87</v>
      </c>
      <c r="H359" s="16">
        <f t="shared" si="92"/>
        <v>-21652.87</v>
      </c>
      <c r="I359" s="53" t="str">
        <f t="shared" si="93"/>
        <v>N.M.</v>
      </c>
      <c r="J359" s="174"/>
      <c r="K359" s="256">
        <v>0</v>
      </c>
      <c r="L359" s="16">
        <f t="shared" si="94"/>
        <v>0</v>
      </c>
      <c r="M359" s="53">
        <f t="shared" si="95"/>
        <v>0</v>
      </c>
      <c r="N359" s="174"/>
      <c r="O359" s="256">
        <v>65517.1</v>
      </c>
      <c r="P359" s="16">
        <f t="shared" si="96"/>
        <v>-65517.1</v>
      </c>
      <c r="Q359" s="53" t="str">
        <f t="shared" si="97"/>
        <v>N.M.</v>
      </c>
    </row>
    <row r="360" spans="1:17" s="15" customFormat="1" ht="12.75" hidden="1" outlineLevel="2">
      <c r="A360" s="15" t="s">
        <v>989</v>
      </c>
      <c r="B360" s="15" t="s">
        <v>990</v>
      </c>
      <c r="C360" s="134" t="s">
        <v>988</v>
      </c>
      <c r="D360" s="16"/>
      <c r="E360" s="16"/>
      <c r="F360" s="16">
        <v>76029.75</v>
      </c>
      <c r="G360" s="16">
        <v>0</v>
      </c>
      <c r="H360" s="16">
        <f t="shared" si="92"/>
        <v>76029.75</v>
      </c>
      <c r="I360" s="53" t="str">
        <f t="shared" si="93"/>
        <v>N.M.</v>
      </c>
      <c r="J360" s="174"/>
      <c r="K360" s="256">
        <v>77246.35</v>
      </c>
      <c r="L360" s="16">
        <f t="shared" si="94"/>
        <v>-1216.6000000000058</v>
      </c>
      <c r="M360" s="53" t="str">
        <f t="shared" si="95"/>
        <v>N.M.</v>
      </c>
      <c r="N360" s="174"/>
      <c r="O360" s="256">
        <v>0</v>
      </c>
      <c r="P360" s="16">
        <f t="shared" si="96"/>
        <v>76029.75</v>
      </c>
      <c r="Q360" s="53" t="str">
        <f t="shared" si="97"/>
        <v>N.M.</v>
      </c>
    </row>
    <row r="361" spans="1:17" s="15" customFormat="1" ht="12.75" hidden="1" outlineLevel="2">
      <c r="A361" s="15" t="s">
        <v>991</v>
      </c>
      <c r="B361" s="15" t="s">
        <v>992</v>
      </c>
      <c r="C361" s="134" t="s">
        <v>993</v>
      </c>
      <c r="D361" s="16"/>
      <c r="E361" s="16"/>
      <c r="F361" s="16">
        <v>49636.96</v>
      </c>
      <c r="G361" s="16">
        <v>165000</v>
      </c>
      <c r="H361" s="16">
        <f t="shared" si="92"/>
        <v>-115363.04000000001</v>
      </c>
      <c r="I361" s="53">
        <f t="shared" si="93"/>
        <v>-0.6991699393939395</v>
      </c>
      <c r="J361" s="174"/>
      <c r="K361" s="256">
        <v>109636.96</v>
      </c>
      <c r="L361" s="16">
        <f t="shared" si="94"/>
        <v>-60000.00000000001</v>
      </c>
      <c r="M361" s="53" t="str">
        <f t="shared" si="95"/>
        <v>N.M.</v>
      </c>
      <c r="N361" s="174"/>
      <c r="O361" s="256">
        <v>136260.95</v>
      </c>
      <c r="P361" s="16">
        <f t="shared" si="96"/>
        <v>-86623.99000000002</v>
      </c>
      <c r="Q361" s="53">
        <f t="shared" si="97"/>
        <v>-0.6357213126724862</v>
      </c>
    </row>
    <row r="362" spans="1:17" s="15" customFormat="1" ht="12.75" hidden="1" outlineLevel="2">
      <c r="A362" s="15" t="s">
        <v>994</v>
      </c>
      <c r="B362" s="15" t="s">
        <v>995</v>
      </c>
      <c r="C362" s="134" t="s">
        <v>993</v>
      </c>
      <c r="D362" s="16"/>
      <c r="E362" s="16"/>
      <c r="F362" s="16">
        <v>31714.5</v>
      </c>
      <c r="G362" s="16">
        <v>9323500</v>
      </c>
      <c r="H362" s="16">
        <f t="shared" si="92"/>
        <v>-9291785.5</v>
      </c>
      <c r="I362" s="53">
        <f t="shared" si="93"/>
        <v>-0.9965984340644608</v>
      </c>
      <c r="J362" s="174"/>
      <c r="K362" s="256">
        <v>29638.36</v>
      </c>
      <c r="L362" s="16">
        <f t="shared" si="94"/>
        <v>2076.1399999999994</v>
      </c>
      <c r="M362" s="53" t="str">
        <f t="shared" si="95"/>
        <v>N.M.</v>
      </c>
      <c r="N362" s="174"/>
      <c r="O362" s="256">
        <v>6047621.56</v>
      </c>
      <c r="P362" s="16">
        <f t="shared" si="96"/>
        <v>-6015907.06</v>
      </c>
      <c r="Q362" s="53">
        <f t="shared" si="97"/>
        <v>-0.9947558722573242</v>
      </c>
    </row>
    <row r="363" spans="1:17" s="15" customFormat="1" ht="12.75" hidden="1" outlineLevel="2">
      <c r="A363" s="15" t="s">
        <v>996</v>
      </c>
      <c r="B363" s="15" t="s">
        <v>997</v>
      </c>
      <c r="C363" s="134" t="s">
        <v>998</v>
      </c>
      <c r="D363" s="16"/>
      <c r="E363" s="16"/>
      <c r="F363" s="16">
        <v>8691548</v>
      </c>
      <c r="G363" s="16">
        <v>0</v>
      </c>
      <c r="H363" s="16">
        <f t="shared" si="92"/>
        <v>8691548</v>
      </c>
      <c r="I363" s="53" t="str">
        <f t="shared" si="93"/>
        <v>N.M.</v>
      </c>
      <c r="J363" s="174"/>
      <c r="K363" s="256">
        <v>8691548</v>
      </c>
      <c r="L363" s="16">
        <f t="shared" si="94"/>
        <v>0</v>
      </c>
      <c r="M363" s="53">
        <f t="shared" si="95"/>
        <v>0</v>
      </c>
      <c r="N363" s="174"/>
      <c r="O363" s="256">
        <v>7970436</v>
      </c>
      <c r="P363" s="16">
        <f t="shared" si="96"/>
        <v>721112</v>
      </c>
      <c r="Q363" s="53">
        <f t="shared" si="97"/>
        <v>0.09047334424365241</v>
      </c>
    </row>
    <row r="364" spans="1:17" s="15" customFormat="1" ht="12.75" hidden="1" outlineLevel="2">
      <c r="A364" s="15" t="s">
        <v>999</v>
      </c>
      <c r="B364" s="15" t="s">
        <v>1000</v>
      </c>
      <c r="C364" s="134" t="s">
        <v>1001</v>
      </c>
      <c r="D364" s="16"/>
      <c r="E364" s="16"/>
      <c r="F364" s="16">
        <v>100.77</v>
      </c>
      <c r="G364" s="16">
        <v>0</v>
      </c>
      <c r="H364" s="16">
        <f t="shared" si="92"/>
        <v>100.77</v>
      </c>
      <c r="I364" s="53" t="str">
        <f t="shared" si="93"/>
        <v>N.M.</v>
      </c>
      <c r="J364" s="174"/>
      <c r="K364" s="256">
        <v>100.77</v>
      </c>
      <c r="L364" s="16">
        <f t="shared" si="94"/>
        <v>0</v>
      </c>
      <c r="M364" s="53">
        <f t="shared" si="95"/>
        <v>0</v>
      </c>
      <c r="N364" s="174"/>
      <c r="O364" s="256">
        <v>0</v>
      </c>
      <c r="P364" s="16">
        <f t="shared" si="96"/>
        <v>100.77</v>
      </c>
      <c r="Q364" s="53" t="str">
        <f t="shared" si="97"/>
        <v>N.M.</v>
      </c>
    </row>
    <row r="365" spans="1:17" s="15" customFormat="1" ht="12.75" hidden="1" outlineLevel="2">
      <c r="A365" s="15" t="s">
        <v>1002</v>
      </c>
      <c r="B365" s="15" t="s">
        <v>1003</v>
      </c>
      <c r="C365" s="134" t="s">
        <v>1004</v>
      </c>
      <c r="D365" s="16"/>
      <c r="E365" s="16"/>
      <c r="F365" s="16">
        <v>0</v>
      </c>
      <c r="G365" s="16">
        <v>-25500</v>
      </c>
      <c r="H365" s="16">
        <f t="shared" si="92"/>
        <v>25500</v>
      </c>
      <c r="I365" s="53" t="str">
        <f t="shared" si="93"/>
        <v>N.M.</v>
      </c>
      <c r="J365" s="174"/>
      <c r="K365" s="256">
        <v>0</v>
      </c>
      <c r="L365" s="16">
        <f t="shared" si="94"/>
        <v>0</v>
      </c>
      <c r="M365" s="53">
        <f t="shared" si="95"/>
        <v>0</v>
      </c>
      <c r="N365" s="174"/>
      <c r="O365" s="256">
        <v>0</v>
      </c>
      <c r="P365" s="16">
        <f t="shared" si="96"/>
        <v>0</v>
      </c>
      <c r="Q365" s="53">
        <f t="shared" si="97"/>
        <v>0</v>
      </c>
    </row>
    <row r="366" spans="1:17" s="15" customFormat="1" ht="12.75" hidden="1" outlineLevel="2">
      <c r="A366" s="15" t="s">
        <v>1005</v>
      </c>
      <c r="B366" s="15" t="s">
        <v>1006</v>
      </c>
      <c r="C366" s="134" t="s">
        <v>1004</v>
      </c>
      <c r="D366" s="16"/>
      <c r="E366" s="16"/>
      <c r="F366" s="16">
        <v>0</v>
      </c>
      <c r="G366" s="16">
        <v>80100</v>
      </c>
      <c r="H366" s="16">
        <f t="shared" si="92"/>
        <v>-80100</v>
      </c>
      <c r="I366" s="53" t="str">
        <f t="shared" si="93"/>
        <v>N.M.</v>
      </c>
      <c r="J366" s="174"/>
      <c r="K366" s="256">
        <v>0</v>
      </c>
      <c r="L366" s="16">
        <f t="shared" si="94"/>
        <v>0</v>
      </c>
      <c r="M366" s="53">
        <f t="shared" si="95"/>
        <v>0</v>
      </c>
      <c r="N366" s="174"/>
      <c r="O366" s="256">
        <v>0</v>
      </c>
      <c r="P366" s="16">
        <f t="shared" si="96"/>
        <v>0</v>
      </c>
      <c r="Q366" s="53">
        <f t="shared" si="97"/>
        <v>0</v>
      </c>
    </row>
    <row r="367" spans="1:17" s="15" customFormat="1" ht="12.75" hidden="1" outlineLevel="2">
      <c r="A367" s="15" t="s">
        <v>1007</v>
      </c>
      <c r="B367" s="15" t="s">
        <v>1008</v>
      </c>
      <c r="C367" s="134" t="s">
        <v>1004</v>
      </c>
      <c r="D367" s="16"/>
      <c r="E367" s="16"/>
      <c r="F367" s="16">
        <v>29392</v>
      </c>
      <c r="G367" s="16">
        <v>0</v>
      </c>
      <c r="H367" s="16">
        <f t="shared" si="92"/>
        <v>29392</v>
      </c>
      <c r="I367" s="53" t="str">
        <f t="shared" si="93"/>
        <v>N.M.</v>
      </c>
      <c r="J367" s="174"/>
      <c r="K367" s="256">
        <v>29392</v>
      </c>
      <c r="L367" s="16">
        <f t="shared" si="94"/>
        <v>0</v>
      </c>
      <c r="M367" s="53">
        <f t="shared" si="95"/>
        <v>0</v>
      </c>
      <c r="N367" s="174"/>
      <c r="O367" s="256">
        <v>0</v>
      </c>
      <c r="P367" s="16">
        <f t="shared" si="96"/>
        <v>29392</v>
      </c>
      <c r="Q367" s="53" t="str">
        <f t="shared" si="97"/>
        <v>N.M.</v>
      </c>
    </row>
    <row r="368" spans="1:17" s="15" customFormat="1" ht="12.75" hidden="1" outlineLevel="2">
      <c r="A368" s="15" t="s">
        <v>1009</v>
      </c>
      <c r="B368" s="15" t="s">
        <v>1010</v>
      </c>
      <c r="C368" s="134" t="s">
        <v>1011</v>
      </c>
      <c r="D368" s="16"/>
      <c r="E368" s="16"/>
      <c r="F368" s="16">
        <v>0</v>
      </c>
      <c r="G368" s="16">
        <v>64716</v>
      </c>
      <c r="H368" s="16">
        <f t="shared" si="92"/>
        <v>-64716</v>
      </c>
      <c r="I368" s="53" t="str">
        <f t="shared" si="93"/>
        <v>N.M.</v>
      </c>
      <c r="J368" s="174"/>
      <c r="K368" s="256">
        <v>0</v>
      </c>
      <c r="L368" s="16">
        <f t="shared" si="94"/>
        <v>0</v>
      </c>
      <c r="M368" s="53">
        <f t="shared" si="95"/>
        <v>0</v>
      </c>
      <c r="N368" s="174"/>
      <c r="O368" s="256">
        <v>64716</v>
      </c>
      <c r="P368" s="16">
        <f t="shared" si="96"/>
        <v>-64716</v>
      </c>
      <c r="Q368" s="53" t="str">
        <f t="shared" si="97"/>
        <v>N.M.</v>
      </c>
    </row>
    <row r="369" spans="1:17" s="15" customFormat="1" ht="12.75" hidden="1" outlineLevel="2">
      <c r="A369" s="15" t="s">
        <v>1012</v>
      </c>
      <c r="B369" s="15" t="s">
        <v>1013</v>
      </c>
      <c r="C369" s="134" t="s">
        <v>1011</v>
      </c>
      <c r="D369" s="16"/>
      <c r="E369" s="16"/>
      <c r="F369" s="16">
        <v>48000</v>
      </c>
      <c r="G369" s="16">
        <v>0</v>
      </c>
      <c r="H369" s="16">
        <f t="shared" si="92"/>
        <v>48000</v>
      </c>
      <c r="I369" s="53" t="str">
        <f t="shared" si="93"/>
        <v>N.M.</v>
      </c>
      <c r="J369" s="174"/>
      <c r="K369" s="256">
        <v>32000</v>
      </c>
      <c r="L369" s="16">
        <f t="shared" si="94"/>
        <v>16000</v>
      </c>
      <c r="M369" s="53" t="str">
        <f t="shared" si="95"/>
        <v>N.M.</v>
      </c>
      <c r="N369" s="174"/>
      <c r="O369" s="256">
        <v>0</v>
      </c>
      <c r="P369" s="16">
        <f t="shared" si="96"/>
        <v>48000</v>
      </c>
      <c r="Q369" s="53" t="str">
        <f t="shared" si="97"/>
        <v>N.M.</v>
      </c>
    </row>
    <row r="370" spans="1:17" s="15" customFormat="1" ht="12.75" hidden="1" outlineLevel="2">
      <c r="A370" s="15" t="s">
        <v>1014</v>
      </c>
      <c r="B370" s="15" t="s">
        <v>1015</v>
      </c>
      <c r="C370" s="134" t="s">
        <v>1016</v>
      </c>
      <c r="D370" s="16"/>
      <c r="E370" s="16"/>
      <c r="F370" s="16">
        <v>0</v>
      </c>
      <c r="G370" s="16">
        <v>-3339.56</v>
      </c>
      <c r="H370" s="16">
        <f t="shared" si="92"/>
        <v>3339.56</v>
      </c>
      <c r="I370" s="53" t="str">
        <f t="shared" si="93"/>
        <v>N.M.</v>
      </c>
      <c r="J370" s="174"/>
      <c r="K370" s="256">
        <v>0</v>
      </c>
      <c r="L370" s="16">
        <f t="shared" si="94"/>
        <v>0</v>
      </c>
      <c r="M370" s="53">
        <f t="shared" si="95"/>
        <v>0</v>
      </c>
      <c r="N370" s="174"/>
      <c r="O370" s="256">
        <v>-3341.63</v>
      </c>
      <c r="P370" s="16">
        <f t="shared" si="96"/>
        <v>3341.63</v>
      </c>
      <c r="Q370" s="53" t="str">
        <f t="shared" si="97"/>
        <v>N.M.</v>
      </c>
    </row>
    <row r="371" spans="1:17" s="15" customFormat="1" ht="12.75" hidden="1" outlineLevel="2">
      <c r="A371" s="15" t="s">
        <v>1017</v>
      </c>
      <c r="B371" s="15" t="s">
        <v>1018</v>
      </c>
      <c r="C371" s="134" t="s">
        <v>1016</v>
      </c>
      <c r="D371" s="16"/>
      <c r="E371" s="16"/>
      <c r="F371" s="16">
        <v>103036.82</v>
      </c>
      <c r="G371" s="16">
        <v>106300</v>
      </c>
      <c r="H371" s="16">
        <f t="shared" si="92"/>
        <v>-3263.179999999993</v>
      </c>
      <c r="I371" s="53">
        <f t="shared" si="93"/>
        <v>-0.030697836312323548</v>
      </c>
      <c r="J371" s="174"/>
      <c r="K371" s="256">
        <v>103911.19</v>
      </c>
      <c r="L371" s="16">
        <f t="shared" si="94"/>
        <v>-874.3699999999953</v>
      </c>
      <c r="M371" s="53" t="str">
        <f t="shared" si="95"/>
        <v>N.M.</v>
      </c>
      <c r="N371" s="174"/>
      <c r="O371" s="256">
        <v>106300</v>
      </c>
      <c r="P371" s="16">
        <f t="shared" si="96"/>
        <v>-3263.179999999993</v>
      </c>
      <c r="Q371" s="53">
        <f t="shared" si="97"/>
        <v>-0.030697836312323548</v>
      </c>
    </row>
    <row r="372" spans="1:17" s="15" customFormat="1" ht="12.75" hidden="1" outlineLevel="2">
      <c r="A372" s="15" t="s">
        <v>1019</v>
      </c>
      <c r="B372" s="15" t="s">
        <v>1020</v>
      </c>
      <c r="C372" s="134" t="s">
        <v>1016</v>
      </c>
      <c r="D372" s="16"/>
      <c r="E372" s="16"/>
      <c r="F372" s="16">
        <v>79000</v>
      </c>
      <c r="G372" s="16">
        <v>0</v>
      </c>
      <c r="H372" s="16">
        <f t="shared" si="92"/>
        <v>79000</v>
      </c>
      <c r="I372" s="53" t="str">
        <f t="shared" si="93"/>
        <v>N.M.</v>
      </c>
      <c r="J372" s="174"/>
      <c r="K372" s="256">
        <v>79000</v>
      </c>
      <c r="L372" s="16">
        <f t="shared" si="94"/>
        <v>0</v>
      </c>
      <c r="M372" s="53">
        <f t="shared" si="95"/>
        <v>0</v>
      </c>
      <c r="N372" s="174"/>
      <c r="O372" s="256">
        <v>0</v>
      </c>
      <c r="P372" s="16">
        <f t="shared" si="96"/>
        <v>79000</v>
      </c>
      <c r="Q372" s="53" t="str">
        <f t="shared" si="97"/>
        <v>N.M.</v>
      </c>
    </row>
    <row r="373" spans="1:17" s="15" customFormat="1" ht="12.75" hidden="1" outlineLevel="2">
      <c r="A373" s="15" t="s">
        <v>1021</v>
      </c>
      <c r="B373" s="15" t="s">
        <v>1022</v>
      </c>
      <c r="C373" s="134" t="s">
        <v>1023</v>
      </c>
      <c r="D373" s="16"/>
      <c r="E373" s="16"/>
      <c r="F373" s="16">
        <v>0</v>
      </c>
      <c r="G373" s="16">
        <v>-14699.81</v>
      </c>
      <c r="H373" s="16">
        <f t="shared" si="92"/>
        <v>14699.81</v>
      </c>
      <c r="I373" s="53" t="str">
        <f t="shared" si="93"/>
        <v>N.M.</v>
      </c>
      <c r="J373" s="174"/>
      <c r="K373" s="256">
        <v>0</v>
      </c>
      <c r="L373" s="16">
        <f t="shared" si="94"/>
        <v>0</v>
      </c>
      <c r="M373" s="53">
        <f t="shared" si="95"/>
        <v>0</v>
      </c>
      <c r="N373" s="174"/>
      <c r="O373" s="256">
        <v>-14699.81</v>
      </c>
      <c r="P373" s="16">
        <f t="shared" si="96"/>
        <v>14699.81</v>
      </c>
      <c r="Q373" s="53" t="str">
        <f t="shared" si="97"/>
        <v>N.M.</v>
      </c>
    </row>
    <row r="374" spans="1:17" s="15" customFormat="1" ht="12.75" hidden="1" outlineLevel="2">
      <c r="A374" s="15" t="s">
        <v>1024</v>
      </c>
      <c r="B374" s="15" t="s">
        <v>1025</v>
      </c>
      <c r="C374" s="134" t="s">
        <v>1023</v>
      </c>
      <c r="D374" s="16"/>
      <c r="E374" s="16"/>
      <c r="F374" s="16">
        <v>0</v>
      </c>
      <c r="G374" s="16">
        <v>20025</v>
      </c>
      <c r="H374" s="16">
        <f t="shared" si="92"/>
        <v>-20025</v>
      </c>
      <c r="I374" s="53" t="str">
        <f t="shared" si="93"/>
        <v>N.M.</v>
      </c>
      <c r="J374" s="174"/>
      <c r="K374" s="256">
        <v>0</v>
      </c>
      <c r="L374" s="16">
        <f t="shared" si="94"/>
        <v>0</v>
      </c>
      <c r="M374" s="53">
        <f t="shared" si="95"/>
        <v>0</v>
      </c>
      <c r="N374" s="174"/>
      <c r="O374" s="256">
        <v>13785.17</v>
      </c>
      <c r="P374" s="16">
        <f t="shared" si="96"/>
        <v>-13785.17</v>
      </c>
      <c r="Q374" s="53" t="str">
        <f t="shared" si="97"/>
        <v>N.M.</v>
      </c>
    </row>
    <row r="375" spans="1:17" s="15" customFormat="1" ht="12.75" hidden="1" outlineLevel="2">
      <c r="A375" s="15" t="s">
        <v>1026</v>
      </c>
      <c r="B375" s="15" t="s">
        <v>1027</v>
      </c>
      <c r="C375" s="134" t="s">
        <v>1023</v>
      </c>
      <c r="D375" s="16"/>
      <c r="E375" s="16"/>
      <c r="F375" s="16">
        <v>18567</v>
      </c>
      <c r="G375" s="16">
        <v>0</v>
      </c>
      <c r="H375" s="16">
        <f t="shared" si="92"/>
        <v>18567</v>
      </c>
      <c r="I375" s="53" t="str">
        <f t="shared" si="93"/>
        <v>N.M.</v>
      </c>
      <c r="J375" s="174"/>
      <c r="K375" s="256">
        <v>16504</v>
      </c>
      <c r="L375" s="16">
        <f t="shared" si="94"/>
        <v>2063</v>
      </c>
      <c r="M375" s="53" t="str">
        <f t="shared" si="95"/>
        <v>N.M.</v>
      </c>
      <c r="N375" s="174"/>
      <c r="O375" s="256">
        <v>0</v>
      </c>
      <c r="P375" s="16">
        <f t="shared" si="96"/>
        <v>18567</v>
      </c>
      <c r="Q375" s="53" t="str">
        <f t="shared" si="97"/>
        <v>N.M.</v>
      </c>
    </row>
    <row r="376" spans="1:17" s="15" customFormat="1" ht="12.75" hidden="1" outlineLevel="2">
      <c r="A376" s="15" t="s">
        <v>1028</v>
      </c>
      <c r="B376" s="15" t="s">
        <v>1029</v>
      </c>
      <c r="C376" s="134" t="s">
        <v>1030</v>
      </c>
      <c r="D376" s="16"/>
      <c r="E376" s="16"/>
      <c r="F376" s="16">
        <v>148433.84</v>
      </c>
      <c r="G376" s="16">
        <v>90165.99</v>
      </c>
      <c r="H376" s="16">
        <f t="shared" si="92"/>
        <v>58267.84999999999</v>
      </c>
      <c r="I376" s="53">
        <f t="shared" si="93"/>
        <v>0.6462286944334553</v>
      </c>
      <c r="J376" s="174"/>
      <c r="K376" s="256">
        <v>112475.36</v>
      </c>
      <c r="L376" s="16">
        <f t="shared" si="94"/>
        <v>35958.479999999996</v>
      </c>
      <c r="M376" s="53" t="str">
        <f t="shared" si="95"/>
        <v>N.M.</v>
      </c>
      <c r="N376" s="174"/>
      <c r="O376" s="256">
        <v>215138.525</v>
      </c>
      <c r="P376" s="16">
        <f t="shared" si="96"/>
        <v>-66704.685</v>
      </c>
      <c r="Q376" s="53">
        <f t="shared" si="97"/>
        <v>-0.3100545799502902</v>
      </c>
    </row>
    <row r="377" spans="1:17" s="15" customFormat="1" ht="12.75" hidden="1" outlineLevel="2">
      <c r="A377" s="15" t="s">
        <v>1031</v>
      </c>
      <c r="B377" s="15" t="s">
        <v>1032</v>
      </c>
      <c r="C377" s="134" t="s">
        <v>1033</v>
      </c>
      <c r="D377" s="16"/>
      <c r="E377" s="16"/>
      <c r="F377" s="16">
        <v>18124.246</v>
      </c>
      <c r="G377" s="16">
        <v>3991.465</v>
      </c>
      <c r="H377" s="16">
        <f t="shared" si="92"/>
        <v>14132.780999999999</v>
      </c>
      <c r="I377" s="53">
        <f t="shared" si="93"/>
        <v>3.5407503260081197</v>
      </c>
      <c r="J377" s="174"/>
      <c r="K377" s="256">
        <v>18327.736</v>
      </c>
      <c r="L377" s="16">
        <f t="shared" si="94"/>
        <v>-203.4900000000016</v>
      </c>
      <c r="M377" s="53" t="str">
        <f t="shared" si="95"/>
        <v>N.M.</v>
      </c>
      <c r="N377" s="174"/>
      <c r="O377" s="256">
        <v>46661.645000000004</v>
      </c>
      <c r="P377" s="16">
        <f t="shared" si="96"/>
        <v>-28537.399000000005</v>
      </c>
      <c r="Q377" s="53">
        <f t="shared" si="97"/>
        <v>-0.6115815033953476</v>
      </c>
    </row>
    <row r="378" spans="1:17" s="15" customFormat="1" ht="12.75" hidden="1" outlineLevel="2">
      <c r="A378" s="15" t="s">
        <v>1034</v>
      </c>
      <c r="B378" s="15" t="s">
        <v>1035</v>
      </c>
      <c r="C378" s="134" t="s">
        <v>1036</v>
      </c>
      <c r="D378" s="16"/>
      <c r="E378" s="16"/>
      <c r="F378" s="16">
        <v>1580224</v>
      </c>
      <c r="G378" s="16">
        <v>495839</v>
      </c>
      <c r="H378" s="16">
        <f t="shared" si="92"/>
        <v>1084385</v>
      </c>
      <c r="I378" s="53">
        <f t="shared" si="93"/>
        <v>2.186969964040747</v>
      </c>
      <c r="J378" s="174"/>
      <c r="K378" s="256">
        <v>1580224</v>
      </c>
      <c r="L378" s="16">
        <f t="shared" si="94"/>
        <v>0</v>
      </c>
      <c r="M378" s="53">
        <f t="shared" si="95"/>
        <v>0</v>
      </c>
      <c r="N378" s="174"/>
      <c r="O378" s="256">
        <v>1580224</v>
      </c>
      <c r="P378" s="16">
        <f t="shared" si="96"/>
        <v>0</v>
      </c>
      <c r="Q378" s="53">
        <f t="shared" si="97"/>
        <v>0</v>
      </c>
    </row>
    <row r="379" spans="1:17" s="15" customFormat="1" ht="12.75" hidden="1" outlineLevel="2">
      <c r="A379" s="15" t="s">
        <v>1037</v>
      </c>
      <c r="B379" s="15" t="s">
        <v>1038</v>
      </c>
      <c r="C379" s="134" t="s">
        <v>1039</v>
      </c>
      <c r="D379" s="16"/>
      <c r="E379" s="16"/>
      <c r="F379" s="16">
        <v>471491</v>
      </c>
      <c r="G379" s="16">
        <v>211473</v>
      </c>
      <c r="H379" s="16">
        <f t="shared" si="92"/>
        <v>260018</v>
      </c>
      <c r="I379" s="53">
        <f t="shared" si="93"/>
        <v>1.2295564918452946</v>
      </c>
      <c r="J379" s="174"/>
      <c r="K379" s="256">
        <v>436870</v>
      </c>
      <c r="L379" s="16">
        <f t="shared" si="94"/>
        <v>34621</v>
      </c>
      <c r="M379" s="53" t="str">
        <f t="shared" si="95"/>
        <v>N.M.</v>
      </c>
      <c r="N379" s="174"/>
      <c r="O379" s="256">
        <v>431674</v>
      </c>
      <c r="P379" s="16">
        <f t="shared" si="96"/>
        <v>39817</v>
      </c>
      <c r="Q379" s="53">
        <f t="shared" si="97"/>
        <v>0.09223858745256837</v>
      </c>
    </row>
    <row r="380" spans="1:17" s="15" customFormat="1" ht="12.75" hidden="1" outlineLevel="2">
      <c r="A380" s="15" t="s">
        <v>1040</v>
      </c>
      <c r="B380" s="15" t="s">
        <v>1041</v>
      </c>
      <c r="C380" s="134" t="s">
        <v>1042</v>
      </c>
      <c r="D380" s="16"/>
      <c r="E380" s="16"/>
      <c r="F380" s="16">
        <v>730741.06</v>
      </c>
      <c r="G380" s="16">
        <v>1130375.06</v>
      </c>
      <c r="H380" s="16">
        <f t="shared" si="92"/>
        <v>-399634</v>
      </c>
      <c r="I380" s="53">
        <f t="shared" si="93"/>
        <v>-0.35354106273363817</v>
      </c>
      <c r="J380" s="174"/>
      <c r="K380" s="256">
        <v>871957.06</v>
      </c>
      <c r="L380" s="16">
        <f t="shared" si="94"/>
        <v>-141216</v>
      </c>
      <c r="M380" s="53" t="str">
        <f t="shared" si="95"/>
        <v>N.M.</v>
      </c>
      <c r="N380" s="174"/>
      <c r="O380" s="256">
        <v>737946.06</v>
      </c>
      <c r="P380" s="16">
        <f t="shared" si="96"/>
        <v>-7205</v>
      </c>
      <c r="Q380" s="53">
        <f t="shared" si="97"/>
        <v>-0.009763586243688326</v>
      </c>
    </row>
    <row r="381" spans="1:17" s="15" customFormat="1" ht="12.75" hidden="1" outlineLevel="2">
      <c r="A381" s="15" t="s">
        <v>1043</v>
      </c>
      <c r="B381" s="15" t="s">
        <v>1044</v>
      </c>
      <c r="C381" s="134" t="s">
        <v>1045</v>
      </c>
      <c r="D381" s="16"/>
      <c r="E381" s="16"/>
      <c r="F381" s="16">
        <v>102042</v>
      </c>
      <c r="G381" s="16">
        <v>738115</v>
      </c>
      <c r="H381" s="16">
        <f t="shared" si="92"/>
        <v>-636073</v>
      </c>
      <c r="I381" s="53">
        <f t="shared" si="93"/>
        <v>-0.8617532498323432</v>
      </c>
      <c r="J381" s="174"/>
      <c r="K381" s="256">
        <v>136480</v>
      </c>
      <c r="L381" s="16">
        <f t="shared" si="94"/>
        <v>-34438</v>
      </c>
      <c r="M381" s="53" t="str">
        <f t="shared" si="95"/>
        <v>N.M.</v>
      </c>
      <c r="N381" s="174"/>
      <c r="O381" s="256">
        <v>111626</v>
      </c>
      <c r="P381" s="16">
        <f t="shared" si="96"/>
        <v>-9584</v>
      </c>
      <c r="Q381" s="53">
        <f t="shared" si="97"/>
        <v>-0.08585813340977909</v>
      </c>
    </row>
    <row r="382" spans="1:17" s="15" customFormat="1" ht="12.75" hidden="1" outlineLevel="2">
      <c r="A382" s="15" t="s">
        <v>1046</v>
      </c>
      <c r="B382" s="15" t="s">
        <v>1047</v>
      </c>
      <c r="C382" s="134" t="s">
        <v>1048</v>
      </c>
      <c r="D382" s="16"/>
      <c r="E382" s="16"/>
      <c r="F382" s="16">
        <v>-2552052</v>
      </c>
      <c r="G382" s="16">
        <v>-1697535</v>
      </c>
      <c r="H382" s="16">
        <f t="shared" si="92"/>
        <v>-854517</v>
      </c>
      <c r="I382" s="53">
        <f t="shared" si="93"/>
        <v>-0.5033869699299278</v>
      </c>
      <c r="J382" s="174"/>
      <c r="K382" s="256">
        <v>-2523501</v>
      </c>
      <c r="L382" s="16">
        <f t="shared" si="94"/>
        <v>-28551</v>
      </c>
      <c r="M382" s="53" t="str">
        <f t="shared" si="95"/>
        <v>N.M.</v>
      </c>
      <c r="N382" s="174"/>
      <c r="O382" s="256">
        <v>-2389490</v>
      </c>
      <c r="P382" s="16">
        <f t="shared" si="96"/>
        <v>-162562</v>
      </c>
      <c r="Q382" s="53">
        <f t="shared" si="97"/>
        <v>-0.06803209052977832</v>
      </c>
    </row>
    <row r="383" spans="1:17" s="15" customFormat="1" ht="12.75" hidden="1" outlineLevel="2">
      <c r="A383" s="15" t="s">
        <v>1049</v>
      </c>
      <c r="B383" s="15" t="s">
        <v>1050</v>
      </c>
      <c r="C383" s="134" t="s">
        <v>1051</v>
      </c>
      <c r="D383" s="16"/>
      <c r="E383" s="16"/>
      <c r="F383" s="16">
        <v>-385522</v>
      </c>
      <c r="G383" s="16">
        <v>-244199</v>
      </c>
      <c r="H383" s="16">
        <f t="shared" si="92"/>
        <v>-141323</v>
      </c>
      <c r="I383" s="53">
        <f t="shared" si="93"/>
        <v>-0.5787206335816281</v>
      </c>
      <c r="J383" s="174"/>
      <c r="K383" s="256">
        <v>-387597</v>
      </c>
      <c r="L383" s="16">
        <f t="shared" si="94"/>
        <v>2075</v>
      </c>
      <c r="M383" s="53" t="str">
        <f t="shared" si="95"/>
        <v>N.M.</v>
      </c>
      <c r="N383" s="174"/>
      <c r="O383" s="256">
        <v>-377056</v>
      </c>
      <c r="P383" s="16">
        <f t="shared" si="96"/>
        <v>-8466</v>
      </c>
      <c r="Q383" s="53">
        <f t="shared" si="97"/>
        <v>-0.022452898243231774</v>
      </c>
    </row>
    <row r="384" spans="1:17" ht="12.75" collapsed="1">
      <c r="A384" s="11" t="s">
        <v>263</v>
      </c>
      <c r="C384" s="228" t="s">
        <v>194</v>
      </c>
      <c r="E384" s="11"/>
      <c r="F384" s="18">
        <v>19182886.565999996</v>
      </c>
      <c r="G384" s="18">
        <v>2960344.625</v>
      </c>
      <c r="H384" s="51">
        <f>+F384-G384</f>
        <v>16222541.940999996</v>
      </c>
      <c r="I384" s="136">
        <f>IF(G384&lt;0,IF(H384=0,0,IF(OR(G384=0,F384=0),"N.M.",IF(ABS(H384/G384)&gt;=10,"N.M.",H384/(-G384)))),IF(H384=0,0,IF(OR(G384=0,F384=0),"N.M.",IF(ABS(H384/G384)&gt;=10,"N.M.",H384/G384))))</f>
        <v>5.4799504773874075</v>
      </c>
      <c r="J384" s="166"/>
      <c r="K384" s="18">
        <v>31391543.296000004</v>
      </c>
      <c r="L384" s="51">
        <f>+F384-K384</f>
        <v>-12208656.730000008</v>
      </c>
      <c r="M384" s="136" t="str">
        <f>IF(K384&lt;0,IF(L384=0,0,IF(OR(K384=0,N384=0),"N.M.",IF(ABS(L384/K384)&gt;=10,"N.M.",L384/(-K384)))),IF(L384=0,0,IF(OR(K384=0,N384=0),"N.M.",IF(ABS(L384/K384)&gt;=10,"N.M.",L384/K384))))</f>
        <v>N.M.</v>
      </c>
      <c r="N384" s="166"/>
      <c r="O384" s="18">
        <v>20404486.05</v>
      </c>
      <c r="P384" s="51">
        <f>+F384-O384</f>
        <v>-1221599.4840000048</v>
      </c>
      <c r="Q384" s="136">
        <f>IF(O384&lt;0,IF(P384=0,0,IF(OR(O384=0,F384=0),"N.M.",IF(ABS(P384/O384)&gt;=10,"N.M.",P384/(-O384)))),IF(P384=0,0,IF(OR(O384=0,F384=0),"N.M.",IF(ABS(P384/O384)&gt;=10,"N.M.",P384/O384))))</f>
        <v>-0.0598691621541727</v>
      </c>
    </row>
    <row r="385" spans="3:17" ht="0.75" customHeight="1" hidden="1" outlineLevel="1">
      <c r="C385" s="228"/>
      <c r="E385" s="11"/>
      <c r="H385" s="51"/>
      <c r="I385" s="136"/>
      <c r="J385" s="166"/>
      <c r="K385" s="18"/>
      <c r="L385" s="51"/>
      <c r="M385" s="136"/>
      <c r="N385" s="166"/>
      <c r="O385" s="18"/>
      <c r="P385" s="51"/>
      <c r="Q385" s="136"/>
    </row>
    <row r="386" spans="1:17" s="15" customFormat="1" ht="12.75" hidden="1" outlineLevel="2">
      <c r="A386" s="15" t="s">
        <v>1052</v>
      </c>
      <c r="B386" s="15" t="s">
        <v>1053</v>
      </c>
      <c r="C386" s="134" t="s">
        <v>1054</v>
      </c>
      <c r="D386" s="16"/>
      <c r="E386" s="16"/>
      <c r="F386" s="16">
        <v>5187530.62</v>
      </c>
      <c r="G386" s="16">
        <v>5187530.59</v>
      </c>
      <c r="H386" s="16">
        <f aca="true" t="shared" si="98" ref="H386:H391">+F386-G386</f>
        <v>0.03000000026077032</v>
      </c>
      <c r="I386" s="53">
        <f aca="true" t="shared" si="99" ref="I386:I391">IF(G386&lt;0,IF(H386=0,0,IF(OR(G386=0,F386=0),"N.M.",IF(ABS(H386/G386)&gt;=10,"N.M.",H386/(-G386)))),IF(H386=0,0,IF(OR(G386=0,F386=0),"N.M.",IF(ABS(H386/G386)&gt;=10,"N.M.",H386/G386))))</f>
        <v>5.783098478224168E-09</v>
      </c>
      <c r="J386" s="174"/>
      <c r="K386" s="256">
        <v>12112051.45</v>
      </c>
      <c r="L386" s="16">
        <f aca="true" t="shared" si="100" ref="L386:L391">+F386-K386</f>
        <v>-6924520.829999999</v>
      </c>
      <c r="M386" s="53" t="str">
        <f aca="true" t="shared" si="101" ref="M386:M391">IF(K386&lt;0,IF(L386=0,0,IF(OR(K386=0,N386=0),"N.M.",IF(ABS(L386/K386)&gt;=10,"N.M.",L386/(-K386)))),IF(L386=0,0,IF(OR(K386=0,N386=0),"N.M.",IF(ABS(L386/K386)&gt;=10,"N.M.",L386/K386))))</f>
        <v>N.M.</v>
      </c>
      <c r="N386" s="174"/>
      <c r="O386" s="256">
        <v>6461093.1</v>
      </c>
      <c r="P386" s="16">
        <f aca="true" t="shared" si="102" ref="P386:P391">+F386-O386</f>
        <v>-1273562.4799999995</v>
      </c>
      <c r="Q386" s="53">
        <f aca="true" t="shared" si="103" ref="Q386:Q391">IF(O386&lt;0,IF(P386=0,0,IF(OR(O386=0,F386=0),"N.M.",IF(ABS(P386/O386)&gt;=10,"N.M.",P386/(-O386)))),IF(P386=0,0,IF(OR(O386=0,F386=0),"N.M.",IF(ABS(P386/O386)&gt;=10,"N.M.",P386/O386))))</f>
        <v>-0.19711254121999877</v>
      </c>
    </row>
    <row r="387" spans="1:17" s="15" customFormat="1" ht="12.75" hidden="1" outlineLevel="2">
      <c r="A387" s="15" t="s">
        <v>1055</v>
      </c>
      <c r="B387" s="15" t="s">
        <v>1056</v>
      </c>
      <c r="C387" s="134" t="s">
        <v>1057</v>
      </c>
      <c r="D387" s="16"/>
      <c r="E387" s="16"/>
      <c r="F387" s="16">
        <v>837678.4400000001</v>
      </c>
      <c r="G387" s="16">
        <v>759660.11</v>
      </c>
      <c r="H387" s="16">
        <f t="shared" si="98"/>
        <v>78018.33000000007</v>
      </c>
      <c r="I387" s="53">
        <f t="shared" si="99"/>
        <v>0.1027016279688558</v>
      </c>
      <c r="J387" s="174"/>
      <c r="K387" s="256">
        <v>747757.15</v>
      </c>
      <c r="L387" s="16">
        <f t="shared" si="100"/>
        <v>89921.29000000004</v>
      </c>
      <c r="M387" s="53" t="str">
        <f t="shared" si="101"/>
        <v>N.M.</v>
      </c>
      <c r="N387" s="174"/>
      <c r="O387" s="256">
        <v>1018537.94</v>
      </c>
      <c r="P387" s="16">
        <f t="shared" si="102"/>
        <v>-180859.49999999988</v>
      </c>
      <c r="Q387" s="53">
        <f t="shared" si="103"/>
        <v>-0.17756775952793658</v>
      </c>
    </row>
    <row r="388" spans="1:17" s="15" customFormat="1" ht="12.75" hidden="1" outlineLevel="2">
      <c r="A388" s="15" t="s">
        <v>1058</v>
      </c>
      <c r="B388" s="15" t="s">
        <v>1059</v>
      </c>
      <c r="C388" s="134" t="s">
        <v>1060</v>
      </c>
      <c r="D388" s="16"/>
      <c r="E388" s="16"/>
      <c r="F388" s="16">
        <v>2746.304</v>
      </c>
      <c r="G388" s="16">
        <v>2837.5040000000004</v>
      </c>
      <c r="H388" s="16">
        <f t="shared" si="98"/>
        <v>-91.20000000000027</v>
      </c>
      <c r="I388" s="53">
        <f t="shared" si="99"/>
        <v>-0.03214092385420435</v>
      </c>
      <c r="J388" s="174"/>
      <c r="K388" s="256">
        <v>2739.844</v>
      </c>
      <c r="L388" s="16">
        <f t="shared" si="100"/>
        <v>6.460000000000036</v>
      </c>
      <c r="M388" s="53" t="str">
        <f t="shared" si="101"/>
        <v>N.M.</v>
      </c>
      <c r="N388" s="174"/>
      <c r="O388" s="256">
        <v>3012.134</v>
      </c>
      <c r="P388" s="16">
        <f t="shared" si="102"/>
        <v>-265.8299999999999</v>
      </c>
      <c r="Q388" s="53">
        <f t="shared" si="103"/>
        <v>-0.08825304584722989</v>
      </c>
    </row>
    <row r="389" spans="1:17" s="15" customFormat="1" ht="12.75" hidden="1" outlineLevel="2">
      <c r="A389" s="15" t="s">
        <v>1061</v>
      </c>
      <c r="B389" s="15" t="s">
        <v>1062</v>
      </c>
      <c r="C389" s="134" t="s">
        <v>1063</v>
      </c>
      <c r="D389" s="16"/>
      <c r="E389" s="16"/>
      <c r="F389" s="16">
        <v>0</v>
      </c>
      <c r="G389" s="16">
        <v>727519</v>
      </c>
      <c r="H389" s="16">
        <f t="shared" si="98"/>
        <v>-727519</v>
      </c>
      <c r="I389" s="53" t="str">
        <f t="shared" si="99"/>
        <v>N.M.</v>
      </c>
      <c r="J389" s="174"/>
      <c r="K389" s="256">
        <v>-662916</v>
      </c>
      <c r="L389" s="16">
        <f t="shared" si="100"/>
        <v>662916</v>
      </c>
      <c r="M389" s="53" t="str">
        <f t="shared" si="101"/>
        <v>N.M.</v>
      </c>
      <c r="N389" s="174"/>
      <c r="O389" s="256">
        <v>547119</v>
      </c>
      <c r="P389" s="16">
        <f t="shared" si="102"/>
        <v>-547119</v>
      </c>
      <c r="Q389" s="53" t="str">
        <f t="shared" si="103"/>
        <v>N.M.</v>
      </c>
    </row>
    <row r="390" spans="1:17" s="15" customFormat="1" ht="12.75" hidden="1" outlineLevel="2">
      <c r="A390" s="15" t="s">
        <v>1064</v>
      </c>
      <c r="B390" s="15" t="s">
        <v>1065</v>
      </c>
      <c r="C390" s="134" t="s">
        <v>1066</v>
      </c>
      <c r="D390" s="16"/>
      <c r="E390" s="16"/>
      <c r="F390" s="16">
        <v>18390</v>
      </c>
      <c r="G390" s="16">
        <v>456864</v>
      </c>
      <c r="H390" s="16">
        <f t="shared" si="98"/>
        <v>-438474</v>
      </c>
      <c r="I390" s="53">
        <f t="shared" si="99"/>
        <v>-0.9597473208657281</v>
      </c>
      <c r="J390" s="174"/>
      <c r="K390" s="256">
        <v>18390</v>
      </c>
      <c r="L390" s="16">
        <f t="shared" si="100"/>
        <v>0</v>
      </c>
      <c r="M390" s="53">
        <f t="shared" si="101"/>
        <v>0</v>
      </c>
      <c r="N390" s="174"/>
      <c r="O390" s="256">
        <v>18390</v>
      </c>
      <c r="P390" s="16">
        <f t="shared" si="102"/>
        <v>0</v>
      </c>
      <c r="Q390" s="53">
        <f t="shared" si="103"/>
        <v>0</v>
      </c>
    </row>
    <row r="391" spans="1:17" s="15" customFormat="1" ht="12.75" hidden="1" outlineLevel="2">
      <c r="A391" s="15" t="s">
        <v>1067</v>
      </c>
      <c r="B391" s="15" t="s">
        <v>1068</v>
      </c>
      <c r="C391" s="134" t="s">
        <v>1069</v>
      </c>
      <c r="D391" s="16"/>
      <c r="E391" s="16"/>
      <c r="F391" s="16">
        <v>36503</v>
      </c>
      <c r="G391" s="16">
        <v>0</v>
      </c>
      <c r="H391" s="16">
        <f t="shared" si="98"/>
        <v>36503</v>
      </c>
      <c r="I391" s="53" t="str">
        <f t="shared" si="99"/>
        <v>N.M.</v>
      </c>
      <c r="J391" s="174"/>
      <c r="K391" s="256">
        <v>6402</v>
      </c>
      <c r="L391" s="16">
        <f t="shared" si="100"/>
        <v>30101</v>
      </c>
      <c r="M391" s="53" t="str">
        <f t="shared" si="101"/>
        <v>N.M.</v>
      </c>
      <c r="N391" s="174"/>
      <c r="O391" s="256">
        <v>0</v>
      </c>
      <c r="P391" s="16">
        <f t="shared" si="102"/>
        <v>36503</v>
      </c>
      <c r="Q391" s="53" t="str">
        <f t="shared" si="103"/>
        <v>N.M.</v>
      </c>
    </row>
    <row r="392" spans="1:17" ht="12.75" collapsed="1">
      <c r="A392" s="11" t="s">
        <v>264</v>
      </c>
      <c r="C392" s="228" t="s">
        <v>195</v>
      </c>
      <c r="E392" s="11"/>
      <c r="F392" s="18">
        <v>6082848.364</v>
      </c>
      <c r="G392" s="18">
        <v>7134411.204</v>
      </c>
      <c r="H392" s="51">
        <f>+F392-G392</f>
        <v>-1051562.8399999999</v>
      </c>
      <c r="I392" s="136">
        <f>IF(G392&lt;0,IF(H392=0,0,IF(OR(G392=0,F392=0),"N.M.",IF(ABS(H392/G392)&gt;=10,"N.M.",H392/(-G392)))),IF(H392=0,0,IF(OR(G392=0,F392=0),"N.M.",IF(ABS(H392/G392)&gt;=10,"N.M.",H392/G392))))</f>
        <v>-0.14739307981160765</v>
      </c>
      <c r="J392" s="166"/>
      <c r="K392" s="18">
        <v>12224424.444</v>
      </c>
      <c r="L392" s="51">
        <f>+F392-K392</f>
        <v>-6141576.08</v>
      </c>
      <c r="M392" s="136" t="str">
        <f>IF(K392&lt;0,IF(L392=0,0,IF(OR(K392=0,N392=0),"N.M.",IF(ABS(L392/K392)&gt;=10,"N.M.",L392/(-K392)))),IF(L392=0,0,IF(OR(K392=0,N392=0),"N.M.",IF(ABS(L392/K392)&gt;=10,"N.M.",L392/K392))))</f>
        <v>N.M.</v>
      </c>
      <c r="N392" s="166"/>
      <c r="O392" s="18">
        <v>8048152.173999999</v>
      </c>
      <c r="P392" s="51">
        <f>+F392-O392</f>
        <v>-1965303.8099999987</v>
      </c>
      <c r="Q392" s="136">
        <f>IF(O392&lt;0,IF(P392=0,0,IF(OR(O392=0,F392=0),"N.M.",IF(ABS(P392/O392)&gt;=10,"N.M.",P392/(-O392)))),IF(P392=0,0,IF(OR(O392=0,F392=0),"N.M.",IF(ABS(P392/O392)&gt;=10,"N.M.",P392/O392))))</f>
        <v>-0.24419317223511522</v>
      </c>
    </row>
    <row r="393" spans="3:17" ht="0.75" customHeight="1" hidden="1" outlineLevel="1">
      <c r="C393" s="228"/>
      <c r="E393" s="11"/>
      <c r="H393" s="51"/>
      <c r="I393" s="136"/>
      <c r="J393" s="166"/>
      <c r="K393" s="18"/>
      <c r="L393" s="51"/>
      <c r="M393" s="136"/>
      <c r="N393" s="166"/>
      <c r="O393" s="18"/>
      <c r="P393" s="51"/>
      <c r="Q393" s="136"/>
    </row>
    <row r="394" spans="1:17" ht="12.75" collapsed="1">
      <c r="A394" s="11" t="s">
        <v>265</v>
      </c>
      <c r="C394" s="228" t="s">
        <v>196</v>
      </c>
      <c r="E394" s="11"/>
      <c r="F394" s="18">
        <v>0</v>
      </c>
      <c r="G394" s="18">
        <v>0</v>
      </c>
      <c r="H394" s="51">
        <f>+F394-G394</f>
        <v>0</v>
      </c>
      <c r="I394" s="136">
        <f>IF(G394&lt;0,IF(H394=0,0,IF(OR(G394=0,F394=0),"N.M.",IF(ABS(H394/G394)&gt;=10,"N.M.",H394/(-G394)))),IF(H394=0,0,IF(OR(G394=0,F394=0),"N.M.",IF(ABS(H394/G394)&gt;=10,"N.M.",H394/G394))))</f>
        <v>0</v>
      </c>
      <c r="J394" s="166"/>
      <c r="K394" s="18">
        <v>0</v>
      </c>
      <c r="L394" s="51">
        <f>+F394-K394</f>
        <v>0</v>
      </c>
      <c r="M394" s="136">
        <f>IF(K394&lt;0,IF(L394=0,0,IF(OR(K394=0,N394=0),"N.M.",IF(ABS(L394/K394)&gt;=10,"N.M.",L394/(-K394)))),IF(L394=0,0,IF(OR(K394=0,N394=0),"N.M.",IF(ABS(L394/K394)&gt;=10,"N.M.",L394/K394))))</f>
        <v>0</v>
      </c>
      <c r="N394" s="166"/>
      <c r="O394" s="18">
        <v>0</v>
      </c>
      <c r="P394" s="51">
        <f>+F394-O394</f>
        <v>0</v>
      </c>
      <c r="Q394" s="136">
        <f>IF(O394&lt;0,IF(P394=0,0,IF(OR(O394=0,F394=0),"N.M.",IF(ABS(P394/O394)&gt;=10,"N.M.",P394/(-O394)))),IF(P394=0,0,IF(OR(O394=0,F394=0),"N.M.",IF(ABS(P394/O394)&gt;=10,"N.M.",P394/O394))))</f>
        <v>0</v>
      </c>
    </row>
    <row r="395" spans="3:17" ht="0.75" customHeight="1" hidden="1" outlineLevel="1">
      <c r="C395" s="228"/>
      <c r="E395" s="11"/>
      <c r="H395" s="51"/>
      <c r="I395" s="136"/>
      <c r="J395" s="166"/>
      <c r="K395" s="18"/>
      <c r="L395" s="51"/>
      <c r="M395" s="136"/>
      <c r="N395" s="166"/>
      <c r="O395" s="18"/>
      <c r="P395" s="51"/>
      <c r="Q395" s="136"/>
    </row>
    <row r="396" spans="1:17" s="15" customFormat="1" ht="12.75" hidden="1" outlineLevel="2">
      <c r="A396" s="15" t="s">
        <v>1070</v>
      </c>
      <c r="B396" s="15" t="s">
        <v>1071</v>
      </c>
      <c r="C396" s="134" t="s">
        <v>1072</v>
      </c>
      <c r="D396" s="16"/>
      <c r="E396" s="16"/>
      <c r="F396" s="16">
        <v>1404388.3599999999</v>
      </c>
      <c r="G396" s="16">
        <v>1733673.83</v>
      </c>
      <c r="H396" s="16">
        <f>+F396-G396</f>
        <v>-329285.4700000002</v>
      </c>
      <c r="I396" s="53">
        <f>IF(G396&lt;0,IF(H396=0,0,IF(OR(G396=0,F396=0),"N.M.",IF(ABS(H396/G396)&gt;=10,"N.M.",H396/(-G396)))),IF(H396=0,0,IF(OR(G396=0,F396=0),"N.M.",IF(ABS(H396/G396)&gt;=10,"N.M.",H396/G396))))</f>
        <v>-0.18993507561915507</v>
      </c>
      <c r="J396" s="174"/>
      <c r="K396" s="256">
        <v>1432681.3900000001</v>
      </c>
      <c r="L396" s="16">
        <f>+F396-K396</f>
        <v>-28293.03000000026</v>
      </c>
      <c r="M396" s="53" t="str">
        <f>IF(K396&lt;0,IF(L396=0,0,IF(OR(K396=0,N396=0),"N.M.",IF(ABS(L396/K396)&gt;=10,"N.M.",L396/(-K396)))),IF(L396=0,0,IF(OR(K396=0,N396=0),"N.M.",IF(ABS(L396/K396)&gt;=10,"N.M.",L396/K396))))</f>
        <v>N.M.</v>
      </c>
      <c r="N396" s="174"/>
      <c r="O396" s="256">
        <v>1843550.42</v>
      </c>
      <c r="P396" s="16">
        <f>+F396-O396</f>
        <v>-439162.06000000006</v>
      </c>
      <c r="Q396" s="53">
        <f>IF(O396&lt;0,IF(P396=0,0,IF(OR(O396=0,F396=0),"N.M.",IF(ABS(P396/O396)&gt;=10,"N.M.",P396/(-O396)))),IF(P396=0,0,IF(OR(O396=0,F396=0),"N.M.",IF(ABS(P396/O396)&gt;=10,"N.M.",P396/O396))))</f>
        <v>-0.2382153779119315</v>
      </c>
    </row>
    <row r="397" spans="1:17" s="15" customFormat="1" ht="12.75" hidden="1" outlineLevel="2">
      <c r="A397" s="15" t="s">
        <v>1073</v>
      </c>
      <c r="B397" s="15" t="s">
        <v>1074</v>
      </c>
      <c r="C397" s="134" t="s">
        <v>1075</v>
      </c>
      <c r="D397" s="16"/>
      <c r="E397" s="16"/>
      <c r="F397" s="16">
        <v>201.24</v>
      </c>
      <c r="G397" s="16">
        <v>4660.7300000000005</v>
      </c>
      <c r="H397" s="16">
        <f>+F397-G397</f>
        <v>-4459.490000000001</v>
      </c>
      <c r="I397" s="53">
        <f>IF(G397&lt;0,IF(H397=0,0,IF(OR(G397=0,F397=0),"N.M.",IF(ABS(H397/G397)&gt;=10,"N.M.",H397/(-G397)))),IF(H397=0,0,IF(OR(G397=0,F397=0),"N.M.",IF(ABS(H397/G397)&gt;=10,"N.M.",H397/G397))))</f>
        <v>-0.9568222145457901</v>
      </c>
      <c r="J397" s="174"/>
      <c r="K397" s="256">
        <v>189.85</v>
      </c>
      <c r="L397" s="16">
        <f>+F397-K397</f>
        <v>11.390000000000015</v>
      </c>
      <c r="M397" s="53" t="str">
        <f>IF(K397&lt;0,IF(L397=0,0,IF(OR(K397=0,N397=0),"N.M.",IF(ABS(L397/K397)&gt;=10,"N.M.",L397/(-K397)))),IF(L397=0,0,IF(OR(K397=0,N397=0),"N.M.",IF(ABS(L397/K397)&gt;=10,"N.M.",L397/K397))))</f>
        <v>N.M.</v>
      </c>
      <c r="N397" s="174"/>
      <c r="O397" s="256">
        <v>277.83</v>
      </c>
      <c r="P397" s="16">
        <f>+F397-O397</f>
        <v>-76.58999999999997</v>
      </c>
      <c r="Q397" s="53">
        <f>IF(O397&lt;0,IF(P397=0,0,IF(OR(O397=0,F397=0),"N.M.",IF(ABS(P397/O397)&gt;=10,"N.M.",P397/(-O397)))),IF(P397=0,0,IF(OR(O397=0,F397=0),"N.M.",IF(ABS(P397/O397)&gt;=10,"N.M.",P397/O397))))</f>
        <v>-0.2756721736313572</v>
      </c>
    </row>
    <row r="398" spans="1:17" ht="12.75" collapsed="1">
      <c r="A398" s="11" t="s">
        <v>266</v>
      </c>
      <c r="C398" s="228" t="s">
        <v>197</v>
      </c>
      <c r="E398" s="11"/>
      <c r="F398" s="18">
        <v>1404589.5999999999</v>
      </c>
      <c r="G398" s="18">
        <v>1738334.56</v>
      </c>
      <c r="H398" s="51">
        <f>+F398-G398</f>
        <v>-333744.9600000002</v>
      </c>
      <c r="I398" s="136">
        <f>IF(G398&lt;0,IF(H398=0,0,IF(OR(G398=0,F398=0),"N.M.",IF(ABS(H398/G398)&gt;=10,"N.M.",H398/(-G398)))),IF(H398=0,0,IF(OR(G398=0,F398=0),"N.M.",IF(ABS(H398/G398)&gt;=10,"N.M.",H398/G398))))</f>
        <v>-0.19199121255461904</v>
      </c>
      <c r="J398" s="166"/>
      <c r="K398" s="18">
        <v>1432871.2400000002</v>
      </c>
      <c r="L398" s="51">
        <f>+F398-K398</f>
        <v>-28281.640000000363</v>
      </c>
      <c r="M398" s="136" t="str">
        <f>IF(K398&lt;0,IF(L398=0,0,IF(OR(K398=0,N398=0),"N.M.",IF(ABS(L398/K398)&gt;=10,"N.M.",L398/(-K398)))),IF(L398=0,0,IF(OR(K398=0,N398=0),"N.M.",IF(ABS(L398/K398)&gt;=10,"N.M.",L398/K398))))</f>
        <v>N.M.</v>
      </c>
      <c r="N398" s="166"/>
      <c r="O398" s="18">
        <v>1843828.25</v>
      </c>
      <c r="P398" s="51">
        <f>+F398-O398</f>
        <v>-439238.65000000014</v>
      </c>
      <c r="Q398" s="136">
        <f>IF(O398&lt;0,IF(P398=0,0,IF(OR(O398=0,F398=0),"N.M.",IF(ABS(P398/O398)&gt;=10,"N.M.",P398/(-O398)))),IF(P398=0,0,IF(OR(O398=0,F398=0),"N.M.",IF(ABS(P398/O398)&gt;=10,"N.M.",P398/O398))))</f>
        <v>-0.23822102194171293</v>
      </c>
    </row>
    <row r="399" spans="3:17" ht="0.75" customHeight="1" hidden="1" outlineLevel="1">
      <c r="C399" s="228"/>
      <c r="E399" s="11"/>
      <c r="H399" s="51"/>
      <c r="I399" s="136"/>
      <c r="J399" s="166"/>
      <c r="K399" s="18"/>
      <c r="L399" s="51"/>
      <c r="M399" s="136"/>
      <c r="N399" s="166"/>
      <c r="O399" s="18"/>
      <c r="P399" s="51"/>
      <c r="Q399" s="136"/>
    </row>
    <row r="400" spans="1:17" s="15" customFormat="1" ht="12.75" hidden="1" outlineLevel="2">
      <c r="A400" s="15" t="s">
        <v>1076</v>
      </c>
      <c r="B400" s="15" t="s">
        <v>1077</v>
      </c>
      <c r="C400" s="134" t="s">
        <v>1078</v>
      </c>
      <c r="D400" s="16"/>
      <c r="E400" s="16"/>
      <c r="F400" s="16">
        <v>5379970.96</v>
      </c>
      <c r="G400" s="16">
        <v>10115181.75</v>
      </c>
      <c r="H400" s="16">
        <f aca="true" t="shared" si="104" ref="H400:H405">+F400-G400</f>
        <v>-4735210.79</v>
      </c>
      <c r="I400" s="53">
        <f aca="true" t="shared" si="105" ref="I400:I405">IF(G400&lt;0,IF(H400=0,0,IF(OR(G400=0,F400=0),"N.M.",IF(ABS(H400/G400)&gt;=10,"N.M.",H400/(-G400)))),IF(H400=0,0,IF(OR(G400=0,F400=0),"N.M.",IF(ABS(H400/G400)&gt;=10,"N.M.",H400/G400))))</f>
        <v>-0.46812908626184596</v>
      </c>
      <c r="J400" s="174"/>
      <c r="K400" s="256">
        <v>5487539.58</v>
      </c>
      <c r="L400" s="16">
        <f aca="true" t="shared" si="106" ref="L400:L405">+F400-K400</f>
        <v>-107568.62000000011</v>
      </c>
      <c r="M400" s="53" t="str">
        <f aca="true" t="shared" si="107" ref="M400:M405">IF(K400&lt;0,IF(L400=0,0,IF(OR(K400=0,N400=0),"N.M.",IF(ABS(L400/K400)&gt;=10,"N.M.",L400/(-K400)))),IF(L400=0,0,IF(OR(K400=0,N400=0),"N.M.",IF(ABS(L400/K400)&gt;=10,"N.M.",L400/K400))))</f>
        <v>N.M.</v>
      </c>
      <c r="N400" s="174"/>
      <c r="O400" s="256">
        <v>7337232.24</v>
      </c>
      <c r="P400" s="16">
        <f aca="true" t="shared" si="108" ref="P400:P405">+F400-O400</f>
        <v>-1957261.2800000003</v>
      </c>
      <c r="Q400" s="53">
        <f aca="true" t="shared" si="109" ref="Q400:Q405">IF(O400&lt;0,IF(P400=0,0,IF(OR(O400=0,F400=0),"N.M.",IF(ABS(P400/O400)&gt;=10,"N.M.",P400/(-O400)))),IF(P400=0,0,IF(OR(O400=0,F400=0),"N.M.",IF(ABS(P400/O400)&gt;=10,"N.M.",P400/O400))))</f>
        <v>-0.26675743876958163</v>
      </c>
    </row>
    <row r="401" spans="1:17" s="15" customFormat="1" ht="12.75" hidden="1" outlineLevel="2">
      <c r="A401" s="15" t="s">
        <v>1079</v>
      </c>
      <c r="B401" s="15" t="s">
        <v>1080</v>
      </c>
      <c r="C401" s="134" t="s">
        <v>1081</v>
      </c>
      <c r="D401" s="16"/>
      <c r="E401" s="16"/>
      <c r="F401" s="16">
        <v>4268</v>
      </c>
      <c r="G401" s="16">
        <v>151940.16</v>
      </c>
      <c r="H401" s="16">
        <f t="shared" si="104"/>
        <v>-147672.16</v>
      </c>
      <c r="I401" s="53">
        <f t="shared" si="105"/>
        <v>-0.9719099940397589</v>
      </c>
      <c r="J401" s="174"/>
      <c r="K401" s="256">
        <v>18847</v>
      </c>
      <c r="L401" s="16">
        <f t="shared" si="106"/>
        <v>-14579</v>
      </c>
      <c r="M401" s="53" t="str">
        <f t="shared" si="107"/>
        <v>N.M.</v>
      </c>
      <c r="N401" s="174"/>
      <c r="O401" s="256">
        <v>72544</v>
      </c>
      <c r="P401" s="16">
        <f t="shared" si="108"/>
        <v>-68276</v>
      </c>
      <c r="Q401" s="53">
        <f t="shared" si="109"/>
        <v>-0.9411667401852669</v>
      </c>
    </row>
    <row r="402" spans="1:17" s="15" customFormat="1" ht="12.75" hidden="1" outlineLevel="2">
      <c r="A402" s="15" t="s">
        <v>1082</v>
      </c>
      <c r="B402" s="15" t="s">
        <v>1083</v>
      </c>
      <c r="C402" s="134" t="s">
        <v>1084</v>
      </c>
      <c r="D402" s="16"/>
      <c r="E402" s="16"/>
      <c r="F402" s="16">
        <v>28820.53</v>
      </c>
      <c r="G402" s="16">
        <v>43085.87</v>
      </c>
      <c r="H402" s="16">
        <f t="shared" si="104"/>
        <v>-14265.340000000004</v>
      </c>
      <c r="I402" s="53">
        <f t="shared" si="105"/>
        <v>-0.33109091217143816</v>
      </c>
      <c r="J402" s="174"/>
      <c r="K402" s="256">
        <v>28282.13</v>
      </c>
      <c r="L402" s="16">
        <f t="shared" si="106"/>
        <v>538.3999999999978</v>
      </c>
      <c r="M402" s="53" t="str">
        <f t="shared" si="107"/>
        <v>N.M.</v>
      </c>
      <c r="N402" s="174"/>
      <c r="O402" s="256">
        <v>55869.04</v>
      </c>
      <c r="P402" s="16">
        <f t="shared" si="108"/>
        <v>-27048.510000000002</v>
      </c>
      <c r="Q402" s="53">
        <f t="shared" si="109"/>
        <v>-0.4841413061688549</v>
      </c>
    </row>
    <row r="403" spans="1:17" s="15" customFormat="1" ht="12.75" hidden="1" outlineLevel="2">
      <c r="A403" s="15" t="s">
        <v>1085</v>
      </c>
      <c r="B403" s="15" t="s">
        <v>1086</v>
      </c>
      <c r="C403" s="134" t="s">
        <v>1087</v>
      </c>
      <c r="D403" s="16"/>
      <c r="E403" s="16"/>
      <c r="F403" s="16">
        <v>-1471881</v>
      </c>
      <c r="G403" s="16">
        <v>-5394938</v>
      </c>
      <c r="H403" s="16">
        <f t="shared" si="104"/>
        <v>3923057</v>
      </c>
      <c r="I403" s="53">
        <f t="shared" si="105"/>
        <v>0.7271736950452443</v>
      </c>
      <c r="J403" s="174"/>
      <c r="K403" s="256">
        <v>-1162366</v>
      </c>
      <c r="L403" s="16">
        <f t="shared" si="106"/>
        <v>-309515</v>
      </c>
      <c r="M403" s="53" t="str">
        <f t="shared" si="107"/>
        <v>N.M.</v>
      </c>
      <c r="N403" s="174"/>
      <c r="O403" s="256">
        <v>-1657390</v>
      </c>
      <c r="P403" s="16">
        <f t="shared" si="108"/>
        <v>185509</v>
      </c>
      <c r="Q403" s="53">
        <f t="shared" si="109"/>
        <v>0.11192839343787521</v>
      </c>
    </row>
    <row r="404" spans="1:17" s="15" customFormat="1" ht="12.75" hidden="1" outlineLevel="2">
      <c r="A404" s="15" t="s">
        <v>1088</v>
      </c>
      <c r="B404" s="15" t="s">
        <v>1089</v>
      </c>
      <c r="C404" s="134" t="s">
        <v>1090</v>
      </c>
      <c r="D404" s="16"/>
      <c r="E404" s="16"/>
      <c r="F404" s="16">
        <v>145570</v>
      </c>
      <c r="G404" s="16">
        <v>658412</v>
      </c>
      <c r="H404" s="16">
        <f t="shared" si="104"/>
        <v>-512842</v>
      </c>
      <c r="I404" s="53">
        <f t="shared" si="105"/>
        <v>-0.7789074318208052</v>
      </c>
      <c r="J404" s="174"/>
      <c r="K404" s="256">
        <v>50794</v>
      </c>
      <c r="L404" s="16">
        <f t="shared" si="106"/>
        <v>94776</v>
      </c>
      <c r="M404" s="53" t="str">
        <f t="shared" si="107"/>
        <v>N.M.</v>
      </c>
      <c r="N404" s="174"/>
      <c r="O404" s="256">
        <v>150677</v>
      </c>
      <c r="P404" s="16">
        <f t="shared" si="108"/>
        <v>-5107</v>
      </c>
      <c r="Q404" s="53">
        <f t="shared" si="109"/>
        <v>-0.03389369313166575</v>
      </c>
    </row>
    <row r="405" spans="1:17" ht="12.75" collapsed="1">
      <c r="A405" s="11" t="s">
        <v>267</v>
      </c>
      <c r="C405" s="228" t="s">
        <v>198</v>
      </c>
      <c r="E405" s="11"/>
      <c r="F405" s="18">
        <v>4086748.49</v>
      </c>
      <c r="G405" s="18">
        <v>5573681.779999999</v>
      </c>
      <c r="H405" s="51">
        <f t="shared" si="104"/>
        <v>-1486933.289999999</v>
      </c>
      <c r="I405" s="136">
        <f t="shared" si="105"/>
        <v>-0.2667775715749598</v>
      </c>
      <c r="J405" s="166"/>
      <c r="K405" s="18">
        <v>4423096.71</v>
      </c>
      <c r="L405" s="51">
        <f t="shared" si="106"/>
        <v>-336348.21999999974</v>
      </c>
      <c r="M405" s="136" t="str">
        <f t="shared" si="107"/>
        <v>N.M.</v>
      </c>
      <c r="N405" s="166"/>
      <c r="O405" s="18">
        <v>5958932.28</v>
      </c>
      <c r="P405" s="51">
        <f t="shared" si="108"/>
        <v>-1872183.79</v>
      </c>
      <c r="Q405" s="136">
        <f t="shared" si="109"/>
        <v>-0.31418108178265786</v>
      </c>
    </row>
    <row r="406" spans="3:17" ht="0.75" customHeight="1" hidden="1" outlineLevel="1">
      <c r="C406" s="228"/>
      <c r="E406" s="11"/>
      <c r="H406" s="18"/>
      <c r="I406" s="141"/>
      <c r="J406" s="166"/>
      <c r="K406" s="18"/>
      <c r="L406" s="18"/>
      <c r="M406" s="141"/>
      <c r="N406" s="166"/>
      <c r="O406" s="18"/>
      <c r="P406" s="18"/>
      <c r="Q406" s="141"/>
    </row>
    <row r="407" spans="1:17" s="15" customFormat="1" ht="12.75" hidden="1" outlineLevel="2">
      <c r="A407" s="15" t="s">
        <v>1091</v>
      </c>
      <c r="B407" s="15" t="s">
        <v>1092</v>
      </c>
      <c r="C407" s="134" t="s">
        <v>1093</v>
      </c>
      <c r="D407" s="16"/>
      <c r="E407" s="16"/>
      <c r="F407" s="16">
        <v>0</v>
      </c>
      <c r="G407" s="16">
        <v>0</v>
      </c>
      <c r="H407" s="16">
        <f aca="true" t="shared" si="110" ref="H407:H413">+F407-G407</f>
        <v>0</v>
      </c>
      <c r="I407" s="53">
        <f aca="true" t="shared" si="111" ref="I407:I413">IF(G407&lt;0,IF(H407=0,0,IF(OR(G407=0,F407=0),"N.M.",IF(ABS(H407/G407)&gt;=10,"N.M.",H407/(-G407)))),IF(H407=0,0,IF(OR(G407=0,F407=0),"N.M.",IF(ABS(H407/G407)&gt;=10,"N.M.",H407/G407))))</f>
        <v>0</v>
      </c>
      <c r="J407" s="174"/>
      <c r="K407" s="256">
        <v>0</v>
      </c>
      <c r="L407" s="16">
        <f aca="true" t="shared" si="112" ref="L407:L413">+F407-K407</f>
        <v>0</v>
      </c>
      <c r="M407" s="53">
        <f aca="true" t="shared" si="113" ref="M407:M413">IF(K407&lt;0,IF(L407=0,0,IF(OR(K407=0,N407=0),"N.M.",IF(ABS(L407/K407)&gt;=10,"N.M.",L407/(-K407)))),IF(L407=0,0,IF(OR(K407=0,N407=0),"N.M.",IF(ABS(L407/K407)&gt;=10,"N.M.",L407/K407))))</f>
        <v>0</v>
      </c>
      <c r="N407" s="174"/>
      <c r="O407" s="256">
        <v>214417.08000000002</v>
      </c>
      <c r="P407" s="16">
        <f aca="true" t="shared" si="114" ref="P407:P413">+F407-O407</f>
        <v>-214417.08000000002</v>
      </c>
      <c r="Q407" s="53" t="str">
        <f aca="true" t="shared" si="115" ref="Q407:Q413">IF(O407&lt;0,IF(P407=0,0,IF(OR(O407=0,F407=0),"N.M.",IF(ABS(P407/O407)&gt;=10,"N.M.",P407/(-O407)))),IF(P407=0,0,IF(OR(O407=0,F407=0),"N.M.",IF(ABS(P407/O407)&gt;=10,"N.M.",P407/O407))))</f>
        <v>N.M.</v>
      </c>
    </row>
    <row r="408" spans="1:17" s="15" customFormat="1" ht="12.75" hidden="1" outlineLevel="2">
      <c r="A408" s="15" t="s">
        <v>1094</v>
      </c>
      <c r="B408" s="15" t="s">
        <v>1095</v>
      </c>
      <c r="C408" s="134" t="s">
        <v>1096</v>
      </c>
      <c r="D408" s="16"/>
      <c r="E408" s="16"/>
      <c r="F408" s="16">
        <v>80887.24</v>
      </c>
      <c r="G408" s="16">
        <v>128033.42</v>
      </c>
      <c r="H408" s="16">
        <f t="shared" si="110"/>
        <v>-47146.17999999999</v>
      </c>
      <c r="I408" s="53">
        <f t="shared" si="111"/>
        <v>-0.3682333878139004</v>
      </c>
      <c r="J408" s="174"/>
      <c r="K408" s="256">
        <v>72609.95</v>
      </c>
      <c r="L408" s="16">
        <f t="shared" si="112"/>
        <v>8277.290000000008</v>
      </c>
      <c r="M408" s="53" t="str">
        <f t="shared" si="113"/>
        <v>N.M.</v>
      </c>
      <c r="N408" s="174"/>
      <c r="O408" s="256">
        <v>146019.05000000002</v>
      </c>
      <c r="P408" s="16">
        <f t="shared" si="114"/>
        <v>-65131.81000000001</v>
      </c>
      <c r="Q408" s="53">
        <f t="shared" si="115"/>
        <v>-0.446050087300253</v>
      </c>
    </row>
    <row r="409" spans="1:17" s="15" customFormat="1" ht="12.75" hidden="1" outlineLevel="2">
      <c r="A409" s="15" t="s">
        <v>1097</v>
      </c>
      <c r="B409" s="15" t="s">
        <v>1098</v>
      </c>
      <c r="C409" s="134" t="s">
        <v>1099</v>
      </c>
      <c r="D409" s="16"/>
      <c r="E409" s="16"/>
      <c r="F409" s="16">
        <v>23676.89</v>
      </c>
      <c r="G409" s="16">
        <v>43803.63</v>
      </c>
      <c r="H409" s="16">
        <f t="shared" si="110"/>
        <v>-20126.739999999998</v>
      </c>
      <c r="I409" s="53">
        <f t="shared" si="111"/>
        <v>-0.4594765319677844</v>
      </c>
      <c r="J409" s="174"/>
      <c r="K409" s="256">
        <v>16491.35</v>
      </c>
      <c r="L409" s="16">
        <f t="shared" si="112"/>
        <v>7185.540000000001</v>
      </c>
      <c r="M409" s="53" t="str">
        <f t="shared" si="113"/>
        <v>N.M.</v>
      </c>
      <c r="N409" s="174"/>
      <c r="O409" s="256">
        <v>20115.52</v>
      </c>
      <c r="P409" s="16">
        <f t="shared" si="114"/>
        <v>3561.369999999999</v>
      </c>
      <c r="Q409" s="53">
        <f t="shared" si="115"/>
        <v>0.177045882979908</v>
      </c>
    </row>
    <row r="410" spans="1:17" s="15" customFormat="1" ht="12.75" hidden="1" outlineLevel="2">
      <c r="A410" s="15" t="s">
        <v>1100</v>
      </c>
      <c r="B410" s="15" t="s">
        <v>1101</v>
      </c>
      <c r="C410" s="134" t="s">
        <v>1102</v>
      </c>
      <c r="D410" s="16"/>
      <c r="E410" s="16"/>
      <c r="F410" s="16">
        <v>745182.41</v>
      </c>
      <c r="G410" s="16">
        <v>687281.81</v>
      </c>
      <c r="H410" s="16">
        <f t="shared" si="110"/>
        <v>57900.59999999998</v>
      </c>
      <c r="I410" s="53">
        <f t="shared" si="111"/>
        <v>0.08424579140251066</v>
      </c>
      <c r="J410" s="174"/>
      <c r="K410" s="256">
        <v>765880.08</v>
      </c>
      <c r="L410" s="16">
        <f t="shared" si="112"/>
        <v>-20697.669999999925</v>
      </c>
      <c r="M410" s="53" t="str">
        <f t="shared" si="113"/>
        <v>N.M.</v>
      </c>
      <c r="N410" s="174"/>
      <c r="O410" s="256">
        <v>766911.75</v>
      </c>
      <c r="P410" s="16">
        <f t="shared" si="114"/>
        <v>-21729.339999999967</v>
      </c>
      <c r="Q410" s="53">
        <f t="shared" si="115"/>
        <v>-0.02833355989134339</v>
      </c>
    </row>
    <row r="411" spans="1:17" s="15" customFormat="1" ht="12.75" hidden="1" outlineLevel="2">
      <c r="A411" s="15" t="s">
        <v>1103</v>
      </c>
      <c r="B411" s="15" t="s">
        <v>1104</v>
      </c>
      <c r="C411" s="134" t="s">
        <v>1105</v>
      </c>
      <c r="D411" s="16"/>
      <c r="E411" s="16"/>
      <c r="F411" s="16">
        <v>0</v>
      </c>
      <c r="G411" s="16">
        <v>0</v>
      </c>
      <c r="H411" s="16">
        <f t="shared" si="110"/>
        <v>0</v>
      </c>
      <c r="I411" s="53">
        <f t="shared" si="111"/>
        <v>0</v>
      </c>
      <c r="J411" s="174"/>
      <c r="K411" s="256">
        <v>0</v>
      </c>
      <c r="L411" s="16">
        <f t="shared" si="112"/>
        <v>0</v>
      </c>
      <c r="M411" s="53">
        <f t="shared" si="113"/>
        <v>0</v>
      </c>
      <c r="N411" s="174"/>
      <c r="O411" s="256">
        <v>104159.95</v>
      </c>
      <c r="P411" s="16">
        <f t="shared" si="114"/>
        <v>-104159.95</v>
      </c>
      <c r="Q411" s="53" t="str">
        <f t="shared" si="115"/>
        <v>N.M.</v>
      </c>
    </row>
    <row r="412" spans="1:17" s="15" customFormat="1" ht="12.75" hidden="1" outlineLevel="2">
      <c r="A412" s="15" t="s">
        <v>1106</v>
      </c>
      <c r="B412" s="15" t="s">
        <v>1107</v>
      </c>
      <c r="C412" s="134" t="s">
        <v>1108</v>
      </c>
      <c r="D412" s="16"/>
      <c r="E412" s="16"/>
      <c r="F412" s="16">
        <v>401771.22000000003</v>
      </c>
      <c r="G412" s="16">
        <v>193226.11000000002</v>
      </c>
      <c r="H412" s="16">
        <f t="shared" si="110"/>
        <v>208545.11000000002</v>
      </c>
      <c r="I412" s="53">
        <f t="shared" si="111"/>
        <v>1.0792801759555166</v>
      </c>
      <c r="J412" s="174"/>
      <c r="K412" s="256">
        <v>272199.54</v>
      </c>
      <c r="L412" s="16">
        <f t="shared" si="112"/>
        <v>129571.68000000005</v>
      </c>
      <c r="M412" s="53" t="str">
        <f t="shared" si="113"/>
        <v>N.M.</v>
      </c>
      <c r="N412" s="174"/>
      <c r="O412" s="256">
        <v>185402.13</v>
      </c>
      <c r="P412" s="16">
        <f t="shared" si="114"/>
        <v>216369.09000000003</v>
      </c>
      <c r="Q412" s="53">
        <f t="shared" si="115"/>
        <v>1.1670259128090925</v>
      </c>
    </row>
    <row r="413" spans="1:17" s="15" customFormat="1" ht="12.75" hidden="1" outlineLevel="2">
      <c r="A413" s="15" t="s">
        <v>1109</v>
      </c>
      <c r="B413" s="15" t="s">
        <v>1110</v>
      </c>
      <c r="C413" s="134" t="s">
        <v>1111</v>
      </c>
      <c r="D413" s="16"/>
      <c r="E413" s="16"/>
      <c r="F413" s="16">
        <v>872749.4</v>
      </c>
      <c r="G413" s="16">
        <v>874077.7000000001</v>
      </c>
      <c r="H413" s="16">
        <f t="shared" si="110"/>
        <v>-1328.3000000000466</v>
      </c>
      <c r="I413" s="53">
        <f t="shared" si="111"/>
        <v>-0.0015196589502283909</v>
      </c>
      <c r="J413" s="174"/>
      <c r="K413" s="256">
        <v>1004191.5</v>
      </c>
      <c r="L413" s="16">
        <f t="shared" si="112"/>
        <v>-131442.09999999998</v>
      </c>
      <c r="M413" s="53" t="str">
        <f t="shared" si="113"/>
        <v>N.M.</v>
      </c>
      <c r="N413" s="174"/>
      <c r="O413" s="256">
        <v>1239874.24</v>
      </c>
      <c r="P413" s="16">
        <f t="shared" si="114"/>
        <v>-367124.83999999997</v>
      </c>
      <c r="Q413" s="53">
        <f t="shared" si="115"/>
        <v>-0.2960984494685525</v>
      </c>
    </row>
    <row r="414" spans="1:17" s="1" customFormat="1" ht="12.75" hidden="1" outlineLevel="1">
      <c r="A414" s="1" t="s">
        <v>268</v>
      </c>
      <c r="C414" s="114" t="s">
        <v>200</v>
      </c>
      <c r="D414" s="34"/>
      <c r="F414" s="34">
        <v>2124267.16</v>
      </c>
      <c r="G414" s="34">
        <v>1926422.6700000004</v>
      </c>
      <c r="H414" s="51">
        <f aca="true" t="shared" si="116" ref="H414:H434">+F414-G414</f>
        <v>197844.48999999976</v>
      </c>
      <c r="I414" s="136">
        <f aca="true" t="shared" si="117" ref="I414:I434">IF(G414&lt;0,IF(H414=0,0,IF(OR(G414=0,F414=0),"N.M.",IF(ABS(H414/G414)&gt;=10,"N.M.",H414/(-G414)))),IF(H414=0,0,IF(OR(G414=0,F414=0),"N.M.",IF(ABS(H414/G414)&gt;=10,"N.M.",H414/G414))))</f>
        <v>0.10270045773495788</v>
      </c>
      <c r="J414" s="167"/>
      <c r="K414" s="34">
        <v>2131372.42</v>
      </c>
      <c r="L414" s="51">
        <f aca="true" t="shared" si="118" ref="L414:L434">+F414-K414</f>
        <v>-7105.2599999997765</v>
      </c>
      <c r="M414" s="136" t="str">
        <f aca="true" t="shared" si="119" ref="M414:M434">IF(K414&lt;0,IF(L414=0,0,IF(OR(K414=0,N414=0),"N.M.",IF(ABS(L414/K414)&gt;=10,"N.M.",L414/(-K414)))),IF(L414=0,0,IF(OR(K414=0,N414=0),"N.M.",IF(ABS(L414/K414)&gt;=10,"N.M.",L414/K414))))</f>
        <v>N.M.</v>
      </c>
      <c r="N414" s="167"/>
      <c r="O414" s="34">
        <v>2676899.7199999997</v>
      </c>
      <c r="P414" s="51">
        <f aca="true" t="shared" si="120" ref="P414:P434">+F414-O414</f>
        <v>-552632.5599999996</v>
      </c>
      <c r="Q414" s="136">
        <f aca="true" t="shared" si="121" ref="Q414:Q434">IF(O414&lt;0,IF(P414=0,0,IF(OR(O414=0,F414=0),"N.M.",IF(ABS(P414/O414)&gt;=10,"N.M.",P414/(-O414)))),IF(P414=0,0,IF(OR(O414=0,F414=0),"N.M.",IF(ABS(P414/O414)&gt;=10,"N.M.",P414/O414))))</f>
        <v>-0.2064449989930888</v>
      </c>
    </row>
    <row r="415" spans="1:17" s="15" customFormat="1" ht="12.75" hidden="1" outlineLevel="2">
      <c r="A415" s="15" t="s">
        <v>1112</v>
      </c>
      <c r="B415" s="15" t="s">
        <v>1113</v>
      </c>
      <c r="C415" s="134" t="s">
        <v>1114</v>
      </c>
      <c r="D415" s="16"/>
      <c r="E415" s="16"/>
      <c r="F415" s="16">
        <v>1764709.3</v>
      </c>
      <c r="G415" s="16">
        <v>1978242.55</v>
      </c>
      <c r="H415" s="16">
        <f t="shared" si="116"/>
        <v>-213533.25</v>
      </c>
      <c r="I415" s="53">
        <f t="shared" si="117"/>
        <v>-0.10794088419541881</v>
      </c>
      <c r="J415" s="174"/>
      <c r="K415" s="256">
        <v>1764709.3</v>
      </c>
      <c r="L415" s="16">
        <f t="shared" si="118"/>
        <v>0</v>
      </c>
      <c r="M415" s="53">
        <f t="shared" si="119"/>
        <v>0</v>
      </c>
      <c r="N415" s="174"/>
      <c r="O415" s="256">
        <v>1974128.3</v>
      </c>
      <c r="P415" s="16">
        <f t="shared" si="120"/>
        <v>-209419</v>
      </c>
      <c r="Q415" s="53">
        <f t="shared" si="121"/>
        <v>-0.10608175770541357</v>
      </c>
    </row>
    <row r="416" spans="1:17" s="1" customFormat="1" ht="12.75" hidden="1" outlineLevel="1">
      <c r="A416" s="1" t="s">
        <v>269</v>
      </c>
      <c r="C416" s="114" t="s">
        <v>201</v>
      </c>
      <c r="D416" s="34"/>
      <c r="F416" s="34">
        <v>1764709.3</v>
      </c>
      <c r="G416" s="34">
        <v>1978242.55</v>
      </c>
      <c r="H416" s="51">
        <f t="shared" si="116"/>
        <v>-213533.25</v>
      </c>
      <c r="I416" s="136">
        <f t="shared" si="117"/>
        <v>-0.10794088419541881</v>
      </c>
      <c r="J416" s="167"/>
      <c r="K416" s="34">
        <v>1764709.3</v>
      </c>
      <c r="L416" s="51">
        <f t="shared" si="118"/>
        <v>0</v>
      </c>
      <c r="M416" s="136">
        <f t="shared" si="119"/>
        <v>0</v>
      </c>
      <c r="N416" s="167"/>
      <c r="O416" s="34">
        <v>1974128.3</v>
      </c>
      <c r="P416" s="51">
        <f t="shared" si="120"/>
        <v>-209419</v>
      </c>
      <c r="Q416" s="136">
        <f t="shared" si="121"/>
        <v>-0.10608175770541357</v>
      </c>
    </row>
    <row r="417" spans="1:17" s="1" customFormat="1" ht="12.75" hidden="1" outlineLevel="1">
      <c r="A417" s="1" t="s">
        <v>270</v>
      </c>
      <c r="C417" s="124" t="s">
        <v>202</v>
      </c>
      <c r="D417" s="34"/>
      <c r="F417" s="34">
        <v>0</v>
      </c>
      <c r="G417" s="34">
        <v>0</v>
      </c>
      <c r="H417" s="51">
        <f t="shared" si="116"/>
        <v>0</v>
      </c>
      <c r="I417" s="136">
        <f t="shared" si="117"/>
        <v>0</v>
      </c>
      <c r="J417" s="167"/>
      <c r="K417" s="34">
        <v>0</v>
      </c>
      <c r="L417" s="51">
        <f t="shared" si="118"/>
        <v>0</v>
      </c>
      <c r="M417" s="136">
        <f t="shared" si="119"/>
        <v>0</v>
      </c>
      <c r="N417" s="167"/>
      <c r="O417" s="34">
        <v>0</v>
      </c>
      <c r="P417" s="51">
        <f t="shared" si="120"/>
        <v>0</v>
      </c>
      <c r="Q417" s="136">
        <f t="shared" si="121"/>
        <v>0</v>
      </c>
    </row>
    <row r="418" spans="1:17" s="15" customFormat="1" ht="12.75" hidden="1" outlineLevel="2">
      <c r="A418" s="15" t="s">
        <v>1115</v>
      </c>
      <c r="B418" s="15" t="s">
        <v>1116</v>
      </c>
      <c r="C418" s="134" t="s">
        <v>1117</v>
      </c>
      <c r="D418" s="16"/>
      <c r="E418" s="16"/>
      <c r="F418" s="16">
        <v>0</v>
      </c>
      <c r="G418" s="16">
        <v>0</v>
      </c>
      <c r="H418" s="16">
        <f t="shared" si="116"/>
        <v>0</v>
      </c>
      <c r="I418" s="53">
        <f t="shared" si="117"/>
        <v>0</v>
      </c>
      <c r="J418" s="174"/>
      <c r="K418" s="256">
        <v>2013.5</v>
      </c>
      <c r="L418" s="16">
        <f t="shared" si="118"/>
        <v>-2013.5</v>
      </c>
      <c r="M418" s="53" t="str">
        <f t="shared" si="119"/>
        <v>N.M.</v>
      </c>
      <c r="N418" s="174"/>
      <c r="O418" s="256">
        <v>0</v>
      </c>
      <c r="P418" s="16">
        <f t="shared" si="120"/>
        <v>0</v>
      </c>
      <c r="Q418" s="53">
        <f t="shared" si="121"/>
        <v>0</v>
      </c>
    </row>
    <row r="419" spans="1:17" s="1" customFormat="1" ht="12.75" hidden="1" outlineLevel="1">
      <c r="A419" s="1" t="s">
        <v>271</v>
      </c>
      <c r="B419" s="86"/>
      <c r="C419" s="125" t="s">
        <v>203</v>
      </c>
      <c r="D419" s="34"/>
      <c r="F419" s="197">
        <v>0</v>
      </c>
      <c r="G419" s="197">
        <v>0</v>
      </c>
      <c r="H419" s="197">
        <f t="shared" si="116"/>
        <v>0</v>
      </c>
      <c r="I419" s="138">
        <f t="shared" si="117"/>
        <v>0</v>
      </c>
      <c r="J419" s="167"/>
      <c r="K419" s="197">
        <v>2013.5</v>
      </c>
      <c r="L419" s="197">
        <f t="shared" si="118"/>
        <v>-2013.5</v>
      </c>
      <c r="M419" s="138" t="str">
        <f t="shared" si="119"/>
        <v>N.M.</v>
      </c>
      <c r="N419" s="167"/>
      <c r="O419" s="197">
        <v>0</v>
      </c>
      <c r="P419" s="197">
        <f t="shared" si="120"/>
        <v>0</v>
      </c>
      <c r="Q419" s="138">
        <f t="shared" si="121"/>
        <v>0</v>
      </c>
    </row>
    <row r="420" spans="1:17" s="1" customFormat="1" ht="12.75" hidden="1" outlineLevel="1">
      <c r="A420" s="1" t="s">
        <v>272</v>
      </c>
      <c r="B420" s="86"/>
      <c r="C420" s="114" t="s">
        <v>204</v>
      </c>
      <c r="D420" s="34"/>
      <c r="F420" s="34">
        <v>0</v>
      </c>
      <c r="G420" s="34">
        <v>0</v>
      </c>
      <c r="H420" s="51">
        <f t="shared" si="116"/>
        <v>0</v>
      </c>
      <c r="I420" s="136">
        <f t="shared" si="117"/>
        <v>0</v>
      </c>
      <c r="J420" s="167"/>
      <c r="K420" s="34">
        <v>2013.5</v>
      </c>
      <c r="L420" s="51">
        <f t="shared" si="118"/>
        <v>-2013.5</v>
      </c>
      <c r="M420" s="136" t="str">
        <f t="shared" si="119"/>
        <v>N.M.</v>
      </c>
      <c r="N420" s="167"/>
      <c r="O420" s="34">
        <v>0</v>
      </c>
      <c r="P420" s="51">
        <f t="shared" si="120"/>
        <v>0</v>
      </c>
      <c r="Q420" s="136">
        <f t="shared" si="121"/>
        <v>0</v>
      </c>
    </row>
    <row r="421" spans="1:17" s="15" customFormat="1" ht="12.75" hidden="1" outlineLevel="2">
      <c r="A421" s="15" t="s">
        <v>1118</v>
      </c>
      <c r="B421" s="15" t="s">
        <v>1119</v>
      </c>
      <c r="C421" s="134" t="s">
        <v>1120</v>
      </c>
      <c r="D421" s="16"/>
      <c r="E421" s="16"/>
      <c r="F421" s="16">
        <v>1367200.3599999999</v>
      </c>
      <c r="G421" s="16">
        <v>1201453.216</v>
      </c>
      <c r="H421" s="16">
        <f t="shared" si="116"/>
        <v>165747.14399999985</v>
      </c>
      <c r="I421" s="53">
        <f t="shared" si="117"/>
        <v>0.137955553984717</v>
      </c>
      <c r="J421" s="174"/>
      <c r="K421" s="256">
        <v>1616568.88</v>
      </c>
      <c r="L421" s="16">
        <f t="shared" si="118"/>
        <v>-249368.52000000002</v>
      </c>
      <c r="M421" s="53" t="str">
        <f t="shared" si="119"/>
        <v>N.M.</v>
      </c>
      <c r="N421" s="174"/>
      <c r="O421" s="256">
        <v>0</v>
      </c>
      <c r="P421" s="16">
        <f t="shared" si="120"/>
        <v>1367200.3599999999</v>
      </c>
      <c r="Q421" s="53" t="str">
        <f t="shared" si="121"/>
        <v>N.M.</v>
      </c>
    </row>
    <row r="422" spans="1:17" s="15" customFormat="1" ht="12.75" hidden="1" outlineLevel="2">
      <c r="A422" s="15" t="s">
        <v>1121</v>
      </c>
      <c r="B422" s="15" t="s">
        <v>1122</v>
      </c>
      <c r="C422" s="134" t="s">
        <v>1123</v>
      </c>
      <c r="D422" s="16"/>
      <c r="E422" s="16"/>
      <c r="F422" s="16">
        <v>1833863.565</v>
      </c>
      <c r="G422" s="16">
        <v>1726004.706</v>
      </c>
      <c r="H422" s="16">
        <f t="shared" si="116"/>
        <v>107858.85899999994</v>
      </c>
      <c r="I422" s="53">
        <f t="shared" si="117"/>
        <v>0.06249047793731794</v>
      </c>
      <c r="J422" s="174"/>
      <c r="K422" s="256">
        <v>1606786.955</v>
      </c>
      <c r="L422" s="16">
        <f t="shared" si="118"/>
        <v>227076.60999999987</v>
      </c>
      <c r="M422" s="53" t="str">
        <f t="shared" si="119"/>
        <v>N.M.</v>
      </c>
      <c r="N422" s="174"/>
      <c r="O422" s="256">
        <v>2954346.062</v>
      </c>
      <c r="P422" s="16">
        <f t="shared" si="120"/>
        <v>-1120482.497</v>
      </c>
      <c r="Q422" s="53">
        <f t="shared" si="121"/>
        <v>-0.3792658251557261</v>
      </c>
    </row>
    <row r="423" spans="1:17" s="1" customFormat="1" ht="12.75" hidden="1" outlineLevel="1">
      <c r="A423" s="1" t="s">
        <v>273</v>
      </c>
      <c r="C423" s="124" t="s">
        <v>205</v>
      </c>
      <c r="D423" s="34"/>
      <c r="F423" s="34">
        <v>3201063.925</v>
      </c>
      <c r="G423" s="34">
        <v>2927457.9220000003</v>
      </c>
      <c r="H423" s="51">
        <f t="shared" si="116"/>
        <v>273606.00299999956</v>
      </c>
      <c r="I423" s="136">
        <f t="shared" si="117"/>
        <v>0.09346197632554717</v>
      </c>
      <c r="J423" s="167"/>
      <c r="K423" s="34">
        <v>3223355.835</v>
      </c>
      <c r="L423" s="51">
        <f t="shared" si="118"/>
        <v>-22291.91000000015</v>
      </c>
      <c r="M423" s="136" t="str">
        <f t="shared" si="119"/>
        <v>N.M.</v>
      </c>
      <c r="N423" s="167"/>
      <c r="O423" s="34">
        <v>2954346.062</v>
      </c>
      <c r="P423" s="51">
        <f t="shared" si="120"/>
        <v>246717.8629999999</v>
      </c>
      <c r="Q423" s="136">
        <f t="shared" si="121"/>
        <v>0.08351014330155337</v>
      </c>
    </row>
    <row r="424" spans="1:17" s="15" customFormat="1" ht="12.75" hidden="1" outlineLevel="2">
      <c r="A424" s="15" t="s">
        <v>1124</v>
      </c>
      <c r="B424" s="15" t="s">
        <v>1125</v>
      </c>
      <c r="C424" s="134" t="s">
        <v>1126</v>
      </c>
      <c r="D424" s="16"/>
      <c r="E424" s="16"/>
      <c r="F424" s="16">
        <v>119735.196</v>
      </c>
      <c r="G424" s="16">
        <v>311303.756</v>
      </c>
      <c r="H424" s="16">
        <f t="shared" si="116"/>
        <v>-191568.56</v>
      </c>
      <c r="I424" s="53">
        <f t="shared" si="117"/>
        <v>-0.6153750358219257</v>
      </c>
      <c r="J424" s="174"/>
      <c r="K424" s="256">
        <v>84046.926</v>
      </c>
      <c r="L424" s="16">
        <f t="shared" si="118"/>
        <v>35688.26999999999</v>
      </c>
      <c r="M424" s="53" t="str">
        <f t="shared" si="119"/>
        <v>N.M.</v>
      </c>
      <c r="N424" s="174"/>
      <c r="O424" s="256">
        <v>37619.395000000004</v>
      </c>
      <c r="P424" s="16">
        <f t="shared" si="120"/>
        <v>82115.80099999999</v>
      </c>
      <c r="Q424" s="53">
        <f t="shared" si="121"/>
        <v>2.1828049334658353</v>
      </c>
    </row>
    <row r="425" spans="1:17" s="15" customFormat="1" ht="12.75" hidden="1" outlineLevel="2">
      <c r="A425" s="15" t="s">
        <v>1127</v>
      </c>
      <c r="B425" s="15" t="s">
        <v>1128</v>
      </c>
      <c r="C425" s="134" t="s">
        <v>843</v>
      </c>
      <c r="D425" s="16"/>
      <c r="E425" s="16"/>
      <c r="F425" s="16">
        <v>214416.7</v>
      </c>
      <c r="G425" s="16">
        <v>108195.06</v>
      </c>
      <c r="H425" s="16">
        <f t="shared" si="116"/>
        <v>106221.64000000001</v>
      </c>
      <c r="I425" s="53">
        <f t="shared" si="117"/>
        <v>0.9817605350928224</v>
      </c>
      <c r="J425" s="174"/>
      <c r="K425" s="256">
        <v>0</v>
      </c>
      <c r="L425" s="16">
        <f t="shared" si="118"/>
        <v>214416.7</v>
      </c>
      <c r="M425" s="53" t="str">
        <f t="shared" si="119"/>
        <v>N.M.</v>
      </c>
      <c r="N425" s="174"/>
      <c r="O425" s="256">
        <v>111258.19</v>
      </c>
      <c r="P425" s="16">
        <f t="shared" si="120"/>
        <v>103158.51000000001</v>
      </c>
      <c r="Q425" s="53">
        <f t="shared" si="121"/>
        <v>0.9271992470846416</v>
      </c>
    </row>
    <row r="426" spans="1:17" s="1" customFormat="1" ht="12.75" hidden="1" outlineLevel="1">
      <c r="A426" s="1" t="s">
        <v>274</v>
      </c>
      <c r="C426" s="125" t="s">
        <v>206</v>
      </c>
      <c r="D426" s="34"/>
      <c r="F426" s="197">
        <v>334151.896</v>
      </c>
      <c r="G426" s="197">
        <v>419498.816</v>
      </c>
      <c r="H426" s="197">
        <f t="shared" si="116"/>
        <v>-85346.91999999998</v>
      </c>
      <c r="I426" s="138">
        <f t="shared" si="117"/>
        <v>-0.20344972797253374</v>
      </c>
      <c r="J426" s="167"/>
      <c r="K426" s="197">
        <v>84046.926</v>
      </c>
      <c r="L426" s="197">
        <f t="shared" si="118"/>
        <v>250104.97</v>
      </c>
      <c r="M426" s="138" t="str">
        <f t="shared" si="119"/>
        <v>N.M.</v>
      </c>
      <c r="N426" s="167"/>
      <c r="O426" s="197">
        <v>148877.58500000002</v>
      </c>
      <c r="P426" s="197">
        <f t="shared" si="120"/>
        <v>185274.311</v>
      </c>
      <c r="Q426" s="138">
        <f t="shared" si="121"/>
        <v>1.2444741832694288</v>
      </c>
    </row>
    <row r="427" spans="1:17" s="1" customFormat="1" ht="12.75" hidden="1" outlineLevel="1">
      <c r="A427" s="1" t="s">
        <v>275</v>
      </c>
      <c r="C427" s="114" t="s">
        <v>207</v>
      </c>
      <c r="D427" s="34"/>
      <c r="F427" s="34">
        <v>3535215.821</v>
      </c>
      <c r="G427" s="34">
        <v>3346956.738</v>
      </c>
      <c r="H427" s="51">
        <f t="shared" si="116"/>
        <v>188259.0830000001</v>
      </c>
      <c r="I427" s="136">
        <f t="shared" si="117"/>
        <v>0.05624783877920567</v>
      </c>
      <c r="J427" s="167"/>
      <c r="K427" s="34">
        <v>3307402.761</v>
      </c>
      <c r="L427" s="51">
        <f t="shared" si="118"/>
        <v>227813.06000000006</v>
      </c>
      <c r="M427" s="136" t="str">
        <f t="shared" si="119"/>
        <v>N.M.</v>
      </c>
      <c r="N427" s="167"/>
      <c r="O427" s="34">
        <v>3103223.647</v>
      </c>
      <c r="P427" s="51">
        <f t="shared" si="120"/>
        <v>431992.1740000001</v>
      </c>
      <c r="Q427" s="136">
        <f t="shared" si="121"/>
        <v>0.1392075541888909</v>
      </c>
    </row>
    <row r="428" spans="1:17" s="15" customFormat="1" ht="12.75" hidden="1" outlineLevel="2">
      <c r="A428" s="15" t="s">
        <v>1129</v>
      </c>
      <c r="B428" s="15" t="s">
        <v>1130</v>
      </c>
      <c r="C428" s="134" t="s">
        <v>1131</v>
      </c>
      <c r="D428" s="16"/>
      <c r="E428" s="16"/>
      <c r="F428" s="16">
        <v>97700.79000000001</v>
      </c>
      <c r="G428" s="16">
        <v>85610.26</v>
      </c>
      <c r="H428" s="16">
        <f t="shared" si="116"/>
        <v>12090.530000000013</v>
      </c>
      <c r="I428" s="53">
        <f t="shared" si="117"/>
        <v>0.1412275818342336</v>
      </c>
      <c r="J428" s="174"/>
      <c r="K428" s="256">
        <v>97837.5</v>
      </c>
      <c r="L428" s="16">
        <f t="shared" si="118"/>
        <v>-136.70999999999185</v>
      </c>
      <c r="M428" s="53" t="str">
        <f t="shared" si="119"/>
        <v>N.M.</v>
      </c>
      <c r="N428" s="174"/>
      <c r="O428" s="256">
        <v>85310.28</v>
      </c>
      <c r="P428" s="16">
        <f t="shared" si="120"/>
        <v>12390.51000000001</v>
      </c>
      <c r="Q428" s="53">
        <f t="shared" si="121"/>
        <v>0.145240526698541</v>
      </c>
    </row>
    <row r="429" spans="1:17" s="15" customFormat="1" ht="12.75" hidden="1" outlineLevel="2">
      <c r="A429" s="15" t="s">
        <v>1132</v>
      </c>
      <c r="B429" s="15" t="s">
        <v>1133</v>
      </c>
      <c r="C429" s="134" t="s">
        <v>1134</v>
      </c>
      <c r="D429" s="16"/>
      <c r="E429" s="16"/>
      <c r="F429" s="16">
        <v>7967.05</v>
      </c>
      <c r="G429" s="16">
        <v>7511.85</v>
      </c>
      <c r="H429" s="16">
        <f t="shared" si="116"/>
        <v>455.1999999999998</v>
      </c>
      <c r="I429" s="53">
        <f t="shared" si="117"/>
        <v>0.060597589142488174</v>
      </c>
      <c r="J429" s="174"/>
      <c r="K429" s="256">
        <v>7960.12</v>
      </c>
      <c r="L429" s="16">
        <f t="shared" si="118"/>
        <v>6.930000000000291</v>
      </c>
      <c r="M429" s="53" t="str">
        <f t="shared" si="119"/>
        <v>N.M.</v>
      </c>
      <c r="N429" s="174"/>
      <c r="O429" s="256">
        <v>7423.92</v>
      </c>
      <c r="P429" s="16">
        <f t="shared" si="120"/>
        <v>543.1300000000001</v>
      </c>
      <c r="Q429" s="53">
        <f t="shared" si="121"/>
        <v>0.07315946292524705</v>
      </c>
    </row>
    <row r="430" spans="1:17" s="15" customFormat="1" ht="12.75" hidden="1" outlineLevel="2">
      <c r="A430" s="15" t="s">
        <v>1135</v>
      </c>
      <c r="B430" s="15" t="s">
        <v>1136</v>
      </c>
      <c r="C430" s="134" t="s">
        <v>1137</v>
      </c>
      <c r="D430" s="16"/>
      <c r="E430" s="16"/>
      <c r="F430" s="16">
        <v>45051.99</v>
      </c>
      <c r="G430" s="16">
        <v>60317.62</v>
      </c>
      <c r="H430" s="16">
        <f t="shared" si="116"/>
        <v>-15265.630000000005</v>
      </c>
      <c r="I430" s="53">
        <f t="shared" si="117"/>
        <v>-0.25308740630018234</v>
      </c>
      <c r="J430" s="174"/>
      <c r="K430" s="256">
        <v>44903.49</v>
      </c>
      <c r="L430" s="16">
        <f t="shared" si="118"/>
        <v>148.5</v>
      </c>
      <c r="M430" s="53" t="str">
        <f t="shared" si="119"/>
        <v>N.M.</v>
      </c>
      <c r="N430" s="174"/>
      <c r="O430" s="256">
        <v>48388.99</v>
      </c>
      <c r="P430" s="16">
        <f t="shared" si="120"/>
        <v>-3337</v>
      </c>
      <c r="Q430" s="53">
        <f t="shared" si="121"/>
        <v>-0.06896196841471583</v>
      </c>
    </row>
    <row r="431" spans="1:17" s="15" customFormat="1" ht="12.75" hidden="1" outlineLevel="2">
      <c r="A431" s="15" t="s">
        <v>1138</v>
      </c>
      <c r="B431" s="15" t="s">
        <v>1139</v>
      </c>
      <c r="C431" s="134" t="s">
        <v>1140</v>
      </c>
      <c r="D431" s="16"/>
      <c r="E431" s="16"/>
      <c r="F431" s="16">
        <v>0</v>
      </c>
      <c r="G431" s="16">
        <v>500</v>
      </c>
      <c r="H431" s="16">
        <f t="shared" si="116"/>
        <v>-500</v>
      </c>
      <c r="I431" s="53" t="str">
        <f t="shared" si="117"/>
        <v>N.M.</v>
      </c>
      <c r="J431" s="174"/>
      <c r="K431" s="256">
        <v>0</v>
      </c>
      <c r="L431" s="16">
        <f t="shared" si="118"/>
        <v>0</v>
      </c>
      <c r="M431" s="53">
        <f t="shared" si="119"/>
        <v>0</v>
      </c>
      <c r="N431" s="174"/>
      <c r="O431" s="256">
        <v>0</v>
      </c>
      <c r="P431" s="16">
        <f t="shared" si="120"/>
        <v>0</v>
      </c>
      <c r="Q431" s="53">
        <f t="shared" si="121"/>
        <v>0</v>
      </c>
    </row>
    <row r="432" spans="1:17" s="1" customFormat="1" ht="12.75" hidden="1" outlineLevel="1">
      <c r="A432" s="1" t="s">
        <v>276</v>
      </c>
      <c r="C432" s="114" t="s">
        <v>208</v>
      </c>
      <c r="D432" s="34"/>
      <c r="F432" s="34">
        <v>150719.83000000002</v>
      </c>
      <c r="G432" s="34">
        <v>153939.73</v>
      </c>
      <c r="H432" s="51">
        <f t="shared" si="116"/>
        <v>-3219.899999999994</v>
      </c>
      <c r="I432" s="136">
        <f t="shared" si="117"/>
        <v>-0.02091662756586616</v>
      </c>
      <c r="J432" s="167"/>
      <c r="K432" s="34">
        <v>150701.11</v>
      </c>
      <c r="L432" s="51">
        <f t="shared" si="118"/>
        <v>18.720000000030268</v>
      </c>
      <c r="M432" s="136" t="str">
        <f t="shared" si="119"/>
        <v>N.M.</v>
      </c>
      <c r="N432" s="167"/>
      <c r="O432" s="34">
        <v>141123.19</v>
      </c>
      <c r="P432" s="51">
        <f t="shared" si="120"/>
        <v>9596.640000000014</v>
      </c>
      <c r="Q432" s="136">
        <f t="shared" si="121"/>
        <v>0.06800186418688534</v>
      </c>
    </row>
    <row r="433" spans="1:17" s="15" customFormat="1" ht="12.75" hidden="1" outlineLevel="2">
      <c r="A433" s="15" t="s">
        <v>1141</v>
      </c>
      <c r="B433" s="15" t="s">
        <v>1142</v>
      </c>
      <c r="C433" s="134" t="s">
        <v>1143</v>
      </c>
      <c r="D433" s="16"/>
      <c r="E433" s="16"/>
      <c r="F433" s="16">
        <v>506139.99</v>
      </c>
      <c r="G433" s="16">
        <v>602130.89</v>
      </c>
      <c r="H433" s="16">
        <f t="shared" si="116"/>
        <v>-95990.90000000002</v>
      </c>
      <c r="I433" s="53">
        <f t="shared" si="117"/>
        <v>-0.1594186606171293</v>
      </c>
      <c r="J433" s="174"/>
      <c r="K433" s="256">
        <v>515773.23000000004</v>
      </c>
      <c r="L433" s="16">
        <f t="shared" si="118"/>
        <v>-9633.240000000049</v>
      </c>
      <c r="M433" s="53" t="str">
        <f t="shared" si="119"/>
        <v>N.M.</v>
      </c>
      <c r="N433" s="174"/>
      <c r="O433" s="256">
        <v>608966.01</v>
      </c>
      <c r="P433" s="16">
        <f t="shared" si="120"/>
        <v>-102826.02000000002</v>
      </c>
      <c r="Q433" s="53">
        <f t="shared" si="121"/>
        <v>-0.1688534635947908</v>
      </c>
    </row>
    <row r="434" spans="1:17" s="1" customFormat="1" ht="12.75" hidden="1" outlineLevel="1">
      <c r="A434" s="1" t="s">
        <v>277</v>
      </c>
      <c r="C434" s="114" t="s">
        <v>209</v>
      </c>
      <c r="D434" s="34"/>
      <c r="F434" s="34">
        <v>506139.99</v>
      </c>
      <c r="G434" s="34">
        <v>602130.89</v>
      </c>
      <c r="H434" s="51">
        <f t="shared" si="116"/>
        <v>-95990.90000000002</v>
      </c>
      <c r="I434" s="136">
        <f t="shared" si="117"/>
        <v>-0.1594186606171293</v>
      </c>
      <c r="J434" s="167"/>
      <c r="K434" s="34">
        <v>515773.23000000004</v>
      </c>
      <c r="L434" s="51">
        <f t="shared" si="118"/>
        <v>-9633.240000000049</v>
      </c>
      <c r="M434" s="136" t="str">
        <f t="shared" si="119"/>
        <v>N.M.</v>
      </c>
      <c r="N434" s="167"/>
      <c r="O434" s="34">
        <v>608966.01</v>
      </c>
      <c r="P434" s="51">
        <f t="shared" si="120"/>
        <v>-102826.02000000002</v>
      </c>
      <c r="Q434" s="136">
        <f t="shared" si="121"/>
        <v>-0.1688534635947908</v>
      </c>
    </row>
    <row r="435" spans="1:17" s="15" customFormat="1" ht="12.75" hidden="1" outlineLevel="2">
      <c r="A435" s="15" t="s">
        <v>1144</v>
      </c>
      <c r="B435" s="15" t="s">
        <v>1145</v>
      </c>
      <c r="C435" s="134" t="s">
        <v>1146</v>
      </c>
      <c r="D435" s="16"/>
      <c r="E435" s="16"/>
      <c r="F435" s="16">
        <v>883521.64</v>
      </c>
      <c r="G435" s="16">
        <v>1273428</v>
      </c>
      <c r="H435" s="16">
        <f aca="true" t="shared" si="122" ref="H435:H458">+F435-G435</f>
        <v>-389906.36</v>
      </c>
      <c r="I435" s="53">
        <f aca="true" t="shared" si="123" ref="I435:I458">IF(G435&lt;0,IF(H435=0,0,IF(OR(G435=0,F435=0),"N.M.",IF(ABS(H435/G435)&gt;=10,"N.M.",H435/(-G435)))),IF(H435=0,0,IF(OR(G435=0,F435=0),"N.M.",IF(ABS(H435/G435)&gt;=10,"N.M.",H435/G435))))</f>
        <v>-0.30618641964838217</v>
      </c>
      <c r="J435" s="174"/>
      <c r="K435" s="256">
        <v>883521.64</v>
      </c>
      <c r="L435" s="16">
        <f aca="true" t="shared" si="124" ref="L435:L458">+F435-K435</f>
        <v>0</v>
      </c>
      <c r="M435" s="53">
        <f aca="true" t="shared" si="125" ref="M435:M458">IF(K435&lt;0,IF(L435=0,0,IF(OR(K435=0,N435=0),"N.M.",IF(ABS(L435/K435)&gt;=10,"N.M.",L435/(-K435)))),IF(L435=0,0,IF(OR(K435=0,N435=0),"N.M.",IF(ABS(L435/K435)&gt;=10,"N.M.",L435/K435))))</f>
        <v>0</v>
      </c>
      <c r="N435" s="174"/>
      <c r="O435" s="256">
        <v>1273428</v>
      </c>
      <c r="P435" s="16">
        <f aca="true" t="shared" si="126" ref="P435:P458">+F435-O435</f>
        <v>-389906.36</v>
      </c>
      <c r="Q435" s="53">
        <f aca="true" t="shared" si="127" ref="Q435:Q458">IF(O435&lt;0,IF(P435=0,0,IF(OR(O435=0,F435=0),"N.M.",IF(ABS(P435/O435)&gt;=10,"N.M.",P435/(-O435)))),IF(P435=0,0,IF(OR(O435=0,F435=0),"N.M.",IF(ABS(P435/O435)&gt;=10,"N.M.",P435/O435))))</f>
        <v>-0.30618641964838217</v>
      </c>
    </row>
    <row r="436" spans="1:17" s="15" customFormat="1" ht="12.75" hidden="1" outlineLevel="2">
      <c r="A436" s="15" t="s">
        <v>1147</v>
      </c>
      <c r="B436" s="15" t="s">
        <v>1148</v>
      </c>
      <c r="C436" s="134" t="s">
        <v>1149</v>
      </c>
      <c r="D436" s="16"/>
      <c r="E436" s="16"/>
      <c r="F436" s="16">
        <v>0</v>
      </c>
      <c r="G436" s="16">
        <v>194</v>
      </c>
      <c r="H436" s="16">
        <f t="shared" si="122"/>
        <v>-194</v>
      </c>
      <c r="I436" s="53" t="str">
        <f t="shared" si="123"/>
        <v>N.M.</v>
      </c>
      <c r="J436" s="174"/>
      <c r="K436" s="256">
        <v>0</v>
      </c>
      <c r="L436" s="16">
        <f t="shared" si="124"/>
        <v>0</v>
      </c>
      <c r="M436" s="53">
        <f t="shared" si="125"/>
        <v>0</v>
      </c>
      <c r="N436" s="174"/>
      <c r="O436" s="256">
        <v>0</v>
      </c>
      <c r="P436" s="16">
        <f t="shared" si="126"/>
        <v>0</v>
      </c>
      <c r="Q436" s="53">
        <f t="shared" si="127"/>
        <v>0</v>
      </c>
    </row>
    <row r="437" spans="1:17" s="15" customFormat="1" ht="12.75" hidden="1" outlineLevel="2">
      <c r="A437" s="15" t="s">
        <v>1150</v>
      </c>
      <c r="B437" s="15" t="s">
        <v>1151</v>
      </c>
      <c r="C437" s="134" t="s">
        <v>1152</v>
      </c>
      <c r="D437" s="16"/>
      <c r="E437" s="16"/>
      <c r="F437" s="16">
        <v>3646.5</v>
      </c>
      <c r="G437" s="16">
        <v>3658.2000000000003</v>
      </c>
      <c r="H437" s="16">
        <f t="shared" si="122"/>
        <v>-11.700000000000273</v>
      </c>
      <c r="I437" s="53">
        <f t="shared" si="123"/>
        <v>-0.003198294243070437</v>
      </c>
      <c r="J437" s="174"/>
      <c r="K437" s="256">
        <v>3656.4900000000002</v>
      </c>
      <c r="L437" s="16">
        <f t="shared" si="124"/>
        <v>-9.990000000000236</v>
      </c>
      <c r="M437" s="53" t="str">
        <f t="shared" si="125"/>
        <v>N.M.</v>
      </c>
      <c r="N437" s="174"/>
      <c r="O437" s="256">
        <v>3615.98</v>
      </c>
      <c r="P437" s="16">
        <f t="shared" si="126"/>
        <v>30.519999999999982</v>
      </c>
      <c r="Q437" s="53">
        <f t="shared" si="127"/>
        <v>0.00844031216986819</v>
      </c>
    </row>
    <row r="438" spans="1:17" s="15" customFormat="1" ht="12.75" hidden="1" outlineLevel="2">
      <c r="A438" s="15" t="s">
        <v>1153</v>
      </c>
      <c r="B438" s="15" t="s">
        <v>1154</v>
      </c>
      <c r="C438" s="134" t="s">
        <v>1155</v>
      </c>
      <c r="D438" s="16"/>
      <c r="E438" s="16"/>
      <c r="F438" s="16">
        <v>3927.2400000000002</v>
      </c>
      <c r="G438" s="16">
        <v>5932.27</v>
      </c>
      <c r="H438" s="16">
        <f t="shared" si="122"/>
        <v>-2005.0300000000002</v>
      </c>
      <c r="I438" s="53">
        <f t="shared" si="123"/>
        <v>-0.33798697631766594</v>
      </c>
      <c r="J438" s="174"/>
      <c r="K438" s="256">
        <v>3927.2400000000002</v>
      </c>
      <c r="L438" s="16">
        <f t="shared" si="124"/>
        <v>0</v>
      </c>
      <c r="M438" s="53">
        <f t="shared" si="125"/>
        <v>0</v>
      </c>
      <c r="N438" s="174"/>
      <c r="O438" s="256">
        <v>0</v>
      </c>
      <c r="P438" s="16">
        <f t="shared" si="126"/>
        <v>3927.2400000000002</v>
      </c>
      <c r="Q438" s="53" t="str">
        <f t="shared" si="127"/>
        <v>N.M.</v>
      </c>
    </row>
    <row r="439" spans="1:17" s="15" customFormat="1" ht="12.75" hidden="1" outlineLevel="2">
      <c r="A439" s="15" t="s">
        <v>1156</v>
      </c>
      <c r="B439" s="15" t="s">
        <v>1157</v>
      </c>
      <c r="C439" s="134" t="s">
        <v>1158</v>
      </c>
      <c r="D439" s="16"/>
      <c r="E439" s="16"/>
      <c r="F439" s="16">
        <v>76844.23</v>
      </c>
      <c r="G439" s="16">
        <v>48415.33</v>
      </c>
      <c r="H439" s="16">
        <f t="shared" si="122"/>
        <v>28428.899999999994</v>
      </c>
      <c r="I439" s="53">
        <f t="shared" si="123"/>
        <v>0.5871879836407187</v>
      </c>
      <c r="J439" s="174"/>
      <c r="K439" s="256">
        <v>58434.42</v>
      </c>
      <c r="L439" s="16">
        <f t="shared" si="124"/>
        <v>18409.809999999998</v>
      </c>
      <c r="M439" s="53" t="str">
        <f t="shared" si="125"/>
        <v>N.M.</v>
      </c>
      <c r="N439" s="174"/>
      <c r="O439" s="256">
        <v>115556.515</v>
      </c>
      <c r="P439" s="16">
        <f t="shared" si="126"/>
        <v>-38712.285</v>
      </c>
      <c r="Q439" s="53">
        <f t="shared" si="127"/>
        <v>-0.3350073771262486</v>
      </c>
    </row>
    <row r="440" spans="1:17" s="15" customFormat="1" ht="12.75" hidden="1" outlineLevel="2">
      <c r="A440" s="15" t="s">
        <v>1159</v>
      </c>
      <c r="B440" s="15" t="s">
        <v>1160</v>
      </c>
      <c r="C440" s="134" t="s">
        <v>1161</v>
      </c>
      <c r="D440" s="16"/>
      <c r="E440" s="16"/>
      <c r="F440" s="16">
        <v>0</v>
      </c>
      <c r="G440" s="16">
        <v>90325</v>
      </c>
      <c r="H440" s="16">
        <f t="shared" si="122"/>
        <v>-90325</v>
      </c>
      <c r="I440" s="53" t="str">
        <f t="shared" si="123"/>
        <v>N.M.</v>
      </c>
      <c r="J440" s="174"/>
      <c r="K440" s="256">
        <v>0</v>
      </c>
      <c r="L440" s="16">
        <f t="shared" si="124"/>
        <v>0</v>
      </c>
      <c r="M440" s="53">
        <f t="shared" si="125"/>
        <v>0</v>
      </c>
      <c r="N440" s="174"/>
      <c r="O440" s="256">
        <v>0</v>
      </c>
      <c r="P440" s="16">
        <f t="shared" si="126"/>
        <v>0</v>
      </c>
      <c r="Q440" s="53">
        <f t="shared" si="127"/>
        <v>0</v>
      </c>
    </row>
    <row r="441" spans="1:17" s="15" customFormat="1" ht="12.75" hidden="1" outlineLevel="2">
      <c r="A441" s="15" t="s">
        <v>1162</v>
      </c>
      <c r="B441" s="15" t="s">
        <v>1163</v>
      </c>
      <c r="C441" s="134" t="s">
        <v>1164</v>
      </c>
      <c r="D441" s="16"/>
      <c r="E441" s="16"/>
      <c r="F441" s="16">
        <v>600727.822</v>
      </c>
      <c r="G441" s="16">
        <v>932604.772</v>
      </c>
      <c r="H441" s="16">
        <f t="shared" si="122"/>
        <v>-331876.94999999995</v>
      </c>
      <c r="I441" s="53">
        <f t="shared" si="123"/>
        <v>-0.3558602314336002</v>
      </c>
      <c r="J441" s="174"/>
      <c r="K441" s="256">
        <v>818124.272</v>
      </c>
      <c r="L441" s="16">
        <f t="shared" si="124"/>
        <v>-217396.44999999995</v>
      </c>
      <c r="M441" s="53" t="str">
        <f t="shared" si="125"/>
        <v>N.M.</v>
      </c>
      <c r="N441" s="174"/>
      <c r="O441" s="256">
        <v>621992.832</v>
      </c>
      <c r="P441" s="16">
        <f t="shared" si="126"/>
        <v>-21265.01000000001</v>
      </c>
      <c r="Q441" s="53">
        <f t="shared" si="127"/>
        <v>-0.03418851296344201</v>
      </c>
    </row>
    <row r="442" spans="1:17" s="15" customFormat="1" ht="12.75" hidden="1" outlineLevel="2">
      <c r="A442" s="15" t="s">
        <v>1165</v>
      </c>
      <c r="B442" s="15" t="s">
        <v>1166</v>
      </c>
      <c r="C442" s="134" t="s">
        <v>1167</v>
      </c>
      <c r="D442" s="16"/>
      <c r="E442" s="16"/>
      <c r="F442" s="16">
        <v>35902.764</v>
      </c>
      <c r="G442" s="16">
        <v>27097.744</v>
      </c>
      <c r="H442" s="16">
        <f t="shared" si="122"/>
        <v>8805.020000000004</v>
      </c>
      <c r="I442" s="53">
        <f t="shared" si="123"/>
        <v>0.3249355370690639</v>
      </c>
      <c r="J442" s="174"/>
      <c r="K442" s="256">
        <v>37412.604</v>
      </c>
      <c r="L442" s="16">
        <f t="shared" si="124"/>
        <v>-1509.8399999999965</v>
      </c>
      <c r="M442" s="53" t="str">
        <f t="shared" si="125"/>
        <v>N.M.</v>
      </c>
      <c r="N442" s="174"/>
      <c r="O442" s="256">
        <v>745.4240000000001</v>
      </c>
      <c r="P442" s="16">
        <f t="shared" si="126"/>
        <v>35157.340000000004</v>
      </c>
      <c r="Q442" s="53" t="str">
        <f t="shared" si="127"/>
        <v>N.M.</v>
      </c>
    </row>
    <row r="443" spans="1:17" s="15" customFormat="1" ht="12.75" hidden="1" outlineLevel="2">
      <c r="A443" s="15" t="s">
        <v>1168</v>
      </c>
      <c r="B443" s="15" t="s">
        <v>1169</v>
      </c>
      <c r="C443" s="134" t="s">
        <v>1170</v>
      </c>
      <c r="D443" s="16"/>
      <c r="E443" s="16"/>
      <c r="F443" s="16">
        <v>76322.41</v>
      </c>
      <c r="G443" s="16">
        <v>82916.31</v>
      </c>
      <c r="H443" s="16">
        <f t="shared" si="122"/>
        <v>-6593.899999999994</v>
      </c>
      <c r="I443" s="53">
        <f t="shared" si="123"/>
        <v>-0.07952476418692528</v>
      </c>
      <c r="J443" s="174"/>
      <c r="K443" s="256">
        <v>63098.73</v>
      </c>
      <c r="L443" s="16">
        <f t="shared" si="124"/>
        <v>13223.68</v>
      </c>
      <c r="M443" s="53" t="str">
        <f t="shared" si="125"/>
        <v>N.M.</v>
      </c>
      <c r="N443" s="174"/>
      <c r="O443" s="256">
        <v>97874.7</v>
      </c>
      <c r="P443" s="16">
        <f t="shared" si="126"/>
        <v>-21552.289999999994</v>
      </c>
      <c r="Q443" s="53">
        <f t="shared" si="127"/>
        <v>-0.22020287163076868</v>
      </c>
    </row>
    <row r="444" spans="1:17" s="15" customFormat="1" ht="12.75" hidden="1" outlineLevel="2">
      <c r="A444" s="15" t="s">
        <v>1171</v>
      </c>
      <c r="B444" s="15" t="s">
        <v>1172</v>
      </c>
      <c r="C444" s="134" t="s">
        <v>1173</v>
      </c>
      <c r="D444" s="16"/>
      <c r="E444" s="16"/>
      <c r="F444" s="16">
        <v>1211523.52</v>
      </c>
      <c r="G444" s="16">
        <v>1648033.32</v>
      </c>
      <c r="H444" s="16">
        <f t="shared" si="122"/>
        <v>-436509.80000000005</v>
      </c>
      <c r="I444" s="53">
        <f t="shared" si="123"/>
        <v>-0.26486709625506843</v>
      </c>
      <c r="J444" s="174"/>
      <c r="K444" s="256">
        <v>1193027.49</v>
      </c>
      <c r="L444" s="16">
        <f t="shared" si="124"/>
        <v>18496.030000000028</v>
      </c>
      <c r="M444" s="53" t="str">
        <f t="shared" si="125"/>
        <v>N.M.</v>
      </c>
      <c r="N444" s="174"/>
      <c r="O444" s="256">
        <v>1471859.92</v>
      </c>
      <c r="P444" s="16">
        <f t="shared" si="126"/>
        <v>-260336.3999999999</v>
      </c>
      <c r="Q444" s="53">
        <f t="shared" si="127"/>
        <v>-0.17687579943069576</v>
      </c>
    </row>
    <row r="445" spans="1:17" s="15" customFormat="1" ht="12.75" hidden="1" outlineLevel="2">
      <c r="A445" s="15" t="s">
        <v>1174</v>
      </c>
      <c r="B445" s="15" t="s">
        <v>1175</v>
      </c>
      <c r="C445" s="134" t="s">
        <v>1176</v>
      </c>
      <c r="D445" s="16"/>
      <c r="E445" s="16"/>
      <c r="F445" s="16">
        <v>0</v>
      </c>
      <c r="G445" s="16">
        <v>2355.92</v>
      </c>
      <c r="H445" s="16">
        <f t="shared" si="122"/>
        <v>-2355.92</v>
      </c>
      <c r="I445" s="53" t="str">
        <f t="shared" si="123"/>
        <v>N.M.</v>
      </c>
      <c r="J445" s="174"/>
      <c r="K445" s="256">
        <v>0</v>
      </c>
      <c r="L445" s="16">
        <f t="shared" si="124"/>
        <v>0</v>
      </c>
      <c r="M445" s="53">
        <f t="shared" si="125"/>
        <v>0</v>
      </c>
      <c r="N445" s="174"/>
      <c r="O445" s="256">
        <v>75772.66</v>
      </c>
      <c r="P445" s="16">
        <f t="shared" si="126"/>
        <v>-75772.66</v>
      </c>
      <c r="Q445" s="53" t="str">
        <f t="shared" si="127"/>
        <v>N.M.</v>
      </c>
    </row>
    <row r="446" spans="1:17" s="15" customFormat="1" ht="12.75" hidden="1" outlineLevel="2">
      <c r="A446" s="15" t="s">
        <v>1177</v>
      </c>
      <c r="B446" s="15" t="s">
        <v>1178</v>
      </c>
      <c r="C446" s="134" t="s">
        <v>1176</v>
      </c>
      <c r="D446" s="16"/>
      <c r="E446" s="16"/>
      <c r="F446" s="16">
        <v>149.4</v>
      </c>
      <c r="G446" s="16">
        <v>0</v>
      </c>
      <c r="H446" s="16">
        <f t="shared" si="122"/>
        <v>149.4</v>
      </c>
      <c r="I446" s="53" t="str">
        <f t="shared" si="123"/>
        <v>N.M.</v>
      </c>
      <c r="J446" s="174"/>
      <c r="K446" s="256">
        <v>103.98</v>
      </c>
      <c r="L446" s="16">
        <f t="shared" si="124"/>
        <v>45.42</v>
      </c>
      <c r="M446" s="53" t="str">
        <f t="shared" si="125"/>
        <v>N.M.</v>
      </c>
      <c r="N446" s="174"/>
      <c r="O446" s="256">
        <v>0</v>
      </c>
      <c r="P446" s="16">
        <f t="shared" si="126"/>
        <v>149.4</v>
      </c>
      <c r="Q446" s="53" t="str">
        <f t="shared" si="127"/>
        <v>N.M.</v>
      </c>
    </row>
    <row r="447" spans="1:17" s="15" customFormat="1" ht="12.75" hidden="1" outlineLevel="2">
      <c r="A447" s="15" t="s">
        <v>1179</v>
      </c>
      <c r="B447" s="15" t="s">
        <v>1180</v>
      </c>
      <c r="C447" s="134" t="s">
        <v>1181</v>
      </c>
      <c r="D447" s="16"/>
      <c r="E447" s="16"/>
      <c r="F447" s="16">
        <v>1071716.38</v>
      </c>
      <c r="G447" s="16">
        <v>920814.9</v>
      </c>
      <c r="H447" s="16">
        <f t="shared" si="122"/>
        <v>150901.47999999986</v>
      </c>
      <c r="I447" s="53">
        <f t="shared" si="123"/>
        <v>0.1638781909371795</v>
      </c>
      <c r="J447" s="174"/>
      <c r="K447" s="256">
        <v>860169.13</v>
      </c>
      <c r="L447" s="16">
        <f t="shared" si="124"/>
        <v>211547.24999999988</v>
      </c>
      <c r="M447" s="53" t="str">
        <f t="shared" si="125"/>
        <v>N.M.</v>
      </c>
      <c r="N447" s="174"/>
      <c r="O447" s="256">
        <v>519009.25</v>
      </c>
      <c r="P447" s="16">
        <f t="shared" si="126"/>
        <v>552707.1299999999</v>
      </c>
      <c r="Q447" s="53">
        <f t="shared" si="127"/>
        <v>1.0649273206595062</v>
      </c>
    </row>
    <row r="448" spans="1:17" s="15" customFormat="1" ht="12.75" hidden="1" outlineLevel="2">
      <c r="A448" s="15" t="s">
        <v>1182</v>
      </c>
      <c r="B448" s="15" t="s">
        <v>1183</v>
      </c>
      <c r="C448" s="134" t="s">
        <v>1184</v>
      </c>
      <c r="D448" s="16"/>
      <c r="E448" s="16"/>
      <c r="F448" s="16">
        <v>1091737.34</v>
      </c>
      <c r="G448" s="16">
        <v>654590.14</v>
      </c>
      <c r="H448" s="16">
        <f t="shared" si="122"/>
        <v>437147.20000000007</v>
      </c>
      <c r="I448" s="53">
        <f t="shared" si="123"/>
        <v>0.667818186201216</v>
      </c>
      <c r="J448" s="174"/>
      <c r="K448" s="256">
        <v>845313.24</v>
      </c>
      <c r="L448" s="16">
        <f t="shared" si="124"/>
        <v>246424.1000000001</v>
      </c>
      <c r="M448" s="53" t="str">
        <f t="shared" si="125"/>
        <v>N.M.</v>
      </c>
      <c r="N448" s="174"/>
      <c r="O448" s="256">
        <v>1550590.4100000001</v>
      </c>
      <c r="P448" s="16">
        <f t="shared" si="126"/>
        <v>-458853.07000000007</v>
      </c>
      <c r="Q448" s="53">
        <f t="shared" si="127"/>
        <v>-0.29592151933920446</v>
      </c>
    </row>
    <row r="449" spans="1:17" s="15" customFormat="1" ht="12.75" hidden="1" outlineLevel="2">
      <c r="A449" s="15" t="s">
        <v>1185</v>
      </c>
      <c r="B449" s="15" t="s">
        <v>1186</v>
      </c>
      <c r="C449" s="134" t="s">
        <v>1187</v>
      </c>
      <c r="D449" s="16"/>
      <c r="E449" s="16"/>
      <c r="F449" s="16">
        <v>141023.18</v>
      </c>
      <c r="G449" s="16">
        <v>77530</v>
      </c>
      <c r="H449" s="16">
        <f t="shared" si="122"/>
        <v>63493.17999999999</v>
      </c>
      <c r="I449" s="53">
        <f t="shared" si="123"/>
        <v>0.8189498258738552</v>
      </c>
      <c r="J449" s="174"/>
      <c r="K449" s="256">
        <v>110335.18000000001</v>
      </c>
      <c r="L449" s="16">
        <f t="shared" si="124"/>
        <v>30687.999999999985</v>
      </c>
      <c r="M449" s="53" t="str">
        <f t="shared" si="125"/>
        <v>N.M.</v>
      </c>
      <c r="N449" s="174"/>
      <c r="O449" s="256">
        <v>187360</v>
      </c>
      <c r="P449" s="16">
        <f t="shared" si="126"/>
        <v>-46336.82000000001</v>
      </c>
      <c r="Q449" s="53">
        <f t="shared" si="127"/>
        <v>-0.24731436806148593</v>
      </c>
    </row>
    <row r="450" spans="1:17" s="15" customFormat="1" ht="12.75" hidden="1" outlineLevel="2">
      <c r="A450" s="15" t="s">
        <v>1188</v>
      </c>
      <c r="B450" s="15" t="s">
        <v>1189</v>
      </c>
      <c r="C450" s="134" t="s">
        <v>1190</v>
      </c>
      <c r="D450" s="16"/>
      <c r="E450" s="16"/>
      <c r="F450" s="16">
        <v>671202.68</v>
      </c>
      <c r="G450" s="16">
        <v>356640</v>
      </c>
      <c r="H450" s="16">
        <f t="shared" si="122"/>
        <v>314562.68000000005</v>
      </c>
      <c r="I450" s="53">
        <f t="shared" si="123"/>
        <v>0.8820173844773442</v>
      </c>
      <c r="J450" s="174"/>
      <c r="K450" s="256">
        <v>518052.68</v>
      </c>
      <c r="L450" s="16">
        <f t="shared" si="124"/>
        <v>153150.00000000006</v>
      </c>
      <c r="M450" s="53" t="str">
        <f t="shared" si="125"/>
        <v>N.M.</v>
      </c>
      <c r="N450" s="174"/>
      <c r="O450" s="256">
        <v>869620</v>
      </c>
      <c r="P450" s="16">
        <f t="shared" si="126"/>
        <v>-198417.31999999995</v>
      </c>
      <c r="Q450" s="53">
        <f t="shared" si="127"/>
        <v>-0.228165543570755</v>
      </c>
    </row>
    <row r="451" spans="1:17" s="15" customFormat="1" ht="12.75" hidden="1" outlineLevel="2">
      <c r="A451" s="15" t="s">
        <v>1191</v>
      </c>
      <c r="B451" s="15" t="s">
        <v>1192</v>
      </c>
      <c r="C451" s="134" t="s">
        <v>1193</v>
      </c>
      <c r="D451" s="16"/>
      <c r="E451" s="16"/>
      <c r="F451" s="16">
        <v>109763.507</v>
      </c>
      <c r="G451" s="16">
        <v>96449.75</v>
      </c>
      <c r="H451" s="16">
        <f t="shared" si="122"/>
        <v>13313.756999999998</v>
      </c>
      <c r="I451" s="53">
        <f t="shared" si="123"/>
        <v>0.13803827381615813</v>
      </c>
      <c r="J451" s="174"/>
      <c r="K451" s="256">
        <v>84578.797</v>
      </c>
      <c r="L451" s="16">
        <f t="shared" si="124"/>
        <v>25184.709999999992</v>
      </c>
      <c r="M451" s="53" t="str">
        <f t="shared" si="125"/>
        <v>N.M.</v>
      </c>
      <c r="N451" s="174"/>
      <c r="O451" s="256">
        <v>12961.75</v>
      </c>
      <c r="P451" s="16">
        <f t="shared" si="126"/>
        <v>96801.757</v>
      </c>
      <c r="Q451" s="53">
        <f t="shared" si="127"/>
        <v>7.468262927459641</v>
      </c>
    </row>
    <row r="452" spans="1:17" s="15" customFormat="1" ht="12.75" hidden="1" outlineLevel="2">
      <c r="A452" s="15" t="s">
        <v>1194</v>
      </c>
      <c r="B452" s="15" t="s">
        <v>1195</v>
      </c>
      <c r="C452" s="134" t="s">
        <v>1196</v>
      </c>
      <c r="D452" s="16"/>
      <c r="E452" s="16"/>
      <c r="F452" s="16">
        <v>0</v>
      </c>
      <c r="G452" s="16">
        <v>57519.79</v>
      </c>
      <c r="H452" s="16">
        <f t="shared" si="122"/>
        <v>-57519.79</v>
      </c>
      <c r="I452" s="53" t="str">
        <f t="shared" si="123"/>
        <v>N.M.</v>
      </c>
      <c r="J452" s="174"/>
      <c r="K452" s="256">
        <v>0</v>
      </c>
      <c r="L452" s="16">
        <f t="shared" si="124"/>
        <v>0</v>
      </c>
      <c r="M452" s="53">
        <f t="shared" si="125"/>
        <v>0</v>
      </c>
      <c r="N452" s="174"/>
      <c r="O452" s="256">
        <v>20006.4</v>
      </c>
      <c r="P452" s="16">
        <f t="shared" si="126"/>
        <v>-20006.4</v>
      </c>
      <c r="Q452" s="53" t="str">
        <f t="shared" si="127"/>
        <v>N.M.</v>
      </c>
    </row>
    <row r="453" spans="1:17" s="15" customFormat="1" ht="12.75" hidden="1" outlineLevel="2">
      <c r="A453" s="15" t="s">
        <v>1197</v>
      </c>
      <c r="B453" s="15" t="s">
        <v>1198</v>
      </c>
      <c r="C453" s="134" t="s">
        <v>1199</v>
      </c>
      <c r="D453" s="16"/>
      <c r="E453" s="16"/>
      <c r="F453" s="16">
        <v>261799.68</v>
      </c>
      <c r="G453" s="16">
        <v>124937.51000000001</v>
      </c>
      <c r="H453" s="16">
        <f t="shared" si="122"/>
        <v>136862.16999999998</v>
      </c>
      <c r="I453" s="53">
        <f t="shared" si="123"/>
        <v>1.0954449948618312</v>
      </c>
      <c r="J453" s="174"/>
      <c r="K453" s="256">
        <v>272753.51</v>
      </c>
      <c r="L453" s="16">
        <f t="shared" si="124"/>
        <v>-10953.830000000016</v>
      </c>
      <c r="M453" s="53" t="str">
        <f t="shared" si="125"/>
        <v>N.M.</v>
      </c>
      <c r="N453" s="174"/>
      <c r="O453" s="256">
        <v>690526.02</v>
      </c>
      <c r="P453" s="16">
        <f t="shared" si="126"/>
        <v>-428726.34</v>
      </c>
      <c r="Q453" s="53">
        <f t="shared" si="127"/>
        <v>-0.6208692034515948</v>
      </c>
    </row>
    <row r="454" spans="1:17" s="15" customFormat="1" ht="12.75" hidden="1" outlineLevel="2">
      <c r="A454" s="15" t="s">
        <v>1200</v>
      </c>
      <c r="B454" s="15" t="s">
        <v>1201</v>
      </c>
      <c r="C454" s="134" t="s">
        <v>1202</v>
      </c>
      <c r="D454" s="16"/>
      <c r="E454" s="16"/>
      <c r="F454" s="16">
        <v>163459.82</v>
      </c>
      <c r="G454" s="16">
        <v>293909.31</v>
      </c>
      <c r="H454" s="16">
        <f t="shared" si="122"/>
        <v>-130449.48999999999</v>
      </c>
      <c r="I454" s="53">
        <f t="shared" si="123"/>
        <v>-0.44384266017296287</v>
      </c>
      <c r="J454" s="174"/>
      <c r="K454" s="256">
        <v>163459.82</v>
      </c>
      <c r="L454" s="16">
        <f t="shared" si="124"/>
        <v>0</v>
      </c>
      <c r="M454" s="53">
        <f t="shared" si="125"/>
        <v>0</v>
      </c>
      <c r="N454" s="174"/>
      <c r="O454" s="256">
        <v>164299.79</v>
      </c>
      <c r="P454" s="16">
        <f t="shared" si="126"/>
        <v>-839.9700000000012</v>
      </c>
      <c r="Q454" s="53">
        <f t="shared" si="127"/>
        <v>-0.005112422846066943</v>
      </c>
    </row>
    <row r="455" spans="1:17" s="15" customFormat="1" ht="12.75" hidden="1" outlineLevel="2">
      <c r="A455" s="15" t="s">
        <v>1203</v>
      </c>
      <c r="B455" s="15" t="s">
        <v>1204</v>
      </c>
      <c r="C455" s="134" t="s">
        <v>1205</v>
      </c>
      <c r="D455" s="16"/>
      <c r="E455" s="16"/>
      <c r="F455" s="16">
        <v>42482</v>
      </c>
      <c r="G455" s="16">
        <v>42482</v>
      </c>
      <c r="H455" s="16">
        <f t="shared" si="122"/>
        <v>0</v>
      </c>
      <c r="I455" s="53">
        <f t="shared" si="123"/>
        <v>0</v>
      </c>
      <c r="J455" s="174"/>
      <c r="K455" s="256">
        <v>42482</v>
      </c>
      <c r="L455" s="16">
        <f t="shared" si="124"/>
        <v>0</v>
      </c>
      <c r="M455" s="53">
        <f t="shared" si="125"/>
        <v>0</v>
      </c>
      <c r="N455" s="174"/>
      <c r="O455" s="256">
        <v>42482</v>
      </c>
      <c r="P455" s="16">
        <f t="shared" si="126"/>
        <v>0</v>
      </c>
      <c r="Q455" s="53">
        <f t="shared" si="127"/>
        <v>0</v>
      </c>
    </row>
    <row r="456" spans="1:17" s="15" customFormat="1" ht="12.75" hidden="1" outlineLevel="2">
      <c r="A456" s="15" t="s">
        <v>1206</v>
      </c>
      <c r="B456" s="15" t="s">
        <v>1207</v>
      </c>
      <c r="C456" s="134" t="s">
        <v>1208</v>
      </c>
      <c r="D456" s="16"/>
      <c r="E456" s="16"/>
      <c r="F456" s="16">
        <v>178742.34</v>
      </c>
      <c r="G456" s="16">
        <v>104590</v>
      </c>
      <c r="H456" s="16">
        <f t="shared" si="122"/>
        <v>74152.34</v>
      </c>
      <c r="I456" s="53">
        <f t="shared" si="123"/>
        <v>0.7089811645472798</v>
      </c>
      <c r="J456" s="174"/>
      <c r="K456" s="256">
        <v>138960.34</v>
      </c>
      <c r="L456" s="16">
        <f t="shared" si="124"/>
        <v>39782</v>
      </c>
      <c r="M456" s="53" t="str">
        <f t="shared" si="125"/>
        <v>N.M.</v>
      </c>
      <c r="N456" s="174"/>
      <c r="O456" s="256">
        <v>240850</v>
      </c>
      <c r="P456" s="16">
        <f t="shared" si="126"/>
        <v>-62107.66</v>
      </c>
      <c r="Q456" s="53">
        <f t="shared" si="127"/>
        <v>-0.2578686319285863</v>
      </c>
    </row>
    <row r="457" spans="1:17" s="15" customFormat="1" ht="12.75" hidden="1" outlineLevel="2">
      <c r="A457" s="15" t="s">
        <v>1209</v>
      </c>
      <c r="B457" s="15" t="s">
        <v>1210</v>
      </c>
      <c r="C457" s="134" t="s">
        <v>1211</v>
      </c>
      <c r="D457" s="16"/>
      <c r="E457" s="16"/>
      <c r="F457" s="16">
        <v>0</v>
      </c>
      <c r="G457" s="16">
        <v>9180</v>
      </c>
      <c r="H457" s="16">
        <f t="shared" si="122"/>
        <v>-9180</v>
      </c>
      <c r="I457" s="53" t="str">
        <f t="shared" si="123"/>
        <v>N.M.</v>
      </c>
      <c r="J457" s="174"/>
      <c r="K457" s="256">
        <v>0</v>
      </c>
      <c r="L457" s="16">
        <f t="shared" si="124"/>
        <v>0</v>
      </c>
      <c r="M457" s="53">
        <f t="shared" si="125"/>
        <v>0</v>
      </c>
      <c r="N457" s="174"/>
      <c r="O457" s="256">
        <v>20560</v>
      </c>
      <c r="P457" s="16">
        <f t="shared" si="126"/>
        <v>-20560</v>
      </c>
      <c r="Q457" s="53" t="str">
        <f t="shared" si="127"/>
        <v>N.M.</v>
      </c>
    </row>
    <row r="458" spans="1:17" s="15" customFormat="1" ht="12.75" hidden="1" outlineLevel="2">
      <c r="A458" s="15" t="s">
        <v>1212</v>
      </c>
      <c r="B458" s="15" t="s">
        <v>1213</v>
      </c>
      <c r="C458" s="134" t="s">
        <v>1214</v>
      </c>
      <c r="D458" s="16"/>
      <c r="E458" s="16"/>
      <c r="F458" s="16">
        <v>394858.87</v>
      </c>
      <c r="G458" s="16">
        <v>333697.81</v>
      </c>
      <c r="H458" s="16">
        <f t="shared" si="122"/>
        <v>61161.06</v>
      </c>
      <c r="I458" s="53">
        <f t="shared" si="123"/>
        <v>0.18328277311739025</v>
      </c>
      <c r="J458" s="174"/>
      <c r="K458" s="256">
        <v>354118.87</v>
      </c>
      <c r="L458" s="16">
        <f t="shared" si="124"/>
        <v>40740</v>
      </c>
      <c r="M458" s="53" t="str">
        <f t="shared" si="125"/>
        <v>N.M.</v>
      </c>
      <c r="N458" s="174"/>
      <c r="O458" s="256">
        <v>452183.31</v>
      </c>
      <c r="P458" s="16">
        <f t="shared" si="126"/>
        <v>-57324.44</v>
      </c>
      <c r="Q458" s="53">
        <f t="shared" si="127"/>
        <v>-0.12677256929274988</v>
      </c>
    </row>
    <row r="459" spans="1:17" s="1" customFormat="1" ht="12.75" hidden="1" outlineLevel="1">
      <c r="A459" s="1" t="s">
        <v>278</v>
      </c>
      <c r="C459" s="115" t="s">
        <v>210</v>
      </c>
      <c r="D459" s="34"/>
      <c r="F459" s="197">
        <v>7019351.323</v>
      </c>
      <c r="G459" s="197">
        <v>7187302.075999999</v>
      </c>
      <c r="H459" s="197">
        <f>+F459-G459</f>
        <v>-167950.75299999956</v>
      </c>
      <c r="I459" s="138">
        <f>IF(G459&lt;0,IF(H459=0,0,IF(OR(G459=0,F459=0),"N.M.",IF(ABS(H459/G459)&gt;=10,"N.M.",H459/(-G459)))),IF(H459=0,0,IF(OR(G459=0,F459=0),"N.M.",IF(ABS(H459/G459)&gt;=10,"N.M.",H459/G459))))</f>
        <v>-0.02336770476933542</v>
      </c>
      <c r="J459" s="167"/>
      <c r="K459" s="197">
        <v>6451530.432999999</v>
      </c>
      <c r="L459" s="197">
        <f>+F459-K459</f>
        <v>567820.8900000006</v>
      </c>
      <c r="M459" s="138" t="str">
        <f>IF(K459&lt;0,IF(L459=0,0,IF(OR(K459=0,N459=0),"N.M.",IF(ABS(L459/K459)&gt;=10,"N.M.",L459/(-K459)))),IF(L459=0,0,IF(OR(K459=0,N459=0),"N.M.",IF(ABS(L459/K459)&gt;=10,"N.M.",L459/K459))))</f>
        <v>N.M.</v>
      </c>
      <c r="N459" s="167"/>
      <c r="O459" s="197">
        <v>8431294.961000001</v>
      </c>
      <c r="P459" s="197">
        <f>+F459-O459</f>
        <v>-1411943.6380000012</v>
      </c>
      <c r="Q459" s="138">
        <f>IF(O459&lt;0,IF(P459=0,0,IF(OR(O459=0,F459=0),"N.M.",IF(ABS(P459/O459)&gt;=10,"N.M.",P459/(-O459)))),IF(P459=0,0,IF(OR(O459=0,F459=0),"N.M.",IF(ABS(P459/O459)&gt;=10,"N.M.",P459/O459))))</f>
        <v>-0.16746462370621848</v>
      </c>
    </row>
    <row r="460" spans="1:17" ht="12.75" collapsed="1">
      <c r="A460" s="11" t="s">
        <v>338</v>
      </c>
      <c r="C460" s="230" t="s">
        <v>199</v>
      </c>
      <c r="D460" s="117"/>
      <c r="E460" s="118"/>
      <c r="F460" s="235">
        <v>15100403.424</v>
      </c>
      <c r="G460" s="235">
        <v>15194994.654</v>
      </c>
      <c r="H460" s="197">
        <f>+F460-G460</f>
        <v>-94591.22999999858</v>
      </c>
      <c r="I460" s="138">
        <f>IF(G460&lt;0,IF(H460=0,0,IF(OR(G460=0,F460=0),"N.M.",IF(ABS(H460/G460)&gt;=10,"N.M.",H460/(-G460)))),IF(H460=0,0,IF(OR(G460=0,F460=0),"N.M.",IF(ABS(H460/G460)&gt;=10,"N.M.",H460/G460))))</f>
        <v>-0.006225157175366163</v>
      </c>
      <c r="J460" s="166"/>
      <c r="K460" s="235">
        <v>14323502.754</v>
      </c>
      <c r="L460" s="197">
        <f>+F460-K460</f>
        <v>776900.6699999999</v>
      </c>
      <c r="M460" s="138" t="str">
        <f>IF(K460&lt;0,IF(L460=0,0,IF(OR(K460=0,N460=0),"N.M.",IF(ABS(L460/K460)&gt;=10,"N.M.",L460/(-K460)))),IF(L460=0,0,IF(OR(K460=0,N460=0),"N.M.",IF(ABS(L460/K460)&gt;=10,"N.M.",L460/K460))))</f>
        <v>N.M.</v>
      </c>
      <c r="N460" s="166"/>
      <c r="O460" s="235">
        <v>16935635.828</v>
      </c>
      <c r="P460" s="197">
        <f>+F460-O460</f>
        <v>-1835232.404000001</v>
      </c>
      <c r="Q460" s="138">
        <f>IF(O460&lt;0,IF(P460=0,0,IF(OR(O460=0,F460=0),"N.M.",IF(ABS(P460/O460)&gt;=10,"N.M.",P460/(-O460)))),IF(P460=0,0,IF(OR(O460=0,F460=0),"N.M.",IF(ABS(P460/O460)&gt;=10,"N.M.",P460/O460))))</f>
        <v>-0.10836513152731929</v>
      </c>
    </row>
    <row r="461" spans="1:17" s="13" customFormat="1" ht="12.75">
      <c r="A461" s="13" t="s">
        <v>279</v>
      </c>
      <c r="C461" s="110" t="s">
        <v>220</v>
      </c>
      <c r="D461" s="33"/>
      <c r="F461" s="33">
        <v>123190310.11599998</v>
      </c>
      <c r="G461" s="33">
        <v>96595287.554</v>
      </c>
      <c r="H461" s="74">
        <f>+F461-G461</f>
        <v>26595022.561999977</v>
      </c>
      <c r="I461" s="137">
        <f>IF(G461&lt;0,IF(H461=0,0,IF(OR(G461=0,F461=0),"N.M.",IF(ABS(H461/G461)&gt;=10,"N.M.",H461/(-G461)))),IF(H461=0,0,IF(OR(G461=0,F461=0),"N.M.",IF(ABS(H461/G461)&gt;=10,"N.M.",H461/G461))))</f>
        <v>0.27532422373226506</v>
      </c>
      <c r="J461" s="168"/>
      <c r="K461" s="33">
        <v>147817812.63</v>
      </c>
      <c r="L461" s="74">
        <f>+F461-K461</f>
        <v>-24627502.514000013</v>
      </c>
      <c r="M461" s="137" t="str">
        <f>IF(K461&lt;0,IF(L461=0,0,IF(OR(K461=0,N461=0),"N.M.",IF(ABS(L461/K461)&gt;=10,"N.M.",L461/(-K461)))),IF(L461=0,0,IF(OR(K461=0,N461=0),"N.M.",IF(ABS(L461/K461)&gt;=10,"N.M.",L461/K461))))</f>
        <v>N.M.</v>
      </c>
      <c r="N461" s="168"/>
      <c r="O461" s="33">
        <v>152094827.945</v>
      </c>
      <c r="P461" s="74">
        <f>+F461-O461</f>
        <v>-28904517.82900001</v>
      </c>
      <c r="Q461" s="137">
        <f>IF(O461&lt;0,IF(P461=0,0,IF(OR(O461=0,F461=0),"N.M.",IF(ABS(P461/O461)&gt;=10,"N.M.",P461/(-O461)))),IF(P461=0,0,IF(OR(O461=0,F461=0),"N.M.",IF(ABS(P461/O461)&gt;=10,"N.M.",P461/O461))))</f>
        <v>-0.19004273991126353</v>
      </c>
    </row>
    <row r="462" spans="3:17" ht="12.75">
      <c r="C462" s="126"/>
      <c r="D462" s="106"/>
      <c r="E462" s="11"/>
      <c r="F462" s="233" t="str">
        <f>IF(ABS(+F301+F303+F305+F307+F331+F345+F309+F350+F384+F392+F394+F398+F405+F460-F461)&gt;$C$576,$J$181," ")</f>
        <v> </v>
      </c>
      <c r="G462" s="233" t="str">
        <f>IF(ABS(+G301+G303+G305+G307+G331+G345+G309+G350+G384+G392+G394+G398+G405+G460-G461)&gt;$C$576,$J$181," ")</f>
        <v> </v>
      </c>
      <c r="H462" s="233" t="str">
        <f>IF(ABS(+H301+H303+H305+H307+H331+H345+H309+H350+H384+H392+H394+H398+H405+H460-H461)&gt;$C$576,$J$181," ")</f>
        <v> </v>
      </c>
      <c r="I462" s="141"/>
      <c r="J462" s="166"/>
      <c r="K462" s="233" t="str">
        <f>IF(ABS(+K301+K303+K305+K307+K331+K345+K309+K350+K384+K392+K394+K398+K405+K460-K461)&gt;$C$576,$J$181," ")</f>
        <v> </v>
      </c>
      <c r="L462" s="233" t="str">
        <f>IF(ABS(+L301+L303+L305+L307+L331+L345+L309+L350+L384+L392+L394+L398+L405+L460-L461)&gt;$C$576,$J$181," ")</f>
        <v> </v>
      </c>
      <c r="M462" s="141"/>
      <c r="N462" s="166"/>
      <c r="O462" s="233" t="str">
        <f>IF(ABS(+O301+O303+O305+O307+O331+O345+O309+O350+O384+O392+O394+O398+O405+O460-O461)&gt;$C$576,$J$181," ")</f>
        <v> </v>
      </c>
      <c r="P462" s="233" t="str">
        <f>IF(ABS(+P301+P303+P305+P307+P331+P345+P309+P350+P384+P392+P394+P398+P405+P460-P461)&gt;$C$576,$J$181," ")</f>
        <v> </v>
      </c>
      <c r="Q462" s="141"/>
    </row>
    <row r="463" spans="3:17" ht="12.75">
      <c r="C463" s="127"/>
      <c r="D463" s="103"/>
      <c r="E463" s="104"/>
      <c r="F463" s="103"/>
      <c r="G463" s="103"/>
      <c r="H463" s="103"/>
      <c r="I463" s="141"/>
      <c r="J463" s="166"/>
      <c r="K463" s="103"/>
      <c r="L463" s="103"/>
      <c r="M463" s="141"/>
      <c r="N463" s="166"/>
      <c r="O463" s="103"/>
      <c r="P463" s="103"/>
      <c r="Q463" s="141"/>
    </row>
    <row r="464" spans="3:17" ht="0.75" customHeight="1" hidden="1" outlineLevel="1">
      <c r="C464" s="127"/>
      <c r="D464" s="103"/>
      <c r="E464" s="104"/>
      <c r="F464" s="103"/>
      <c r="G464" s="103"/>
      <c r="H464" s="103"/>
      <c r="I464" s="141"/>
      <c r="J464" s="166"/>
      <c r="K464" s="103"/>
      <c r="L464" s="103"/>
      <c r="M464" s="141"/>
      <c r="N464" s="166"/>
      <c r="O464" s="103"/>
      <c r="P464" s="103"/>
      <c r="Q464" s="141"/>
    </row>
    <row r="465" spans="1:17" s="15" customFormat="1" ht="12.75" hidden="1" outlineLevel="2">
      <c r="A465" s="15" t="s">
        <v>1215</v>
      </c>
      <c r="B465" s="15" t="s">
        <v>1216</v>
      </c>
      <c r="C465" s="134" t="s">
        <v>1217</v>
      </c>
      <c r="D465" s="16"/>
      <c r="E465" s="16"/>
      <c r="F465" s="16">
        <v>28630403.9</v>
      </c>
      <c r="G465" s="16">
        <v>30143138.9</v>
      </c>
      <c r="H465" s="16">
        <f aca="true" t="shared" si="128" ref="H465:H473">+F465-G465</f>
        <v>-1512735</v>
      </c>
      <c r="I465" s="53">
        <f aca="true" t="shared" si="129" ref="I465:I473">IF(G465&lt;0,IF(H465=0,0,IF(OR(G465=0,F465=0),"N.M.",IF(ABS(H465/G465)&gt;=10,"N.M.",H465/(-G465)))),IF(H465=0,0,IF(OR(G465=0,F465=0),"N.M.",IF(ABS(H465/G465)&gt;=10,"N.M.",H465/G465))))</f>
        <v>-0.05018505222759001</v>
      </c>
      <c r="J465" s="174"/>
      <c r="K465" s="256">
        <v>28760603.9</v>
      </c>
      <c r="L465" s="16">
        <f aca="true" t="shared" si="130" ref="L465:L473">+F465-K465</f>
        <v>-130200</v>
      </c>
      <c r="M465" s="53" t="str">
        <f aca="true" t="shared" si="131" ref="M465:M473">IF(K465&lt;0,IF(L465=0,0,IF(OR(K465=0,N465=0),"N.M.",IF(ABS(L465/K465)&gt;=10,"N.M.",L465/(-K465)))),IF(L465=0,0,IF(OR(K465=0,N465=0),"N.M.",IF(ABS(L465/K465)&gt;=10,"N.M.",L465/K465))))</f>
        <v>N.M.</v>
      </c>
      <c r="N465" s="174"/>
      <c r="O465" s="256">
        <v>29802203.9</v>
      </c>
      <c r="P465" s="16">
        <f aca="true" t="shared" si="132" ref="P465:P473">+F465-O465</f>
        <v>-1171800</v>
      </c>
      <c r="Q465" s="53">
        <f aca="true" t="shared" si="133" ref="Q465:Q473">IF(O465&lt;0,IF(P465=0,0,IF(OR(O465=0,F465=0),"N.M.",IF(ABS(P465/O465)&gt;=10,"N.M.",P465/(-O465)))),IF(P465=0,0,IF(OR(O465=0,F465=0),"N.M.",IF(ABS(P465/O465)&gt;=10,"N.M.",P465/O465))))</f>
        <v>-0.039319239742534616</v>
      </c>
    </row>
    <row r="466" spans="1:17" s="15" customFormat="1" ht="12.75" hidden="1" outlineLevel="2">
      <c r="A466" s="15" t="s">
        <v>1218</v>
      </c>
      <c r="B466" s="15" t="s">
        <v>1219</v>
      </c>
      <c r="C466" s="134" t="s">
        <v>1220</v>
      </c>
      <c r="D466" s="16"/>
      <c r="E466" s="16"/>
      <c r="F466" s="16">
        <v>184343886.79</v>
      </c>
      <c r="G466" s="16">
        <v>167934821.67</v>
      </c>
      <c r="H466" s="16">
        <f t="shared" si="128"/>
        <v>16409065.120000005</v>
      </c>
      <c r="I466" s="53">
        <f t="shared" si="129"/>
        <v>0.09771091520402247</v>
      </c>
      <c r="J466" s="174"/>
      <c r="K466" s="256">
        <v>182576739.73</v>
      </c>
      <c r="L466" s="16">
        <f t="shared" si="130"/>
        <v>1767147.0600000024</v>
      </c>
      <c r="M466" s="53" t="str">
        <f t="shared" si="131"/>
        <v>N.M.</v>
      </c>
      <c r="N466" s="174"/>
      <c r="O466" s="256">
        <v>168448771.87</v>
      </c>
      <c r="P466" s="16">
        <f t="shared" si="132"/>
        <v>15895114.919999987</v>
      </c>
      <c r="Q466" s="53">
        <f t="shared" si="133"/>
        <v>0.09436171450550562</v>
      </c>
    </row>
    <row r="467" spans="1:17" s="15" customFormat="1" ht="12.75" hidden="1" outlineLevel="2">
      <c r="A467" s="15" t="s">
        <v>1221</v>
      </c>
      <c r="B467" s="15" t="s">
        <v>1222</v>
      </c>
      <c r="C467" s="134" t="s">
        <v>1223</v>
      </c>
      <c r="D467" s="16"/>
      <c r="E467" s="16"/>
      <c r="F467" s="16">
        <v>52477666.77</v>
      </c>
      <c r="G467" s="16">
        <v>50436924.92</v>
      </c>
      <c r="H467" s="16">
        <f t="shared" si="128"/>
        <v>2040741.8500000015</v>
      </c>
      <c r="I467" s="53">
        <f t="shared" si="129"/>
        <v>0.04046126628926928</v>
      </c>
      <c r="J467" s="174"/>
      <c r="K467" s="256">
        <v>52481184.45</v>
      </c>
      <c r="L467" s="16">
        <f t="shared" si="130"/>
        <v>-3517.679999999702</v>
      </c>
      <c r="M467" s="53" t="str">
        <f t="shared" si="131"/>
        <v>N.M.</v>
      </c>
      <c r="N467" s="174"/>
      <c r="O467" s="256">
        <v>52419036.93</v>
      </c>
      <c r="P467" s="16">
        <f t="shared" si="132"/>
        <v>58629.840000003576</v>
      </c>
      <c r="Q467" s="53">
        <f t="shared" si="133"/>
        <v>0.0011184837309830289</v>
      </c>
    </row>
    <row r="468" spans="1:17" s="15" customFormat="1" ht="12.75" hidden="1" outlineLevel="2">
      <c r="A468" s="15" t="s">
        <v>1224</v>
      </c>
      <c r="B468" s="15" t="s">
        <v>1225</v>
      </c>
      <c r="C468" s="134" t="s">
        <v>1226</v>
      </c>
      <c r="D468" s="16"/>
      <c r="E468" s="16"/>
      <c r="F468" s="16">
        <v>-1230310</v>
      </c>
      <c r="G468" s="16">
        <v>-732163</v>
      </c>
      <c r="H468" s="16">
        <f t="shared" si="128"/>
        <v>-498147</v>
      </c>
      <c r="I468" s="53">
        <f t="shared" si="129"/>
        <v>-0.680377183769188</v>
      </c>
      <c r="J468" s="174"/>
      <c r="K468" s="256">
        <v>-1172402</v>
      </c>
      <c r="L468" s="16">
        <f t="shared" si="130"/>
        <v>-57908</v>
      </c>
      <c r="M468" s="53" t="str">
        <f t="shared" si="131"/>
        <v>N.M.</v>
      </c>
      <c r="N468" s="174"/>
      <c r="O468" s="256">
        <v>-709138</v>
      </c>
      <c r="P468" s="16">
        <f t="shared" si="132"/>
        <v>-521172</v>
      </c>
      <c r="Q468" s="53">
        <f t="shared" si="133"/>
        <v>-0.7349373464685294</v>
      </c>
    </row>
    <row r="469" spans="1:17" s="15" customFormat="1" ht="12.75" hidden="1" outlineLevel="2">
      <c r="A469" s="15" t="s">
        <v>1227</v>
      </c>
      <c r="B469" s="15" t="s">
        <v>1228</v>
      </c>
      <c r="C469" s="134" t="s">
        <v>781</v>
      </c>
      <c r="D469" s="16"/>
      <c r="E469" s="16"/>
      <c r="F469" s="16">
        <v>54353.1</v>
      </c>
      <c r="G469" s="16">
        <v>8095.09</v>
      </c>
      <c r="H469" s="16">
        <f t="shared" si="128"/>
        <v>46258.009999999995</v>
      </c>
      <c r="I469" s="53">
        <f t="shared" si="129"/>
        <v>5.71432930331843</v>
      </c>
      <c r="J469" s="174"/>
      <c r="K469" s="256">
        <v>136663.63</v>
      </c>
      <c r="L469" s="16">
        <f t="shared" si="130"/>
        <v>-82310.53</v>
      </c>
      <c r="M469" s="53" t="str">
        <f t="shared" si="131"/>
        <v>N.M.</v>
      </c>
      <c r="N469" s="174"/>
      <c r="O469" s="256">
        <v>28716.73</v>
      </c>
      <c r="P469" s="16">
        <f t="shared" si="132"/>
        <v>25636.37</v>
      </c>
      <c r="Q469" s="53">
        <f t="shared" si="133"/>
        <v>0.8927329121386731</v>
      </c>
    </row>
    <row r="470" spans="1:17" s="15" customFormat="1" ht="12.75" hidden="1" outlineLevel="2">
      <c r="A470" s="15" t="s">
        <v>1229</v>
      </c>
      <c r="B470" s="15" t="s">
        <v>1230</v>
      </c>
      <c r="C470" s="134" t="s">
        <v>787</v>
      </c>
      <c r="D470" s="16"/>
      <c r="E470" s="16"/>
      <c r="F470" s="16">
        <v>12216491.03</v>
      </c>
      <c r="G470" s="16">
        <v>17197998.08</v>
      </c>
      <c r="H470" s="16">
        <f t="shared" si="128"/>
        <v>-4981507.049999999</v>
      </c>
      <c r="I470" s="53">
        <f t="shared" si="129"/>
        <v>-0.2896562161960655</v>
      </c>
      <c r="J470" s="174"/>
      <c r="K470" s="256">
        <v>11248727</v>
      </c>
      <c r="L470" s="16">
        <f t="shared" si="130"/>
        <v>967764.0299999993</v>
      </c>
      <c r="M470" s="53" t="str">
        <f t="shared" si="131"/>
        <v>N.M.</v>
      </c>
      <c r="N470" s="174"/>
      <c r="O470" s="256">
        <v>18350250.05</v>
      </c>
      <c r="P470" s="16">
        <f t="shared" si="132"/>
        <v>-6133759.020000001</v>
      </c>
      <c r="Q470" s="53">
        <f t="shared" si="133"/>
        <v>-0.3342602418652056</v>
      </c>
    </row>
    <row r="471" spans="1:17" s="15" customFormat="1" ht="12.75" hidden="1" outlineLevel="2">
      <c r="A471" s="15" t="s">
        <v>1231</v>
      </c>
      <c r="B471" s="15" t="s">
        <v>1232</v>
      </c>
      <c r="C471" s="134" t="s">
        <v>1233</v>
      </c>
      <c r="D471" s="16"/>
      <c r="E471" s="16"/>
      <c r="F471" s="16">
        <v>55006.39</v>
      </c>
      <c r="G471" s="16">
        <v>54934.99</v>
      </c>
      <c r="H471" s="16">
        <f t="shared" si="128"/>
        <v>71.40000000000146</v>
      </c>
      <c r="I471" s="53">
        <f t="shared" si="129"/>
        <v>0.0012997180849582653</v>
      </c>
      <c r="J471" s="174"/>
      <c r="K471" s="256">
        <v>55221.29</v>
      </c>
      <c r="L471" s="16">
        <f t="shared" si="130"/>
        <v>-214.90000000000146</v>
      </c>
      <c r="M471" s="53" t="str">
        <f t="shared" si="131"/>
        <v>N.M.</v>
      </c>
      <c r="N471" s="174"/>
      <c r="O471" s="256">
        <v>34017.94</v>
      </c>
      <c r="P471" s="16">
        <f t="shared" si="132"/>
        <v>20988.449999999997</v>
      </c>
      <c r="Q471" s="53">
        <f t="shared" si="133"/>
        <v>0.6169818043067863</v>
      </c>
    </row>
    <row r="472" spans="1:17" s="15" customFormat="1" ht="12.75" hidden="1" outlineLevel="2">
      <c r="A472" s="15" t="s">
        <v>1234</v>
      </c>
      <c r="B472" s="15" t="s">
        <v>1235</v>
      </c>
      <c r="C472" s="134" t="s">
        <v>1236</v>
      </c>
      <c r="D472" s="16"/>
      <c r="E472" s="16"/>
      <c r="F472" s="16">
        <v>43701214.71</v>
      </c>
      <c r="G472" s="16">
        <v>41107818.49</v>
      </c>
      <c r="H472" s="16">
        <f t="shared" si="128"/>
        <v>2593396.219999999</v>
      </c>
      <c r="I472" s="53">
        <f t="shared" si="129"/>
        <v>0.0630876634971733</v>
      </c>
      <c r="J472" s="174"/>
      <c r="K472" s="256">
        <v>43716409.53</v>
      </c>
      <c r="L472" s="16">
        <f t="shared" si="130"/>
        <v>-15194.820000000298</v>
      </c>
      <c r="M472" s="53" t="str">
        <f t="shared" si="131"/>
        <v>N.M.</v>
      </c>
      <c r="N472" s="174"/>
      <c r="O472" s="256">
        <v>43895112.39</v>
      </c>
      <c r="P472" s="16">
        <f t="shared" si="132"/>
        <v>-193897.6799999997</v>
      </c>
      <c r="Q472" s="53">
        <f t="shared" si="133"/>
        <v>-0.004417295444587417</v>
      </c>
    </row>
    <row r="473" spans="1:17" s="15" customFormat="1" ht="12.75" hidden="1" outlineLevel="2">
      <c r="A473" s="15" t="s">
        <v>1237</v>
      </c>
      <c r="B473" s="15" t="s">
        <v>1238</v>
      </c>
      <c r="C473" s="134" t="s">
        <v>1239</v>
      </c>
      <c r="D473" s="16"/>
      <c r="E473" s="16"/>
      <c r="F473" s="16">
        <v>41321698.07</v>
      </c>
      <c r="G473" s="16">
        <v>37640547</v>
      </c>
      <c r="H473" s="16">
        <f t="shared" si="128"/>
        <v>3681151.0700000003</v>
      </c>
      <c r="I473" s="53">
        <f t="shared" si="129"/>
        <v>0.09779749135951718</v>
      </c>
      <c r="J473" s="174"/>
      <c r="K473" s="256">
        <v>41389273.07</v>
      </c>
      <c r="L473" s="16">
        <f t="shared" si="130"/>
        <v>-67575</v>
      </c>
      <c r="M473" s="53" t="str">
        <f t="shared" si="131"/>
        <v>N.M.</v>
      </c>
      <c r="N473" s="174"/>
      <c r="O473" s="256">
        <v>42232048.27</v>
      </c>
      <c r="P473" s="16">
        <f t="shared" si="132"/>
        <v>-910350.200000003</v>
      </c>
      <c r="Q473" s="53">
        <f t="shared" si="133"/>
        <v>-0.02155590925119017</v>
      </c>
    </row>
    <row r="474" spans="1:17" s="13" customFormat="1" ht="12.75" collapsed="1">
      <c r="A474" s="13" t="s">
        <v>280</v>
      </c>
      <c r="C474" s="110" t="s">
        <v>211</v>
      </c>
      <c r="D474" s="33"/>
      <c r="F474" s="33">
        <v>361570410.75999993</v>
      </c>
      <c r="G474" s="33">
        <v>343792116.14000005</v>
      </c>
      <c r="H474" s="74">
        <f>+F474-G474</f>
        <v>17778294.619999886</v>
      </c>
      <c r="I474" s="137">
        <f>IF(G474&lt;0,IF(H474=0,0,IF(OR(G474=0,F474=0),"N.M.",IF(ABS(H474/G474)&gt;=10,"N.M.",H474/(-G474)))),IF(H474=0,0,IF(OR(G474=0,F474=0),"N.M.",IF(ABS(H474/G474)&gt;=10,"N.M.",H474/G474))))</f>
        <v>0.051712339478896474</v>
      </c>
      <c r="J474" s="168"/>
      <c r="K474" s="33">
        <v>359192420.59999996</v>
      </c>
      <c r="L474" s="74">
        <f>+F474-K474</f>
        <v>2377990.1599999666</v>
      </c>
      <c r="M474" s="137" t="str">
        <f>IF(K474&lt;0,IF(L474=0,0,IF(OR(K474=0,N474=0),"N.M.",IF(ABS(L474/K474)&gt;=10,"N.M.",L474/(-K474)))),IF(L474=0,0,IF(OR(K474=0,N474=0),"N.M.",IF(ABS(L474/K474)&gt;=10,"N.M.",L474/K474))))</f>
        <v>N.M.</v>
      </c>
      <c r="N474" s="168"/>
      <c r="O474" s="33">
        <v>354501020.08</v>
      </c>
      <c r="P474" s="74">
        <f>+F474-O474</f>
        <v>7069390.679999948</v>
      </c>
      <c r="Q474" s="137">
        <f>IF(O474&lt;0,IF(P474=0,0,IF(OR(O474=0,F474=0),"N.M.",IF(ABS(P474/O474)&gt;=10,"N.M.",P474/(-O474)))),IF(P474=0,0,IF(OR(O474=0,F474=0),"N.M.",IF(ABS(P474/O474)&gt;=10,"N.M.",P474/O474))))</f>
        <v>0.019941806312446162</v>
      </c>
    </row>
    <row r="475" spans="3:17" s="13" customFormat="1" ht="0.75" customHeight="1" hidden="1" outlineLevel="1">
      <c r="C475" s="110"/>
      <c r="D475" s="33"/>
      <c r="F475" s="33"/>
      <c r="G475" s="33"/>
      <c r="H475" s="74"/>
      <c r="I475" s="137"/>
      <c r="J475" s="168"/>
      <c r="K475" s="33"/>
      <c r="L475" s="74"/>
      <c r="M475" s="137"/>
      <c r="N475" s="168"/>
      <c r="O475" s="33"/>
      <c r="P475" s="74"/>
      <c r="Q475" s="137"/>
    </row>
    <row r="476" spans="1:17" s="15" customFormat="1" ht="12.75" hidden="1" outlineLevel="2">
      <c r="A476" s="15" t="s">
        <v>1240</v>
      </c>
      <c r="B476" s="15" t="s">
        <v>1241</v>
      </c>
      <c r="C476" s="134" t="s">
        <v>1242</v>
      </c>
      <c r="D476" s="16"/>
      <c r="E476" s="16"/>
      <c r="F476" s="16">
        <v>723610.4500000001</v>
      </c>
      <c r="G476" s="16">
        <v>1169181</v>
      </c>
      <c r="H476" s="16">
        <f>+F476-G476</f>
        <v>-445570.54999999993</v>
      </c>
      <c r="I476" s="53">
        <f>IF(G476&lt;0,IF(H476=0,0,IF(OR(G476=0,F476=0),"N.M.",IF(ABS(H476/G476)&gt;=10,"N.M.",H476/(-G476)))),IF(H476=0,0,IF(OR(G476=0,F476=0),"N.M.",IF(ABS(H476/G476)&gt;=10,"N.M.",H476/G476))))</f>
        <v>-0.3810962973226557</v>
      </c>
      <c r="J476" s="174"/>
      <c r="K476" s="256">
        <v>753558.26</v>
      </c>
      <c r="L476" s="16">
        <f>+F476-K476</f>
        <v>-29947.80999999994</v>
      </c>
      <c r="M476" s="53" t="str">
        <f>IF(K476&lt;0,IF(L476=0,0,IF(OR(K476=0,N476=0),"N.M.",IF(ABS(L476/K476)&gt;=10,"N.M.",L476/(-K476)))),IF(L476=0,0,IF(OR(K476=0,N476=0),"N.M.",IF(ABS(L476/K476)&gt;=10,"N.M.",L476/K476))))</f>
        <v>N.M.</v>
      </c>
      <c r="N476" s="174"/>
      <c r="O476" s="256">
        <v>993141</v>
      </c>
      <c r="P476" s="16">
        <f>+F476-O476</f>
        <v>-269530.54999999993</v>
      </c>
      <c r="Q476" s="53">
        <f>IF(O476&lt;0,IF(P476=0,0,IF(OR(O476=0,F476=0),"N.M.",IF(ABS(P476/O476)&gt;=10,"N.M.",P476/(-O476)))),IF(P476=0,0,IF(OR(O476=0,F476=0),"N.M.",IF(ABS(P476/O476)&gt;=10,"N.M.",P476/O476))))</f>
        <v>-0.2713920279194998</v>
      </c>
    </row>
    <row r="477" spans="1:17" s="13" customFormat="1" ht="12.75" collapsed="1">
      <c r="A477" s="13" t="s">
        <v>281</v>
      </c>
      <c r="C477" s="110" t="s">
        <v>212</v>
      </c>
      <c r="D477" s="33"/>
      <c r="F477" s="33">
        <v>723610.4500000001</v>
      </c>
      <c r="G477" s="33">
        <v>1169181</v>
      </c>
      <c r="H477" s="74">
        <f>+F477-G477</f>
        <v>-445570.54999999993</v>
      </c>
      <c r="I477" s="137">
        <f>IF(G477&lt;0,IF(H477=0,0,IF(OR(G477=0,F477=0),"N.M.",IF(ABS(H477/G477)&gt;=10,"N.M.",H477/(-G477)))),IF(H477=0,0,IF(OR(G477=0,F477=0),"N.M.",IF(ABS(H477/G477)&gt;=10,"N.M.",H477/G477))))</f>
        <v>-0.3810962973226557</v>
      </c>
      <c r="J477" s="168"/>
      <c r="K477" s="33">
        <v>753558.26</v>
      </c>
      <c r="L477" s="74">
        <f>+F477-K477</f>
        <v>-29947.80999999994</v>
      </c>
      <c r="M477" s="137" t="str">
        <f>IF(K477&lt;0,IF(L477=0,0,IF(OR(K477=0,N477=0),"N.M.",IF(ABS(L477/K477)&gt;=10,"N.M.",L477/(-K477)))),IF(L477=0,0,IF(OR(K477=0,N477=0),"N.M.",IF(ABS(L477/K477)&gt;=10,"N.M.",L477/K477))))</f>
        <v>N.M.</v>
      </c>
      <c r="N477" s="168"/>
      <c r="O477" s="33">
        <v>993141</v>
      </c>
      <c r="P477" s="74">
        <f>+F477-O477</f>
        <v>-269530.54999999993</v>
      </c>
      <c r="Q477" s="137">
        <f>IF(O477&lt;0,IF(P477=0,0,IF(OR(O477=0,F477=0),"N.M.",IF(ABS(P477/O477)&gt;=10,"N.M.",P477/(-O477)))),IF(P477=0,0,IF(OR(O477=0,F477=0),"N.M.",IF(ABS(P477/O477)&gt;=10,"N.M.",P477/O477))))</f>
        <v>-0.2713920279194998</v>
      </c>
    </row>
    <row r="478" spans="3:17" s="13" customFormat="1" ht="0.75" customHeight="1" hidden="1" outlineLevel="1">
      <c r="C478" s="110"/>
      <c r="D478" s="33"/>
      <c r="F478" s="33"/>
      <c r="G478" s="33"/>
      <c r="H478" s="74"/>
      <c r="I478" s="137"/>
      <c r="J478" s="168"/>
      <c r="K478" s="33"/>
      <c r="L478" s="74"/>
      <c r="M478" s="137"/>
      <c r="N478" s="168"/>
      <c r="O478" s="33"/>
      <c r="P478" s="74"/>
      <c r="Q478" s="137"/>
    </row>
    <row r="479" spans="1:17" s="15" customFormat="1" ht="12.75" hidden="1" outlineLevel="2">
      <c r="A479" s="15" t="s">
        <v>1243</v>
      </c>
      <c r="B479" s="15" t="s">
        <v>1244</v>
      </c>
      <c r="C479" s="134" t="s">
        <v>1245</v>
      </c>
      <c r="D479" s="16"/>
      <c r="E479" s="16"/>
      <c r="F479" s="16">
        <v>0</v>
      </c>
      <c r="G479" s="16">
        <v>1540844.88</v>
      </c>
      <c r="H479" s="16">
        <f aca="true" t="shared" si="134" ref="H479:H493">+F479-G479</f>
        <v>-1540844.88</v>
      </c>
      <c r="I479" s="53" t="str">
        <f aca="true" t="shared" si="135" ref="I479:I493">IF(G479&lt;0,IF(H479=0,0,IF(OR(G479=0,F479=0),"N.M.",IF(ABS(H479/G479)&gt;=10,"N.M.",H479/(-G479)))),IF(H479=0,0,IF(OR(G479=0,F479=0),"N.M.",IF(ABS(H479/G479)&gt;=10,"N.M.",H479/G479))))</f>
        <v>N.M.</v>
      </c>
      <c r="J479" s="174"/>
      <c r="K479" s="256">
        <v>1246270.88</v>
      </c>
      <c r="L479" s="16">
        <f>+F479-K479</f>
        <v>-1246270.88</v>
      </c>
      <c r="M479" s="53" t="str">
        <f>IF(K479&lt;0,IF(L479=0,0,IF(OR(K479=0,N479=0),"N.M.",IF(ABS(L479/K479)&gt;=10,"N.M.",L479/(-K479)))),IF(L479=0,0,IF(OR(K479=0,N479=0),"N.M.",IF(ABS(L479/K479)&gt;=10,"N.M.",L479/K479))))</f>
        <v>N.M.</v>
      </c>
      <c r="N479" s="174"/>
      <c r="O479" s="256">
        <v>863928.88</v>
      </c>
      <c r="P479" s="16">
        <f>+F479-O479</f>
        <v>-863928.88</v>
      </c>
      <c r="Q479" s="53" t="str">
        <f>IF(O479&lt;0,IF(P479=0,0,IF(OR(O479=0,F479=0),"N.M.",IF(ABS(P479/O479)&gt;=10,"N.M.",P479/(-O479)))),IF(P479=0,0,IF(OR(O479=0,F479=0),"N.M.",IF(ABS(P479/O479)&gt;=10,"N.M.",P479/O479))))</f>
        <v>N.M.</v>
      </c>
    </row>
    <row r="480" spans="1:17" s="13" customFormat="1" ht="12.75" hidden="1" outlineLevel="1">
      <c r="A480" s="11" t="s">
        <v>282</v>
      </c>
      <c r="B480" s="11"/>
      <c r="C480" s="123" t="s">
        <v>222</v>
      </c>
      <c r="D480" s="18"/>
      <c r="E480" s="11"/>
      <c r="F480" s="18">
        <v>0</v>
      </c>
      <c r="G480" s="18">
        <v>1540844.88</v>
      </c>
      <c r="H480" s="51">
        <f t="shared" si="134"/>
        <v>-1540844.88</v>
      </c>
      <c r="I480" s="136" t="str">
        <f t="shared" si="135"/>
        <v>N.M.</v>
      </c>
      <c r="J480" s="168"/>
      <c r="K480" s="18">
        <v>1246270.88</v>
      </c>
      <c r="L480" s="51">
        <f aca="true" t="shared" si="136" ref="L480:L493">+F480-K480</f>
        <v>-1246270.88</v>
      </c>
      <c r="M480" s="136" t="str">
        <f aca="true" t="shared" si="137" ref="M480:M493">IF(K480&lt;0,IF(L480=0,0,IF(OR(K480=0,N480=0),"N.M.",IF(ABS(L480/K480)&gt;=10,"N.M.",L480/(-K480)))),IF(L480=0,0,IF(OR(K480=0,N480=0),"N.M.",IF(ABS(L480/K480)&gt;=10,"N.M.",L480/K480))))</f>
        <v>N.M.</v>
      </c>
      <c r="N480" s="168"/>
      <c r="O480" s="18">
        <v>863928.88</v>
      </c>
      <c r="P480" s="51">
        <f aca="true" t="shared" si="138" ref="P480:P493">+F480-O480</f>
        <v>-863928.88</v>
      </c>
      <c r="Q480" s="136" t="str">
        <f aca="true" t="shared" si="139" ref="Q480:Q493">IF(O480&lt;0,IF(P480=0,0,IF(OR(O480=0,F480=0),"N.M.",IF(ABS(P480/O480)&gt;=10,"N.M.",P480/(-O480)))),IF(P480=0,0,IF(OR(O480=0,F480=0),"N.M.",IF(ABS(P480/O480)&gt;=10,"N.M.",P480/O480))))</f>
        <v>N.M.</v>
      </c>
    </row>
    <row r="481" spans="1:17" s="13" customFormat="1" ht="12.75" hidden="1" outlineLevel="1">
      <c r="A481" s="11" t="s">
        <v>283</v>
      </c>
      <c r="B481" s="11"/>
      <c r="C481" s="123" t="s">
        <v>223</v>
      </c>
      <c r="D481" s="18"/>
      <c r="E481" s="11"/>
      <c r="F481" s="18">
        <v>0</v>
      </c>
      <c r="G481" s="18">
        <v>0</v>
      </c>
      <c r="H481" s="51">
        <f t="shared" si="134"/>
        <v>0</v>
      </c>
      <c r="I481" s="136">
        <f t="shared" si="135"/>
        <v>0</v>
      </c>
      <c r="J481" s="168"/>
      <c r="K481" s="18">
        <v>0</v>
      </c>
      <c r="L481" s="51">
        <f t="shared" si="136"/>
        <v>0</v>
      </c>
      <c r="M481" s="136">
        <f t="shared" si="137"/>
        <v>0</v>
      </c>
      <c r="N481" s="168"/>
      <c r="O481" s="18">
        <v>0</v>
      </c>
      <c r="P481" s="51">
        <f t="shared" si="138"/>
        <v>0</v>
      </c>
      <c r="Q481" s="136">
        <f t="shared" si="139"/>
        <v>0</v>
      </c>
    </row>
    <row r="482" spans="1:17" s="13" customFormat="1" ht="12.75" hidden="1" outlineLevel="1">
      <c r="A482" s="11" t="s">
        <v>284</v>
      </c>
      <c r="B482" s="11"/>
      <c r="C482" s="123" t="s">
        <v>224</v>
      </c>
      <c r="D482" s="18"/>
      <c r="E482" s="11"/>
      <c r="F482" s="18">
        <v>0</v>
      </c>
      <c r="G482" s="18">
        <v>0</v>
      </c>
      <c r="H482" s="51">
        <f t="shared" si="134"/>
        <v>0</v>
      </c>
      <c r="I482" s="136">
        <f t="shared" si="135"/>
        <v>0</v>
      </c>
      <c r="J482" s="168"/>
      <c r="K482" s="18">
        <v>0</v>
      </c>
      <c r="L482" s="51">
        <f t="shared" si="136"/>
        <v>0</v>
      </c>
      <c r="M482" s="136">
        <f t="shared" si="137"/>
        <v>0</v>
      </c>
      <c r="N482" s="168"/>
      <c r="O482" s="18">
        <v>0</v>
      </c>
      <c r="P482" s="51">
        <f t="shared" si="138"/>
        <v>0</v>
      </c>
      <c r="Q482" s="136">
        <f t="shared" si="139"/>
        <v>0</v>
      </c>
    </row>
    <row r="483" spans="1:17" s="15" customFormat="1" ht="12.75" hidden="1" outlineLevel="2">
      <c r="A483" s="15" t="s">
        <v>1246</v>
      </c>
      <c r="B483" s="15" t="s">
        <v>1247</v>
      </c>
      <c r="C483" s="134" t="s">
        <v>1248</v>
      </c>
      <c r="D483" s="16"/>
      <c r="E483" s="16"/>
      <c r="F483" s="16">
        <v>479790.49</v>
      </c>
      <c r="G483" s="16">
        <v>0</v>
      </c>
      <c r="H483" s="16">
        <f t="shared" si="134"/>
        <v>479790.49</v>
      </c>
      <c r="I483" s="53" t="str">
        <f t="shared" si="135"/>
        <v>N.M.</v>
      </c>
      <c r="J483" s="174"/>
      <c r="K483" s="256">
        <v>577127.49</v>
      </c>
      <c r="L483" s="16">
        <f>+F483-K483</f>
        <v>-97337</v>
      </c>
      <c r="M483" s="53" t="str">
        <f>IF(K483&lt;0,IF(L483=0,0,IF(OR(K483=0,N483=0),"N.M.",IF(ABS(L483/K483)&gt;=10,"N.M.",L483/(-K483)))),IF(L483=0,0,IF(OR(K483=0,N483=0),"N.M.",IF(ABS(L483/K483)&gt;=10,"N.M.",L483/K483))))</f>
        <v>N.M.</v>
      </c>
      <c r="N483" s="174"/>
      <c r="O483" s="256">
        <v>0</v>
      </c>
      <c r="P483" s="16">
        <f>+F483-O483</f>
        <v>479790.49</v>
      </c>
      <c r="Q483" s="53" t="str">
        <f>IF(O483&lt;0,IF(P483=0,0,IF(OR(O483=0,F483=0),"N.M.",IF(ABS(P483/O483)&gt;=10,"N.M.",P483/(-O483)))),IF(P483=0,0,IF(OR(O483=0,F483=0),"N.M.",IF(ABS(P483/O483)&gt;=10,"N.M.",P483/O483))))</f>
        <v>N.M.</v>
      </c>
    </row>
    <row r="484" spans="1:17" s="15" customFormat="1" ht="12.75" hidden="1" outlineLevel="2">
      <c r="A484" s="15" t="s">
        <v>1249</v>
      </c>
      <c r="B484" s="15" t="s">
        <v>1250</v>
      </c>
      <c r="C484" s="134" t="s">
        <v>1251</v>
      </c>
      <c r="D484" s="16"/>
      <c r="E484" s="16"/>
      <c r="F484" s="16">
        <v>4508178.21</v>
      </c>
      <c r="G484" s="16">
        <v>6981446.9</v>
      </c>
      <c r="H484" s="16">
        <f t="shared" si="134"/>
        <v>-2473268.6900000004</v>
      </c>
      <c r="I484" s="53">
        <f t="shared" si="135"/>
        <v>-0.3542630525486057</v>
      </c>
      <c r="J484" s="174"/>
      <c r="K484" s="256">
        <v>4274542.63</v>
      </c>
      <c r="L484" s="16">
        <f>+F484-K484</f>
        <v>233635.58000000007</v>
      </c>
      <c r="M484" s="53" t="str">
        <f>IF(K484&lt;0,IF(L484=0,0,IF(OR(K484=0,N484=0),"N.M.",IF(ABS(L484/K484)&gt;=10,"N.M.",L484/(-K484)))),IF(L484=0,0,IF(OR(K484=0,N484=0),"N.M.",IF(ABS(L484/K484)&gt;=10,"N.M.",L484/K484))))</f>
        <v>N.M.</v>
      </c>
      <c r="N484" s="174"/>
      <c r="O484" s="256">
        <v>5844355.89</v>
      </c>
      <c r="P484" s="16">
        <f>+F484-O484</f>
        <v>-1336177.6799999997</v>
      </c>
      <c r="Q484" s="53">
        <f>IF(O484&lt;0,IF(P484=0,0,IF(OR(O484=0,F484=0),"N.M.",IF(ABS(P484/O484)&gt;=10,"N.M.",P484/(-O484)))),IF(P484=0,0,IF(OR(O484=0,F484=0),"N.M.",IF(ABS(P484/O484)&gt;=10,"N.M.",P484/O484))))</f>
        <v>-0.22862702154847722</v>
      </c>
    </row>
    <row r="485" spans="1:17" s="15" customFormat="1" ht="12.75" hidden="1" outlineLevel="2">
      <c r="A485" s="15" t="s">
        <v>1252</v>
      </c>
      <c r="B485" s="15" t="s">
        <v>1253</v>
      </c>
      <c r="C485" s="134" t="s">
        <v>1254</v>
      </c>
      <c r="D485" s="16"/>
      <c r="E485" s="16"/>
      <c r="F485" s="16">
        <v>1199476</v>
      </c>
      <c r="G485" s="16">
        <v>914288</v>
      </c>
      <c r="H485" s="16">
        <f t="shared" si="134"/>
        <v>285188</v>
      </c>
      <c r="I485" s="53">
        <f t="shared" si="135"/>
        <v>0.31192359519101204</v>
      </c>
      <c r="J485" s="174"/>
      <c r="K485" s="256">
        <v>1685419</v>
      </c>
      <c r="L485" s="16">
        <f>+F485-K485</f>
        <v>-485943</v>
      </c>
      <c r="M485" s="53" t="str">
        <f>IF(K485&lt;0,IF(L485=0,0,IF(OR(K485=0,N485=0),"N.M.",IF(ABS(L485/K485)&gt;=10,"N.M.",L485/(-K485)))),IF(L485=0,0,IF(OR(K485=0,N485=0),"N.M.",IF(ABS(L485/K485)&gt;=10,"N.M.",L485/K485))))</f>
        <v>N.M.</v>
      </c>
      <c r="N485" s="174"/>
      <c r="O485" s="256">
        <v>0</v>
      </c>
      <c r="P485" s="16">
        <f>+F485-O485</f>
        <v>1199476</v>
      </c>
      <c r="Q485" s="53" t="str">
        <f>IF(O485&lt;0,IF(P485=0,0,IF(OR(O485=0,F485=0),"N.M.",IF(ABS(P485/O485)&gt;=10,"N.M.",P485/(-O485)))),IF(P485=0,0,IF(OR(O485=0,F485=0),"N.M.",IF(ABS(P485/O485)&gt;=10,"N.M.",P485/O485))))</f>
        <v>N.M.</v>
      </c>
    </row>
    <row r="486" spans="1:17" s="15" customFormat="1" ht="12.75" hidden="1" outlineLevel="2">
      <c r="A486" s="15" t="s">
        <v>1255</v>
      </c>
      <c r="B486" s="15" t="s">
        <v>1256</v>
      </c>
      <c r="C486" s="134" t="s">
        <v>1257</v>
      </c>
      <c r="D486" s="16"/>
      <c r="E486" s="16"/>
      <c r="F486" s="16">
        <v>173511.91</v>
      </c>
      <c r="G486" s="16">
        <v>90749.26</v>
      </c>
      <c r="H486" s="16">
        <f t="shared" si="134"/>
        <v>82762.65000000001</v>
      </c>
      <c r="I486" s="53">
        <f t="shared" si="135"/>
        <v>0.9119925606004943</v>
      </c>
      <c r="J486" s="174"/>
      <c r="K486" s="256">
        <v>189407.41</v>
      </c>
      <c r="L486" s="16">
        <f>+F486-K486</f>
        <v>-15895.5</v>
      </c>
      <c r="M486" s="53" t="str">
        <f>IF(K486&lt;0,IF(L486=0,0,IF(OR(K486=0,N486=0),"N.M.",IF(ABS(L486/K486)&gt;=10,"N.M.",L486/(-K486)))),IF(L486=0,0,IF(OR(K486=0,N486=0),"N.M.",IF(ABS(L486/K486)&gt;=10,"N.M.",L486/K486))))</f>
        <v>N.M.</v>
      </c>
      <c r="N486" s="174"/>
      <c r="O486" s="256">
        <v>177765.21</v>
      </c>
      <c r="P486" s="16">
        <f>+F486-O486</f>
        <v>-4253.299999999988</v>
      </c>
      <c r="Q486" s="53">
        <f>IF(O486&lt;0,IF(P486=0,0,IF(OR(O486=0,F486=0),"N.M.",IF(ABS(P486/O486)&gt;=10,"N.M.",P486/(-O486)))),IF(P486=0,0,IF(OR(O486=0,F486=0),"N.M.",IF(ABS(P486/O486)&gt;=10,"N.M.",P486/O486))))</f>
        <v>-0.023926503954288855</v>
      </c>
    </row>
    <row r="487" spans="1:17" s="15" customFormat="1" ht="12.75" hidden="1" outlineLevel="2">
      <c r="A487" s="15" t="s">
        <v>1258</v>
      </c>
      <c r="B487" s="15" t="s">
        <v>1259</v>
      </c>
      <c r="C487" s="134" t="s">
        <v>1260</v>
      </c>
      <c r="D487" s="16"/>
      <c r="E487" s="16"/>
      <c r="F487" s="16">
        <v>614</v>
      </c>
      <c r="G487" s="16">
        <v>560</v>
      </c>
      <c r="H487" s="16">
        <f t="shared" si="134"/>
        <v>54</v>
      </c>
      <c r="I487" s="53">
        <f t="shared" si="135"/>
        <v>0.09642857142857143</v>
      </c>
      <c r="J487" s="174"/>
      <c r="K487" s="256">
        <v>614</v>
      </c>
      <c r="L487" s="16">
        <f>+F487-K487</f>
        <v>0</v>
      </c>
      <c r="M487" s="53">
        <f>IF(K487&lt;0,IF(L487=0,0,IF(OR(K487=0,N487=0),"N.M.",IF(ABS(L487/K487)&gt;=10,"N.M.",L487/(-K487)))),IF(L487=0,0,IF(OR(K487=0,N487=0),"N.M.",IF(ABS(L487/K487)&gt;=10,"N.M.",L487/K487))))</f>
        <v>0</v>
      </c>
      <c r="N487" s="174"/>
      <c r="O487" s="256">
        <v>584</v>
      </c>
      <c r="P487" s="16">
        <f>+F487-O487</f>
        <v>30</v>
      </c>
      <c r="Q487" s="53">
        <f>IF(O487&lt;0,IF(P487=0,0,IF(OR(O487=0,F487=0),"N.M.",IF(ABS(P487/O487)&gt;=10,"N.M.",P487/(-O487)))),IF(P487=0,0,IF(OR(O487=0,F487=0),"N.M.",IF(ABS(P487/O487)&gt;=10,"N.M.",P487/O487))))</f>
        <v>0.05136986301369863</v>
      </c>
    </row>
    <row r="488" spans="1:17" s="13" customFormat="1" ht="12.75" hidden="1" outlineLevel="1">
      <c r="A488" s="11" t="s">
        <v>285</v>
      </c>
      <c r="B488" s="11"/>
      <c r="C488" s="123" t="s">
        <v>225</v>
      </c>
      <c r="D488" s="18"/>
      <c r="E488" s="11"/>
      <c r="F488" s="18">
        <v>6361570.61</v>
      </c>
      <c r="G488" s="18">
        <v>7987044.16</v>
      </c>
      <c r="H488" s="51">
        <f t="shared" si="134"/>
        <v>-1625473.5499999998</v>
      </c>
      <c r="I488" s="136">
        <f t="shared" si="135"/>
        <v>-0.20351378024683411</v>
      </c>
      <c r="J488" s="168"/>
      <c r="K488" s="18">
        <v>6727110.53</v>
      </c>
      <c r="L488" s="51">
        <f t="shared" si="136"/>
        <v>-365539.9199999999</v>
      </c>
      <c r="M488" s="136" t="str">
        <f t="shared" si="137"/>
        <v>N.M.</v>
      </c>
      <c r="N488" s="168"/>
      <c r="O488" s="18">
        <v>6022705.1</v>
      </c>
      <c r="P488" s="51">
        <f t="shared" si="138"/>
        <v>338865.5100000007</v>
      </c>
      <c r="Q488" s="136">
        <f t="shared" si="139"/>
        <v>0.05626466917664634</v>
      </c>
    </row>
    <row r="489" spans="1:17" s="15" customFormat="1" ht="12.75" hidden="1" outlineLevel="2">
      <c r="A489" s="15" t="s">
        <v>1261</v>
      </c>
      <c r="B489" s="15" t="s">
        <v>1262</v>
      </c>
      <c r="C489" s="134" t="s">
        <v>1263</v>
      </c>
      <c r="D489" s="16"/>
      <c r="E489" s="16"/>
      <c r="F489" s="16">
        <v>389636.4</v>
      </c>
      <c r="G489" s="16">
        <v>629559</v>
      </c>
      <c r="H489" s="16">
        <f t="shared" si="134"/>
        <v>-239922.59999999998</v>
      </c>
      <c r="I489" s="53">
        <f t="shared" si="135"/>
        <v>-0.38109629121337313</v>
      </c>
      <c r="J489" s="174"/>
      <c r="K489" s="256">
        <v>405762.13</v>
      </c>
      <c r="L489" s="16">
        <f>+F489-K489</f>
        <v>-16125.729999999981</v>
      </c>
      <c r="M489" s="53" t="str">
        <f>IF(K489&lt;0,IF(L489=0,0,IF(OR(K489=0,N489=0),"N.M.",IF(ABS(L489/K489)&gt;=10,"N.M.",L489/(-K489)))),IF(L489=0,0,IF(OR(K489=0,N489=0),"N.M.",IF(ABS(L489/K489)&gt;=10,"N.M.",L489/K489))))</f>
        <v>N.M.</v>
      </c>
      <c r="N489" s="174"/>
      <c r="O489" s="256">
        <v>534768.23</v>
      </c>
      <c r="P489" s="16">
        <f>+F489-O489</f>
        <v>-145131.82999999996</v>
      </c>
      <c r="Q489" s="53">
        <f>IF(O489&lt;0,IF(P489=0,0,IF(OR(O489=0,F489=0),"N.M.",IF(ABS(P489/O489)&gt;=10,"N.M.",P489/(-O489)))),IF(P489=0,0,IF(OR(O489=0,F489=0),"N.M.",IF(ABS(P489/O489)&gt;=10,"N.M.",P489/O489))))</f>
        <v>-0.27139201967925425</v>
      </c>
    </row>
    <row r="490" spans="1:17" s="15" customFormat="1" ht="12.75" hidden="1" outlineLevel="2">
      <c r="A490" s="15" t="s">
        <v>1264</v>
      </c>
      <c r="B490" s="15" t="s">
        <v>1265</v>
      </c>
      <c r="C490" s="134" t="s">
        <v>1266</v>
      </c>
      <c r="D490" s="16"/>
      <c r="E490" s="16"/>
      <c r="F490" s="16">
        <v>1892784.6</v>
      </c>
      <c r="G490" s="16">
        <v>1126404.6</v>
      </c>
      <c r="H490" s="16">
        <f t="shared" si="134"/>
        <v>766380</v>
      </c>
      <c r="I490" s="53">
        <f t="shared" si="135"/>
        <v>0.680377193061889</v>
      </c>
      <c r="J490" s="174"/>
      <c r="K490" s="256">
        <v>1803695.38</v>
      </c>
      <c r="L490" s="16">
        <f>+F490-K490</f>
        <v>89089.2200000002</v>
      </c>
      <c r="M490" s="53" t="str">
        <f>IF(K490&lt;0,IF(L490=0,0,IF(OR(K490=0,N490=0),"N.M.",IF(ABS(L490/K490)&gt;=10,"N.M.",L490/(-K490)))),IF(L490=0,0,IF(OR(K490=0,N490=0),"N.M.",IF(ABS(L490/K490)&gt;=10,"N.M.",L490/K490))))</f>
        <v>N.M.</v>
      </c>
      <c r="N490" s="174"/>
      <c r="O490" s="256">
        <v>1090981.53</v>
      </c>
      <c r="P490" s="16">
        <f>+F490-O490</f>
        <v>801803.0700000001</v>
      </c>
      <c r="Q490" s="53">
        <f>IF(O490&lt;0,IF(P490=0,0,IF(OR(O490=0,F490=0),"N.M.",IF(ABS(P490/O490)&gt;=10,"N.M.",P490/(-O490)))),IF(P490=0,0,IF(OR(O490=0,F490=0),"N.M.",IF(ABS(P490/O490)&gt;=10,"N.M.",P490/O490))))</f>
        <v>0.734937345822894</v>
      </c>
    </row>
    <row r="491" spans="1:17" s="13" customFormat="1" ht="12.75" hidden="1" outlineLevel="1">
      <c r="A491" s="11" t="s">
        <v>286</v>
      </c>
      <c r="B491" s="11"/>
      <c r="C491" s="123" t="s">
        <v>226</v>
      </c>
      <c r="D491" s="18"/>
      <c r="E491" s="11"/>
      <c r="F491" s="18">
        <v>2282421</v>
      </c>
      <c r="G491" s="18">
        <v>1755963.6</v>
      </c>
      <c r="H491" s="51">
        <f t="shared" si="134"/>
        <v>526457.3999999999</v>
      </c>
      <c r="I491" s="136">
        <f t="shared" si="135"/>
        <v>0.29981111225768</v>
      </c>
      <c r="J491" s="168"/>
      <c r="K491" s="18">
        <v>2209457.51</v>
      </c>
      <c r="L491" s="51">
        <f t="shared" si="136"/>
        <v>72963.49000000022</v>
      </c>
      <c r="M491" s="136" t="str">
        <f t="shared" si="137"/>
        <v>N.M.</v>
      </c>
      <c r="N491" s="168"/>
      <c r="O491" s="18">
        <v>1625749.76</v>
      </c>
      <c r="P491" s="51">
        <f t="shared" si="138"/>
        <v>656671.24</v>
      </c>
      <c r="Q491" s="136">
        <f t="shared" si="139"/>
        <v>0.40391901395698193</v>
      </c>
    </row>
    <row r="492" spans="1:17" s="13" customFormat="1" ht="12.75" hidden="1" outlineLevel="1">
      <c r="A492" s="11" t="s">
        <v>287</v>
      </c>
      <c r="B492" s="11"/>
      <c r="C492" s="123" t="s">
        <v>227</v>
      </c>
      <c r="D492" s="18"/>
      <c r="E492" s="11"/>
      <c r="F492" s="18">
        <v>0</v>
      </c>
      <c r="G492" s="18">
        <v>0</v>
      </c>
      <c r="H492" s="51">
        <f t="shared" si="134"/>
        <v>0</v>
      </c>
      <c r="I492" s="136">
        <f t="shared" si="135"/>
        <v>0</v>
      </c>
      <c r="J492" s="168"/>
      <c r="K492" s="18">
        <v>0</v>
      </c>
      <c r="L492" s="51">
        <f t="shared" si="136"/>
        <v>0</v>
      </c>
      <c r="M492" s="136">
        <f t="shared" si="137"/>
        <v>0</v>
      </c>
      <c r="N492" s="168"/>
      <c r="O492" s="18">
        <v>0</v>
      </c>
      <c r="P492" s="51">
        <f t="shared" si="138"/>
        <v>0</v>
      </c>
      <c r="Q492" s="136">
        <f t="shared" si="139"/>
        <v>0</v>
      </c>
    </row>
    <row r="493" spans="1:17" s="13" customFormat="1" ht="12.75" collapsed="1">
      <c r="A493" s="13" t="s">
        <v>339</v>
      </c>
      <c r="C493" s="110" t="s">
        <v>213</v>
      </c>
      <c r="D493" s="33"/>
      <c r="F493" s="33">
        <v>8643991.61</v>
      </c>
      <c r="G493" s="33">
        <v>11283852.639999999</v>
      </c>
      <c r="H493" s="74">
        <f t="shared" si="134"/>
        <v>-2639861.0299999993</v>
      </c>
      <c r="I493" s="137">
        <f t="shared" si="135"/>
        <v>-0.23395032833395807</v>
      </c>
      <c r="J493" s="168"/>
      <c r="K493" s="33">
        <v>10182838.92</v>
      </c>
      <c r="L493" s="74">
        <f t="shared" si="136"/>
        <v>-1538847.3100000005</v>
      </c>
      <c r="M493" s="137" t="str">
        <f t="shared" si="137"/>
        <v>N.M.</v>
      </c>
      <c r="N493" s="168"/>
      <c r="O493" s="33">
        <v>8512383.74</v>
      </c>
      <c r="P493" s="74">
        <f t="shared" si="138"/>
        <v>131607.86999999918</v>
      </c>
      <c r="Q493" s="137">
        <f t="shared" si="139"/>
        <v>0.015460753887488533</v>
      </c>
    </row>
    <row r="494" spans="3:17" ht="12.75">
      <c r="C494" s="126"/>
      <c r="E494" s="11"/>
      <c r="H494" s="18"/>
      <c r="I494" s="141"/>
      <c r="J494" s="166"/>
      <c r="K494" s="18"/>
      <c r="L494" s="18"/>
      <c r="M494" s="141"/>
      <c r="N494" s="166"/>
      <c r="O494" s="18"/>
      <c r="P494" s="18"/>
      <c r="Q494" s="141"/>
    </row>
    <row r="495" spans="3:17" ht="0.75" customHeight="1" hidden="1" outlineLevel="1">
      <c r="C495" s="126"/>
      <c r="E495" s="11"/>
      <c r="H495" s="18"/>
      <c r="I495" s="141"/>
      <c r="J495" s="166"/>
      <c r="K495" s="18"/>
      <c r="L495" s="18"/>
      <c r="M495" s="141"/>
      <c r="N495" s="166"/>
      <c r="O495" s="18"/>
      <c r="P495" s="18"/>
      <c r="Q495" s="141"/>
    </row>
    <row r="496" spans="1:17" s="15" customFormat="1" ht="12.75" hidden="1" outlineLevel="2">
      <c r="A496" s="15" t="s">
        <v>1267</v>
      </c>
      <c r="B496" s="15" t="s">
        <v>1268</v>
      </c>
      <c r="C496" s="134" t="s">
        <v>1269</v>
      </c>
      <c r="D496" s="16"/>
      <c r="E496" s="16"/>
      <c r="F496" s="16">
        <v>1806759.52</v>
      </c>
      <c r="G496" s="16">
        <v>7625544.14</v>
      </c>
      <c r="H496" s="16">
        <f aca="true" t="shared" si="140" ref="H496:H501">+F496-G496</f>
        <v>-5818784.619999999</v>
      </c>
      <c r="I496" s="53">
        <f aca="true" t="shared" si="141" ref="I496:I501">IF(G496&lt;0,IF(H496=0,0,IF(OR(G496=0,F496=0),"N.M.",IF(ABS(H496/G496)&gt;=10,"N.M.",H496/(-G496)))),IF(H496=0,0,IF(OR(G496=0,F496=0),"N.M.",IF(ABS(H496/G496)&gt;=10,"N.M.",H496/G496))))</f>
        <v>-0.7630648401177571</v>
      </c>
      <c r="J496" s="174"/>
      <c r="K496" s="256">
        <v>1593677.38</v>
      </c>
      <c r="L496" s="16">
        <f aca="true" t="shared" si="142" ref="L496:L501">+F496-K496</f>
        <v>213082.14000000013</v>
      </c>
      <c r="M496" s="53" t="str">
        <f aca="true" t="shared" si="143" ref="M496:M501">IF(K496&lt;0,IF(L496=0,0,IF(OR(K496=0,N496=0),"N.M.",IF(ABS(L496/K496)&gt;=10,"N.M.",L496/(-K496)))),IF(L496=0,0,IF(OR(K496=0,N496=0),"N.M.",IF(ABS(L496/K496)&gt;=10,"N.M.",L496/K496))))</f>
        <v>N.M.</v>
      </c>
      <c r="N496" s="174"/>
      <c r="O496" s="256">
        <v>4013269.72</v>
      </c>
      <c r="P496" s="16">
        <f aca="true" t="shared" si="144" ref="P496:P501">+F496-O496</f>
        <v>-2206510.2</v>
      </c>
      <c r="Q496" s="53">
        <f aca="true" t="shared" si="145" ref="Q496:Q501">IF(O496&lt;0,IF(P496=0,0,IF(OR(O496=0,F496=0),"N.M.",IF(ABS(P496/O496)&gt;=10,"N.M.",P496/(-O496)))),IF(P496=0,0,IF(OR(O496=0,F496=0),"N.M.",IF(ABS(P496/O496)&gt;=10,"N.M.",P496/O496))))</f>
        <v>-0.549803614993512</v>
      </c>
    </row>
    <row r="497" spans="1:17" s="15" customFormat="1" ht="12.75" hidden="1" outlineLevel="2">
      <c r="A497" s="15" t="s">
        <v>1270</v>
      </c>
      <c r="B497" s="15" t="s">
        <v>1271</v>
      </c>
      <c r="C497" s="134" t="s">
        <v>1272</v>
      </c>
      <c r="D497" s="16"/>
      <c r="E497" s="16"/>
      <c r="F497" s="16">
        <v>0</v>
      </c>
      <c r="G497" s="16">
        <v>24454</v>
      </c>
      <c r="H497" s="16">
        <f t="shared" si="140"/>
        <v>-24454</v>
      </c>
      <c r="I497" s="53" t="str">
        <f t="shared" si="141"/>
        <v>N.M.</v>
      </c>
      <c r="J497" s="174"/>
      <c r="K497" s="256">
        <v>0</v>
      </c>
      <c r="L497" s="16">
        <f t="shared" si="142"/>
        <v>0</v>
      </c>
      <c r="M497" s="53">
        <f t="shared" si="143"/>
        <v>0</v>
      </c>
      <c r="N497" s="174"/>
      <c r="O497" s="256">
        <v>0</v>
      </c>
      <c r="P497" s="16">
        <f t="shared" si="144"/>
        <v>0</v>
      </c>
      <c r="Q497" s="53">
        <f t="shared" si="145"/>
        <v>0</v>
      </c>
    </row>
    <row r="498" spans="1:17" s="15" customFormat="1" ht="12.75" hidden="1" outlineLevel="2">
      <c r="A498" s="15" t="s">
        <v>1273</v>
      </c>
      <c r="B498" s="15" t="s">
        <v>1274</v>
      </c>
      <c r="C498" s="134" t="s">
        <v>1275</v>
      </c>
      <c r="D498" s="16"/>
      <c r="E498" s="16"/>
      <c r="F498" s="16">
        <v>0</v>
      </c>
      <c r="G498" s="16">
        <v>6905.37</v>
      </c>
      <c r="H498" s="16">
        <f t="shared" si="140"/>
        <v>-6905.37</v>
      </c>
      <c r="I498" s="53" t="str">
        <f t="shared" si="141"/>
        <v>N.M.</v>
      </c>
      <c r="J498" s="174"/>
      <c r="K498" s="256">
        <v>0</v>
      </c>
      <c r="L498" s="16">
        <f t="shared" si="142"/>
        <v>0</v>
      </c>
      <c r="M498" s="53">
        <f t="shared" si="143"/>
        <v>0</v>
      </c>
      <c r="N498" s="174"/>
      <c r="O498" s="256">
        <v>6526.89</v>
      </c>
      <c r="P498" s="16">
        <f t="shared" si="144"/>
        <v>-6526.89</v>
      </c>
      <c r="Q498" s="53" t="str">
        <f t="shared" si="145"/>
        <v>N.M.</v>
      </c>
    </row>
    <row r="499" spans="1:17" s="15" customFormat="1" ht="12.75" hidden="1" outlineLevel="2">
      <c r="A499" s="15" t="s">
        <v>1276</v>
      </c>
      <c r="B499" s="15" t="s">
        <v>1277</v>
      </c>
      <c r="C499" s="134" t="s">
        <v>1278</v>
      </c>
      <c r="D499" s="16"/>
      <c r="E499" s="16"/>
      <c r="F499" s="16">
        <v>-324124</v>
      </c>
      <c r="G499" s="16">
        <v>-4321309</v>
      </c>
      <c r="H499" s="16">
        <f t="shared" si="140"/>
        <v>3997185</v>
      </c>
      <c r="I499" s="53">
        <f t="shared" si="141"/>
        <v>0.9249940238015842</v>
      </c>
      <c r="J499" s="174"/>
      <c r="K499" s="256">
        <v>-82252</v>
      </c>
      <c r="L499" s="16">
        <f t="shared" si="142"/>
        <v>-241872</v>
      </c>
      <c r="M499" s="53" t="str">
        <f t="shared" si="143"/>
        <v>N.M.</v>
      </c>
      <c r="N499" s="174"/>
      <c r="O499" s="256">
        <v>-1717192</v>
      </c>
      <c r="P499" s="16">
        <f t="shared" si="144"/>
        <v>1393068</v>
      </c>
      <c r="Q499" s="53">
        <f t="shared" si="145"/>
        <v>0.8112476647922888</v>
      </c>
    </row>
    <row r="500" spans="1:17" s="15" customFormat="1" ht="12.75" hidden="1" outlineLevel="2">
      <c r="A500" s="15" t="s">
        <v>1279</v>
      </c>
      <c r="B500" s="15" t="s">
        <v>1280</v>
      </c>
      <c r="C500" s="134" t="s">
        <v>1281</v>
      </c>
      <c r="D500" s="16"/>
      <c r="E500" s="16"/>
      <c r="F500" s="16">
        <v>41278</v>
      </c>
      <c r="G500" s="16">
        <v>40523</v>
      </c>
      <c r="H500" s="16">
        <f t="shared" si="140"/>
        <v>755</v>
      </c>
      <c r="I500" s="53">
        <f t="shared" si="141"/>
        <v>0.018631394516694225</v>
      </c>
      <c r="J500" s="174"/>
      <c r="K500" s="256">
        <v>23301</v>
      </c>
      <c r="L500" s="16">
        <f t="shared" si="142"/>
        <v>17977</v>
      </c>
      <c r="M500" s="53" t="str">
        <f t="shared" si="143"/>
        <v>N.M.</v>
      </c>
      <c r="N500" s="174"/>
      <c r="O500" s="256">
        <v>61</v>
      </c>
      <c r="P500" s="16">
        <f t="shared" si="144"/>
        <v>41217</v>
      </c>
      <c r="Q500" s="53" t="str">
        <f t="shared" si="145"/>
        <v>N.M.</v>
      </c>
    </row>
    <row r="501" spans="1:17" ht="12.75" collapsed="1">
      <c r="A501" s="11" t="s">
        <v>288</v>
      </c>
      <c r="C501" s="128" t="s">
        <v>214</v>
      </c>
      <c r="E501" s="11"/>
      <c r="F501" s="18">
        <v>1523913.52</v>
      </c>
      <c r="G501" s="18">
        <v>3376117.51</v>
      </c>
      <c r="H501" s="51">
        <f t="shared" si="140"/>
        <v>-1852203.9899999998</v>
      </c>
      <c r="I501" s="136">
        <f t="shared" si="141"/>
        <v>-0.5486195265756612</v>
      </c>
      <c r="J501" s="166"/>
      <c r="K501" s="18">
        <v>1534726.38</v>
      </c>
      <c r="L501" s="51">
        <f t="shared" si="142"/>
        <v>-10812.85999999987</v>
      </c>
      <c r="M501" s="136" t="str">
        <f t="shared" si="143"/>
        <v>N.M.</v>
      </c>
      <c r="N501" s="166"/>
      <c r="O501" s="18">
        <v>2302665.6100000003</v>
      </c>
      <c r="P501" s="51">
        <f t="shared" si="144"/>
        <v>-778752.0900000003</v>
      </c>
      <c r="Q501" s="136">
        <f t="shared" si="145"/>
        <v>-0.3381959093921589</v>
      </c>
    </row>
    <row r="502" spans="3:17" ht="0.75" customHeight="1" hidden="1" outlineLevel="1">
      <c r="C502" s="128"/>
      <c r="E502" s="11"/>
      <c r="H502" s="51"/>
      <c r="I502" s="136"/>
      <c r="J502" s="166"/>
      <c r="K502" s="18"/>
      <c r="L502" s="51"/>
      <c r="M502" s="136"/>
      <c r="N502" s="166"/>
      <c r="O502" s="18"/>
      <c r="P502" s="51"/>
      <c r="Q502" s="136"/>
    </row>
    <row r="503" spans="1:17" s="15" customFormat="1" ht="12.75" hidden="1" outlineLevel="2">
      <c r="A503" s="15" t="s">
        <v>1282</v>
      </c>
      <c r="B503" s="15" t="s">
        <v>1283</v>
      </c>
      <c r="C503" s="134" t="s">
        <v>1284</v>
      </c>
      <c r="D503" s="16"/>
      <c r="E503" s="16"/>
      <c r="F503" s="16">
        <v>98705.55</v>
      </c>
      <c r="G503" s="16">
        <v>50431.270000000004</v>
      </c>
      <c r="H503" s="16">
        <f>+F503-G503</f>
        <v>48274.28</v>
      </c>
      <c r="I503" s="53">
        <f>IF(G503&lt;0,IF(H503=0,0,IF(OR(G503=0,F503=0),"N.M.",IF(ABS(H503/G503)&gt;=10,"N.M.",H503/(-G503)))),IF(H503=0,0,IF(OR(G503=0,F503=0),"N.M.",IF(ABS(H503/G503)&gt;=10,"N.M.",H503/G503))))</f>
        <v>0.9572291159830001</v>
      </c>
      <c r="J503" s="174"/>
      <c r="K503" s="256">
        <v>85333.54000000001</v>
      </c>
      <c r="L503" s="16">
        <f>+F503-K503</f>
        <v>13372.009999999995</v>
      </c>
      <c r="M503" s="53" t="str">
        <f>IF(K503&lt;0,IF(L503=0,0,IF(OR(K503=0,N503=0),"N.M.",IF(ABS(L503/K503)&gt;=10,"N.M.",L503/(-K503)))),IF(L503=0,0,IF(OR(K503=0,N503=0),"N.M.",IF(ABS(L503/K503)&gt;=10,"N.M.",L503/K503))))</f>
        <v>N.M.</v>
      </c>
      <c r="N503" s="174"/>
      <c r="O503" s="256">
        <v>93401.81</v>
      </c>
      <c r="P503" s="16">
        <f>+F503-O503</f>
        <v>5303.740000000005</v>
      </c>
      <c r="Q503" s="53">
        <f>IF(O503&lt;0,IF(P503=0,0,IF(OR(O503=0,F503=0),"N.M.",IF(ABS(P503/O503)&gt;=10,"N.M.",P503/(-O503)))),IF(P503=0,0,IF(OR(O503=0,F503=0),"N.M.",IF(ABS(P503/O503)&gt;=10,"N.M.",P503/O503))))</f>
        <v>0.05678412441900221</v>
      </c>
    </row>
    <row r="504" spans="1:17" ht="12.75" collapsed="1">
      <c r="A504" s="11" t="s">
        <v>289</v>
      </c>
      <c r="C504" s="128" t="s">
        <v>215</v>
      </c>
      <c r="E504" s="11"/>
      <c r="F504" s="18">
        <v>98705.55</v>
      </c>
      <c r="G504" s="18">
        <v>50431.270000000004</v>
      </c>
      <c r="H504" s="51">
        <f>+F504-G504</f>
        <v>48274.28</v>
      </c>
      <c r="I504" s="136">
        <f>IF(G504&lt;0,IF(H504=0,0,IF(OR(G504=0,F504=0),"N.M.",IF(ABS(H504/G504)&gt;=10,"N.M.",H504/(-G504)))),IF(H504=0,0,IF(OR(G504=0,F504=0),"N.M.",IF(ABS(H504/G504)&gt;=10,"N.M.",H504/G504))))</f>
        <v>0.9572291159830001</v>
      </c>
      <c r="J504" s="166"/>
      <c r="K504" s="18">
        <v>85333.54000000001</v>
      </c>
      <c r="L504" s="51">
        <f>+F504-K504</f>
        <v>13372.009999999995</v>
      </c>
      <c r="M504" s="136" t="str">
        <f>IF(K504&lt;0,IF(L504=0,0,IF(OR(K504=0,N504=0),"N.M.",IF(ABS(L504/K504)&gt;=10,"N.M.",L504/(-K504)))),IF(L504=0,0,IF(OR(K504=0,N504=0),"N.M.",IF(ABS(L504/K504)&gt;=10,"N.M.",L504/K504))))</f>
        <v>N.M.</v>
      </c>
      <c r="N504" s="166"/>
      <c r="O504" s="18">
        <v>93401.81</v>
      </c>
      <c r="P504" s="51">
        <f>+F504-O504</f>
        <v>5303.740000000005</v>
      </c>
      <c r="Q504" s="136">
        <f>IF(O504&lt;0,IF(P504=0,0,IF(OR(O504=0,F504=0),"N.M.",IF(ABS(P504/O504)&gt;=10,"N.M.",P504/(-O504)))),IF(P504=0,0,IF(OR(O504=0,F504=0),"N.M.",IF(ABS(P504/O504)&gt;=10,"N.M.",P504/O504))))</f>
        <v>0.05678412441900221</v>
      </c>
    </row>
    <row r="505" spans="3:17" ht="0.75" customHeight="1" hidden="1" outlineLevel="1">
      <c r="C505" s="128"/>
      <c r="E505" s="11"/>
      <c r="H505" s="51"/>
      <c r="I505" s="136"/>
      <c r="J505" s="166"/>
      <c r="K505" s="18"/>
      <c r="L505" s="51"/>
      <c r="M505" s="136"/>
      <c r="N505" s="166"/>
      <c r="O505" s="18"/>
      <c r="P505" s="51"/>
      <c r="Q505" s="136"/>
    </row>
    <row r="506" spans="1:17" ht="12.75" collapsed="1">
      <c r="A506" s="11" t="s">
        <v>290</v>
      </c>
      <c r="C506" s="128" t="s">
        <v>216</v>
      </c>
      <c r="E506" s="11"/>
      <c r="F506" s="18">
        <v>0</v>
      </c>
      <c r="G506" s="18">
        <v>0</v>
      </c>
      <c r="H506" s="51">
        <f>+F506-G506</f>
        <v>0</v>
      </c>
      <c r="I506" s="136">
        <f>IF(G506&lt;0,IF(H506=0,0,IF(OR(G506=0,F506=0),"N.M.",IF(ABS(H506/G506)&gt;=10,"N.M.",H506/(-G506)))),IF(H506=0,0,IF(OR(G506=0,F506=0),"N.M.",IF(ABS(H506/G506)&gt;=10,"N.M.",H506/G506))))</f>
        <v>0</v>
      </c>
      <c r="J506" s="166"/>
      <c r="K506" s="18">
        <v>0</v>
      </c>
      <c r="L506" s="51">
        <f>+F506-K506</f>
        <v>0</v>
      </c>
      <c r="M506" s="136">
        <f>IF(K506&lt;0,IF(L506=0,0,IF(OR(K506=0,N506=0),"N.M.",IF(ABS(L506/K506)&gt;=10,"N.M.",L506/(-K506)))),IF(L506=0,0,IF(OR(K506=0,N506=0),"N.M.",IF(ABS(L506/K506)&gt;=10,"N.M.",L506/K506))))</f>
        <v>0</v>
      </c>
      <c r="N506" s="166"/>
      <c r="O506" s="18">
        <v>0</v>
      </c>
      <c r="P506" s="51">
        <f>+F506-O506</f>
        <v>0</v>
      </c>
      <c r="Q506" s="136">
        <f>IF(O506&lt;0,IF(P506=0,0,IF(OR(O506=0,F506=0),"N.M.",IF(ABS(P506/O506)&gt;=10,"N.M.",P506/(-O506)))),IF(P506=0,0,IF(OR(O506=0,F506=0),"N.M.",IF(ABS(P506/O506)&gt;=10,"N.M.",P506/O506))))</f>
        <v>0</v>
      </c>
    </row>
    <row r="507" spans="3:17" ht="0.75" customHeight="1" hidden="1" outlineLevel="1">
      <c r="C507" s="128"/>
      <c r="E507" s="11"/>
      <c r="H507" s="51"/>
      <c r="I507" s="136"/>
      <c r="J507" s="166"/>
      <c r="K507" s="18"/>
      <c r="L507" s="51"/>
      <c r="M507" s="136"/>
      <c r="N507" s="166"/>
      <c r="O507" s="18"/>
      <c r="P507" s="51"/>
      <c r="Q507" s="136"/>
    </row>
    <row r="508" spans="1:17" ht="12.75" collapsed="1">
      <c r="A508" s="11" t="s">
        <v>291</v>
      </c>
      <c r="C508" s="128" t="s">
        <v>217</v>
      </c>
      <c r="E508" s="11"/>
      <c r="F508" s="18">
        <v>0</v>
      </c>
      <c r="G508" s="18">
        <v>0</v>
      </c>
      <c r="H508" s="51">
        <f>+F508-G508</f>
        <v>0</v>
      </c>
      <c r="I508" s="136">
        <f>IF(G508&lt;0,IF(H508=0,0,IF(OR(G508=0,F508=0),"N.M.",IF(ABS(H508/G508)&gt;=10,"N.M.",H508/(-G508)))),IF(H508=0,0,IF(OR(G508=0,F508=0),"N.M.",IF(ABS(H508/G508)&gt;=10,"N.M.",H508/G508))))</f>
        <v>0</v>
      </c>
      <c r="J508" s="166"/>
      <c r="K508" s="18">
        <v>0</v>
      </c>
      <c r="L508" s="51">
        <f>+F508-K508</f>
        <v>0</v>
      </c>
      <c r="M508" s="136">
        <f>IF(K508&lt;0,IF(L508=0,0,IF(OR(K508=0,N508=0),"N.M.",IF(ABS(L508/K508)&gt;=10,"N.M.",L508/(-K508)))),IF(L508=0,0,IF(OR(K508=0,N508=0),"N.M.",IF(ABS(L508/K508)&gt;=10,"N.M.",L508/K508))))</f>
        <v>0</v>
      </c>
      <c r="N508" s="166"/>
      <c r="O508" s="18">
        <v>0</v>
      </c>
      <c r="P508" s="51">
        <f>+F508-O508</f>
        <v>0</v>
      </c>
      <c r="Q508" s="136">
        <f>IF(O508&lt;0,IF(P508=0,0,IF(OR(O508=0,F508=0),"N.M.",IF(ABS(P508/O508)&gt;=10,"N.M.",P508/(-O508)))),IF(P508=0,0,IF(OR(O508=0,F508=0),"N.M.",IF(ABS(P508/O508)&gt;=10,"N.M.",P508/O508))))</f>
        <v>0</v>
      </c>
    </row>
    <row r="509" spans="3:17" ht="0.75" customHeight="1" hidden="1" outlineLevel="1">
      <c r="C509" s="128"/>
      <c r="E509" s="11"/>
      <c r="H509" s="51"/>
      <c r="I509" s="136"/>
      <c r="J509" s="166"/>
      <c r="K509" s="18"/>
      <c r="L509" s="51"/>
      <c r="M509" s="136"/>
      <c r="N509" s="166"/>
      <c r="O509" s="18"/>
      <c r="P509" s="51"/>
      <c r="Q509" s="136"/>
    </row>
    <row r="510" spans="1:17" s="15" customFormat="1" ht="12.75" hidden="1" outlineLevel="2">
      <c r="A510" s="15" t="s">
        <v>1285</v>
      </c>
      <c r="B510" s="15" t="s">
        <v>1286</v>
      </c>
      <c r="C510" s="134" t="s">
        <v>218</v>
      </c>
      <c r="D510" s="16"/>
      <c r="E510" s="16"/>
      <c r="F510" s="16">
        <v>0</v>
      </c>
      <c r="G510" s="16">
        <v>295032.14</v>
      </c>
      <c r="H510" s="16">
        <f aca="true" t="shared" si="146" ref="H510:H519">+F510-G510</f>
        <v>-295032.14</v>
      </c>
      <c r="I510" s="53" t="str">
        <f aca="true" t="shared" si="147" ref="I510:I519">IF(G510&lt;0,IF(H510=0,0,IF(OR(G510=0,F510=0),"N.M.",IF(ABS(H510/G510)&gt;=10,"N.M.",H510/(-G510)))),IF(H510=0,0,IF(OR(G510=0,F510=0),"N.M.",IF(ABS(H510/G510)&gt;=10,"N.M.",H510/G510))))</f>
        <v>N.M.</v>
      </c>
      <c r="J510" s="174"/>
      <c r="K510" s="256">
        <v>0</v>
      </c>
      <c r="L510" s="16">
        <f aca="true" t="shared" si="148" ref="L510:L519">+F510-K510</f>
        <v>0</v>
      </c>
      <c r="M510" s="53">
        <f aca="true" t="shared" si="149" ref="M510:M519">IF(K510&lt;0,IF(L510=0,0,IF(OR(K510=0,N510=0),"N.M.",IF(ABS(L510/K510)&gt;=10,"N.M.",L510/(-K510)))),IF(L510=0,0,IF(OR(K510=0,N510=0),"N.M.",IF(ABS(L510/K510)&gt;=10,"N.M.",L510/K510))))</f>
        <v>0</v>
      </c>
      <c r="N510" s="174"/>
      <c r="O510" s="256">
        <v>14378.39</v>
      </c>
      <c r="P510" s="16">
        <f aca="true" t="shared" si="150" ref="P510:P519">+F510-O510</f>
        <v>-14378.39</v>
      </c>
      <c r="Q510" s="53" t="str">
        <f aca="true" t="shared" si="151" ref="Q510:Q519">IF(O510&lt;0,IF(P510=0,0,IF(OR(O510=0,F510=0),"N.M.",IF(ABS(P510/O510)&gt;=10,"N.M.",P510/(-O510)))),IF(P510=0,0,IF(OR(O510=0,F510=0),"N.M.",IF(ABS(P510/O510)&gt;=10,"N.M.",P510/O510))))</f>
        <v>N.M.</v>
      </c>
    </row>
    <row r="511" spans="1:17" s="15" customFormat="1" ht="12.75" hidden="1" outlineLevel="2">
      <c r="A511" s="15" t="s">
        <v>1287</v>
      </c>
      <c r="B511" s="15" t="s">
        <v>1288</v>
      </c>
      <c r="C511" s="134" t="s">
        <v>1289</v>
      </c>
      <c r="D511" s="16"/>
      <c r="E511" s="16"/>
      <c r="F511" s="16">
        <v>1143485.56</v>
      </c>
      <c r="G511" s="16">
        <v>854587.9</v>
      </c>
      <c r="H511" s="16">
        <f t="shared" si="146"/>
        <v>288897.66000000003</v>
      </c>
      <c r="I511" s="53">
        <f t="shared" si="147"/>
        <v>0.33805493852651086</v>
      </c>
      <c r="J511" s="174"/>
      <c r="K511" s="256">
        <v>875205.22</v>
      </c>
      <c r="L511" s="16">
        <f t="shared" si="148"/>
        <v>268280.3400000001</v>
      </c>
      <c r="M511" s="53" t="str">
        <f t="shared" si="149"/>
        <v>N.M.</v>
      </c>
      <c r="N511" s="174"/>
      <c r="O511" s="256">
        <v>827471.65</v>
      </c>
      <c r="P511" s="16">
        <f t="shared" si="150"/>
        <v>316013.91000000003</v>
      </c>
      <c r="Q511" s="53">
        <f t="shared" si="151"/>
        <v>0.3819030053778882</v>
      </c>
    </row>
    <row r="512" spans="1:17" s="15" customFormat="1" ht="12.75" hidden="1" outlineLevel="2">
      <c r="A512" s="15" t="s">
        <v>1290</v>
      </c>
      <c r="B512" s="15" t="s">
        <v>1291</v>
      </c>
      <c r="C512" s="134" t="s">
        <v>1292</v>
      </c>
      <c r="D512" s="16"/>
      <c r="E512" s="16"/>
      <c r="F512" s="16">
        <v>226874.42</v>
      </c>
      <c r="G512" s="16">
        <v>106240.69</v>
      </c>
      <c r="H512" s="16">
        <f t="shared" si="146"/>
        <v>120633.73000000001</v>
      </c>
      <c r="I512" s="53">
        <f t="shared" si="147"/>
        <v>1.1354757767480614</v>
      </c>
      <c r="J512" s="174"/>
      <c r="K512" s="256">
        <v>250677.97</v>
      </c>
      <c r="L512" s="16">
        <f t="shared" si="148"/>
        <v>-23803.54999999999</v>
      </c>
      <c r="M512" s="53" t="str">
        <f t="shared" si="149"/>
        <v>N.M.</v>
      </c>
      <c r="N512" s="174"/>
      <c r="O512" s="256">
        <v>97251.23</v>
      </c>
      <c r="P512" s="16">
        <f t="shared" si="150"/>
        <v>129623.19000000002</v>
      </c>
      <c r="Q512" s="53">
        <f t="shared" si="151"/>
        <v>1.3328694146079183</v>
      </c>
    </row>
    <row r="513" spans="1:17" s="15" customFormat="1" ht="12.75" hidden="1" outlineLevel="2">
      <c r="A513" s="15" t="s">
        <v>1293</v>
      </c>
      <c r="B513" s="15" t="s">
        <v>1294</v>
      </c>
      <c r="C513" s="134" t="s">
        <v>1295</v>
      </c>
      <c r="D513" s="16"/>
      <c r="E513" s="16"/>
      <c r="F513" s="16">
        <v>249942.23</v>
      </c>
      <c r="G513" s="16">
        <v>241981.46</v>
      </c>
      <c r="H513" s="16">
        <f t="shared" si="146"/>
        <v>7960.770000000019</v>
      </c>
      <c r="I513" s="53">
        <f t="shared" si="147"/>
        <v>0.03289826418933094</v>
      </c>
      <c r="J513" s="174"/>
      <c r="K513" s="256">
        <v>249276.78</v>
      </c>
      <c r="L513" s="16">
        <f t="shared" si="148"/>
        <v>665.4500000000116</v>
      </c>
      <c r="M513" s="53" t="str">
        <f t="shared" si="149"/>
        <v>N.M.</v>
      </c>
      <c r="N513" s="174"/>
      <c r="O513" s="256">
        <v>243963.72</v>
      </c>
      <c r="P513" s="16">
        <f t="shared" si="150"/>
        <v>5978.510000000009</v>
      </c>
      <c r="Q513" s="53">
        <f t="shared" si="151"/>
        <v>0.024505733885349875</v>
      </c>
    </row>
    <row r="514" spans="1:17" s="15" customFormat="1" ht="12.75" hidden="1" outlineLevel="2">
      <c r="A514" s="15" t="s">
        <v>1296</v>
      </c>
      <c r="B514" s="15" t="s">
        <v>1297</v>
      </c>
      <c r="C514" s="134" t="s">
        <v>1298</v>
      </c>
      <c r="D514" s="16"/>
      <c r="E514" s="16"/>
      <c r="F514" s="16">
        <v>168709</v>
      </c>
      <c r="G514" s="16">
        <v>172972</v>
      </c>
      <c r="H514" s="16">
        <f t="shared" si="146"/>
        <v>-4263</v>
      </c>
      <c r="I514" s="53">
        <f t="shared" si="147"/>
        <v>-0.02464560738154152</v>
      </c>
      <c r="J514" s="174"/>
      <c r="K514" s="256">
        <v>169075</v>
      </c>
      <c r="L514" s="16">
        <f t="shared" si="148"/>
        <v>-366</v>
      </c>
      <c r="M514" s="53" t="str">
        <f t="shared" si="149"/>
        <v>N.M.</v>
      </c>
      <c r="N514" s="174"/>
      <c r="O514" s="256">
        <v>172006</v>
      </c>
      <c r="P514" s="16">
        <f t="shared" si="150"/>
        <v>-3297</v>
      </c>
      <c r="Q514" s="53">
        <f t="shared" si="151"/>
        <v>-0.01916793600223248</v>
      </c>
    </row>
    <row r="515" spans="1:17" s="15" customFormat="1" ht="12.75" hidden="1" outlineLevel="2">
      <c r="A515" s="15" t="s">
        <v>1299</v>
      </c>
      <c r="B515" s="15" t="s">
        <v>1300</v>
      </c>
      <c r="C515" s="134" t="s">
        <v>1301</v>
      </c>
      <c r="D515" s="16"/>
      <c r="E515" s="16"/>
      <c r="F515" s="16">
        <v>990617.74</v>
      </c>
      <c r="G515" s="16">
        <v>3445</v>
      </c>
      <c r="H515" s="16">
        <f t="shared" si="146"/>
        <v>987172.74</v>
      </c>
      <c r="I515" s="53" t="str">
        <f t="shared" si="147"/>
        <v>N.M.</v>
      </c>
      <c r="J515" s="174"/>
      <c r="K515" s="256">
        <v>987972.74</v>
      </c>
      <c r="L515" s="16">
        <f t="shared" si="148"/>
        <v>2645</v>
      </c>
      <c r="M515" s="53" t="str">
        <f t="shared" si="149"/>
        <v>N.M.</v>
      </c>
      <c r="N515" s="174"/>
      <c r="O515" s="256">
        <v>1031514.73</v>
      </c>
      <c r="P515" s="16">
        <f t="shared" si="150"/>
        <v>-40896.98999999999</v>
      </c>
      <c r="Q515" s="53">
        <f t="shared" si="151"/>
        <v>-0.0396475094446785</v>
      </c>
    </row>
    <row r="516" spans="1:17" s="15" customFormat="1" ht="12.75" hidden="1" outlineLevel="2">
      <c r="A516" s="15" t="s">
        <v>1302</v>
      </c>
      <c r="B516" s="15" t="s">
        <v>1303</v>
      </c>
      <c r="C516" s="134" t="s">
        <v>1304</v>
      </c>
      <c r="D516" s="16"/>
      <c r="E516" s="16"/>
      <c r="F516" s="16">
        <v>211848.02000000002</v>
      </c>
      <c r="G516" s="16">
        <v>468849.52</v>
      </c>
      <c r="H516" s="16">
        <f t="shared" si="146"/>
        <v>-257001.5</v>
      </c>
      <c r="I516" s="53">
        <f t="shared" si="147"/>
        <v>-0.5481534885649451</v>
      </c>
      <c r="J516" s="174"/>
      <c r="K516" s="256">
        <v>309624.02</v>
      </c>
      <c r="L516" s="16">
        <f t="shared" si="148"/>
        <v>-97776</v>
      </c>
      <c r="M516" s="53" t="str">
        <f t="shared" si="149"/>
        <v>N.M.</v>
      </c>
      <c r="N516" s="174"/>
      <c r="O516" s="256">
        <v>325920.02</v>
      </c>
      <c r="P516" s="16">
        <f t="shared" si="150"/>
        <v>-114072</v>
      </c>
      <c r="Q516" s="53">
        <f t="shared" si="151"/>
        <v>-0.34999997852233805</v>
      </c>
    </row>
    <row r="517" spans="1:17" s="15" customFormat="1" ht="12.75" hidden="1" outlineLevel="2">
      <c r="A517" s="15" t="s">
        <v>1305</v>
      </c>
      <c r="B517" s="15" t="s">
        <v>1306</v>
      </c>
      <c r="C517" s="134" t="s">
        <v>1307</v>
      </c>
      <c r="D517" s="16"/>
      <c r="E517" s="16"/>
      <c r="F517" s="16">
        <v>1211841.8900000001</v>
      </c>
      <c r="G517" s="16">
        <v>1425492.6</v>
      </c>
      <c r="H517" s="16">
        <f t="shared" si="146"/>
        <v>-213650.70999999996</v>
      </c>
      <c r="I517" s="53">
        <f t="shared" si="147"/>
        <v>-0.14987851217186252</v>
      </c>
      <c r="J517" s="174"/>
      <c r="K517" s="256">
        <v>1219514.49</v>
      </c>
      <c r="L517" s="16">
        <f t="shared" si="148"/>
        <v>-7672.59999999986</v>
      </c>
      <c r="M517" s="53" t="str">
        <f t="shared" si="149"/>
        <v>N.M.</v>
      </c>
      <c r="N517" s="174"/>
      <c r="O517" s="256">
        <v>1425492.6</v>
      </c>
      <c r="P517" s="16">
        <f t="shared" si="150"/>
        <v>-213650.70999999996</v>
      </c>
      <c r="Q517" s="53">
        <f t="shared" si="151"/>
        <v>-0.14987851217186252</v>
      </c>
    </row>
    <row r="518" spans="1:17" s="15" customFormat="1" ht="12.75" hidden="1" outlineLevel="2">
      <c r="A518" s="15" t="s">
        <v>1308</v>
      </c>
      <c r="B518" s="15" t="s">
        <v>1309</v>
      </c>
      <c r="C518" s="134" t="s">
        <v>1310</v>
      </c>
      <c r="D518" s="16"/>
      <c r="E518" s="16"/>
      <c r="F518" s="16">
        <v>133674.17</v>
      </c>
      <c r="G518" s="16">
        <v>147229.97</v>
      </c>
      <c r="H518" s="16">
        <f t="shared" si="146"/>
        <v>-13555.799999999988</v>
      </c>
      <c r="I518" s="53">
        <f t="shared" si="147"/>
        <v>-0.09207228664109617</v>
      </c>
      <c r="J518" s="174"/>
      <c r="K518" s="256">
        <v>134803.82</v>
      </c>
      <c r="L518" s="16">
        <f t="shared" si="148"/>
        <v>-1129.6499999999942</v>
      </c>
      <c r="M518" s="53" t="str">
        <f t="shared" si="149"/>
        <v>N.M.</v>
      </c>
      <c r="N518" s="174"/>
      <c r="O518" s="256">
        <v>143841.02</v>
      </c>
      <c r="P518" s="16">
        <f t="shared" si="150"/>
        <v>-10166.849999999977</v>
      </c>
      <c r="Q518" s="53">
        <f t="shared" si="151"/>
        <v>-0.07068115896286037</v>
      </c>
    </row>
    <row r="519" spans="1:17" s="15" customFormat="1" ht="12.75" hidden="1" outlineLevel="2">
      <c r="A519" s="15" t="s">
        <v>1311</v>
      </c>
      <c r="B519" s="15" t="s">
        <v>1312</v>
      </c>
      <c r="C519" s="134" t="s">
        <v>1313</v>
      </c>
      <c r="D519" s="16"/>
      <c r="E519" s="16"/>
      <c r="F519" s="16">
        <v>0</v>
      </c>
      <c r="G519" s="16">
        <v>333340</v>
      </c>
      <c r="H519" s="16">
        <f t="shared" si="146"/>
        <v>-333340</v>
      </c>
      <c r="I519" s="53" t="str">
        <f t="shared" si="147"/>
        <v>N.M.</v>
      </c>
      <c r="J519" s="174"/>
      <c r="K519" s="256">
        <v>0</v>
      </c>
      <c r="L519" s="16">
        <f t="shared" si="148"/>
        <v>0</v>
      </c>
      <c r="M519" s="53">
        <f t="shared" si="149"/>
        <v>0</v>
      </c>
      <c r="N519" s="174"/>
      <c r="O519" s="256">
        <v>0</v>
      </c>
      <c r="P519" s="16">
        <f t="shared" si="150"/>
        <v>0</v>
      </c>
      <c r="Q519" s="53">
        <f t="shared" si="151"/>
        <v>0</v>
      </c>
    </row>
    <row r="520" spans="1:17" ht="12.75" collapsed="1">
      <c r="A520" s="11" t="s">
        <v>292</v>
      </c>
      <c r="C520" s="129" t="s">
        <v>218</v>
      </c>
      <c r="E520" s="11"/>
      <c r="F520" s="235">
        <v>4336993.03</v>
      </c>
      <c r="G520" s="235">
        <v>4049171.2800000003</v>
      </c>
      <c r="H520" s="197">
        <f>+F520-G520</f>
        <v>287821.75</v>
      </c>
      <c r="I520" s="138">
        <f>IF(G520&lt;0,IF(H520=0,0,IF(OR(G520=0,F520=0),"N.M.",IF(ABS(H520/G520)&gt;=10,"N.M.",H520/(-G520)))),IF(H520=0,0,IF(OR(G520=0,F520=0),"N.M.",IF(ABS(H520/G520)&gt;=10,"N.M.",H520/G520))))</f>
        <v>0.07108164364931482</v>
      </c>
      <c r="J520" s="166"/>
      <c r="K520" s="235">
        <v>4196150.04</v>
      </c>
      <c r="L520" s="197">
        <f>+F520-K520</f>
        <v>140842.99000000022</v>
      </c>
      <c r="M520" s="138" t="str">
        <f>IF(K520&lt;0,IF(L520=0,0,IF(OR(K520=0,N520=0),"N.M.",IF(ABS(L520/K520)&gt;=10,"N.M.",L520/(-K520)))),IF(L520=0,0,IF(OR(K520=0,N520=0),"N.M.",IF(ABS(L520/K520)&gt;=10,"N.M.",L520/K520))))</f>
        <v>N.M.</v>
      </c>
      <c r="N520" s="166"/>
      <c r="O520" s="235">
        <v>4281839.359999999</v>
      </c>
      <c r="P520" s="197">
        <f>+F520-O520</f>
        <v>55153.67000000086</v>
      </c>
      <c r="Q520" s="138">
        <f>IF(O520&lt;0,IF(P520=0,0,IF(OR(O520=0,F520=0),"N.M.",IF(ABS(P520/O520)&gt;=10,"N.M.",P520/(-O520)))),IF(P520=0,0,IF(OR(O520=0,F520=0),"N.M.",IF(ABS(P520/O520)&gt;=10,"N.M.",P520/O520))))</f>
        <v>0.012880835865827733</v>
      </c>
    </row>
    <row r="521" spans="1:17" s="13" customFormat="1" ht="12.75">
      <c r="A521" s="13" t="s">
        <v>293</v>
      </c>
      <c r="C521" s="130" t="s">
        <v>219</v>
      </c>
      <c r="D521" s="33"/>
      <c r="F521" s="236">
        <v>5959612.100000001</v>
      </c>
      <c r="G521" s="236">
        <v>7475720.06</v>
      </c>
      <c r="H521" s="245">
        <f>+F521-G521</f>
        <v>-1516107.959999999</v>
      </c>
      <c r="I521" s="145">
        <f>IF(G521&lt;0,IF(H521=0,0,IF(OR(G521=0,F521=0),"N.M.",IF(ABS(H521/G521)&gt;=10,"N.M.",H521/(-G521)))),IF(H521=0,0,IF(OR(G521=0,F521=0),"N.M.",IF(ABS(H521/G521)&gt;=10,"N.M.",H521/G521))))</f>
        <v>-0.2028042714055292</v>
      </c>
      <c r="J521" s="168"/>
      <c r="K521" s="236">
        <v>5816209.96</v>
      </c>
      <c r="L521" s="245">
        <f>+F521-K521</f>
        <v>143402.1400000006</v>
      </c>
      <c r="M521" s="145" t="str">
        <f>IF(K521&lt;0,IF(L521=0,0,IF(OR(K521=0,N521=0),"N.M.",IF(ABS(L521/K521)&gt;=10,"N.M.",L521/(-K521)))),IF(L521=0,0,IF(OR(K521=0,N521=0),"N.M.",IF(ABS(L521/K521)&gt;=10,"N.M.",L521/K521))))</f>
        <v>N.M.</v>
      </c>
      <c r="N521" s="168"/>
      <c r="O521" s="236">
        <v>6677906.78</v>
      </c>
      <c r="P521" s="245">
        <f>+F521-O521</f>
        <v>-718294.6799999997</v>
      </c>
      <c r="Q521" s="145">
        <f>IF(O521&lt;0,IF(P521=0,0,IF(OR(O521=0,F521=0),"N.M.",IF(ABS(P521/O521)&gt;=10,"N.M.",P521/(-O521)))),IF(P521=0,0,IF(OR(O521=0,F521=0),"N.M.",IF(ABS(P521/O521)&gt;=10,"N.M.",P521/O521))))</f>
        <v>-0.10756284920766739</v>
      </c>
    </row>
    <row r="522" spans="1:17" s="107" customFormat="1" ht="12" customHeight="1">
      <c r="A522" s="107" t="s">
        <v>294</v>
      </c>
      <c r="C522" s="119" t="s">
        <v>344</v>
      </c>
      <c r="D522" s="108"/>
      <c r="F522" s="108">
        <v>376897624.91999996</v>
      </c>
      <c r="G522" s="108">
        <v>363720869.84</v>
      </c>
      <c r="H522" s="51">
        <f>+F522-G522</f>
        <v>13176755.079999983</v>
      </c>
      <c r="I522" s="136">
        <f>IF(G522&lt;0,IF(H522=0,0,IF(OR(G522=0,F522=0),"N.M.",IF(ABS(H522/G522)&gt;=10,"N.M.",H522/(-G522)))),IF(H522=0,0,IF(OR(G522=0,F522=0),"N.M.",IF(ABS(H522/G522)&gt;=10,"N.M.",H522/G522))))</f>
        <v>0.03622765745005616</v>
      </c>
      <c r="J522" s="171"/>
      <c r="K522" s="108">
        <v>375945027.74</v>
      </c>
      <c r="L522" s="51">
        <f>+F522-K522</f>
        <v>952597.1799999475</v>
      </c>
      <c r="M522" s="136" t="str">
        <f>IF(K522&lt;0,IF(L522=0,0,IF(OR(K522=0,N522=0),"N.M.",IF(ABS(L522/K522)&gt;=10,"N.M.",L522/(-K522)))),IF(L522=0,0,IF(OR(K522=0,N522=0),"N.M.",IF(ABS(L522/K522)&gt;=10,"N.M.",L522/K522))))</f>
        <v>N.M.</v>
      </c>
      <c r="N522" s="171"/>
      <c r="O522" s="108">
        <v>370684451.6</v>
      </c>
      <c r="P522" s="51">
        <f>+F522-O522</f>
        <v>6213173.319999933</v>
      </c>
      <c r="Q522" s="136">
        <f>IF(O522&lt;0,IF(P522=0,0,IF(OR(O522=0,F522=0),"N.M.",IF(ABS(P522/O522)&gt;=10,"N.M.",P522/(-O522)))),IF(P522=0,0,IF(OR(O522=0,F522=0),"N.M.",IF(ABS(P522/O522)&gt;=10,"N.M.",P522/O522))))</f>
        <v>0.01676135401196831</v>
      </c>
    </row>
    <row r="523" spans="3:17" ht="12" customHeight="1">
      <c r="C523" s="127"/>
      <c r="D523" s="106"/>
      <c r="E523" s="104"/>
      <c r="F523" s="233" t="str">
        <f>IF(ABS(+F474+F477+F493+F501+F504+F506+F508+F520-F522)&gt;$C$576,$J$181," ")</f>
        <v> </v>
      </c>
      <c r="G523" s="233" t="str">
        <f>IF(ABS(+G474+G477+G493+G501+G504+G506+G508+G520-G522)&gt;$C$576,$J$181," ")</f>
        <v> </v>
      </c>
      <c r="H523" s="233" t="str">
        <f>IF(ABS(+H474+H477+H493+H501+H504+H506+H508+H520-H522)&gt;$C$576,$J$181," ")</f>
        <v> </v>
      </c>
      <c r="I523" s="141"/>
      <c r="J523" s="166"/>
      <c r="K523" s="233" t="str">
        <f>IF(ABS(+K474+K477+K493+K501+K504+K506+K508+K520-K522)&gt;$C$576,$J$181," ")</f>
        <v> </v>
      </c>
      <c r="L523" s="233" t="str">
        <f>IF(ABS(+L474+L477+L493+L501+L504+L506+L508+L520-L522)&gt;$C$576,$J$181," ")</f>
        <v> </v>
      </c>
      <c r="M523" s="141"/>
      <c r="N523" s="166"/>
      <c r="O523" s="233" t="str">
        <f>IF(ABS(+O474+O477+O493+O501+O504+O506+O508+O520-O522)&gt;$C$576,$J$181," ")</f>
        <v> </v>
      </c>
      <c r="P523" s="233" t="str">
        <f>IF(ABS(+P474+P477+P493+P501+P504+P506+P508+P520-P522)&gt;$C$576,$J$181," ")</f>
        <v> </v>
      </c>
      <c r="Q523" s="141"/>
    </row>
    <row r="524" spans="1:17" s="107" customFormat="1" ht="13.5" thickBot="1">
      <c r="A524" s="107" t="s">
        <v>295</v>
      </c>
      <c r="C524" s="116" t="s">
        <v>221</v>
      </c>
      <c r="D524" s="108"/>
      <c r="F524" s="237">
        <v>1559922980.2879994</v>
      </c>
      <c r="G524" s="237">
        <v>1493661052.7710006</v>
      </c>
      <c r="H524" s="246">
        <f>+F524-G524</f>
        <v>66261927.51699877</v>
      </c>
      <c r="I524" s="146">
        <f>IF(G524&lt;0,IF(H524=0,0,IF(OR(G524=0,F524=0),"N.M.",IF(ABS(H524/G524)&gt;=10,"N.M.",H524/(-G524)))),IF(H524=0,0,IF(OR(G524=0,F524=0),"N.M.",IF(ABS(H524/G524)&gt;=10,"N.M.",H524/G524))))</f>
        <v>0.04436209098046132</v>
      </c>
      <c r="J524" s="171"/>
      <c r="K524" s="237">
        <v>1580767961.8659992</v>
      </c>
      <c r="L524" s="246">
        <f>+F524-K524</f>
        <v>-20844981.57799983</v>
      </c>
      <c r="M524" s="146" t="str">
        <f>IF(K524&lt;0,IF(L524=0,0,IF(OR(K524=0,N524=0),"N.M.",IF(ABS(L524/K524)&gt;=10,"N.M.",L524/(-K524)))),IF(L524=0,0,IF(OR(K524=0,N524=0),"N.M.",IF(ABS(L524/K524)&gt;=10,"N.M.",L524/K524))))</f>
        <v>N.M.</v>
      </c>
      <c r="N524" s="171"/>
      <c r="O524" s="237">
        <v>1573464080.4779997</v>
      </c>
      <c r="P524" s="246">
        <f>+F524-O524</f>
        <v>-13541100.190000296</v>
      </c>
      <c r="Q524" s="146">
        <f>IF(O524&lt;0,IF(P524=0,0,IF(OR(O524=0,F524=0),"N.M.",IF(ABS(P524/O524)&gt;=10,"N.M.",P524/(-O524)))),IF(P524=0,0,IF(OR(O524=0,F524=0),"N.M.",IF(ABS(P524/O524)&gt;=10,"N.M.",P524/O524))))</f>
        <v>-0.00860591630784903</v>
      </c>
    </row>
    <row r="525" spans="4:17" ht="12" customHeight="1" thickTop="1">
      <c r="D525" s="106"/>
      <c r="E525" s="107"/>
      <c r="F525" s="233" t="str">
        <f>IF(ABS(+F275+F298+F461+F522-F524)&gt;$C$576,$J$181," ")</f>
        <v> </v>
      </c>
      <c r="G525" s="233" t="str">
        <f>IF(ABS(+G275+G298+G461+G522-G524)&gt;$C$576,$J$181," ")</f>
        <v> </v>
      </c>
      <c r="H525" s="233" t="str">
        <f>IF(ABS(+H275+H298+H461+H522-H524)&gt;$C$576,$J$181," ")</f>
        <v> </v>
      </c>
      <c r="I525" s="141"/>
      <c r="J525" s="175"/>
      <c r="K525" s="233" t="str">
        <f>IF(ABS(+K275+K298+K461+K522-K524)&gt;$C$576,$J$181," ")</f>
        <v> </v>
      </c>
      <c r="L525" s="233" t="str">
        <f>IF(ABS(+L275+L298+L461+L522-L524)&gt;$C$576,$J$181," ")</f>
        <v> </v>
      </c>
      <c r="M525" s="141"/>
      <c r="N525" s="175"/>
      <c r="O525" s="233" t="str">
        <f>IF(ABS(+O275+O298+O461+O522-O524)&gt;$C$576,$J$181," ")</f>
        <v> </v>
      </c>
      <c r="P525" s="233" t="str">
        <f>IF(ABS(+P275+P298+P461+P522-P524)&gt;$C$576,$J$181," ")</f>
        <v> </v>
      </c>
      <c r="Q525" s="141"/>
    </row>
    <row r="526" spans="4:17" ht="12" customHeight="1">
      <c r="D526" s="106"/>
      <c r="E526" s="107"/>
      <c r="F526" s="233"/>
      <c r="G526" s="233"/>
      <c r="H526" s="233"/>
      <c r="I526" s="141"/>
      <c r="J526" s="175"/>
      <c r="K526" s="233"/>
      <c r="L526" s="233"/>
      <c r="M526" s="141"/>
      <c r="N526" s="175"/>
      <c r="O526" s="233"/>
      <c r="P526" s="233"/>
      <c r="Q526" s="141"/>
    </row>
    <row r="527" spans="3:17" s="63" customFormat="1" ht="12.75">
      <c r="C527" s="62" t="s">
        <v>305</v>
      </c>
      <c r="D527" s="64"/>
      <c r="E527" s="64"/>
      <c r="F527" s="231"/>
      <c r="G527" s="231"/>
      <c r="H527" s="244"/>
      <c r="I527" s="65"/>
      <c r="J527" s="158"/>
      <c r="K527" s="231"/>
      <c r="L527" s="244"/>
      <c r="M527" s="65"/>
      <c r="N527" s="158"/>
      <c r="O527" s="231"/>
      <c r="P527" s="244"/>
      <c r="Q527" s="65"/>
    </row>
    <row r="528" spans="4:17" ht="12" customHeight="1">
      <c r="D528" s="106"/>
      <c r="E528" s="107"/>
      <c r="F528" s="233"/>
      <c r="G528" s="233"/>
      <c r="H528" s="233"/>
      <c r="I528" s="141"/>
      <c r="J528" s="175"/>
      <c r="K528" s="233"/>
      <c r="L528" s="233"/>
      <c r="M528" s="141"/>
      <c r="N528" s="175"/>
      <c r="O528" s="233"/>
      <c r="P528" s="233"/>
      <c r="Q528" s="141"/>
    </row>
    <row r="529" spans="1:17" s="15" customFormat="1" ht="12.75" hidden="1" outlineLevel="1">
      <c r="A529" s="15" t="s">
        <v>1314</v>
      </c>
      <c r="B529" s="15" t="s">
        <v>1315</v>
      </c>
      <c r="C529" s="134" t="s">
        <v>1316</v>
      </c>
      <c r="D529" s="16"/>
      <c r="E529" s="16"/>
      <c r="F529" s="16">
        <v>0</v>
      </c>
      <c r="G529" s="16">
        <v>0</v>
      </c>
      <c r="H529" s="16">
        <f>+F529-G529</f>
        <v>0</v>
      </c>
      <c r="I529" s="53"/>
      <c r="J529" s="174"/>
      <c r="K529" s="256">
        <v>157466514.063</v>
      </c>
      <c r="L529" s="16"/>
      <c r="M529" s="53"/>
      <c r="N529" s="174"/>
      <c r="O529" s="256">
        <v>0</v>
      </c>
      <c r="P529" s="16">
        <f>+F529-O529</f>
        <v>0</v>
      </c>
      <c r="Q529" s="53"/>
    </row>
    <row r="530" spans="1:17" s="15" customFormat="1" ht="12.75" hidden="1" outlineLevel="1">
      <c r="A530" s="15" t="s">
        <v>1317</v>
      </c>
      <c r="B530" s="15" t="s">
        <v>1318</v>
      </c>
      <c r="C530" s="134" t="s">
        <v>1319</v>
      </c>
      <c r="D530" s="16"/>
      <c r="E530" s="16"/>
      <c r="F530" s="16">
        <v>0</v>
      </c>
      <c r="G530" s="16">
        <v>0</v>
      </c>
      <c r="H530" s="16">
        <f>+F530-G530</f>
        <v>0</v>
      </c>
      <c r="I530" s="53"/>
      <c r="J530" s="174"/>
      <c r="K530" s="256">
        <v>-18000000</v>
      </c>
      <c r="L530" s="16"/>
      <c r="M530" s="53"/>
      <c r="N530" s="174"/>
      <c r="O530" s="256">
        <v>0</v>
      </c>
      <c r="P530" s="16">
        <f>+F530-O530</f>
        <v>0</v>
      </c>
      <c r="Q530" s="53"/>
    </row>
    <row r="531" spans="1:17" ht="12" customHeight="1" collapsed="1">
      <c r="A531" s="11" t="s">
        <v>340</v>
      </c>
      <c r="B531" s="178"/>
      <c r="C531" s="13" t="s">
        <v>296</v>
      </c>
      <c r="D531" s="11"/>
      <c r="E531" s="179"/>
      <c r="F531" s="179">
        <v>157466514.06299987</v>
      </c>
      <c r="G531" s="179">
        <v>143184638.962</v>
      </c>
      <c r="H531" s="247">
        <f>+F531-G531</f>
        <v>14281875.100999862</v>
      </c>
      <c r="I531" s="141"/>
      <c r="J531" s="175"/>
      <c r="K531" s="262">
        <v>139466514.063</v>
      </c>
      <c r="L531" s="263"/>
      <c r="M531" s="141"/>
      <c r="N531" s="175"/>
      <c r="O531" s="179">
        <v>143184638.962</v>
      </c>
      <c r="P531" s="247">
        <f>+F531-O531</f>
        <v>14281875.100999862</v>
      </c>
      <c r="Q531" s="141"/>
    </row>
    <row r="532" spans="1:17" ht="12" customHeight="1">
      <c r="A532" s="11" t="s">
        <v>319</v>
      </c>
      <c r="B532" s="178"/>
      <c r="C532" s="126" t="s">
        <v>308</v>
      </c>
      <c r="D532" s="11"/>
      <c r="E532" s="180"/>
      <c r="F532" s="18">
        <v>32194743.68499994</v>
      </c>
      <c r="G532" s="18">
        <v>18391223.914999913</v>
      </c>
      <c r="H532" s="51">
        <f>+F532-G532</f>
        <v>13803519.770000026</v>
      </c>
      <c r="I532" s="141"/>
      <c r="J532" s="175"/>
      <c r="K532" s="264">
        <v>28009181.218999993</v>
      </c>
      <c r="L532" s="265"/>
      <c r="M532" s="141"/>
      <c r="N532" s="175"/>
      <c r="O532" s="18">
        <v>35281875.101</v>
      </c>
      <c r="P532" s="51">
        <f>+F532-O532</f>
        <v>-3087131.4160000645</v>
      </c>
      <c r="Q532" s="141"/>
    </row>
    <row r="533" spans="2:17" ht="12" customHeight="1">
      <c r="B533" s="178"/>
      <c r="C533" s="187" t="s">
        <v>324</v>
      </c>
      <c r="D533" s="11"/>
      <c r="E533" s="180"/>
      <c r="H533" s="233"/>
      <c r="I533" s="141"/>
      <c r="J533" s="175"/>
      <c r="K533" s="264"/>
      <c r="L533" s="266"/>
      <c r="M533" s="141"/>
      <c r="N533" s="175"/>
      <c r="O533" s="18"/>
      <c r="P533" s="233"/>
      <c r="Q533" s="141"/>
    </row>
    <row r="534" spans="2:17" ht="1.5" customHeight="1" hidden="1" outlineLevel="1">
      <c r="B534" s="178"/>
      <c r="C534" s="187"/>
      <c r="D534" s="11"/>
      <c r="E534" s="180"/>
      <c r="H534" s="248"/>
      <c r="I534" s="199"/>
      <c r="J534" s="204"/>
      <c r="K534" s="264"/>
      <c r="L534" s="267"/>
      <c r="M534" s="199"/>
      <c r="N534" s="204"/>
      <c r="O534" s="18"/>
      <c r="P534" s="248"/>
      <c r="Q534" s="199"/>
    </row>
    <row r="535" spans="1:17" s="15" customFormat="1" ht="12.75" hidden="1" outlineLevel="2">
      <c r="A535" s="15" t="s">
        <v>1317</v>
      </c>
      <c r="B535" s="15" t="s">
        <v>1318</v>
      </c>
      <c r="C535" s="134" t="s">
        <v>1319</v>
      </c>
      <c r="D535" s="16"/>
      <c r="E535" s="16"/>
      <c r="F535" s="16">
        <v>-18000000</v>
      </c>
      <c r="G535" s="16">
        <v>0</v>
      </c>
      <c r="H535" s="16">
        <f>+F535-G535</f>
        <v>-18000000</v>
      </c>
      <c r="I535" s="53"/>
      <c r="J535" s="174"/>
      <c r="K535" s="256">
        <v>-18000000</v>
      </c>
      <c r="L535" s="16"/>
      <c r="M535" s="53"/>
      <c r="N535" s="174"/>
      <c r="O535" s="256">
        <v>0</v>
      </c>
      <c r="P535" s="16">
        <f>+F535-O535</f>
        <v>-18000000</v>
      </c>
      <c r="Q535" s="53"/>
    </row>
    <row r="536" spans="1:17" ht="12" customHeight="1" collapsed="1">
      <c r="A536" s="11" t="s">
        <v>320</v>
      </c>
      <c r="B536" s="178"/>
      <c r="C536" s="202" t="s">
        <v>307</v>
      </c>
      <c r="D536" s="11"/>
      <c r="E536" s="180"/>
      <c r="F536" s="18">
        <v>-18000000</v>
      </c>
      <c r="G536" s="18">
        <v>-15000000</v>
      </c>
      <c r="H536" s="247">
        <f>+F536-G536</f>
        <v>-3000000</v>
      </c>
      <c r="I536" s="199"/>
      <c r="J536" s="200"/>
      <c r="K536" s="264">
        <v>-18000000</v>
      </c>
      <c r="L536" s="263"/>
      <c r="M536" s="199"/>
      <c r="N536" s="200"/>
      <c r="O536" s="118">
        <v>-21000000</v>
      </c>
      <c r="P536" s="247">
        <f>+F536-O536</f>
        <v>3000000</v>
      </c>
      <c r="Q536" s="199"/>
    </row>
    <row r="537" spans="2:17" ht="0.75" customHeight="1" hidden="1" outlineLevel="1">
      <c r="B537" s="178"/>
      <c r="C537" s="202"/>
      <c r="D537" s="11"/>
      <c r="E537" s="180"/>
      <c r="H537" s="247"/>
      <c r="I537" s="199"/>
      <c r="J537" s="200"/>
      <c r="K537" s="264"/>
      <c r="L537" s="263"/>
      <c r="M537" s="199"/>
      <c r="N537" s="200"/>
      <c r="O537" s="117"/>
      <c r="P537" s="247"/>
      <c r="Q537" s="199"/>
    </row>
    <row r="538" spans="1:17" ht="12" customHeight="1" collapsed="1">
      <c r="A538" s="11" t="s">
        <v>321</v>
      </c>
      <c r="B538" s="178"/>
      <c r="C538" s="202" t="s">
        <v>306</v>
      </c>
      <c r="D538" s="11"/>
      <c r="E538" s="180"/>
      <c r="F538" s="180">
        <v>0</v>
      </c>
      <c r="G538" s="18">
        <v>0</v>
      </c>
      <c r="H538" s="247">
        <f>+F538-G538</f>
        <v>0</v>
      </c>
      <c r="I538" s="199"/>
      <c r="J538" s="200"/>
      <c r="K538" s="268">
        <v>0</v>
      </c>
      <c r="L538" s="263"/>
      <c r="M538" s="199"/>
      <c r="N538" s="200"/>
      <c r="O538" s="118">
        <v>0</v>
      </c>
      <c r="P538" s="247">
        <f>+F538-O538</f>
        <v>0</v>
      </c>
      <c r="Q538" s="199"/>
    </row>
    <row r="539" spans="2:17" ht="3" customHeight="1" hidden="1" outlineLevel="2">
      <c r="B539" s="178"/>
      <c r="C539" s="126"/>
      <c r="D539" s="11"/>
      <c r="E539" s="180"/>
      <c r="F539" s="180"/>
      <c r="G539" s="260"/>
      <c r="H539" s="249"/>
      <c r="I539" s="199"/>
      <c r="J539" s="200"/>
      <c r="K539" s="268"/>
      <c r="L539" s="269"/>
      <c r="M539" s="199"/>
      <c r="N539" s="200"/>
      <c r="O539" s="260"/>
      <c r="P539" s="249"/>
      <c r="Q539" s="199"/>
    </row>
    <row r="540" spans="1:17" ht="12" customHeight="1" collapsed="1">
      <c r="A540" s="1" t="s">
        <v>345</v>
      </c>
      <c r="B540" s="102"/>
      <c r="C540" s="203" t="s">
        <v>326</v>
      </c>
      <c r="D540" s="1"/>
      <c r="E540" s="181"/>
      <c r="F540" s="180">
        <f>+F542-F536-F538</f>
        <v>1.825392246246338E-07</v>
      </c>
      <c r="G540" s="180">
        <f>+G542-G536-G538</f>
        <v>1.0803341865539551E-07</v>
      </c>
      <c r="H540" s="247">
        <f>+F540-G540</f>
        <v>7.450580596923828E-08</v>
      </c>
      <c r="I540" s="199"/>
      <c r="J540" s="200"/>
      <c r="K540" s="270"/>
      <c r="L540" s="263"/>
      <c r="M540" s="199"/>
      <c r="N540" s="200"/>
      <c r="O540" s="180">
        <f>+O542-O536-O538</f>
        <v>-1.4156103134155273E-07</v>
      </c>
      <c r="P540" s="247">
        <f>+F540-O540</f>
        <v>3.241002559661865E-07</v>
      </c>
      <c r="Q540" s="199"/>
    </row>
    <row r="541" spans="1:17" ht="6" customHeight="1">
      <c r="A541" s="1"/>
      <c r="B541" s="102"/>
      <c r="C541" s="96"/>
      <c r="D541" s="196"/>
      <c r="E541" s="205"/>
      <c r="F541" s="214"/>
      <c r="G541" s="261"/>
      <c r="H541" s="250"/>
      <c r="I541" s="206"/>
      <c r="J541" s="132"/>
      <c r="K541" s="271"/>
      <c r="L541" s="272"/>
      <c r="M541" s="206"/>
      <c r="N541" s="132"/>
      <c r="O541" s="261"/>
      <c r="P541" s="250"/>
      <c r="Q541" s="206"/>
    </row>
    <row r="542" spans="1:17" ht="12" customHeight="1">
      <c r="A542" s="217" t="s">
        <v>328</v>
      </c>
      <c r="B542" s="102"/>
      <c r="C542" s="188" t="s">
        <v>325</v>
      </c>
      <c r="D542" s="1"/>
      <c r="E542" s="182"/>
      <c r="F542" s="238">
        <f>+F544-F531-F532</f>
        <v>-17999999.999999817</v>
      </c>
      <c r="G542" s="238">
        <f>+G544-G531-G532</f>
        <v>-14999999.999999892</v>
      </c>
      <c r="H542" s="247">
        <f>+H544-H531-H532</f>
        <v>-2999999.9999999255</v>
      </c>
      <c r="I542" s="199"/>
      <c r="J542" s="204"/>
      <c r="K542" s="273"/>
      <c r="L542" s="263"/>
      <c r="M542" s="199"/>
      <c r="N542" s="204"/>
      <c r="O542" s="238">
        <f>+O544-O531-O532</f>
        <v>-21000000.00000014</v>
      </c>
      <c r="P542" s="247">
        <f>+P544-P531-P532</f>
        <v>3000000.000000324</v>
      </c>
      <c r="Q542" s="199"/>
    </row>
    <row r="543" spans="1:17" ht="12" customHeight="1">
      <c r="A543" s="1"/>
      <c r="B543" s="102"/>
      <c r="C543" s="1"/>
      <c r="D543" s="1"/>
      <c r="E543" s="181"/>
      <c r="F543" s="239"/>
      <c r="G543" s="239"/>
      <c r="H543" s="248"/>
      <c r="I543" s="199"/>
      <c r="J543" s="204"/>
      <c r="K543" s="274"/>
      <c r="L543" s="267"/>
      <c r="M543" s="199"/>
      <c r="N543" s="204"/>
      <c r="O543" s="239"/>
      <c r="P543" s="248"/>
      <c r="Q543" s="199"/>
    </row>
    <row r="544" spans="1:17" ht="12" customHeight="1">
      <c r="A544" s="1" t="s">
        <v>244</v>
      </c>
      <c r="B544" s="183"/>
      <c r="C544" s="183" t="s">
        <v>297</v>
      </c>
      <c r="D544" s="32"/>
      <c r="E544" s="182"/>
      <c r="F544" s="212">
        <v>171661257.748</v>
      </c>
      <c r="G544" s="212">
        <v>146575862.87700003</v>
      </c>
      <c r="H544" s="247">
        <f>+F544-G544</f>
        <v>25085394.870999962</v>
      </c>
      <c r="I544" s="199"/>
      <c r="J544" s="204"/>
      <c r="K544" s="275">
        <v>167475695.28200024</v>
      </c>
      <c r="L544" s="263"/>
      <c r="M544" s="199"/>
      <c r="N544" s="204"/>
      <c r="O544" s="212">
        <v>157466514.06299987</v>
      </c>
      <c r="P544" s="247">
        <f>+F544-O544</f>
        <v>14194743.685000122</v>
      </c>
      <c r="Q544" s="199"/>
    </row>
    <row r="545" spans="1:17" ht="12" customHeight="1">
      <c r="A545" s="1"/>
      <c r="B545" s="102"/>
      <c r="C545" s="184"/>
      <c r="D545" s="1"/>
      <c r="E545" s="106"/>
      <c r="F545" s="106"/>
      <c r="G545" s="106"/>
      <c r="H545" s="106" t="str">
        <f>IF(ABS(+H531+H532+H542-H544)&gt;$C576,$C$577," ")</f>
        <v> </v>
      </c>
      <c r="I545" s="225"/>
      <c r="J545" s="226"/>
      <c r="K545" s="276"/>
      <c r="L545" s="276"/>
      <c r="M545" s="225"/>
      <c r="N545" s="226"/>
      <c r="O545" s="106"/>
      <c r="P545" s="106" t="str">
        <f>IF(ABS(+P531+P532+P542-P544)&gt;$C576,$C$577," ")</f>
        <v> </v>
      </c>
      <c r="Q545" s="225"/>
    </row>
    <row r="546" spans="1:17" ht="12" customHeight="1">
      <c r="A546" s="1"/>
      <c r="B546" s="102"/>
      <c r="C546" s="184"/>
      <c r="D546" s="1"/>
      <c r="E546" s="106"/>
      <c r="F546" s="106"/>
      <c r="G546" s="106"/>
      <c r="H546" s="248"/>
      <c r="I546" s="141"/>
      <c r="J546" s="175"/>
      <c r="K546" s="276"/>
      <c r="L546" s="267"/>
      <c r="M546" s="141"/>
      <c r="N546" s="175"/>
      <c r="O546" s="106"/>
      <c r="P546" s="248"/>
      <c r="Q546" s="141"/>
    </row>
    <row r="547" spans="1:17" ht="12" customHeight="1">
      <c r="A547" s="1"/>
      <c r="B547" s="102"/>
      <c r="C547" s="184"/>
      <c r="D547" s="1"/>
      <c r="E547" s="106"/>
      <c r="F547" s="106"/>
      <c r="G547" s="106"/>
      <c r="H547" s="248"/>
      <c r="I547" s="141"/>
      <c r="J547" s="175"/>
      <c r="K547" s="276"/>
      <c r="L547" s="267"/>
      <c r="M547" s="141"/>
      <c r="N547" s="175"/>
      <c r="O547" s="106"/>
      <c r="P547" s="248"/>
      <c r="Q547" s="141"/>
    </row>
    <row r="548" spans="1:17" ht="12" customHeight="1">
      <c r="A548" s="1"/>
      <c r="B548" s="102"/>
      <c r="C548" s="1"/>
      <c r="D548" s="1"/>
      <c r="E548" s="181"/>
      <c r="F548" s="34"/>
      <c r="G548" s="34"/>
      <c r="I548" s="141"/>
      <c r="J548" s="175"/>
      <c r="K548" s="264"/>
      <c r="L548" s="264"/>
      <c r="M548" s="141"/>
      <c r="N548" s="175"/>
      <c r="O548" s="34"/>
      <c r="Q548" s="141"/>
    </row>
    <row r="549" spans="1:17" ht="12" customHeight="1">
      <c r="A549" s="1"/>
      <c r="B549" s="102"/>
      <c r="C549" s="208"/>
      <c r="D549" s="208"/>
      <c r="E549" s="209"/>
      <c r="F549" s="240"/>
      <c r="G549" s="240"/>
      <c r="H549" s="240"/>
      <c r="I549" s="141"/>
      <c r="J549" s="175"/>
      <c r="K549" s="277"/>
      <c r="L549" s="277"/>
      <c r="M549" s="141"/>
      <c r="N549" s="175"/>
      <c r="O549" s="240"/>
      <c r="P549" s="240"/>
      <c r="Q549" s="141"/>
    </row>
    <row r="550" spans="1:17" ht="12" customHeight="1">
      <c r="A550" s="1"/>
      <c r="B550" s="102"/>
      <c r="C550" s="207" t="s">
        <v>314</v>
      </c>
      <c r="D550" s="1"/>
      <c r="E550" s="181"/>
      <c r="F550" s="34"/>
      <c r="G550" s="34"/>
      <c r="H550" s="248"/>
      <c r="I550" s="141"/>
      <c r="J550" s="175"/>
      <c r="K550" s="264"/>
      <c r="L550" s="267"/>
      <c r="M550" s="141"/>
      <c r="N550" s="175"/>
      <c r="O550" s="34"/>
      <c r="P550" s="248"/>
      <c r="Q550" s="141"/>
    </row>
    <row r="551" spans="1:17" ht="12" customHeight="1">
      <c r="A551" s="32"/>
      <c r="B551" s="183"/>
      <c r="C551" s="32"/>
      <c r="D551" s="32"/>
      <c r="E551" s="185"/>
      <c r="F551" s="241"/>
      <c r="G551" s="241"/>
      <c r="H551" s="251"/>
      <c r="I551" s="141"/>
      <c r="J551" s="175"/>
      <c r="K551" s="278"/>
      <c r="L551" s="273"/>
      <c r="M551" s="141"/>
      <c r="N551" s="175"/>
      <c r="O551" s="241"/>
      <c r="P551" s="251"/>
      <c r="Q551" s="141"/>
    </row>
    <row r="552" spans="2:17" s="1" customFormat="1" ht="12" customHeight="1">
      <c r="B552" s="193" t="s">
        <v>329</v>
      </c>
      <c r="C552" s="194" t="s">
        <v>298</v>
      </c>
      <c r="E552" s="181"/>
      <c r="F552" s="213">
        <v>0</v>
      </c>
      <c r="G552" s="213">
        <v>0</v>
      </c>
      <c r="H552" s="239">
        <f>+F552-G552</f>
        <v>0</v>
      </c>
      <c r="I552" s="131"/>
      <c r="J552" s="210"/>
      <c r="K552" s="279"/>
      <c r="L552" s="274"/>
      <c r="M552" s="131"/>
      <c r="N552" s="210"/>
      <c r="O552" s="213">
        <v>0</v>
      </c>
      <c r="P552" s="239">
        <f>+F552-O552</f>
        <v>0</v>
      </c>
      <c r="Q552" s="131"/>
    </row>
    <row r="553" spans="2:17" s="1" customFormat="1" ht="12" customHeight="1">
      <c r="B553" s="193" t="s">
        <v>330</v>
      </c>
      <c r="C553" s="52" t="s">
        <v>299</v>
      </c>
      <c r="D553" s="196"/>
      <c r="E553" s="197"/>
      <c r="F553" s="214">
        <v>0</v>
      </c>
      <c r="G553" s="214">
        <v>0</v>
      </c>
      <c r="H553" s="214">
        <f>+F553-G553</f>
        <v>0</v>
      </c>
      <c r="I553" s="198"/>
      <c r="J553" s="198"/>
      <c r="K553" s="271"/>
      <c r="L553" s="271"/>
      <c r="M553" s="198"/>
      <c r="N553" s="198"/>
      <c r="O553" s="214">
        <v>0</v>
      </c>
      <c r="P553" s="214">
        <f>+F553-O553</f>
        <v>0</v>
      </c>
      <c r="Q553" s="198"/>
    </row>
    <row r="554" spans="2:17" s="1" customFormat="1" ht="12" customHeight="1">
      <c r="B554" s="102"/>
      <c r="C554" s="195" t="s">
        <v>309</v>
      </c>
      <c r="E554" s="34"/>
      <c r="F554" s="239">
        <f>SUM(F552:F553)</f>
        <v>0</v>
      </c>
      <c r="G554" s="239">
        <f>SUM(G552:G553)</f>
        <v>0</v>
      </c>
      <c r="H554" s="239">
        <f>+F554-G554</f>
        <v>0</v>
      </c>
      <c r="I554" s="131"/>
      <c r="J554" s="210"/>
      <c r="K554" s="274"/>
      <c r="L554" s="274"/>
      <c r="M554" s="131"/>
      <c r="N554" s="210"/>
      <c r="O554" s="239">
        <f>SUM(O552:O553)</f>
        <v>0</v>
      </c>
      <c r="P554" s="239">
        <f>+F554-O554</f>
        <v>0</v>
      </c>
      <c r="Q554" s="131"/>
    </row>
    <row r="555" spans="2:17" s="1" customFormat="1" ht="12" customHeight="1">
      <c r="B555" s="102"/>
      <c r="C555" s="195"/>
      <c r="E555" s="86"/>
      <c r="F555" s="239"/>
      <c r="G555" s="239"/>
      <c r="H555" s="239"/>
      <c r="I555" s="131"/>
      <c r="J555" s="210"/>
      <c r="K555" s="274"/>
      <c r="L555" s="274"/>
      <c r="M555" s="131"/>
      <c r="N555" s="210"/>
      <c r="O555" s="239"/>
      <c r="P555" s="239"/>
      <c r="Q555" s="131"/>
    </row>
    <row r="556" spans="2:17" s="1" customFormat="1" ht="12" customHeight="1">
      <c r="B556" s="193" t="s">
        <v>332</v>
      </c>
      <c r="C556" s="194" t="s">
        <v>300</v>
      </c>
      <c r="E556" s="34"/>
      <c r="F556" s="213">
        <v>157466514.063</v>
      </c>
      <c r="G556" s="213">
        <v>143184638.962</v>
      </c>
      <c r="H556" s="213">
        <f aca="true" t="shared" si="152" ref="H556:H563">+F556-G556</f>
        <v>14281875.100999981</v>
      </c>
      <c r="I556" s="211"/>
      <c r="J556" s="219"/>
      <c r="K556" s="279"/>
      <c r="L556" s="279"/>
      <c r="M556" s="211"/>
      <c r="N556" s="219"/>
      <c r="O556" s="213">
        <v>143184638.962</v>
      </c>
      <c r="P556" s="213">
        <f aca="true" t="shared" si="153" ref="P556:P562">+F556-O556</f>
        <v>14281875.100999981</v>
      </c>
      <c r="Q556" s="211"/>
    </row>
    <row r="557" spans="2:17" s="1" customFormat="1" ht="12" customHeight="1">
      <c r="B557" s="193" t="s">
        <v>331</v>
      </c>
      <c r="C557" s="194" t="s">
        <v>301</v>
      </c>
      <c r="E557" s="34"/>
      <c r="F557" s="213">
        <v>0</v>
      </c>
      <c r="G557" s="213">
        <v>0</v>
      </c>
      <c r="H557" s="213">
        <f t="shared" si="152"/>
        <v>0</v>
      </c>
      <c r="I557" s="211"/>
      <c r="J557" s="219"/>
      <c r="K557" s="279"/>
      <c r="L557" s="279"/>
      <c r="M557" s="211"/>
      <c r="N557" s="219"/>
      <c r="O557" s="213">
        <v>0</v>
      </c>
      <c r="P557" s="213">
        <f t="shared" si="153"/>
        <v>0</v>
      </c>
      <c r="Q557" s="211"/>
    </row>
    <row r="558" spans="2:17" s="1" customFormat="1" ht="12" customHeight="1">
      <c r="B558" s="193" t="s">
        <v>351</v>
      </c>
      <c r="C558" s="194" t="s">
        <v>352</v>
      </c>
      <c r="E558" s="34"/>
      <c r="F558" s="213">
        <v>0</v>
      </c>
      <c r="G558" s="213">
        <v>0</v>
      </c>
      <c r="H558" s="213">
        <f>+F558-G558</f>
        <v>0</v>
      </c>
      <c r="I558" s="211"/>
      <c r="J558" s="219"/>
      <c r="K558" s="279"/>
      <c r="L558" s="279"/>
      <c r="M558" s="211"/>
      <c r="N558" s="219"/>
      <c r="O558" s="213">
        <v>0</v>
      </c>
      <c r="P558" s="213">
        <f>+F558-O558</f>
        <v>0</v>
      </c>
      <c r="Q558" s="211"/>
    </row>
    <row r="559" spans="2:17" s="1" customFormat="1" ht="1.5" customHeight="1" hidden="1" outlineLevel="1">
      <c r="B559" s="193"/>
      <c r="C559" s="194"/>
      <c r="E559" s="34"/>
      <c r="F559" s="213"/>
      <c r="G559" s="213"/>
      <c r="H559" s="213"/>
      <c r="I559" s="211"/>
      <c r="J559" s="219"/>
      <c r="K559" s="279"/>
      <c r="L559" s="279"/>
      <c r="M559" s="211"/>
      <c r="N559" s="219"/>
      <c r="O559" s="213"/>
      <c r="P559" s="213"/>
      <c r="Q559" s="211"/>
    </row>
    <row r="560" spans="2:17" s="1" customFormat="1" ht="12" customHeight="1" hidden="1" outlineLevel="1">
      <c r="B560" s="193"/>
      <c r="C560" s="218" t="s">
        <v>334</v>
      </c>
      <c r="E560" s="34"/>
      <c r="F560" s="213">
        <v>14194743.68499993</v>
      </c>
      <c r="G560" s="213">
        <v>3391223.914999923</v>
      </c>
      <c r="H560" s="213">
        <f t="shared" si="152"/>
        <v>10803519.770000007</v>
      </c>
      <c r="I560" s="211"/>
      <c r="J560" s="219"/>
      <c r="K560" s="279"/>
      <c r="L560" s="279"/>
      <c r="M560" s="211"/>
      <c r="N560" s="219"/>
      <c r="O560" s="213">
        <v>14281875.101000017</v>
      </c>
      <c r="P560" s="213">
        <f t="shared" si="153"/>
        <v>-87131.41600008681</v>
      </c>
      <c r="Q560" s="211"/>
    </row>
    <row r="561" spans="2:17" s="1" customFormat="1" ht="12" customHeight="1" hidden="1" outlineLevel="1">
      <c r="B561" s="193"/>
      <c r="C561" s="218" t="s">
        <v>333</v>
      </c>
      <c r="E561" s="34"/>
      <c r="F561" s="242">
        <v>0</v>
      </c>
      <c r="G561" s="242">
        <v>0</v>
      </c>
      <c r="H561" s="242">
        <f t="shared" si="152"/>
        <v>0</v>
      </c>
      <c r="I561" s="220"/>
      <c r="J561" s="220"/>
      <c r="K561" s="280"/>
      <c r="L561" s="280"/>
      <c r="M561" s="220"/>
      <c r="N561" s="220"/>
      <c r="O561" s="242">
        <v>0</v>
      </c>
      <c r="P561" s="242">
        <f t="shared" si="153"/>
        <v>0</v>
      </c>
      <c r="Q561" s="220"/>
    </row>
    <row r="562" spans="2:17" s="1" customFormat="1" ht="12" customHeight="1" collapsed="1">
      <c r="B562" s="102"/>
      <c r="C562" s="52" t="s">
        <v>302</v>
      </c>
      <c r="D562" s="196"/>
      <c r="E562" s="197"/>
      <c r="F562" s="242">
        <f>+F560-F561</f>
        <v>14194743.68499993</v>
      </c>
      <c r="G562" s="242">
        <f>+G560-G561</f>
        <v>3391223.914999923</v>
      </c>
      <c r="H562" s="242">
        <f t="shared" si="152"/>
        <v>10803519.770000007</v>
      </c>
      <c r="I562" s="220"/>
      <c r="J562" s="220"/>
      <c r="K562" s="280"/>
      <c r="L562" s="280"/>
      <c r="M562" s="220"/>
      <c r="N562" s="220"/>
      <c r="O562" s="242">
        <f>+O560-O561</f>
        <v>14281875.101000017</v>
      </c>
      <c r="P562" s="242">
        <f t="shared" si="153"/>
        <v>-87131.41600008681</v>
      </c>
      <c r="Q562" s="220"/>
    </row>
    <row r="563" spans="1:17" ht="12" customHeight="1">
      <c r="A563" s="1"/>
      <c r="B563" s="102"/>
      <c r="C563" s="126" t="s">
        <v>315</v>
      </c>
      <c r="D563" s="1"/>
      <c r="E563" s="181"/>
      <c r="F563" s="213">
        <f>F562+F556+F557+F558</f>
        <v>171661257.74799994</v>
      </c>
      <c r="G563" s="213">
        <f>G562+G556+G557+G558</f>
        <v>146575862.87699994</v>
      </c>
      <c r="H563" s="252">
        <f t="shared" si="152"/>
        <v>25085394.870999992</v>
      </c>
      <c r="I563" s="221"/>
      <c r="J563" s="222"/>
      <c r="K563" s="279">
        <f>K562+K556+K557+K558</f>
        <v>0</v>
      </c>
      <c r="L563" s="279"/>
      <c r="M563" s="221"/>
      <c r="N563" s="222"/>
      <c r="O563" s="213">
        <f>O562+O556+O557+O558</f>
        <v>157466514.06300002</v>
      </c>
      <c r="P563" s="213">
        <f>P562+P556+P557+P558</f>
        <v>14194743.684999894</v>
      </c>
      <c r="Q563" s="221"/>
    </row>
    <row r="564" spans="1:17" ht="12" customHeight="1">
      <c r="A564" s="1"/>
      <c r="B564" s="102"/>
      <c r="C564" s="195"/>
      <c r="D564" s="1"/>
      <c r="E564" s="181"/>
      <c r="F564" s="239"/>
      <c r="G564" s="239"/>
      <c r="H564" s="253"/>
      <c r="I564" s="199"/>
      <c r="J564" s="215"/>
      <c r="K564" s="274"/>
      <c r="L564" s="274"/>
      <c r="M564" s="199"/>
      <c r="N564" s="215"/>
      <c r="O564" s="239"/>
      <c r="P564" s="253"/>
      <c r="Q564" s="199"/>
    </row>
    <row r="565" spans="1:17" ht="12" customHeight="1">
      <c r="A565" s="1"/>
      <c r="B565" s="193" t="s">
        <v>303</v>
      </c>
      <c r="C565" s="194" t="s">
        <v>318</v>
      </c>
      <c r="D565" s="1"/>
      <c r="E565" s="181"/>
      <c r="F565" s="213">
        <v>0</v>
      </c>
      <c r="G565" s="213">
        <v>0</v>
      </c>
      <c r="H565" s="253">
        <f>+F565-G565</f>
        <v>0</v>
      </c>
      <c r="I565" s="199"/>
      <c r="J565" s="215"/>
      <c r="K565" s="279"/>
      <c r="L565" s="274"/>
      <c r="M565" s="199"/>
      <c r="N565" s="215"/>
      <c r="O565" s="213">
        <v>0</v>
      </c>
      <c r="P565" s="253">
        <f>+F565-O565</f>
        <v>0</v>
      </c>
      <c r="Q565" s="199"/>
    </row>
    <row r="566" spans="1:17" s="1" customFormat="1" ht="12" customHeight="1">
      <c r="A566" s="1" t="s">
        <v>322</v>
      </c>
      <c r="B566" s="193" t="s">
        <v>327</v>
      </c>
      <c r="C566" s="52" t="s">
        <v>317</v>
      </c>
      <c r="D566" s="196"/>
      <c r="E566" s="197"/>
      <c r="F566" s="214">
        <v>0</v>
      </c>
      <c r="G566" s="214">
        <v>0</v>
      </c>
      <c r="H566" s="214">
        <f>+F566-G566</f>
        <v>0</v>
      </c>
      <c r="I566" s="198"/>
      <c r="J566" s="198"/>
      <c r="K566" s="271">
        <v>0</v>
      </c>
      <c r="L566" s="271"/>
      <c r="M566" s="198"/>
      <c r="N566" s="198"/>
      <c r="O566" s="214">
        <v>0</v>
      </c>
      <c r="P566" s="214">
        <f>+F566-O566</f>
        <v>0</v>
      </c>
      <c r="Q566" s="198"/>
    </row>
    <row r="567" spans="1:17" ht="12" customHeight="1">
      <c r="A567" s="1"/>
      <c r="B567" s="102"/>
      <c r="C567" s="126" t="s">
        <v>316</v>
      </c>
      <c r="D567" s="1"/>
      <c r="E567" s="181"/>
      <c r="F567" s="213">
        <f>F565+F566</f>
        <v>0</v>
      </c>
      <c r="G567" s="213">
        <f>G565+G566</f>
        <v>0</v>
      </c>
      <c r="H567" s="213">
        <f>H565+H566</f>
        <v>0</v>
      </c>
      <c r="I567" s="199"/>
      <c r="J567" s="215"/>
      <c r="K567" s="279"/>
      <c r="L567" s="279"/>
      <c r="M567" s="199"/>
      <c r="N567" s="215"/>
      <c r="O567" s="213">
        <f>O565+O566</f>
        <v>0</v>
      </c>
      <c r="P567" s="213">
        <f>+F567-O567</f>
        <v>0</v>
      </c>
      <c r="Q567" s="199"/>
    </row>
    <row r="568" spans="1:17" ht="12" customHeight="1">
      <c r="A568" s="1"/>
      <c r="B568" s="102"/>
      <c r="C568" s="126"/>
      <c r="D568" s="1"/>
      <c r="E568" s="181"/>
      <c r="F568" s="213"/>
      <c r="G568" s="213"/>
      <c r="H568" s="213"/>
      <c r="I568" s="199"/>
      <c r="J568" s="215"/>
      <c r="K568" s="279"/>
      <c r="L568" s="279"/>
      <c r="M568" s="199"/>
      <c r="N568" s="215"/>
      <c r="O568" s="213"/>
      <c r="P568" s="213"/>
      <c r="Q568" s="199"/>
    </row>
    <row r="569" spans="1:17" ht="12" customHeight="1">
      <c r="A569" s="1"/>
      <c r="B569" s="102"/>
      <c r="C569" s="126" t="s">
        <v>337</v>
      </c>
      <c r="D569" s="1"/>
      <c r="E569" s="181"/>
      <c r="F569" s="213">
        <f>+F571-F567-F563-F554</f>
        <v>5.960464477539063E-08</v>
      </c>
      <c r="G569" s="213">
        <f>+G571-G567-G563-G554</f>
        <v>8.940696716308594E-08</v>
      </c>
      <c r="H569" s="253">
        <f>+F569-G569</f>
        <v>-2.9802322387695312E-08</v>
      </c>
      <c r="I569" s="199"/>
      <c r="J569" s="215"/>
      <c r="K569" s="279"/>
      <c r="L569" s="274"/>
      <c r="M569" s="199"/>
      <c r="N569" s="215"/>
      <c r="O569" s="213">
        <f>+O571-O567-O563-O554</f>
        <v>-1.4901161193847656E-07</v>
      </c>
      <c r="P569" s="253">
        <f>+F569-O569</f>
        <v>2.086162567138672E-07</v>
      </c>
      <c r="Q569" s="199"/>
    </row>
    <row r="570" spans="1:17" s="1" customFormat="1" ht="12.75" customHeight="1">
      <c r="A570" s="32"/>
      <c r="B570" s="186"/>
      <c r="C570" s="32"/>
      <c r="D570" s="32"/>
      <c r="E570" s="182"/>
      <c r="F570" s="212"/>
      <c r="G570" s="212"/>
      <c r="H570" s="254"/>
      <c r="I570" s="131"/>
      <c r="J570" s="216"/>
      <c r="K570" s="275"/>
      <c r="L570" s="267"/>
      <c r="M570" s="131"/>
      <c r="N570" s="216"/>
      <c r="O570" s="212"/>
      <c r="P570" s="254"/>
      <c r="Q570" s="131"/>
    </row>
    <row r="571" spans="1:17" s="1" customFormat="1" ht="13.5" thickBot="1">
      <c r="A571" s="32"/>
      <c r="B571" s="186"/>
      <c r="C571" s="189" t="s">
        <v>304</v>
      </c>
      <c r="D571" s="189"/>
      <c r="E571" s="190"/>
      <c r="F571" s="243">
        <f>+F544</f>
        <v>171661257.748</v>
      </c>
      <c r="G571" s="243">
        <f>+G544</f>
        <v>146575862.87700003</v>
      </c>
      <c r="H571" s="255">
        <f>+F571-G571</f>
        <v>25085394.870999962</v>
      </c>
      <c r="I571" s="201"/>
      <c r="J571" s="201"/>
      <c r="K571" s="281"/>
      <c r="L571" s="282"/>
      <c r="M571" s="201"/>
      <c r="N571" s="201"/>
      <c r="O571" s="243">
        <f>+O544</f>
        <v>157466514.06299987</v>
      </c>
      <c r="P571" s="255">
        <f>+F571-O571</f>
        <v>14194743.685000122</v>
      </c>
      <c r="Q571" s="201"/>
    </row>
    <row r="572" spans="1:17" s="1" customFormat="1" ht="13.5" thickTop="1">
      <c r="A572" s="32"/>
      <c r="B572" s="186"/>
      <c r="C572" s="32"/>
      <c r="D572" s="32"/>
      <c r="E572" s="192"/>
      <c r="F572" s="192"/>
      <c r="G572" s="192"/>
      <c r="H572" s="34"/>
      <c r="I572" s="191"/>
      <c r="J572" s="87"/>
      <c r="K572" s="192"/>
      <c r="L572" s="34"/>
      <c r="M572" s="191"/>
      <c r="N572" s="87"/>
      <c r="O572" s="192"/>
      <c r="P572" s="34"/>
      <c r="Q572" s="191"/>
    </row>
    <row r="573" spans="1:17" s="1" customFormat="1" ht="12.75">
      <c r="A573" s="32"/>
      <c r="B573" s="186"/>
      <c r="C573" s="32"/>
      <c r="D573" s="32"/>
      <c r="E573" s="192"/>
      <c r="F573" s="192"/>
      <c r="G573" s="192"/>
      <c r="H573" s="86"/>
      <c r="I573" s="191"/>
      <c r="J573" s="87"/>
      <c r="K573" s="192"/>
      <c r="L573" s="86"/>
      <c r="M573" s="191"/>
      <c r="N573" s="87"/>
      <c r="O573" s="192"/>
      <c r="P573" s="86"/>
      <c r="Q573" s="191"/>
    </row>
    <row r="574" spans="1:17" s="1" customFormat="1" ht="12.75">
      <c r="A574" s="32"/>
      <c r="B574" s="186"/>
      <c r="C574" s="32"/>
      <c r="D574" s="32"/>
      <c r="E574" s="192"/>
      <c r="F574" s="192"/>
      <c r="G574" s="192"/>
      <c r="H574" s="86"/>
      <c r="I574" s="191"/>
      <c r="J574" s="87"/>
      <c r="K574" s="192"/>
      <c r="L574" s="86"/>
      <c r="M574" s="191"/>
      <c r="N574" s="87"/>
      <c r="O574" s="192"/>
      <c r="P574" s="86"/>
      <c r="Q574" s="191"/>
    </row>
    <row r="575" spans="2:17" s="35" customFormat="1" ht="12.75" hidden="1" outlineLevel="1">
      <c r="B575" s="35" t="s">
        <v>49</v>
      </c>
      <c r="C575" s="292" t="s">
        <v>1320</v>
      </c>
      <c r="G575" s="37"/>
      <c r="H575" s="37"/>
      <c r="I575" s="147"/>
      <c r="J575" s="176"/>
      <c r="K575" s="37"/>
      <c r="L575" s="37"/>
      <c r="M575" s="147"/>
      <c r="N575" s="176"/>
      <c r="O575" s="37"/>
      <c r="P575" s="37"/>
      <c r="Q575" s="147"/>
    </row>
    <row r="576" spans="1:17" s="35" customFormat="1" ht="12.75" hidden="1" outlineLevel="1">
      <c r="A576" s="36"/>
      <c r="B576" s="35" t="s">
        <v>50</v>
      </c>
      <c r="C576" s="35">
        <v>0.001</v>
      </c>
      <c r="G576" s="37"/>
      <c r="H576" s="37"/>
      <c r="I576" s="147"/>
      <c r="J576" s="176"/>
      <c r="K576" s="37"/>
      <c r="L576" s="37"/>
      <c r="M576" s="147"/>
      <c r="N576" s="176"/>
      <c r="O576" s="37"/>
      <c r="P576" s="37"/>
      <c r="Q576" s="147"/>
    </row>
    <row r="577" spans="1:17" s="35" customFormat="1" ht="12.75" hidden="1" outlineLevel="1">
      <c r="A577" s="36"/>
      <c r="B577" s="35" t="s">
        <v>166</v>
      </c>
      <c r="C577" s="133" t="s">
        <v>165</v>
      </c>
      <c r="G577" s="37"/>
      <c r="H577" s="37"/>
      <c r="I577" s="147"/>
      <c r="J577" s="176"/>
      <c r="K577" s="37"/>
      <c r="L577" s="37"/>
      <c r="M577" s="147"/>
      <c r="N577" s="176"/>
      <c r="O577" s="37"/>
      <c r="P577" s="37"/>
      <c r="Q577" s="147"/>
    </row>
    <row r="578" spans="1:17" s="35" customFormat="1" ht="12.75" hidden="1" outlineLevel="1">
      <c r="A578" s="36"/>
      <c r="B578" s="35" t="s">
        <v>167</v>
      </c>
      <c r="C578" s="35" t="s">
        <v>168</v>
      </c>
      <c r="G578" s="37"/>
      <c r="H578" s="37"/>
      <c r="I578" s="147"/>
      <c r="J578" s="176"/>
      <c r="K578" s="151"/>
      <c r="L578" s="37"/>
      <c r="M578" s="147"/>
      <c r="N578" s="176"/>
      <c r="O578" s="151"/>
      <c r="P578" s="37"/>
      <c r="Q578" s="147"/>
    </row>
    <row r="579" spans="1:17" s="35" customFormat="1" ht="12.75" hidden="1" outlineLevel="1">
      <c r="A579" s="36"/>
      <c r="B579" s="35" t="s">
        <v>51</v>
      </c>
      <c r="C579" s="35">
        <f>COUNTIF($F$10:$Q$542,+C577)</f>
        <v>0</v>
      </c>
      <c r="G579" s="37"/>
      <c r="H579" s="37"/>
      <c r="I579" s="147"/>
      <c r="J579" s="176"/>
      <c r="K579" s="151"/>
      <c r="L579" s="37"/>
      <c r="M579" s="147"/>
      <c r="N579" s="176"/>
      <c r="O579" s="151"/>
      <c r="P579" s="37"/>
      <c r="Q579" s="147"/>
    </row>
    <row r="580" spans="1:17" s="35" customFormat="1" ht="12.75" hidden="1" outlineLevel="1">
      <c r="A580" s="36"/>
      <c r="B580" s="35" t="s">
        <v>51</v>
      </c>
      <c r="C580" s="45">
        <f>COUNTIF($F$10:$Q$542,+C578)</f>
        <v>0</v>
      </c>
      <c r="F580" s="36"/>
      <c r="G580" s="37"/>
      <c r="H580" s="37"/>
      <c r="I580" s="147"/>
      <c r="J580" s="176"/>
      <c r="K580" s="151"/>
      <c r="L580" s="37"/>
      <c r="M580" s="147"/>
      <c r="N580" s="176"/>
      <c r="O580" s="151"/>
      <c r="P580" s="37"/>
      <c r="Q580" s="147"/>
    </row>
    <row r="581" spans="1:17" s="35" customFormat="1" ht="12.75" hidden="1" outlineLevel="1">
      <c r="A581" s="36"/>
      <c r="B581" s="35" t="s">
        <v>52</v>
      </c>
      <c r="C581" s="45">
        <f>SUM(C579:C580)</f>
        <v>0</v>
      </c>
      <c r="F581" s="36"/>
      <c r="G581" s="37"/>
      <c r="H581" s="37"/>
      <c r="I581" s="147"/>
      <c r="J581" s="176"/>
      <c r="K581" s="151"/>
      <c r="L581" s="37"/>
      <c r="M581" s="147"/>
      <c r="N581" s="176"/>
      <c r="O581" s="151"/>
      <c r="P581" s="37"/>
      <c r="Q581" s="147"/>
    </row>
    <row r="582" spans="1:17" s="35" customFormat="1" ht="12.75" hidden="1" outlineLevel="1">
      <c r="A582" s="36"/>
      <c r="B582" s="38"/>
      <c r="C582" s="46"/>
      <c r="D582" s="39"/>
      <c r="E582" s="39"/>
      <c r="F582" s="40"/>
      <c r="G582" s="37"/>
      <c r="H582" s="37"/>
      <c r="I582" s="147"/>
      <c r="J582" s="176"/>
      <c r="K582" s="152"/>
      <c r="L582" s="37"/>
      <c r="M582" s="147"/>
      <c r="N582" s="176"/>
      <c r="O582" s="152"/>
      <c r="P582" s="37"/>
      <c r="Q582" s="147"/>
    </row>
    <row r="583" spans="1:17" s="35" customFormat="1" ht="12.75" hidden="1" outlineLevel="1">
      <c r="A583" s="36"/>
      <c r="B583" s="38" t="s">
        <v>53</v>
      </c>
      <c r="C583" s="293" t="s">
        <v>1321</v>
      </c>
      <c r="D583" s="39"/>
      <c r="E583" s="39"/>
      <c r="F583" s="37"/>
      <c r="G583" s="37">
        <v>-15000000</v>
      </c>
      <c r="H583" s="283">
        <f>+F583-G583</f>
        <v>15000000</v>
      </c>
      <c r="I583" s="284"/>
      <c r="J583" s="285"/>
      <c r="K583" s="37"/>
      <c r="L583" s="283"/>
      <c r="M583" s="284"/>
      <c r="N583" s="285"/>
      <c r="O583" s="286">
        <v>-21000000</v>
      </c>
      <c r="P583" s="283">
        <f>+F583-O583</f>
        <v>21000000</v>
      </c>
      <c r="Q583" s="147"/>
    </row>
    <row r="584" spans="1:17" s="35" customFormat="1" ht="12.75" hidden="1" outlineLevel="1">
      <c r="A584" s="36"/>
      <c r="B584" s="38" t="s">
        <v>54</v>
      </c>
      <c r="C584" s="293" t="s">
        <v>1321</v>
      </c>
      <c r="D584" s="39"/>
      <c r="E584" s="39"/>
      <c r="F584" s="37"/>
      <c r="G584" s="37"/>
      <c r="H584" s="283"/>
      <c r="I584" s="284"/>
      <c r="J584" s="285"/>
      <c r="K584" s="37"/>
      <c r="L584" s="283"/>
      <c r="M584" s="284"/>
      <c r="N584" s="285"/>
      <c r="O584" s="287"/>
      <c r="P584" s="283"/>
      <c r="Q584" s="147"/>
    </row>
    <row r="585" spans="1:17" s="35" customFormat="1" ht="12.75" hidden="1" outlineLevel="1">
      <c r="A585" s="36"/>
      <c r="B585" s="41" t="s">
        <v>63</v>
      </c>
      <c r="C585" s="293" t="s">
        <v>1322</v>
      </c>
      <c r="D585" s="41"/>
      <c r="E585" s="41"/>
      <c r="F585" s="288"/>
      <c r="G585" s="37">
        <v>0</v>
      </c>
      <c r="H585" s="283">
        <f>+F585-G585</f>
        <v>0</v>
      </c>
      <c r="I585" s="284"/>
      <c r="J585" s="285"/>
      <c r="K585" s="288"/>
      <c r="L585" s="283"/>
      <c r="M585" s="284"/>
      <c r="N585" s="285"/>
      <c r="O585" s="286">
        <v>0</v>
      </c>
      <c r="P585" s="283">
        <f>+F585-O585</f>
        <v>0</v>
      </c>
      <c r="Q585" s="147"/>
    </row>
    <row r="586" spans="1:17" s="35" customFormat="1" ht="12.75" hidden="1" outlineLevel="1">
      <c r="A586" s="36"/>
      <c r="B586" s="41" t="s">
        <v>55</v>
      </c>
      <c r="C586" s="293" t="s">
        <v>1323</v>
      </c>
      <c r="D586" s="41"/>
      <c r="E586" s="41"/>
      <c r="F586" s="288"/>
      <c r="G586" s="289"/>
      <c r="H586" s="290"/>
      <c r="I586" s="284"/>
      <c r="J586" s="285"/>
      <c r="K586" s="288"/>
      <c r="L586" s="290"/>
      <c r="M586" s="284"/>
      <c r="N586" s="285"/>
      <c r="O586" s="289"/>
      <c r="P586" s="290"/>
      <c r="Q586" s="147"/>
    </row>
    <row r="587" spans="1:17" s="35" customFormat="1" ht="12.75" hidden="1" outlineLevel="1">
      <c r="A587" s="36"/>
      <c r="B587" s="41" t="s">
        <v>56</v>
      </c>
      <c r="C587" s="293" t="s">
        <v>1324</v>
      </c>
      <c r="D587" s="41"/>
      <c r="E587" s="41"/>
      <c r="F587" s="288">
        <v>0</v>
      </c>
      <c r="G587" s="289">
        <v>0</v>
      </c>
      <c r="H587" s="283">
        <f>+F587-G587</f>
        <v>0</v>
      </c>
      <c r="I587" s="284"/>
      <c r="J587" s="285"/>
      <c r="K587" s="291"/>
      <c r="L587" s="283"/>
      <c r="M587" s="284"/>
      <c r="N587" s="285"/>
      <c r="O587" s="286">
        <v>0</v>
      </c>
      <c r="P587" s="283">
        <f>+F587-O587</f>
        <v>0</v>
      </c>
      <c r="Q587" s="147"/>
    </row>
    <row r="588" spans="1:17" s="35" customFormat="1" ht="12.75" hidden="1" outlineLevel="1">
      <c r="A588" s="36"/>
      <c r="B588" s="41" t="s">
        <v>57</v>
      </c>
      <c r="C588" s="293" t="s">
        <v>1325</v>
      </c>
      <c r="D588" s="41"/>
      <c r="E588" s="41"/>
      <c r="G588" s="37"/>
      <c r="H588" s="37"/>
      <c r="I588" s="147"/>
      <c r="J588" s="176"/>
      <c r="K588" s="153"/>
      <c r="L588" s="37"/>
      <c r="M588" s="147"/>
      <c r="N588" s="176"/>
      <c r="O588" s="153"/>
      <c r="P588" s="37"/>
      <c r="Q588" s="147"/>
    </row>
    <row r="589" spans="1:17" s="35" customFormat="1" ht="12.75" hidden="1" outlineLevel="1">
      <c r="A589" s="36"/>
      <c r="B589" s="41" t="s">
        <v>58</v>
      </c>
      <c r="C589" s="293" t="s">
        <v>1326</v>
      </c>
      <c r="D589" s="41"/>
      <c r="E589" s="41"/>
      <c r="G589" s="37"/>
      <c r="H589" s="37"/>
      <c r="I589" s="147"/>
      <c r="J589" s="176"/>
      <c r="K589" s="153"/>
      <c r="L589" s="37"/>
      <c r="M589" s="147"/>
      <c r="N589" s="176"/>
      <c r="O589" s="153"/>
      <c r="P589" s="37"/>
      <c r="Q589" s="147"/>
    </row>
    <row r="590" spans="1:17" s="35" customFormat="1" ht="12.75" hidden="1" outlineLevel="1">
      <c r="A590" s="36"/>
      <c r="B590" s="41" t="s">
        <v>59</v>
      </c>
      <c r="C590" s="293" t="s">
        <v>1327</v>
      </c>
      <c r="D590" s="41"/>
      <c r="E590" s="41"/>
      <c r="G590" s="37"/>
      <c r="H590" s="37"/>
      <c r="I590" s="147"/>
      <c r="J590" s="176"/>
      <c r="K590" s="153"/>
      <c r="L590" s="37"/>
      <c r="M590" s="147"/>
      <c r="N590" s="176"/>
      <c r="O590" s="153"/>
      <c r="P590" s="37"/>
      <c r="Q590" s="147"/>
    </row>
    <row r="591" spans="1:17" s="35" customFormat="1" ht="12.75" hidden="1" outlineLevel="1">
      <c r="A591" s="36"/>
      <c r="B591" s="41" t="s">
        <v>60</v>
      </c>
      <c r="C591" s="293" t="s">
        <v>1328</v>
      </c>
      <c r="D591" s="41"/>
      <c r="E591" s="41"/>
      <c r="G591" s="37"/>
      <c r="H591" s="37"/>
      <c r="I591" s="147"/>
      <c r="J591" s="176"/>
      <c r="K591" s="153"/>
      <c r="L591" s="37"/>
      <c r="M591" s="147"/>
      <c r="N591" s="176"/>
      <c r="O591" s="153"/>
      <c r="P591" s="37"/>
      <c r="Q591" s="147"/>
    </row>
    <row r="592" spans="1:17" s="35" customFormat="1" ht="12.75" hidden="1" outlineLevel="1">
      <c r="A592" s="36"/>
      <c r="B592" s="41" t="s">
        <v>61</v>
      </c>
      <c r="C592" s="293" t="s">
        <v>1329</v>
      </c>
      <c r="D592" s="41"/>
      <c r="E592" s="41"/>
      <c r="G592" s="37"/>
      <c r="H592" s="37"/>
      <c r="I592" s="147"/>
      <c r="J592" s="176"/>
      <c r="K592" s="153"/>
      <c r="L592" s="37"/>
      <c r="M592" s="147"/>
      <c r="N592" s="176"/>
      <c r="O592" s="153"/>
      <c r="P592" s="37"/>
      <c r="Q592" s="147"/>
    </row>
    <row r="593" spans="1:17" s="35" customFormat="1" ht="12.75" hidden="1" outlineLevel="1">
      <c r="A593" s="36"/>
      <c r="B593" s="37" t="s">
        <v>62</v>
      </c>
      <c r="C593" s="47" t="str">
        <f>UPPER(TEXT(NvsElapsedTime,"hh:mm:ss"))</f>
        <v>00:01:04</v>
      </c>
      <c r="D593" s="37"/>
      <c r="E593" s="37"/>
      <c r="F593" s="37"/>
      <c r="G593" s="37"/>
      <c r="H593" s="37"/>
      <c r="I593" s="147"/>
      <c r="J593" s="176"/>
      <c r="K593" s="154"/>
      <c r="L593" s="37"/>
      <c r="M593" s="147"/>
      <c r="N593" s="176"/>
      <c r="O593" s="154"/>
      <c r="P593" s="37"/>
      <c r="Q593" s="147"/>
    </row>
    <row r="594" spans="1:17" s="35" customFormat="1" ht="12.75" hidden="1" outlineLevel="1">
      <c r="A594" s="36"/>
      <c r="B594" s="37" t="s">
        <v>234</v>
      </c>
      <c r="C594" s="294" t="s">
        <v>1330</v>
      </c>
      <c r="D594" s="37"/>
      <c r="E594" s="37"/>
      <c r="F594" s="37"/>
      <c r="G594" s="37"/>
      <c r="H594" s="37"/>
      <c r="I594" s="147"/>
      <c r="J594" s="176"/>
      <c r="K594" s="154"/>
      <c r="L594" s="37"/>
      <c r="M594" s="147"/>
      <c r="N594" s="176"/>
      <c r="O594" s="154"/>
      <c r="P594" s="37"/>
      <c r="Q594" s="147"/>
    </row>
    <row r="595" spans="3:17" s="35" customFormat="1" ht="12.75" hidden="1" outlineLevel="1">
      <c r="C595" s="35" t="s">
        <v>313</v>
      </c>
      <c r="D595" s="43"/>
      <c r="E595" s="43"/>
      <c r="F595" s="35" t="s">
        <v>310</v>
      </c>
      <c r="G595" s="35" t="s">
        <v>311</v>
      </c>
      <c r="H595" s="35" t="s">
        <v>312</v>
      </c>
      <c r="I595" s="147"/>
      <c r="J595" s="176"/>
      <c r="K595" s="155"/>
      <c r="L595" s="37"/>
      <c r="M595" s="147"/>
      <c r="N595" s="176"/>
      <c r="O595" s="155"/>
      <c r="P595" s="37"/>
      <c r="Q595" s="147"/>
    </row>
    <row r="596" spans="3:17" s="35" customFormat="1" ht="12.75" hidden="1" outlineLevel="1">
      <c r="C596" s="35" t="s">
        <v>313</v>
      </c>
      <c r="D596" s="37"/>
      <c r="E596" s="37"/>
      <c r="I596" s="147"/>
      <c r="J596" s="176"/>
      <c r="K596" s="154"/>
      <c r="L596" s="37"/>
      <c r="M596" s="147"/>
      <c r="N596" s="176"/>
      <c r="O596" s="154"/>
      <c r="P596" s="37"/>
      <c r="Q596" s="147"/>
    </row>
    <row r="597" spans="3:17" s="35" customFormat="1" ht="12.75" hidden="1" outlineLevel="1">
      <c r="C597" s="223" t="s">
        <v>335</v>
      </c>
      <c r="D597" s="37"/>
      <c r="E597" s="37"/>
      <c r="F597" s="224">
        <v>2000000</v>
      </c>
      <c r="I597" s="147"/>
      <c r="J597" s="176"/>
      <c r="K597" s="154"/>
      <c r="L597" s="37"/>
      <c r="M597" s="147"/>
      <c r="N597" s="176"/>
      <c r="O597" s="154"/>
      <c r="P597" s="37"/>
      <c r="Q597" s="147"/>
    </row>
    <row r="598" spans="3:17" s="35" customFormat="1" ht="12.75" hidden="1" outlineLevel="1">
      <c r="C598" s="223" t="s">
        <v>336</v>
      </c>
      <c r="D598" s="37"/>
      <c r="E598" s="37"/>
      <c r="F598" s="224">
        <v>1009000</v>
      </c>
      <c r="I598" s="147"/>
      <c r="J598" s="176"/>
      <c r="K598" s="154"/>
      <c r="L598" s="37"/>
      <c r="M598" s="147"/>
      <c r="N598" s="176"/>
      <c r="O598" s="154"/>
      <c r="P598" s="37"/>
      <c r="Q598" s="147"/>
    </row>
    <row r="599" spans="2:17" s="35" customFormat="1" ht="12.75" collapsed="1">
      <c r="B599" s="42" t="s">
        <v>19</v>
      </c>
      <c r="C599" s="48"/>
      <c r="D599" s="37"/>
      <c r="E599" s="37"/>
      <c r="F599" s="37"/>
      <c r="G599" s="37"/>
      <c r="H599" s="37"/>
      <c r="I599" s="147"/>
      <c r="J599" s="176"/>
      <c r="K599" s="154"/>
      <c r="L599" s="37"/>
      <c r="M599" s="147"/>
      <c r="N599" s="176"/>
      <c r="O599" s="154"/>
      <c r="P599" s="37"/>
      <c r="Q599" s="147"/>
    </row>
    <row r="655" ht="12.75"/>
    <row r="65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814" ht="12.75"/>
    <row r="815" ht="12.75"/>
    <row r="816" ht="12.75"/>
    <row r="817" ht="12.75"/>
    <row r="818" ht="12.75"/>
    <row r="978" ht="12.75"/>
    <row r="979" ht="12.75"/>
    <row r="980" ht="12.75"/>
    <row r="1001" ht="12.75"/>
    <row r="1002" ht="12.75"/>
    <row r="1003" ht="12.75"/>
  </sheetData>
  <sheetProtection/>
  <printOptions horizontalCentered="1"/>
  <pageMargins left="0.25" right="0.71" top="0.76" bottom="0.5" header="0.25" footer="0.25"/>
  <pageSetup fitToHeight="0" horizontalDpi="600" verticalDpi="600" orientation="landscape" scale="63" r:id="rId3"/>
  <headerFooter alignWithMargins="0">
    <oddFooter>&amp;L&amp;8&amp;D&amp;C&amp;8Page &amp;P of &amp;N&amp;R&amp;8&amp;Z&amp;F</oddFooter>
  </headerFooter>
  <rowBreaks count="2" manualBreakCount="2">
    <brk id="242" min="1" max="12" man="1"/>
    <brk id="526" min="1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E44"/>
  <sheetViews>
    <sheetView zoomScalePageLayoutView="0" workbookViewId="0" topLeftCell="B1">
      <selection activeCell="C7" sqref="C7"/>
    </sheetView>
  </sheetViews>
  <sheetFormatPr defaultColWidth="9.140625" defaultRowHeight="12.75"/>
  <cols>
    <col min="1" max="1" width="19.7109375" style="6" bestFit="1" customWidth="1"/>
    <col min="2" max="2" width="2.28125" style="6" customWidth="1"/>
    <col min="3" max="3" width="44.421875" style="6" customWidth="1"/>
    <col min="4" max="4" width="1.7109375" style="6" customWidth="1"/>
    <col min="5" max="5" width="45.7109375" style="2" customWidth="1"/>
    <col min="6" max="16384" width="9.140625" style="6" customWidth="1"/>
  </cols>
  <sheetData>
    <row r="2" spans="1:3" ht="12.75">
      <c r="A2" s="6" t="s">
        <v>1</v>
      </c>
      <c r="C2" s="3" t="s">
        <v>346</v>
      </c>
    </row>
    <row r="3" spans="1:3" ht="12.75">
      <c r="A3" s="6" t="s">
        <v>2</v>
      </c>
      <c r="C3" s="3" t="s">
        <v>15</v>
      </c>
    </row>
    <row r="4" spans="1:3" ht="12.75">
      <c r="A4" s="6" t="s">
        <v>3</v>
      </c>
      <c r="C4" s="3" t="s">
        <v>16</v>
      </c>
    </row>
    <row r="5" spans="1:3" ht="12.75">
      <c r="A5" s="6" t="s">
        <v>4</v>
      </c>
      <c r="C5" s="3" t="s">
        <v>347</v>
      </c>
    </row>
    <row r="6" spans="1:3" ht="12.75">
      <c r="A6" s="6" t="s">
        <v>5</v>
      </c>
      <c r="C6" s="3" t="s">
        <v>346</v>
      </c>
    </row>
    <row r="7" spans="1:3" ht="12.75">
      <c r="A7" s="6" t="s">
        <v>6</v>
      </c>
      <c r="C7" s="4">
        <v>40881</v>
      </c>
    </row>
    <row r="8" spans="1:3" ht="12.75">
      <c r="A8" s="6" t="s">
        <v>7</v>
      </c>
      <c r="C8" s="3" t="s">
        <v>348</v>
      </c>
    </row>
    <row r="9" spans="1:3" ht="12.75">
      <c r="A9" s="6" t="s">
        <v>8</v>
      </c>
      <c r="C9" s="3" t="s">
        <v>348</v>
      </c>
    </row>
    <row r="10" spans="1:3" ht="25.5">
      <c r="A10" s="6" t="s">
        <v>9</v>
      </c>
      <c r="C10" s="3" t="s">
        <v>349</v>
      </c>
    </row>
    <row r="11" spans="1:3" ht="12.75">
      <c r="A11" s="6" t="s">
        <v>10</v>
      </c>
      <c r="C11" s="3" t="s">
        <v>17</v>
      </c>
    </row>
    <row r="12" spans="1:3" ht="12.75">
      <c r="A12" s="6" t="s">
        <v>11</v>
      </c>
      <c r="C12" s="3" t="s">
        <v>350</v>
      </c>
    </row>
    <row r="13" spans="1:3" ht="12.75">
      <c r="A13" s="6" t="s">
        <v>12</v>
      </c>
      <c r="C13" s="3"/>
    </row>
    <row r="14" spans="1:3" ht="12.75">
      <c r="A14" s="6" t="s">
        <v>13</v>
      </c>
      <c r="C14" s="3"/>
    </row>
    <row r="15" spans="1:3" ht="12.75">
      <c r="A15" s="6" t="s">
        <v>14</v>
      </c>
      <c r="C15" s="3"/>
    </row>
    <row r="18" spans="1:5" ht="25.5">
      <c r="A18" s="6" t="s">
        <v>27</v>
      </c>
      <c r="C18" s="6" t="s">
        <v>15</v>
      </c>
      <c r="E18" s="2" t="s">
        <v>28</v>
      </c>
    </row>
    <row r="20" spans="1:5" ht="12.75">
      <c r="A20" s="6" t="s">
        <v>29</v>
      </c>
      <c r="C20" s="6" t="s">
        <v>15</v>
      </c>
      <c r="E20" s="2" t="s">
        <v>30</v>
      </c>
    </row>
    <row r="22" spans="1:5" ht="51">
      <c r="A22" s="6" t="s">
        <v>20</v>
      </c>
      <c r="C22" s="6" t="s">
        <v>15</v>
      </c>
      <c r="E22" s="2" t="s">
        <v>21</v>
      </c>
    </row>
    <row r="24" spans="1:5" ht="25.5">
      <c r="A24" s="6" t="s">
        <v>31</v>
      </c>
      <c r="C24" s="6" t="s">
        <v>15</v>
      </c>
      <c r="E24" s="2" t="s">
        <v>32</v>
      </c>
    </row>
    <row r="26" spans="1:5" ht="38.25">
      <c r="A26" s="6" t="s">
        <v>22</v>
      </c>
      <c r="C26" s="6" t="s">
        <v>15</v>
      </c>
      <c r="E26" s="2" t="s">
        <v>23</v>
      </c>
    </row>
    <row r="28" spans="1:5" ht="38.25">
      <c r="A28" s="6" t="s">
        <v>24</v>
      </c>
      <c r="C28" s="6" t="s">
        <v>15</v>
      </c>
      <c r="E28" s="2" t="s">
        <v>33</v>
      </c>
    </row>
    <row r="30" spans="1:5" ht="12.75">
      <c r="A30" s="7">
        <v>38923</v>
      </c>
      <c r="C30" s="6" t="s">
        <v>15</v>
      </c>
      <c r="E30" s="2" t="s">
        <v>34</v>
      </c>
    </row>
    <row r="32" spans="1:5" ht="25.5">
      <c r="A32" s="6" t="s">
        <v>35</v>
      </c>
      <c r="C32" s="6" t="s">
        <v>15</v>
      </c>
      <c r="E32" s="2" t="s">
        <v>36</v>
      </c>
    </row>
    <row r="34" spans="1:5" ht="76.5">
      <c r="A34" s="6" t="s">
        <v>25</v>
      </c>
      <c r="C34" s="6" t="s">
        <v>15</v>
      </c>
      <c r="E34" s="2" t="s">
        <v>26</v>
      </c>
    </row>
    <row r="36" spans="1:5" ht="12.75">
      <c r="A36" s="7">
        <v>39692</v>
      </c>
      <c r="C36" s="6" t="s">
        <v>15</v>
      </c>
      <c r="E36" s="2" t="s">
        <v>37</v>
      </c>
    </row>
    <row r="38" spans="1:5" ht="25.5">
      <c r="A38" s="6" t="s">
        <v>38</v>
      </c>
      <c r="C38" s="6" t="s">
        <v>15</v>
      </c>
      <c r="E38" s="2" t="s">
        <v>39</v>
      </c>
    </row>
    <row r="40" spans="1:5" ht="12.75">
      <c r="A40" s="6" t="s">
        <v>40</v>
      </c>
      <c r="C40" s="6" t="s">
        <v>15</v>
      </c>
      <c r="E40" s="2" t="s">
        <v>41</v>
      </c>
    </row>
    <row r="42" spans="1:5" ht="25.5">
      <c r="A42" s="6" t="s">
        <v>42</v>
      </c>
      <c r="C42" s="6" t="s">
        <v>15</v>
      </c>
      <c r="E42" s="2" t="s">
        <v>43</v>
      </c>
    </row>
    <row r="44" spans="1:5" ht="38.25">
      <c r="A44" s="6" t="s">
        <v>44</v>
      </c>
      <c r="C44" s="6" t="s">
        <v>15</v>
      </c>
      <c r="E44" s="2" t="s">
        <v>45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Kentucky Power Corp Consol Regulatory Balance Sheet</dc:title>
  <dc:subject/>
  <dc:creator>Financial Reporting / Neal Hartley</dc:creator>
  <cp:keywords/>
  <dc:description>ACCT: PRPT_ACCOUNT  BU: Scope-based</dc:description>
  <cp:lastModifiedBy>American Electric Power®</cp:lastModifiedBy>
  <cp:lastPrinted>2012-01-26T00:52:48Z</cp:lastPrinted>
  <dcterms:created xsi:type="dcterms:W3CDTF">1997-11-19T15:48:19Z</dcterms:created>
  <dcterms:modified xsi:type="dcterms:W3CDTF">2012-01-26T00:52:49Z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act Person" linkTarget="Contact_Person">
    <vt:lpwstr>Neal Hartley</vt:lpwstr>
  </property>
  <property fmtid="{D5CDD505-2E9C-101B-9397-08002B2CF9AE}" pid="3" name="Department Owner" linkTarget="Department_Owner">
    <vt:lpwstr>Financial Reporting</vt:lpwstr>
  </property>
  <property fmtid="{D5CDD505-2E9C-101B-9397-08002B2CF9AE}" pid="4" name="Account Tree" linkTarget="Account_Tree">
    <vt:lpwstr>PRPT_ACCOUNT</vt:lpwstr>
  </property>
  <property fmtid="{D5CDD505-2E9C-101B-9397-08002B2CF9AE}" pid="5" name="Business Unit Tree" linkTarget="Business_unit">
    <vt:lpwstr>Scope-based</vt:lpwstr>
  </property>
  <property fmtid="{D5CDD505-2E9C-101B-9397-08002B2CF9AE}" pid="6" name="Sunset Date" linkTarget="Sunset_date">
    <vt:filetime>2011-12-04T05:00:00Z</vt:filetime>
  </property>
  <property fmtid="{D5CDD505-2E9C-101B-9397-08002B2CF9AE}" pid="7" name="Report Description" linkTarget="Report_Description">
    <vt:lpwstr>Comparative Regulatory Balance Sheet</vt:lpwstr>
  </property>
  <property fmtid="{D5CDD505-2E9C-101B-9397-08002B2CF9AE}" pid="8" name="Report BU Name" linkTarget="BU_Name">
    <vt:lpwstr>Scope-based</vt:lpwstr>
  </property>
  <property fmtid="{D5CDD505-2E9C-101B-9397-08002B2CF9AE}" pid="9" name="Report Statment Type" linkTarget="Report_Stmt_type">
    <vt:lpwstr>Comparative Regulatory Balance Sheet</vt:lpwstr>
  </property>
</Properties>
</file>