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5" yWindow="360" windowWidth="12120" windowHeight="9075" tabRatio="254" activeTab="0"/>
  </bookViews>
  <sheets>
    <sheet name="Sheet1" sheetId="1" r:id="rId1"/>
    <sheet name="Modification History" sheetId="2" state="hidden" r:id="rId2"/>
  </sheets>
  <definedNames>
    <definedName name="Account_tree">'Modification History'!$C$5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CSA">'Sheet1'!$F$596</definedName>
    <definedName name="CSO">'Sheet1'!$F$595</definedName>
    <definedName name="Department_Owner">'Modification History'!$C$4</definedName>
    <definedName name="Keywords">'Modification History'!$C$15</definedName>
    <definedName name="NvsASD">"V2010-09-30"</definedName>
    <definedName name="NvsAutoDrillOk">"VN"</definedName>
    <definedName name="NvsDrillHyperLink" localSheetId="0">"http://psfinweb.aepsc.com/psp/fcm90prd_newwin/EMPLOYEE/ERP/c/REPORT_BOOKS.IC_RUN_DRILLDOWN.GBL?Action=A&amp;NVS_INSTANCE=2449124_2503574"</definedName>
    <definedName name="NvsElapsedTime">0.000833333338960074</definedName>
    <definedName name="NvsEndTime">40459.6535532407</definedName>
    <definedName name="NvsInstanceHook" localSheetId="0">"NvsMacro1"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"VY"</definedName>
    <definedName name="NvsSheetType" localSheetId="0">"M"</definedName>
    <definedName name="NvsTransLed">"VN"</definedName>
    <definedName name="NvsTree.GL_PRPT_CONS" localSheetId="0">"YSNYN"</definedName>
    <definedName name="NvsTree.PRPT_ACCOUNT" localSheetId="0">"YSNYN"</definedName>
    <definedName name="NvsTree.REGIONAL_A_CONS" localSheetId="0">"YSNYN"</definedName>
    <definedName name="NvsTreeASD">"V2099-01-01"</definedName>
    <definedName name="NvsValTbl.ACCOUNT">"GL_ACCOUNT_TBL"</definedName>
    <definedName name="NvsValTbl.AFFILIATE">"BUS_UNIT_TBL_GL"</definedName>
    <definedName name="NvsValTbl.CURRENCY_CD">"CURRENCY_CD_TBL"</definedName>
    <definedName name="_xlnm.Print_Area" localSheetId="0">'Sheet1'!$B$2:$M$569</definedName>
    <definedName name="_xlnm.Print_Titles" localSheetId="0">'Sheet1'!$B:$D,'Sheet1'!$2:$7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'Sheet1'!$B$751</definedName>
    <definedName name="search_directory_name">"R:\fcm90prd\nvision\rpts\Fin_Reports\"</definedName>
    <definedName name="Sunset_Date">'Modification History'!$C$7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F27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29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46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2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27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27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27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27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29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29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29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296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46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46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46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460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52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2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52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521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H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L52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E54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G54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E569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K54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4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  <comment ref="F594" authorId="0">
      <text>
        <r>
          <rPr>
            <sz val="8"/>
            <rFont val="Tahoma"/>
            <family val="0"/>
          </rPr>
          <t>Common Stock Authorized (shown in report in number of shares).</t>
        </r>
      </text>
    </comment>
    <comment ref="F595" authorId="0">
      <text>
        <r>
          <rPr>
            <sz val="8"/>
            <rFont val="Tahoma"/>
            <family val="0"/>
          </rPr>
          <t>Common Stock Outstanding (shown in report in number of shares).</t>
        </r>
      </text>
    </comment>
    <comment ref="H543" authorId="0">
      <text>
        <r>
          <rPr>
            <sz val="8"/>
            <rFont val="Tahoma"/>
            <family val="0"/>
          </rPr>
          <t>Footing Check - if error message is displayed there is a footing error in the above subtotal.  Enter rounding tolerance in Reserved Section.</t>
        </r>
      </text>
    </comment>
  </commentList>
</comments>
</file>

<file path=xl/sharedStrings.xml><?xml version="1.0" encoding="utf-8"?>
<sst xmlns="http://schemas.openxmlformats.org/spreadsheetml/2006/main" count="1383" uniqueCount="1321">
  <si>
    <t>%,ATT,FDESCR,UDESCR</t>
  </si>
  <si>
    <t>AEP Consolidated</t>
  </si>
  <si>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</si>
  <si>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</si>
  <si>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</si>
  <si>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</si>
  <si>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</si>
  <si>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</si>
  <si>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</si>
  <si>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</si>
  <si>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</si>
  <si>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</si>
  <si>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</si>
  <si>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</si>
  <si>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</si>
  <si>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</si>
  <si>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</si>
  <si>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</si>
  <si>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</si>
  <si>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 xml:space="preserve"> </t>
  </si>
  <si>
    <t>Reserved Section</t>
  </si>
  <si>
    <t>GL_ACCT_SEC</t>
  </si>
  <si>
    <t>Family Tree Income Statement</t>
  </si>
  <si>
    <t>Income Statement used for 10K/Q and Cash Flows</t>
  </si>
  <si>
    <t>AEP Consolidated       Family Tree Income Statement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</si>
  <si>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</si>
  <si>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</si>
  <si>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</si>
  <si>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</si>
  <si>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</si>
  <si>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</si>
  <si>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</si>
  <si>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Regional_Cons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</si>
  <si>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</si>
  <si>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</si>
  <si>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</si>
  <si>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</si>
  <si>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</si>
  <si>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</si>
  <si>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</si>
  <si>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</si>
  <si>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</si>
  <si>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</si>
  <si>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</si>
  <si>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</si>
  <si>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</si>
  <si>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</si>
  <si>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</si>
  <si>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Acct:   GL_ACCT_SEC
BU:     Regional_Cons
Sunset: 12/4/2009 1:00:00 AM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</si>
  <si>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</si>
  <si>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</si>
  <si>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</si>
  <si>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</si>
  <si>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%,C</t>
  </si>
  <si>
    <t>$</t>
  </si>
  <si>
    <t>%</t>
  </si>
  <si>
    <t xml:space="preserve">Report as of Date: </t>
  </si>
  <si>
    <t>Rounding Tolerance:</t>
  </si>
  <si>
    <t>Error Message Counter</t>
  </si>
  <si>
    <t>Total Error Message Count</t>
  </si>
  <si>
    <t>RID   Report ID</t>
  </si>
  <si>
    <t>LYN   Report Layout</t>
  </si>
  <si>
    <t>RBN   Report Request</t>
  </si>
  <si>
    <t>RBU   Request Bus Unit</t>
  </si>
  <si>
    <t>SCN   Scope Decrip</t>
  </si>
  <si>
    <t>SCD   Scope Description</t>
  </si>
  <si>
    <t>SFD   Scope Field Descr</t>
  </si>
  <si>
    <t>SFV   Scope Field Value</t>
  </si>
  <si>
    <t>STN   Scope Tree Name</t>
  </si>
  <si>
    <t>Elapsed Run Time</t>
  </si>
  <si>
    <t>BUN   Business Unit</t>
  </si>
  <si>
    <t>Variance</t>
  </si>
  <si>
    <t xml:space="preserve">  </t>
  </si>
  <si>
    <t>NET ELECTRIC UTILITY PLANT</t>
  </si>
  <si>
    <t>REGULATORY ASSETS</t>
  </si>
  <si>
    <t>TOTAL DEFERRED CHARGES</t>
  </si>
  <si>
    <t>TOTAL ASSETS</t>
  </si>
  <si>
    <t>ASSETS</t>
  </si>
  <si>
    <t>Construction Work-In-Progress</t>
  </si>
  <si>
    <t>General Plant</t>
  </si>
  <si>
    <t>Plant In Service</t>
  </si>
  <si>
    <t>ELECTRIC UTILITY PLANT</t>
  </si>
  <si>
    <t>less Accum Provision - Depre, Depl, Amort.</t>
  </si>
  <si>
    <t>Net NonUtility Property</t>
  </si>
  <si>
    <t>Investment in Subsidiary &amp; Associated</t>
  </si>
  <si>
    <t>Other Investments</t>
  </si>
  <si>
    <t>Other Special Funds</t>
  </si>
  <si>
    <t>Allowance - NonCurrent</t>
  </si>
  <si>
    <t>Long Term Energy Trading Contracts</t>
  </si>
  <si>
    <t>Gross NonUtility Property</t>
  </si>
  <si>
    <t>Less Depr &amp; Amort NonUtility Property</t>
  </si>
  <si>
    <t>Other Property Investments</t>
  </si>
  <si>
    <t>%,LACTUALS,SBAL</t>
  </si>
  <si>
    <t>%,LACTUALS,SADJBAL-1YR</t>
  </si>
  <si>
    <t>Cash and Cash Equivalents</t>
  </si>
  <si>
    <t>Special Deposits</t>
  </si>
  <si>
    <t>Miscellaneous Working Funds</t>
  </si>
  <si>
    <t>Other Intercompany Adj Working Funds</t>
  </si>
  <si>
    <t>Temporary Cash Investments</t>
  </si>
  <si>
    <t>Special Deposits and Working Funds</t>
  </si>
  <si>
    <t>Advances to Affiliates</t>
  </si>
  <si>
    <t>Acct Rec - Customers</t>
  </si>
  <si>
    <t>Acct Rec - Miscellaneous</t>
  </si>
  <si>
    <t>Acct Rec - AP for Uncollectible Accounts</t>
  </si>
  <si>
    <t>Acct Rec - Associated Companies</t>
  </si>
  <si>
    <t>Fuel Stock</t>
  </si>
  <si>
    <t>Materials and Supplies</t>
  </si>
  <si>
    <t>Accrued Utility Revenues</t>
  </si>
  <si>
    <t>Energy Trading</t>
  </si>
  <si>
    <t>Prepayments</t>
  </si>
  <si>
    <t>Other Current Assets</t>
  </si>
  <si>
    <t>NJH%,FACCOUNT,TPRPT_ACCOUNT,NELEC_UTIL_PLNT_TOT</t>
  </si>
  <si>
    <t>NJH%,FACCOUNT,TPRPT_ACCOUNT,NELEC_UTILITY_PLT</t>
  </si>
  <si>
    <t>NJH%,FACCOUNT,TPRPT_ACCOUNT,NCURRENT_ASSETS</t>
  </si>
  <si>
    <t>NJH%,FACCOUNT,TPRPT_ACCOUNT,NOTHER_PROP&amp;INVEST</t>
  </si>
  <si>
    <t>%,FACCOUNT,X,TPRPT_ACCOUNT,NCONSOL_SUBS_EQUITY</t>
  </si>
  <si>
    <t xml:space="preserve"> Investment in Consol Subsidiaries</t>
  </si>
  <si>
    <t xml:space="preserve"> Investment in NonConsol Subsidiaries</t>
  </si>
  <si>
    <t xml:space="preserve"> Investment in NonConsol Subs Cost Basis</t>
  </si>
  <si>
    <t>%,FACCOUNT,X,TPRPT_ACCOUNT,NNONCONSOL_SUB_EQUITY</t>
  </si>
  <si>
    <t>%,FACCOUNT,X,TPRPT_ACCOUNT,NNONCONSOL_COST_BASIS</t>
  </si>
  <si>
    <t>%,AFF,FACCOUNT,UACCOUNT</t>
  </si>
  <si>
    <t>Plant Materials and Supplies</t>
  </si>
  <si>
    <t>Merchandise</t>
  </si>
  <si>
    <t>Allowance Inventory</t>
  </si>
  <si>
    <t>Stores Expenses</t>
  </si>
  <si>
    <t>%,FACCOUNT,TPRPT_ACCOUNT,X,NFUEL</t>
  </si>
  <si>
    <t>%,FACCOUNT,TPRPT_ACCOUNT,X,NOTHER_MAT_&amp;_SUPPLIES</t>
  </si>
  <si>
    <t>%,FACCOUNT,TPRPT_ACCOUNT,X,NMERCHANDISE</t>
  </si>
  <si>
    <t>%,FACCOUNT,TPRPT_ACCOUNT,X,NALLOWANCES_CURRENT</t>
  </si>
  <si>
    <t>%,FACCOUNT,TPRPT_ACCOUNT,X,NSTORES_EXPENSE</t>
  </si>
  <si>
    <t>%,FACCOUNT,TPRPT_ACCOUNT,X,NACCR_UTL_REVENUES</t>
  </si>
  <si>
    <t>%,FACCOUNT,TPRPT_ACCOUNT,X,NENERGY_TRADING</t>
  </si>
  <si>
    <t>%,FACCOUNT,TPRPT_ACCOUNT,X,NPREPAYMENTS</t>
  </si>
  <si>
    <t>%,FACCOUNT,TPRPT_ACCOUNT,X,NOTHR_CURR_ASSETS</t>
  </si>
  <si>
    <t>%,FACCOUNT,TPRPT_ACCOUNT,X,NCASH</t>
  </si>
  <si>
    <t>%,FACCOUNT,TPRPT_ACCOUNT,X,NSPECIAL_DEPOSITS</t>
  </si>
  <si>
    <t>%,FACCOUNT,TPRPT_ACCOUNT,X,NOICA_WORKING_FUNDS</t>
  </si>
  <si>
    <t>%,FACCOUNT,TPRPT_ACCOUNT,X,NMISC_WORKING_FUNDS</t>
  </si>
  <si>
    <t>%,FACCOUNT,TPRPT_ACCOUNT,X,NTEMPORARY_INVESTMENT</t>
  </si>
  <si>
    <t>%,FACCOUNT,TPRPT_ACCOUNT,X,NADV_TO_AFFILIATES</t>
  </si>
  <si>
    <t>%,FACCOUNT,TPRPT_ACCOUNT,X,NCUSTOMERS</t>
  </si>
  <si>
    <t>%,FACCOUNT,TPRPT_ACCOUNT,X,NMISC_ACCOUNTS_REC</t>
  </si>
  <si>
    <t>%,FACCOUNT,TPRPT_ACCOUNT,X,NACCM_PROV_UNCOL_ACCT</t>
  </si>
  <si>
    <t>%,FACCOUNT,TPRPT_ACCOUNT,X,NASSOCIATED_COMPANIES</t>
  </si>
  <si>
    <t>OTHER PROPERTY AND INVESTMENTS</t>
  </si>
  <si>
    <t>CURRENT ASSETS</t>
  </si>
  <si>
    <t>Miscellaneous Regulatory Assets</t>
  </si>
  <si>
    <t>Unamortized Loss on Reacquired Debt</t>
  </si>
  <si>
    <t>%,FACCOUNT,TPRPT_ACCOUNT,X,NOTHER_REG_ASSETS</t>
  </si>
  <si>
    <t>%,FACCOUNT,TPRPT_ACCOUNT,X,NUNAM_L_REAQ_DEBT</t>
  </si>
  <si>
    <t>Unamortized Debt Expense</t>
  </si>
  <si>
    <t>Clearing Accounts</t>
  </si>
  <si>
    <t>Other Deferred Debits</t>
  </si>
  <si>
    <t>Accumulated Deferred Income Taxes</t>
  </si>
  <si>
    <t>%,FACCOUNT,TPRPT_ACCOUNT,X,NDFIT_DSIT_RECLASS</t>
  </si>
  <si>
    <t>%,FACCOUNT,TPRPT_ACCOUNT,X,NOTHR_DEFERRED_DEBITS</t>
  </si>
  <si>
    <t>%,FACCOUNT,TPRPT_ACCOUNT,X,NCLEARING_ACCOUNTS</t>
  </si>
  <si>
    <t>NJH%,FACCOUNT,TPRPT_ACCOUNT,NOTH_DEFERRED_DR</t>
  </si>
  <si>
    <t>NJH%,FACCOUNT,TPRPT_ACCOUNT,NTOTAL_REG_ASSETS</t>
  </si>
  <si>
    <t>%,FACCOUNT,TPRPT_ACCOUNT,NASSETS</t>
  </si>
  <si>
    <t>%,FACCOUNT,TPRPT_ACCOUNT,X,N1210_NONUTILITY_PROP</t>
  </si>
  <si>
    <t>%,FACCOUNT,TPRPT_ACCOUNT,X,NACCM_PROV_DEP_DEPL_A</t>
  </si>
  <si>
    <t>%,FACCOUNT,TPRPT_ACCOUNT,X,N1240_OTHER_PROP</t>
  </si>
  <si>
    <t>%,FACCOUNT,TPRPT_ACCOUNT,X,NOTHER_INVESTMENTS</t>
  </si>
  <si>
    <t>%,FACCOUNT,TPRPT_ACCOUNT,X,NOTHER_SPECIAL_FUNDS</t>
  </si>
  <si>
    <t>%,FACCOUNT,TPRPT_ACCOUNT,X,NALLOWANCE_NONCURRENT</t>
  </si>
  <si>
    <t>%,FACCOUNT,TPRPT_ACCOUNT,XDYYNYN00,NLT_TRADING_CONTRACT</t>
  </si>
  <si>
    <t>%,FACCOUNT,TPRPT_ACCOUNT,X,NCUM_PRV_DEP_DPL_AMRT</t>
  </si>
  <si>
    <t>%,FACCOUNT,TPRPT_ACCOUNT,X,NGENERAL_LEASED,NGENERAL_FUTURE,NGENERAL_OWNED</t>
  </si>
  <si>
    <t>%,FACCOUNT,TPRPT_ACCOUNT,X,NCONST_WORK_IN_PROG</t>
  </si>
  <si>
    <t>%,FACCOUNT,TPRPT_ACCOUNT,X,NUNAMT_DEBT_EXPENSE</t>
  </si>
  <si>
    <t>ERROR does not foot</t>
  </si>
  <si>
    <t>1st Error Message Shown:</t>
  </si>
  <si>
    <t>2ndError Message Shown:</t>
  </si>
  <si>
    <t>C</t>
  </si>
  <si>
    <t>CAPITALIZATION</t>
  </si>
  <si>
    <t>COMMON STOCK</t>
  </si>
  <si>
    <t>COMMON SHAREHOLDERS' EQUITY</t>
  </si>
  <si>
    <t>CUMULATIVE PREFERRED STOCK</t>
  </si>
  <si>
    <t>TRUST PREFERRED SECURITIES</t>
  </si>
  <si>
    <t/>
  </si>
  <si>
    <t>Common Stock</t>
  </si>
  <si>
    <t>Premium on Capital Stock</t>
  </si>
  <si>
    <t>Paid-In-Capital</t>
  </si>
  <si>
    <t>PS Subject To Mandatory Redemption</t>
  </si>
  <si>
    <t>PS Not Subject Mandatory Redemption</t>
  </si>
  <si>
    <t>Long-Term Debt Less Amt Due 1 Yr</t>
  </si>
  <si>
    <t>CAPITALIZATION and LIABILITIES</t>
  </si>
  <si>
    <t>Other NonCurrent Liabilities</t>
  </si>
  <si>
    <t>Obligations Under Capital  Lease-NonCurrent</t>
  </si>
  <si>
    <t>Accumulated Provision Rate Relief</t>
  </si>
  <si>
    <t>Accumlated Provision - Miscellanous</t>
  </si>
  <si>
    <t>Preferred Stock Due Within 1 Year</t>
  </si>
  <si>
    <t>Long-Term Debt Due Within 1 Year</t>
  </si>
  <si>
    <t>Accumulated Provision Due Within 1 Year</t>
  </si>
  <si>
    <t>Short-Term Debt</t>
  </si>
  <si>
    <t>Advances from Affiliates</t>
  </si>
  <si>
    <t>A/P General</t>
  </si>
  <si>
    <t>A/P Associated Companies</t>
  </si>
  <si>
    <t>Customer Deposits</t>
  </si>
  <si>
    <t>Taxes Accrued</t>
  </si>
  <si>
    <t>Interest Accrued</t>
  </si>
  <si>
    <t>Dividends Accrued</t>
  </si>
  <si>
    <t>Obligation Under Capital Leases</t>
  </si>
  <si>
    <t>Energy Contracts Current</t>
  </si>
  <si>
    <t>Other Current and Accrued Liabilities</t>
  </si>
  <si>
    <t>Tax Collections Payable</t>
  </si>
  <si>
    <t>Revenue Refunds Accured</t>
  </si>
  <si>
    <t>Accrued Rents - Affiliated</t>
  </si>
  <si>
    <t>Accrued Rents - NonAffiliated</t>
  </si>
  <si>
    <t>Accrued Rents</t>
  </si>
  <si>
    <t>Accrued Vacations</t>
  </si>
  <si>
    <t>Miscellaneous Employee Benefits</t>
  </si>
  <si>
    <t>Employee Benefits</t>
  </si>
  <si>
    <t>Payroll Deductions</t>
  </si>
  <si>
    <t>Accrued Workers' Compensation</t>
  </si>
  <si>
    <t>Miscellaneous Current and Accrued Liab</t>
  </si>
  <si>
    <t>Deferred Income Taxes</t>
  </si>
  <si>
    <t>Deferred Investment Tax Credits</t>
  </si>
  <si>
    <t>Regulatory Liabilities</t>
  </si>
  <si>
    <t>Long-Term Energy Trading Contracts</t>
  </si>
  <si>
    <t>Customer Advances for Construction</t>
  </si>
  <si>
    <t>Deferred Gains on Sale/Leaseback</t>
  </si>
  <si>
    <t>Deferred Gains on Dispostion of Utility Plant</t>
  </si>
  <si>
    <t>Other Deferred Credits</t>
  </si>
  <si>
    <t>Deferred Credits</t>
  </si>
  <si>
    <t>Current Liabilities</t>
  </si>
  <si>
    <t>DEFERED CREDITS &amp; REGULATED LIABILITIES</t>
  </si>
  <si>
    <t>CAPITAL &amp; LIABILITIES</t>
  </si>
  <si>
    <t>Over Recover of Fuel Cost</t>
  </si>
  <si>
    <t>SFAS 106 OPEB</t>
  </si>
  <si>
    <t>Demand Side Management Credit</t>
  </si>
  <si>
    <t>Other Regulatory Liabablity</t>
  </si>
  <si>
    <t>FAS109 DFIT Reclass (Acct 254)</t>
  </si>
  <si>
    <t>Unamortized Gain on Reacquired Debt</t>
  </si>
  <si>
    <t>Retained Earnings</t>
  </si>
  <si>
    <t>NJH%,FACCOUNT,TPRPT_ACCOUNT,X,NNET_NONUTIL_PROP</t>
  </si>
  <si>
    <t>NJH%,FACCOUNT,TPRPT_ACCOUNT,NSUBSIDIARIES</t>
  </si>
  <si>
    <t>NJH%,FACCOUNT,TPRPT_ACCOUNT,NTOTAL_SPEC_AND_WRKG</t>
  </si>
  <si>
    <t>NJH%,FACCOUNT,TPRPT_ACCOUNT,X,NCASH_EQUIV</t>
  </si>
  <si>
    <t>NJH%,FACCOUNT,TPRPT_ACCOUNT,X,NMATERIAL_&amp;_SUPPLIES</t>
  </si>
  <si>
    <t>OPR   Operator ID</t>
  </si>
  <si>
    <t>%,LACTUALS,SBAL-1YR</t>
  </si>
  <si>
    <t>December Balances</t>
  </si>
  <si>
    <t>Last Year</t>
  </si>
  <si>
    <t>Month End Balances</t>
  </si>
  <si>
    <t>%,FACCOUNT,TPRPT_ACCOUNT,X,NAUCTION_RATE_SECUR</t>
  </si>
  <si>
    <t>Auction Rate Securities</t>
  </si>
  <si>
    <t>%,R,FACCOUNT,TPRPT_ACCOUNT,X,NCOMMON_STOCK</t>
  </si>
  <si>
    <t>%,R,FACCOUNT,TPRPT_ACCOUNT,X,NPREMIUM_CAPITAL_STK</t>
  </si>
  <si>
    <t>%,R,FACCOUNT,TPRPT_ACCOUNT,X,NOTH_PAID-IN_CAPITAL</t>
  </si>
  <si>
    <t>%,R,FACCOUNT,TPRPT_ACCOUNT,NRETAINED_EARNINGS,NNET_INCOME</t>
  </si>
  <si>
    <t>%,R,FACCOUNT,TPRPT_ACCOUNT,NCOMM_SHAROWN_EQUITY,NNET_INCOME</t>
  </si>
  <si>
    <t>%,R,FACCOUNT,TPRPT_ACCOUNT,X,NPS_SUBJ_MAND_REDEMP</t>
  </si>
  <si>
    <t>%,R,FACCOUNT,TPRPT_ACCOUNT,X,NPS_NOT_SUBJ_MAND,NPREF_STK_SUBSCR_CONV</t>
  </si>
  <si>
    <t>%,R,FACCOUNT,TPRPT_ACCOUNT,X,NLTD_TRUST_PREF_SEC</t>
  </si>
  <si>
    <t>%,R,FACCOUNT,TPRPT_ACCOUNT,X,NTOTAL_LTD_LESS_CURR</t>
  </si>
  <si>
    <t>%,R,FACCOUNT,TPRPT_ACCOUNT,NCAPITALIZATION,NNET_INCOME</t>
  </si>
  <si>
    <t>%,R,FACCOUNT,TPRPT_ACCOUNT,X,NOBLGTN_UNDR_CAP_LEA</t>
  </si>
  <si>
    <t>%,R,FACCOUNT,TPRPT_ACCOUNT,X,NACCUM_PROV_RATE_REF</t>
  </si>
  <si>
    <t>%,R,FACCOUNT,TPRPT_ACCOUNT,X,NACCUM_PROV_-_MISC</t>
  </si>
  <si>
    <t>%,R,FACCOUNT,TPRPT_ACCOUNT,NOTH_NONCURR_LIAB</t>
  </si>
  <si>
    <t>%,R,FACCOUNT,TPRPT_ACCOUNT,X,NPS_DUE_ONE_YEAR</t>
  </si>
  <si>
    <t>%,R,FACCOUNT,TPRPT_ACCOUNT,X,NLTD_DUE_ONE_YEAR</t>
  </si>
  <si>
    <t>%,R,FACCOUNT,TPRPT_ACCOUNT,X,NACCM_PROV_DUE_ONE_YR</t>
  </si>
  <si>
    <t>%,R,FACCOUNT,TPRPT_ACCOUNT,X,NSHORT_TERM_DEBT</t>
  </si>
  <si>
    <t>%,R,FACCOUNT,TPRPT_ACCOUNT,X,NADV_FROM_AFFILIATES</t>
  </si>
  <si>
    <t>%,R,FACCOUNT,TPRPT_ACCOUNT,X,NGENERAL</t>
  </si>
  <si>
    <t>%,R,FACCOUNT,TPRPT_ACCOUNT,X,NACCTS_PAY_AFFIL,NNOTES_PAYABLE_AFFIL</t>
  </si>
  <si>
    <t>%,R,FACCOUNT,TPRPT_ACCOUNT,X,NCUSTOMER_DEPOSITS</t>
  </si>
  <si>
    <t>%,R,FACCOUNT,TPRPT_ACCOUNT,X,NTAXES_ACCRUED</t>
  </si>
  <si>
    <t>%,R,FACCOUNT,TPRPT_ACCOUNT,X,NINTEREST_ACCRUED</t>
  </si>
  <si>
    <t>%,R,FACCOUNT,TPRPT_ACCOUNT,X,NDIVIDENDS_DECLARED</t>
  </si>
  <si>
    <t>%,R,FACCOUNT,TPRPT_ACCOUNT,X,NOBLGTN_UNDR_CAP_LSES</t>
  </si>
  <si>
    <t>%,R,FACCOUNT,TPRPT_ACCOUNT,X,NENERGY_CONTRACTS_CUR</t>
  </si>
  <si>
    <t>%,R,FACCOUNT,TPRPT_ACCOUNT,X,NTAX_COLLECT_PAYABLE</t>
  </si>
  <si>
    <t>%,R,FACCOUNT,TPRPT_ACCOUNT,X,NREVENUE_REFUNDS_ACCR</t>
  </si>
  <si>
    <t>%,R,FACCOUNT,TPRPT_ACCOUNT,X,NACCRUED_RENTS_AFFIL</t>
  </si>
  <si>
    <t>%,R,FACCOUNT,TPRPT_ACCOUNT,X,NACCRD_RENTS_NONAFIL</t>
  </si>
  <si>
    <t>%,R,FACCOUNT,TPRPT_ACCOUNT,NACCRUED_RENTS</t>
  </si>
  <si>
    <t>%,R,FACCOUNT,TPRPT_ACCOUNT,X,NACCRUED_VACATIONS</t>
  </si>
  <si>
    <t>%,R,FACCOUNT,TPRPT_ACCOUNT,X,NMISC_EMPLOYEE_BENEF</t>
  </si>
  <si>
    <t>%,R,FACCOUNT,TPRPT_ACCOUNT,NEMPLOYEE_BENEFITS</t>
  </si>
  <si>
    <t>%,R,FACCOUNT,TPRPT_ACCOUNT,X,NPAYROLL_DEDUCTIONS</t>
  </si>
  <si>
    <t>%,R,FACCOUNT,TPRPT_ACCOUNT,X,NACCRD_WORKERS'_COMP</t>
  </si>
  <si>
    <t>%,R,FACCOUNT,TPRPT_ACCOUNT,X,NMISC_CURR_AND_ACCRD</t>
  </si>
  <si>
    <t>%,R,FACCOUNT,TPRPT_ACCOUNT,NCURRENT_LIABILITY</t>
  </si>
  <si>
    <t>%,R,FACCOUNT,TPRPT_ACCOUNT,X,NNET_DEF_INCOME_TAXES</t>
  </si>
  <si>
    <t>%,R,FACCOUNT,TPRPT_ACCOUNT,X,NACCUM_DFRD_INVEST_CR</t>
  </si>
  <si>
    <t>%,R,FACCOUNT,TPRPT_ACCOUNT,X,NOVER_RECOVERY_FUEL</t>
  </si>
  <si>
    <t>%,R,FACCOUNT,TPRPT_ACCOUNT,X,NSFAS106_OPEB</t>
  </si>
  <si>
    <t>%,R,FACCOUNT,TPRPT_ACCOUNT,X,NDEMAND_SIDE_MGMT_CR</t>
  </si>
  <si>
    <t>%,R,FACCOUNT,TPRPT_ACCOUNT,X,NOTH_REG_LIABILITIES</t>
  </si>
  <si>
    <t>%,R,FACCOUNT,TPRPT_ACCOUNT,X,NFAS109_RECLASS</t>
  </si>
  <si>
    <t>%,R,FACCOUNT,TPRPT_ACCOUNT,X,NUNAM_G_REAQ_DEBT</t>
  </si>
  <si>
    <t>%,R,FACCOUNT,TPRPT_ACCOUNT,XDYYNYN00,NLT_ENERGY_TRADING</t>
  </si>
  <si>
    <t>%,R,FACCOUNT,TPRPT_ACCOUNT,XDYYNYN00,NCUST_ADV_FOR_CONST</t>
  </si>
  <si>
    <t>%,R,FACCOUNT,TPRPT_ACCOUNT,XDYYNYN00,NDEF_GAIN_SALE_LEASEB</t>
  </si>
  <si>
    <t>%,R,FACCOUNT,TPRPT_ACCOUNT,XDYYNYN00,NDEF_GN_DISP_UTIL_PLT</t>
  </si>
  <si>
    <t>%,R,FACCOUNT,TPRPT_ACCOUNT,XDYYNYN00,NOTHER_DEFERRED_CR</t>
  </si>
  <si>
    <t>%,R,FACCOUNT,TPRPT_ACCOUNT,NTOTAL_DEF_CREDITS</t>
  </si>
  <si>
    <t>%,R,FACCOUNT,TPRPT_ACCOUNT,NNET_DEF_INCOME_TAXES,NACCUM_DFRD_INVEST_CR,NTOTAL_REG_LIAB,NTOTAL_DEF_CREDITS</t>
  </si>
  <si>
    <t>%,R,FACCOUNT,TPRPT_ACCOUNT,NCAPITALIZATION,NLIABILITIES,NNET_INCOME</t>
  </si>
  <si>
    <t>BALANCE AT BEGINNING OF YEAR</t>
  </si>
  <si>
    <t>BALANCE AT END OF PERIOD (A)</t>
  </si>
  <si>
    <t>Appropriated Retained Earnings</t>
  </si>
  <si>
    <t>Appr Retnd Erngs - Amrt Rsv, Fed</t>
  </si>
  <si>
    <t>Unapprp Retained Earnings Unrestr</t>
  </si>
  <si>
    <t>Unapprp Retained Earnings Restr</t>
  </si>
  <si>
    <t>Net Income Transferred</t>
  </si>
  <si>
    <t>216.1</t>
  </si>
  <si>
    <t>TOTAL RETAINED EARNINGS</t>
  </si>
  <si>
    <t>Statement of Retained Earnings</t>
  </si>
  <si>
    <t>Dividend Declared On Preferred Stock</t>
  </si>
  <si>
    <t>Dividend Declared On Common Stock</t>
  </si>
  <si>
    <t>Net Income (Loss)</t>
  </si>
  <si>
    <t>Total Appropriated Retained Earnings</t>
  </si>
  <si>
    <t>Current-Yr</t>
  </si>
  <si>
    <t>Prior-Yr</t>
  </si>
  <si>
    <t>DecPrYr</t>
  </si>
  <si>
    <t>Special Formulas for Retained Earnings</t>
  </si>
  <si>
    <t>(A) Represents The Following Balances At End Of Period</t>
  </si>
  <si>
    <t>Total Unappropriated Retained Earnings</t>
  </si>
  <si>
    <t>Total Unapprop Undistributed Sub Earnings</t>
  </si>
  <si>
    <t>Equity Earnings of Subsidiary Co</t>
  </si>
  <si>
    <t>Unapprop Undistributed Sub Earnings</t>
  </si>
  <si>
    <t>%,R,FACCOUNT,TPRPT_ACCOUNT,NNET_INCOME</t>
  </si>
  <si>
    <t>%,R,FACCOUNT,TPRPT_ACCOUNT,X,NDIV_DECL_ON_COMMON</t>
  </si>
  <si>
    <t>%,R,FACCOUNT,TPRPT_ACCOUNT,X,NDIV_DECL_PREFERRED</t>
  </si>
  <si>
    <t>%,R,FACCOUNT,TPRPT_ACCOUNT,NEQTY_ERNGS_SUBS</t>
  </si>
  <si>
    <t>Comparative Balance Sheet</t>
  </si>
  <si>
    <t>Deductions:</t>
  </si>
  <si>
    <t>Total Deductions</t>
  </si>
  <si>
    <t>Adjustment in Retained Earnings</t>
  </si>
  <si>
    <t>418.1</t>
  </si>
  <si>
    <t>njh%,R,FACCOUNT,TPRPT_ACCOUNT,NADJ_TO_RET_EARNINGS,NDIV_DECLARED,NAPP_RET_EAR_AMOR_FED,NAPPRO_RET_EARNINGS,NUNAPP_RET_EARNINGS,NAPPROPRIATIONS_OF_RE</t>
  </si>
  <si>
    <t>215.0</t>
  </si>
  <si>
    <t>215.1</t>
  </si>
  <si>
    <t>2160002+</t>
  </si>
  <si>
    <t>2160000-1</t>
  </si>
  <si>
    <t>less: Equity Earnings of Subsidiary Co</t>
  </si>
  <si>
    <t>Total Net Income</t>
  </si>
  <si>
    <t>CSA</t>
  </si>
  <si>
    <t>CSO</t>
  </si>
  <si>
    <t>Total Other Retained Earnings Accounts</t>
  </si>
  <si>
    <t>%,R,FACCOUNT,TPRPT_ACCOUNT,NOTH_CURR_&amp;_ACCR_LIAB</t>
  </si>
  <si>
    <t>%,R,FACCOUNT,TPRPT_ACCOUNT,NTOTAL_REG_LIAB</t>
  </si>
  <si>
    <t>%,R,FACCOUNT,TPRPT_ACCOUNT,XDYYNYN00,NRETAINED_EARNINGS</t>
  </si>
  <si>
    <t>%,R,SYTD,FACCOUNT,TPRPT_ACCOUNT,NADJ_TO_RET_EARNINGS</t>
  </si>
  <si>
    <t>%,FACCOUNT,TPRPT_ACCOUNT,X,NPRODUCTION_LEASED,NPRODUCTION_FUTURE,NPRODUCTION_OWNED,NTRANSMISSION_FUTURE,NDISTRIBUTION_FUTURE,NTRANSMISSION_LEASED,NDISTRIBUTION_LEASED,NTRANSMISSION_OWNED,NDISTRIBUTION_OWNED</t>
  </si>
  <si>
    <t>%,V1010001</t>
  </si>
  <si>
    <t>1010001</t>
  </si>
  <si>
    <t>Plant in Service</t>
  </si>
  <si>
    <t>%,V1011001</t>
  </si>
  <si>
    <t>1011001</t>
  </si>
  <si>
    <t>Capital Leases</t>
  </si>
  <si>
    <t>%,V1050001</t>
  </si>
  <si>
    <t>1050001</t>
  </si>
  <si>
    <t>Held For Fut Use</t>
  </si>
  <si>
    <t>%,V1060001</t>
  </si>
  <si>
    <t>1060001</t>
  </si>
  <si>
    <t>Const Not Classifd</t>
  </si>
  <si>
    <t>%,V1011012</t>
  </si>
  <si>
    <t>1011012</t>
  </si>
  <si>
    <t>Accrued Capital Leases</t>
  </si>
  <si>
    <t>%,V1070001</t>
  </si>
  <si>
    <t>1070001</t>
  </si>
  <si>
    <t>CWIP - Project</t>
  </si>
  <si>
    <t>%,V1011006</t>
  </si>
  <si>
    <t>1011006</t>
  </si>
  <si>
    <t>Prov-Leased Assets</t>
  </si>
  <si>
    <t>%,V1080001</t>
  </si>
  <si>
    <t>1080001</t>
  </si>
  <si>
    <t>A/P for Deprec of Plt</t>
  </si>
  <si>
    <t>%,V1080005</t>
  </si>
  <si>
    <t>1080005</t>
  </si>
  <si>
    <t>RWIP - Project Detail</t>
  </si>
  <si>
    <t>%,V1080011</t>
  </si>
  <si>
    <t>1080011</t>
  </si>
  <si>
    <t>Cost of Removal Reserve</t>
  </si>
  <si>
    <t>%,V1080013</t>
  </si>
  <si>
    <t>1080013</t>
  </si>
  <si>
    <t>ARO Removal Deprec - Accretion</t>
  </si>
  <si>
    <t>%,V1110001</t>
  </si>
  <si>
    <t>1110001</t>
  </si>
  <si>
    <t>A/P for Amort of Plt</t>
  </si>
  <si>
    <t>%,V1210001</t>
  </si>
  <si>
    <t>1210001</t>
  </si>
  <si>
    <t>Nonutility Property - Owned</t>
  </si>
  <si>
    <t>%,V1220001</t>
  </si>
  <si>
    <t>1220001</t>
  </si>
  <si>
    <t>Depr&amp;Amrt of Nonutl Prop-Ownd</t>
  </si>
  <si>
    <t>%,V1220003</t>
  </si>
  <si>
    <t>1220003</t>
  </si>
  <si>
    <t>Depr&amp;Amrt of Nonutl Prop-WIP</t>
  </si>
  <si>
    <t>%,V1240029</t>
  </si>
  <si>
    <t>1240029</t>
  </si>
  <si>
    <t>Other Property - CPR</t>
  </si>
  <si>
    <t>%,V1240002</t>
  </si>
  <si>
    <t>1240002</t>
  </si>
  <si>
    <t>Oth Investments-Nonassociated</t>
  </si>
  <si>
    <t>%,V1240007</t>
  </si>
  <si>
    <t>1240007</t>
  </si>
  <si>
    <t>Deferred Compensation Benefits</t>
  </si>
  <si>
    <t>%,V1240092</t>
  </si>
  <si>
    <t>1240092</t>
  </si>
  <si>
    <t>Fbr Opt Lns-In Kind Sv-Invest</t>
  </si>
  <si>
    <t>%,V1581000</t>
  </si>
  <si>
    <t>1581000</t>
  </si>
  <si>
    <t>SO2 Allowance Inventory</t>
  </si>
  <si>
    <t>%,V1750002</t>
  </si>
  <si>
    <t>1750002</t>
  </si>
  <si>
    <t>Long-Term Unreal Gns - Non Aff</t>
  </si>
  <si>
    <t>%,V1750022</t>
  </si>
  <si>
    <t>1750022</t>
  </si>
  <si>
    <t>L/T Asset MTM Collateral</t>
  </si>
  <si>
    <t>%,V1760011</t>
  </si>
  <si>
    <t>1760011</t>
  </si>
  <si>
    <t>L/T Asset for Commodity Hedges</t>
  </si>
  <si>
    <t>%,V1310000</t>
  </si>
  <si>
    <t>1310000</t>
  </si>
  <si>
    <t>Cash</t>
  </si>
  <si>
    <t>%,V1340050</t>
  </si>
  <si>
    <t>1340050</t>
  </si>
  <si>
    <t>Spec Deposit Mizuho Securities</t>
  </si>
  <si>
    <t>%,V1350002</t>
  </si>
  <si>
    <t>1350002</t>
  </si>
  <si>
    <t>Petty Cash</t>
  </si>
  <si>
    <t>%,V1450000</t>
  </si>
  <si>
    <t>1450000</t>
  </si>
  <si>
    <t>Corp Borrow Prg (NR-Assoc)</t>
  </si>
  <si>
    <t>%,V1420001</t>
  </si>
  <si>
    <t>1420001</t>
  </si>
  <si>
    <t>Customer A/R - Electric</t>
  </si>
  <si>
    <t>%,V1420005</t>
  </si>
  <si>
    <t>1420005</t>
  </si>
  <si>
    <t>Employee Loans - Current</t>
  </si>
  <si>
    <t>%,V1420014</t>
  </si>
  <si>
    <t>1420014</t>
  </si>
  <si>
    <t>Customer A/R-System Sales</t>
  </si>
  <si>
    <t>%,V1420019</t>
  </si>
  <si>
    <t>1420019</t>
  </si>
  <si>
    <t>Transmission Sales Receivable</t>
  </si>
  <si>
    <t>%,V1420022</t>
  </si>
  <si>
    <t>1420022</t>
  </si>
  <si>
    <t>Cust A/R - Factored</t>
  </si>
  <si>
    <t>%,V1420023</t>
  </si>
  <si>
    <t>1420023</t>
  </si>
  <si>
    <t>Cust A/R-System Sales - MLR</t>
  </si>
  <si>
    <t>%,V1420024</t>
  </si>
  <si>
    <t>1420024</t>
  </si>
  <si>
    <t>Cust A/R-Options &amp; Swaps - MLR</t>
  </si>
  <si>
    <t>%,V1420027</t>
  </si>
  <si>
    <t>1420027</t>
  </si>
  <si>
    <t>Low Inc Energy Asst Pr (LIEAP)</t>
  </si>
  <si>
    <t>%,V1420044</t>
  </si>
  <si>
    <t>1420044</t>
  </si>
  <si>
    <t>Customer A/R - Estimated</t>
  </si>
  <si>
    <t>%,V1420050</t>
  </si>
  <si>
    <t>1420050</t>
  </si>
  <si>
    <t>PJM AR Accrual</t>
  </si>
  <si>
    <t>%,V1420052</t>
  </si>
  <si>
    <t>1420052</t>
  </si>
  <si>
    <t>Gas Accruals</t>
  </si>
  <si>
    <t>%,V1420053</t>
  </si>
  <si>
    <t>1420053</t>
  </si>
  <si>
    <t>AR Coal Trading</t>
  </si>
  <si>
    <t>%,V1420102</t>
  </si>
  <si>
    <t>1420102</t>
  </si>
  <si>
    <t>AR Peoplesoft Billing - Cust</t>
  </si>
  <si>
    <t>%,V1430019</t>
  </si>
  <si>
    <t>1430019</t>
  </si>
  <si>
    <t>Coal Trading</t>
  </si>
  <si>
    <t>%,V1430022</t>
  </si>
  <si>
    <t>1430022</t>
  </si>
  <si>
    <t>2001 Employee Biweekly Pay Cnv</t>
  </si>
  <si>
    <t>%,V1430023</t>
  </si>
  <si>
    <t>1430023</t>
  </si>
  <si>
    <t>A/R PeopleSoft Billing System</t>
  </si>
  <si>
    <t>%,V1430081</t>
  </si>
  <si>
    <t>1430081</t>
  </si>
  <si>
    <t>Damage Recovery - Third Party</t>
  </si>
  <si>
    <t>%,V1430083</t>
  </si>
  <si>
    <t>1430083</t>
  </si>
  <si>
    <t>Damage Recovery Offset Demand</t>
  </si>
  <si>
    <t>%,V1430085</t>
  </si>
  <si>
    <t>1430085</t>
  </si>
  <si>
    <t>Gas Accruals GDA Transactions</t>
  </si>
  <si>
    <t>%,V1430086</t>
  </si>
  <si>
    <t>1430086</t>
  </si>
  <si>
    <t>AR Accrual NYMEX OTC Penults</t>
  </si>
  <si>
    <t>%,V1430087</t>
  </si>
  <si>
    <t>1430087</t>
  </si>
  <si>
    <t>%,V1430089</t>
  </si>
  <si>
    <t>1430089</t>
  </si>
  <si>
    <t>A/R - Benefits Billing</t>
  </si>
  <si>
    <t>%,V1430090</t>
  </si>
  <si>
    <t>1430090</t>
  </si>
  <si>
    <t>Accrued Broker - Power</t>
  </si>
  <si>
    <t>%,V1430102</t>
  </si>
  <si>
    <t>1430102</t>
  </si>
  <si>
    <t>AR Peoplesoft Billing - Misc</t>
  </si>
  <si>
    <t>%,V1430123</t>
  </si>
  <si>
    <t>1430123</t>
  </si>
  <si>
    <t>Accounts Receivable - LT</t>
  </si>
  <si>
    <t>%,V1710048</t>
  </si>
  <si>
    <t>1710048</t>
  </si>
  <si>
    <t>Interest Receivable -FIT -LT</t>
  </si>
  <si>
    <t>%,V1710248</t>
  </si>
  <si>
    <t>1710248</t>
  </si>
  <si>
    <t>Interest Receivable -FIT -ST</t>
  </si>
  <si>
    <t>%,V1710448</t>
  </si>
  <si>
    <t>1710448</t>
  </si>
  <si>
    <t>Interest Receivable. -SIT -ST</t>
  </si>
  <si>
    <t>%,V1720000</t>
  </si>
  <si>
    <t>1720000</t>
  </si>
  <si>
    <t>Rents Receivable</t>
  </si>
  <si>
    <t>%,V1440002</t>
  </si>
  <si>
    <t>1440002</t>
  </si>
  <si>
    <t>Uncoll Accts-Other Receivables</t>
  </si>
  <si>
    <t>%,V1440003</t>
  </si>
  <si>
    <t>1440003</t>
  </si>
  <si>
    <t>Uncoll Accts-Power Trading</t>
  </si>
  <si>
    <t>%,V1460001</t>
  </si>
  <si>
    <t>1460001</t>
  </si>
  <si>
    <t>A/R Assoc Co - InterUnit G/L</t>
  </si>
  <si>
    <t>%,V1460006</t>
  </si>
  <si>
    <t>1460006</t>
  </si>
  <si>
    <t>A/R Assoc Co - Intercompany</t>
  </si>
  <si>
    <t>%,V1460009</t>
  </si>
  <si>
    <t>1460009</t>
  </si>
  <si>
    <t>A/R Assoc Co - InterUnit A/P</t>
  </si>
  <si>
    <t>%,V1460011</t>
  </si>
  <si>
    <t>1460011</t>
  </si>
  <si>
    <t>A/R Assoc Co - Multi Pmts</t>
  </si>
  <si>
    <t>%,V1460012</t>
  </si>
  <si>
    <t>1460012</t>
  </si>
  <si>
    <t>A/R Assoc Co - Transmissn Agmt</t>
  </si>
  <si>
    <t>%,V1460019</t>
  </si>
  <si>
    <t>1460019</t>
  </si>
  <si>
    <t>A/R-Assoc Co-AEPSC-Agent</t>
  </si>
  <si>
    <t>%,V1460024</t>
  </si>
  <si>
    <t>1460024</t>
  </si>
  <si>
    <t>A/R Assoc Co - System Sales</t>
  </si>
  <si>
    <t>%,V1460025</t>
  </si>
  <si>
    <t>1460025</t>
  </si>
  <si>
    <t>Fleet - M4 - A/R</t>
  </si>
  <si>
    <t>%,V1510001</t>
  </si>
  <si>
    <t>1510001</t>
  </si>
  <si>
    <t>Fuel Stock - Coal</t>
  </si>
  <si>
    <t>%,V1510002</t>
  </si>
  <si>
    <t>1510002</t>
  </si>
  <si>
    <t>Fuel Stock - Oil</t>
  </si>
  <si>
    <t>%,V1510020</t>
  </si>
  <si>
    <t>1510020</t>
  </si>
  <si>
    <t>Fuel Stock Coal - Intransit</t>
  </si>
  <si>
    <t>%,V1520000</t>
  </si>
  <si>
    <t>1520000</t>
  </si>
  <si>
    <t>Fuel Stock Exp Undistributed</t>
  </si>
  <si>
    <t>%,V1540001</t>
  </si>
  <si>
    <t>1540001</t>
  </si>
  <si>
    <t>M&amp;S - Regular</t>
  </si>
  <si>
    <t>%,V1540004</t>
  </si>
  <si>
    <t>1540004</t>
  </si>
  <si>
    <t>M&amp;S -  Exempt Material</t>
  </si>
  <si>
    <t>%,V1540012</t>
  </si>
  <si>
    <t>1540012</t>
  </si>
  <si>
    <t>Materials &amp; Supplies - Urea</t>
  </si>
  <si>
    <t>%,V1540013</t>
  </si>
  <si>
    <t>1540013</t>
  </si>
  <si>
    <t>Transportation Inventory</t>
  </si>
  <si>
    <t>%,V1540023</t>
  </si>
  <si>
    <t>1540023</t>
  </si>
  <si>
    <t>M&amp;S Inv - Urea In-Transit</t>
  </si>
  <si>
    <t>%,V1581003</t>
  </si>
  <si>
    <t>1581003</t>
  </si>
  <si>
    <t>SO2 Allowance Inventory - Curr</t>
  </si>
  <si>
    <t>%,V1581006</t>
  </si>
  <si>
    <t>1581006</t>
  </si>
  <si>
    <t>An. NOx Comp lnv - Curr</t>
  </si>
  <si>
    <t>%,V1730000</t>
  </si>
  <si>
    <t>1730000</t>
  </si>
  <si>
    <t>%,V1730002</t>
  </si>
  <si>
    <t>1730002</t>
  </si>
  <si>
    <t>Acrd Utility Rev-Factored-Assc</t>
  </si>
  <si>
    <t>%,V1750001</t>
  </si>
  <si>
    <t>1750001</t>
  </si>
  <si>
    <t>Curr. Unreal Gains - NonAffil</t>
  </si>
  <si>
    <t>%,V1750003</t>
  </si>
  <si>
    <t>1750003</t>
  </si>
  <si>
    <t>Curr. Unrealized Gains Affil</t>
  </si>
  <si>
    <t>%,V1750009</t>
  </si>
  <si>
    <t>1750009</t>
  </si>
  <si>
    <t>S/T Option Premium Purchases</t>
  </si>
  <si>
    <t>%,V1750021</t>
  </si>
  <si>
    <t>1750021</t>
  </si>
  <si>
    <t>S/T Asset MTM Collateral</t>
  </si>
  <si>
    <t>%,V1760010</t>
  </si>
  <si>
    <t>1760010</t>
  </si>
  <si>
    <t>S/T Asset for Commodity Hedges</t>
  </si>
  <si>
    <t>%,V1650001</t>
  </si>
  <si>
    <t>1650001</t>
  </si>
  <si>
    <t>Prepaid Insurance</t>
  </si>
  <si>
    <t>%,V165000209</t>
  </si>
  <si>
    <t>165000209</t>
  </si>
  <si>
    <t>Prepaid Taxes</t>
  </si>
  <si>
    <t>%,V165000210</t>
  </si>
  <si>
    <t>165000210</t>
  </si>
  <si>
    <t>%,V1650009</t>
  </si>
  <si>
    <t>1650009</t>
  </si>
  <si>
    <t>Prepaid Carry Cost-Factored AR</t>
  </si>
  <si>
    <t>%,V1650010</t>
  </si>
  <si>
    <t>1650010</t>
  </si>
  <si>
    <t>Prepaid Pension Benefits</t>
  </si>
  <si>
    <t>%,V165001110</t>
  </si>
  <si>
    <t>165001110</t>
  </si>
  <si>
    <t>Prepaid Sales Taxes</t>
  </si>
  <si>
    <t>%,V165001209</t>
  </si>
  <si>
    <t>165001209</t>
  </si>
  <si>
    <t>Prepaid Sales/Use Taxes</t>
  </si>
  <si>
    <t>%,V165001210</t>
  </si>
  <si>
    <t>165001210</t>
  </si>
  <si>
    <t>Prepaid Use Taxes</t>
  </si>
  <si>
    <t>%,V1650014</t>
  </si>
  <si>
    <t>1650014</t>
  </si>
  <si>
    <t>FAS 158 Qual Contra Asset</t>
  </si>
  <si>
    <t>%,V1650016</t>
  </si>
  <si>
    <t>1650016</t>
  </si>
  <si>
    <t>FAS 112 ASSETS</t>
  </si>
  <si>
    <t>%,V1650021</t>
  </si>
  <si>
    <t>1650021</t>
  </si>
  <si>
    <t>Prepaid Insurance - EIS</t>
  </si>
  <si>
    <t>%,V1650023</t>
  </si>
  <si>
    <t>1650023</t>
  </si>
  <si>
    <t>Prepaid Lease</t>
  </si>
  <si>
    <t>%,V1240005</t>
  </si>
  <si>
    <t>1240005</t>
  </si>
  <si>
    <t>Spec Allowance Inv NOx</t>
  </si>
  <si>
    <t>%,V1240044</t>
  </si>
  <si>
    <t>1240044</t>
  </si>
  <si>
    <t>Spec Allowances Inv SO2</t>
  </si>
  <si>
    <t>%,V1240050</t>
  </si>
  <si>
    <t>1240050</t>
  </si>
  <si>
    <t>Spec Allowance Inventory CO2</t>
  </si>
  <si>
    <t>%,V1340018</t>
  </si>
  <si>
    <t>1340018</t>
  </si>
  <si>
    <t>Spec Deposits - Elect Trading</t>
  </si>
  <si>
    <t>%,V1340043</t>
  </si>
  <si>
    <t>1340043</t>
  </si>
  <si>
    <t>Spec Deposit UBS Securities</t>
  </si>
  <si>
    <t>%,V1340048</t>
  </si>
  <si>
    <t>1340048</t>
  </si>
  <si>
    <t>Spec Deposits-Trading Contra</t>
  </si>
  <si>
    <t>%,V1740000</t>
  </si>
  <si>
    <t>1740000</t>
  </si>
  <si>
    <t>Misc Current &amp; Accrued Assets</t>
  </si>
  <si>
    <t>%,V174001108</t>
  </si>
  <si>
    <t>174001108</t>
  </si>
  <si>
    <t>Non-Highway Fuel Tx Credt-2008</t>
  </si>
  <si>
    <t>%,V174001109</t>
  </si>
  <si>
    <t>174001109</t>
  </si>
  <si>
    <t>Non-Highway Fuel Tx Credt-2009</t>
  </si>
  <si>
    <t>%,V1860007</t>
  </si>
  <si>
    <t>1860007</t>
  </si>
  <si>
    <t>Billings and Deferred Projects</t>
  </si>
  <si>
    <t>%,V1860136</t>
  </si>
  <si>
    <t>1860136</t>
  </si>
  <si>
    <t>NonTradition Option Premiums</t>
  </si>
  <si>
    <t>%,V1823007</t>
  </si>
  <si>
    <t>1823007</t>
  </si>
  <si>
    <t>SFAS 112 Postemployment Benef</t>
  </si>
  <si>
    <t>%,V1823009</t>
  </si>
  <si>
    <t>1823009</t>
  </si>
  <si>
    <t>DSM Incentives</t>
  </si>
  <si>
    <t>%,V1823010</t>
  </si>
  <si>
    <t>1823010</t>
  </si>
  <si>
    <t>DSM Recovery</t>
  </si>
  <si>
    <t>%,V1823011</t>
  </si>
  <si>
    <t>1823011</t>
  </si>
  <si>
    <t>DSM Lost Revenues</t>
  </si>
  <si>
    <t>%,V1823012</t>
  </si>
  <si>
    <t>1823012</t>
  </si>
  <si>
    <t>DSM Program Costs</t>
  </si>
  <si>
    <t>%,V1823022</t>
  </si>
  <si>
    <t>1823022</t>
  </si>
  <si>
    <t>HRJ 765kV Post Service AFUDC</t>
  </si>
  <si>
    <t>%,V1823054</t>
  </si>
  <si>
    <t>1823054</t>
  </si>
  <si>
    <t>HRJ 765kV Depreciation Expense</t>
  </si>
  <si>
    <t>%,V1823078</t>
  </si>
  <si>
    <t>1823078</t>
  </si>
  <si>
    <t>Deferred Storm Expense</t>
  </si>
  <si>
    <t>%,V1823115</t>
  </si>
  <si>
    <t>1823115</t>
  </si>
  <si>
    <t>Defd Equity Carry Chg-Non Fuel</t>
  </si>
  <si>
    <t>%,V1823118</t>
  </si>
  <si>
    <t>1823118</t>
  </si>
  <si>
    <t>BridgeCo TO Funding</t>
  </si>
  <si>
    <t>%,V1823119</t>
  </si>
  <si>
    <t>1823119</t>
  </si>
  <si>
    <t>PJM Integration Payments</t>
  </si>
  <si>
    <t>%,V1823120</t>
  </si>
  <si>
    <t>1823120</t>
  </si>
  <si>
    <t>Other PJM Integration</t>
  </si>
  <si>
    <t>%,V1823121</t>
  </si>
  <si>
    <t>1823121</t>
  </si>
  <si>
    <t>Carry Chgs-RTO Startup Costs</t>
  </si>
  <si>
    <t>%,V1823122</t>
  </si>
  <si>
    <t>1823122</t>
  </si>
  <si>
    <t>Alliance RTO Deferred Expense</t>
  </si>
  <si>
    <t>%,V1823165</t>
  </si>
  <si>
    <t>1823165</t>
  </si>
  <si>
    <t>REG ASSET FAS 158 QUAL PLAN</t>
  </si>
  <si>
    <t>%,V1823166</t>
  </si>
  <si>
    <t>1823166</t>
  </si>
  <si>
    <t>REG ASSET FAS 158 OPEB PLAN</t>
  </si>
  <si>
    <t>%,V1823167</t>
  </si>
  <si>
    <t>1823167</t>
  </si>
  <si>
    <t>REG Asset FAS 158 SERP Plan</t>
  </si>
  <si>
    <t>%,V1823188</t>
  </si>
  <si>
    <t>1823188</t>
  </si>
  <si>
    <t>Deferred Carbon Mgmt Research</t>
  </si>
  <si>
    <t>%,V1823301</t>
  </si>
  <si>
    <t>1823301</t>
  </si>
  <si>
    <t>SFAS 109 Flow Thru Defd FIT</t>
  </si>
  <si>
    <t>%,V1823302</t>
  </si>
  <si>
    <t>1823302</t>
  </si>
  <si>
    <t>SFAS 109 Flow Thru Defrd SIT</t>
  </si>
  <si>
    <t>%,V1890004</t>
  </si>
  <si>
    <t>1890004</t>
  </si>
  <si>
    <t>Loss Rec Debt-Debentures</t>
  </si>
  <si>
    <t>%,V1810006</t>
  </si>
  <si>
    <t>1810006</t>
  </si>
  <si>
    <t>Unamort Debt Exp - Sr Unsec Nt</t>
  </si>
  <si>
    <t>%,V1830000</t>
  </si>
  <si>
    <t>1830000</t>
  </si>
  <si>
    <t>Prelimin Surv&amp;Investgtn Chrgs</t>
  </si>
  <si>
    <t>%,V1860001</t>
  </si>
  <si>
    <t>1860001</t>
  </si>
  <si>
    <t>Allowances</t>
  </si>
  <si>
    <t>%,V1860002</t>
  </si>
  <si>
    <t>1860002</t>
  </si>
  <si>
    <t>Deferred Expenses</t>
  </si>
  <si>
    <t>%,V186000308</t>
  </si>
  <si>
    <t>186000308</t>
  </si>
  <si>
    <t>Deferred Property Taxes</t>
  </si>
  <si>
    <t>%,V186000309</t>
  </si>
  <si>
    <t>186000309</t>
  </si>
  <si>
    <t>%,V1860005</t>
  </si>
  <si>
    <t>1860005</t>
  </si>
  <si>
    <t>Unidentified Cash Receipts</t>
  </si>
  <si>
    <t>%,V1860077</t>
  </si>
  <si>
    <t>1860077</t>
  </si>
  <si>
    <t>Agency Fees - Factored A/R</t>
  </si>
  <si>
    <t>%,V186008109</t>
  </si>
  <si>
    <t>186008109</t>
  </si>
  <si>
    <t>Defd Property Tax - Cap Leases</t>
  </si>
  <si>
    <t>%,V186008110</t>
  </si>
  <si>
    <t>186008110</t>
  </si>
  <si>
    <t>%,V1860153</t>
  </si>
  <si>
    <t>1860153</t>
  </si>
  <si>
    <t>Unamortized Credit Line Fees</t>
  </si>
  <si>
    <t>%,V1860160</t>
  </si>
  <si>
    <t>1860160</t>
  </si>
  <si>
    <t>Deferred Expenses - Current</t>
  </si>
  <si>
    <t>%,V1860166</t>
  </si>
  <si>
    <t>1860166</t>
  </si>
  <si>
    <t>Def Lease Assets - Non Taxable</t>
  </si>
  <si>
    <t>%,V1900006</t>
  </si>
  <si>
    <t>1900006</t>
  </si>
  <si>
    <t>ADIT Federal - SFAS 133 Nonaff</t>
  </si>
  <si>
    <t>%,V1900015</t>
  </si>
  <si>
    <t>1900015</t>
  </si>
  <si>
    <t>ADIT-Fed-Hdg-CF-Int Rate</t>
  </si>
  <si>
    <t>%,V1901001</t>
  </si>
  <si>
    <t>1901001</t>
  </si>
  <si>
    <t>Accum Deferred FIT - Other</t>
  </si>
  <si>
    <t>%,V1902001</t>
  </si>
  <si>
    <t>1902001</t>
  </si>
  <si>
    <t>Accum Defd FIT - Oth Inc &amp; Ded</t>
  </si>
  <si>
    <t>%,V1903001</t>
  </si>
  <si>
    <t>1903001</t>
  </si>
  <si>
    <t>Acc Dfd FIT - FAS109 Flow Thru</t>
  </si>
  <si>
    <t>%,V1904001</t>
  </si>
  <si>
    <t>1904001</t>
  </si>
  <si>
    <t>Accum Dfd FIT - FAS 109 Excess</t>
  </si>
  <si>
    <t>%,V2010001</t>
  </si>
  <si>
    <t>2010001</t>
  </si>
  <si>
    <t>Common Stock Issued-Affiliated</t>
  </si>
  <si>
    <t>%,V2080000</t>
  </si>
  <si>
    <t>2080000</t>
  </si>
  <si>
    <t>Donations Recvd from Stckhldrs</t>
  </si>
  <si>
    <t>%,V2190010</t>
  </si>
  <si>
    <t>2190010</t>
  </si>
  <si>
    <t>OCI for Commodity Hedges</t>
  </si>
  <si>
    <t>%,V2190015</t>
  </si>
  <si>
    <t>2190015</t>
  </si>
  <si>
    <t>Accum OCI-Hdg-CF-Int Rate</t>
  </si>
  <si>
    <t>%,V2230000</t>
  </si>
  <si>
    <t>2230000</t>
  </si>
  <si>
    <t>Advances from Associated Co</t>
  </si>
  <si>
    <t>%,V2240006</t>
  </si>
  <si>
    <t>2240006</t>
  </si>
  <si>
    <t>Senior Unsecured Notes</t>
  </si>
  <si>
    <t>%,V2260006</t>
  </si>
  <si>
    <t>2260006</t>
  </si>
  <si>
    <t>Unam Disc LTD-Dr-Sr Unsec Note</t>
  </si>
  <si>
    <t>%,V2270001</t>
  </si>
  <si>
    <t>2270001</t>
  </si>
  <si>
    <t>Obligatns Undr Cap Lse-Noncurr</t>
  </si>
  <si>
    <t>%,V2270003</t>
  </si>
  <si>
    <t>2270003</t>
  </si>
  <si>
    <t>Accrued Noncur Lease Oblig</t>
  </si>
  <si>
    <t>%,V2282003</t>
  </si>
  <si>
    <t>2282003</t>
  </si>
  <si>
    <t>Accm Prv I/D - Worker's Com</t>
  </si>
  <si>
    <t>%,V2283000</t>
  </si>
  <si>
    <t>2283000</t>
  </si>
  <si>
    <t>Accm Prv for Pensions&amp;Benefits</t>
  </si>
  <si>
    <t>%,V2283002</t>
  </si>
  <si>
    <t>2283002</t>
  </si>
  <si>
    <t>Supplemental Savings Plan</t>
  </si>
  <si>
    <t>%,V2283003</t>
  </si>
  <si>
    <t>2283003</t>
  </si>
  <si>
    <t>SFAS 106 Post Retirement Benef</t>
  </si>
  <si>
    <t>%,V2283005</t>
  </si>
  <si>
    <t>2283005</t>
  </si>
  <si>
    <t>%,V2283006</t>
  </si>
  <si>
    <t>2283006</t>
  </si>
  <si>
    <t>SFAS 87 - Pensions</t>
  </si>
  <si>
    <t>%,V2283007</t>
  </si>
  <si>
    <t>2283007</t>
  </si>
  <si>
    <t>Perf Share Incentive Plan</t>
  </si>
  <si>
    <t>%,V2283013</t>
  </si>
  <si>
    <t>2283013</t>
  </si>
  <si>
    <t>Incentive Comp Deferral Plan</t>
  </si>
  <si>
    <t>%,V2283015</t>
  </si>
  <si>
    <t>2283015</t>
  </si>
  <si>
    <t>FAS 158 SERP Payable Long Term</t>
  </si>
  <si>
    <t>%,V2283016</t>
  </si>
  <si>
    <t>2283016</t>
  </si>
  <si>
    <t>FAS 158 Qual Payable Long Term</t>
  </si>
  <si>
    <t>%,V2283017</t>
  </si>
  <si>
    <t>2283017</t>
  </si>
  <si>
    <t>FAS 158 OPEB Payable Long Term</t>
  </si>
  <si>
    <t>%,V2283018</t>
  </si>
  <si>
    <t>2283018</t>
  </si>
  <si>
    <t>SFAS 106 Med Part-D</t>
  </si>
  <si>
    <t>%,V2300001</t>
  </si>
  <si>
    <t>2300001</t>
  </si>
  <si>
    <t>Asset Retirement Obligations</t>
  </si>
  <si>
    <t>%,V2330000</t>
  </si>
  <si>
    <t>2330000</t>
  </si>
  <si>
    <t>Corp Borrow Program (NP-Assoc)</t>
  </si>
  <si>
    <t>%,V2320001</t>
  </si>
  <si>
    <t>2320001</t>
  </si>
  <si>
    <t>Accounts Payable - Regular</t>
  </si>
  <si>
    <t>%,V2320002</t>
  </si>
  <si>
    <t>2320002</t>
  </si>
  <si>
    <t>Unvouchered Invoices</t>
  </si>
  <si>
    <t>%,V2320003</t>
  </si>
  <si>
    <t>2320003</t>
  </si>
  <si>
    <t>Retention</t>
  </si>
  <si>
    <t>%,V2320006</t>
  </si>
  <si>
    <t>2320006</t>
  </si>
  <si>
    <t>Allowance Settlements</t>
  </si>
  <si>
    <t>%,V2320011</t>
  </si>
  <si>
    <t>2320011</t>
  </si>
  <si>
    <t>Uninvoiced Fuel</t>
  </si>
  <si>
    <t>%,V2320050</t>
  </si>
  <si>
    <t>2320050</t>
  </si>
  <si>
    <t>%,V2320052</t>
  </si>
  <si>
    <t>2320052</t>
  </si>
  <si>
    <t>Accounts Payable - Purch Power</t>
  </si>
  <si>
    <t>%,V2320053</t>
  </si>
  <si>
    <t>2320053</t>
  </si>
  <si>
    <t>Elect Trad-Options&amp;Swaps</t>
  </si>
  <si>
    <t>%,V2320054</t>
  </si>
  <si>
    <t>2320054</t>
  </si>
  <si>
    <t>Emission Allowance Trading</t>
  </si>
  <si>
    <t>%,V2320056</t>
  </si>
  <si>
    <t>2320056</t>
  </si>
  <si>
    <t>Gas Physicals</t>
  </si>
  <si>
    <t>%,V2320062</t>
  </si>
  <si>
    <t>2320062</t>
  </si>
  <si>
    <t>Broker Fees Payable</t>
  </si>
  <si>
    <t>%,V2320071</t>
  </si>
  <si>
    <t>2320071</t>
  </si>
  <si>
    <t>Gas Accruals GDA Trans-Payable</t>
  </si>
  <si>
    <t>%,V2320073</t>
  </si>
  <si>
    <t>2320073</t>
  </si>
  <si>
    <t>A/P Misc Dedic. Power</t>
  </si>
  <si>
    <t>%,V2320076</t>
  </si>
  <si>
    <t>2320076</t>
  </si>
  <si>
    <t>Corporate Credit Card Liab</t>
  </si>
  <si>
    <t>%,V2320077</t>
  </si>
  <si>
    <t>2320077</t>
  </si>
  <si>
    <t>INDUS Unvouchered Liabilities</t>
  </si>
  <si>
    <t>%,V2320079</t>
  </si>
  <si>
    <t>2320079</t>
  </si>
  <si>
    <t>Broker Commisn Spark/Merch Gen</t>
  </si>
  <si>
    <t>%,V2320081</t>
  </si>
  <si>
    <t>2320081</t>
  </si>
  <si>
    <t>AP Accrual NYMEX OTC &amp; Penults</t>
  </si>
  <si>
    <t>%,V2320083</t>
  </si>
  <si>
    <t>2320083</t>
  </si>
  <si>
    <t>PJM Net AP Accrual</t>
  </si>
  <si>
    <t>%,V2320086</t>
  </si>
  <si>
    <t>2320086</t>
  </si>
  <si>
    <t>%,V2320090</t>
  </si>
  <si>
    <t>2320090</t>
  </si>
  <si>
    <t>MISO AP Accrual</t>
  </si>
  <si>
    <t>%,V2340001</t>
  </si>
  <si>
    <t>2340001</t>
  </si>
  <si>
    <t>A/P Assoc Co - InterUnit G/L</t>
  </si>
  <si>
    <t>%,V2340005</t>
  </si>
  <si>
    <t>2340005</t>
  </si>
  <si>
    <t>A/P Assoc Co - Allowances</t>
  </si>
  <si>
    <t>%,V2340011</t>
  </si>
  <si>
    <t>2340011</t>
  </si>
  <si>
    <t>A/P-Assc Co-AEPSC-Agent</t>
  </si>
  <si>
    <t>%,V2340025</t>
  </si>
  <si>
    <t>2340025</t>
  </si>
  <si>
    <t>A/P Assoc Co - CM Bills</t>
  </si>
  <si>
    <t>%,V2340027</t>
  </si>
  <si>
    <t>2340027</t>
  </si>
  <si>
    <t>A/P Assoc Co - Intercompany</t>
  </si>
  <si>
    <t>%,V2340029</t>
  </si>
  <si>
    <t>2340029</t>
  </si>
  <si>
    <t>A/P Assoc Co - AEPSC Bills</t>
  </si>
  <si>
    <t>%,V2340030</t>
  </si>
  <si>
    <t>2340030</t>
  </si>
  <si>
    <t>A/P Assoc Co - InterUnit A/P</t>
  </si>
  <si>
    <t>%,V2340032</t>
  </si>
  <si>
    <t>2340032</t>
  </si>
  <si>
    <t>A/P Assoc Co - Multi Pmts</t>
  </si>
  <si>
    <t>%,V2340034</t>
  </si>
  <si>
    <t>2340034</t>
  </si>
  <si>
    <t>A/P Assoc Co - System Sales</t>
  </si>
  <si>
    <t>%,V2340035</t>
  </si>
  <si>
    <t>2340035</t>
  </si>
  <si>
    <t>Fleet - M4 - A/P</t>
  </si>
  <si>
    <t>%,V2340037</t>
  </si>
  <si>
    <t>2340037</t>
  </si>
  <si>
    <t>A/P Assoc-Global Borrowing Int</t>
  </si>
  <si>
    <t>%,V2340049</t>
  </si>
  <si>
    <t>2340049</t>
  </si>
  <si>
    <t>A/P Assoc -Realization Sharing</t>
  </si>
  <si>
    <t>%,V2350001</t>
  </si>
  <si>
    <t>2350001</t>
  </si>
  <si>
    <t>Customer Deposits-Active</t>
  </si>
  <si>
    <t>%,V2350003</t>
  </si>
  <si>
    <t>2350003</t>
  </si>
  <si>
    <t>Deposits - Trading Activity</t>
  </si>
  <si>
    <t>%,V2350005</t>
  </si>
  <si>
    <t>2350005</t>
  </si>
  <si>
    <t>Deposits - Trading Contra</t>
  </si>
  <si>
    <t>%,V2360001</t>
  </si>
  <si>
    <t>2360001</t>
  </si>
  <si>
    <t>Federal Income Tax</t>
  </si>
  <si>
    <t>%,V236000208</t>
  </si>
  <si>
    <t>236000208</t>
  </si>
  <si>
    <t>State Income Taxes</t>
  </si>
  <si>
    <t>%,V236000209</t>
  </si>
  <si>
    <t>236000209</t>
  </si>
  <si>
    <t>%,V236000210</t>
  </si>
  <si>
    <t>236000210</t>
  </si>
  <si>
    <t>%,V2360004</t>
  </si>
  <si>
    <t>2360004</t>
  </si>
  <si>
    <t>FICA</t>
  </si>
  <si>
    <t>%,V2360005</t>
  </si>
  <si>
    <t>2360005</t>
  </si>
  <si>
    <t>Federal Unemployment Tax</t>
  </si>
  <si>
    <t>%,V2360006</t>
  </si>
  <si>
    <t>2360006</t>
  </si>
  <si>
    <t>State Unemployment Tax</t>
  </si>
  <si>
    <t>%,V236000709</t>
  </si>
  <si>
    <t>236000709</t>
  </si>
  <si>
    <t>State Sales and Use Taxes</t>
  </si>
  <si>
    <t>%,V236000710</t>
  </si>
  <si>
    <t>236000710</t>
  </si>
  <si>
    <t>%,V236000807</t>
  </si>
  <si>
    <t>236000807</t>
  </si>
  <si>
    <t>Real &amp; Personal Property Taxes</t>
  </si>
  <si>
    <t>%,V236000808</t>
  </si>
  <si>
    <t>236000808</t>
  </si>
  <si>
    <t>%,V236000809</t>
  </si>
  <si>
    <t>236000809</t>
  </si>
  <si>
    <t>%,V236001208</t>
  </si>
  <si>
    <t>236001208</t>
  </si>
  <si>
    <t>State Franchise Taxes</t>
  </si>
  <si>
    <t>%,V236001209</t>
  </si>
  <si>
    <t>236001209</t>
  </si>
  <si>
    <t>%,V236001210</t>
  </si>
  <si>
    <t>236001210</t>
  </si>
  <si>
    <t>%,V236001609</t>
  </si>
  <si>
    <t>236001609</t>
  </si>
  <si>
    <t>State Gross Receipts Tax</t>
  </si>
  <si>
    <t>%,V236001610</t>
  </si>
  <si>
    <t>236001610</t>
  </si>
  <si>
    <t>%,V236003309</t>
  </si>
  <si>
    <t>236003309</t>
  </si>
  <si>
    <t>Pers Prop Tax-Cap Leases</t>
  </si>
  <si>
    <t>%,V236003310</t>
  </si>
  <si>
    <t>236003310</t>
  </si>
  <si>
    <t>%,V236003509</t>
  </si>
  <si>
    <t>236003509</t>
  </si>
  <si>
    <t>Real Prop Tax-Cap Leases</t>
  </si>
  <si>
    <t>%,V236003510</t>
  </si>
  <si>
    <t>236003510</t>
  </si>
  <si>
    <t>%,V2360037</t>
  </si>
  <si>
    <t>2360037</t>
  </si>
  <si>
    <t>FICA - Incentive accrual</t>
  </si>
  <si>
    <t>%,V2360038</t>
  </si>
  <si>
    <t>2360038</t>
  </si>
  <si>
    <t>Reorg Payroll Tax Accrual</t>
  </si>
  <si>
    <t>%,V2360501</t>
  </si>
  <si>
    <t>2360501</t>
  </si>
  <si>
    <t>Fed Inc Tax-Short Term FIN48</t>
  </si>
  <si>
    <t>%,V2360502</t>
  </si>
  <si>
    <t>2360502</t>
  </si>
  <si>
    <t>State Inc Tax-Short Term FIN48</t>
  </si>
  <si>
    <t>%,V2360601</t>
  </si>
  <si>
    <t>2360601</t>
  </si>
  <si>
    <t>Fed Inc Tax-Long Term FIN48</t>
  </si>
  <si>
    <t>%,V2360602</t>
  </si>
  <si>
    <t>2360602</t>
  </si>
  <si>
    <t>State Inc Tax-Long Term FIN48</t>
  </si>
  <si>
    <t>%,V2360701</t>
  </si>
  <si>
    <t>2360701</t>
  </si>
  <si>
    <t>SEC Accum Defd FIT-Util FIN 48</t>
  </si>
  <si>
    <t>%,V2360702</t>
  </si>
  <si>
    <t>2360702</t>
  </si>
  <si>
    <t>SEC Accum Defd SIT - FIN 48</t>
  </si>
  <si>
    <t>%,V2370006</t>
  </si>
  <si>
    <t>2370006</t>
  </si>
  <si>
    <t>Interest Accrd-Sen Unsec Notes</t>
  </si>
  <si>
    <t>%,V2370007</t>
  </si>
  <si>
    <t>2370007</t>
  </si>
  <si>
    <t>Interest Accrd-Customer Depsts</t>
  </si>
  <si>
    <t>%,V2370018</t>
  </si>
  <si>
    <t>2370018</t>
  </si>
  <si>
    <t>Accrued Margin Interest</t>
  </si>
  <si>
    <t>%,V2370048</t>
  </si>
  <si>
    <t>2370048</t>
  </si>
  <si>
    <t>Acrd Int.- FIT Reserve - LT</t>
  </si>
  <si>
    <t>%,V2370348</t>
  </si>
  <si>
    <t>2370348</t>
  </si>
  <si>
    <t>Acrd Int. - SIT Reserve - LT</t>
  </si>
  <si>
    <t>%,V2430001</t>
  </si>
  <si>
    <t>2430001</t>
  </si>
  <si>
    <t>Oblig Under Cap Leases - Curr</t>
  </si>
  <si>
    <t>%,V2430003</t>
  </si>
  <si>
    <t>2430003</t>
  </si>
  <si>
    <t>Accrued Cur Lease Oblig</t>
  </si>
  <si>
    <t>%,V2440001</t>
  </si>
  <si>
    <t>2440001</t>
  </si>
  <si>
    <t>Curr. Unreal Losses - NonAffil</t>
  </si>
  <si>
    <t>%,V2440003</t>
  </si>
  <si>
    <t>2440003</t>
  </si>
  <si>
    <t>Curr. Unreal Losses - Affil</t>
  </si>
  <si>
    <t>%,V2440009</t>
  </si>
  <si>
    <t>2440009</t>
  </si>
  <si>
    <t>S/T Option Premium Receipts</t>
  </si>
  <si>
    <t>%,V2440021</t>
  </si>
  <si>
    <t>2440021</t>
  </si>
  <si>
    <t>S/T Liability MTM Collateral</t>
  </si>
  <si>
    <t>%,V2450010</t>
  </si>
  <si>
    <t>2450010</t>
  </si>
  <si>
    <t>S/T Liability-Commodity Hedges</t>
  </si>
  <si>
    <t>%,V2410001</t>
  </si>
  <si>
    <t>2410001</t>
  </si>
  <si>
    <t>Federal Income Tax Withheld</t>
  </si>
  <si>
    <t>%,V2410002</t>
  </si>
  <si>
    <t>2410002</t>
  </si>
  <si>
    <t>State Income Tax Withheld</t>
  </si>
  <si>
    <t>%,V2410003</t>
  </si>
  <si>
    <t>2410003</t>
  </si>
  <si>
    <t>Local Income Tax Withheld</t>
  </si>
  <si>
    <t>%,V2410004</t>
  </si>
  <si>
    <t>2410004</t>
  </si>
  <si>
    <t>State Sales Tax Collected</t>
  </si>
  <si>
    <t>%,V2410005</t>
  </si>
  <si>
    <t>2410005</t>
  </si>
  <si>
    <t>FICA Tax Withheld</t>
  </si>
  <si>
    <t>%,V2410006</t>
  </si>
  <si>
    <t>2410006</t>
  </si>
  <si>
    <t>School District Tax Withheld</t>
  </si>
  <si>
    <t>%,V2410008</t>
  </si>
  <si>
    <t>2410008</t>
  </si>
  <si>
    <t>Franchise Fee Collected</t>
  </si>
  <si>
    <t>%,V2410009</t>
  </si>
  <si>
    <t>2410009</t>
  </si>
  <si>
    <t>KY Utility Gr Receipts Lic Tax</t>
  </si>
  <si>
    <t>%,V2420514</t>
  </si>
  <si>
    <t>2420514</t>
  </si>
  <si>
    <t>Revenue Refunds Accrued</t>
  </si>
  <si>
    <t>%,V2420504</t>
  </si>
  <si>
    <t>2420504</t>
  </si>
  <si>
    <t>Accrued Lease Expense</t>
  </si>
  <si>
    <t>%,V2420020</t>
  </si>
  <si>
    <t>2420020</t>
  </si>
  <si>
    <t>Vacation Pay - This Year</t>
  </si>
  <si>
    <t>%,V2420021</t>
  </si>
  <si>
    <t>2420021</t>
  </si>
  <si>
    <t>Vacation Pay - Next Year</t>
  </si>
  <si>
    <t>%,V2420051</t>
  </si>
  <si>
    <t>2420051</t>
  </si>
  <si>
    <t>Non-Productive Payroll</t>
  </si>
  <si>
    <t>%,V2420053</t>
  </si>
  <si>
    <t>2420053</t>
  </si>
  <si>
    <t>%,V2420002</t>
  </si>
  <si>
    <t>2420002</t>
  </si>
  <si>
    <t>P/R Ded - Medical Insurance</t>
  </si>
  <si>
    <t>%,V2420003</t>
  </si>
  <si>
    <t>2420003</t>
  </si>
  <si>
    <t>P/R Ded - Dental Insurance</t>
  </si>
  <si>
    <t>%,V2420009</t>
  </si>
  <si>
    <t>2420009</t>
  </si>
  <si>
    <t>Depend Care/Flex Medical Spend</t>
  </si>
  <si>
    <t>%,V2420044</t>
  </si>
  <si>
    <t>2420044</t>
  </si>
  <si>
    <t>P/R Withholdings</t>
  </si>
  <si>
    <t>%,V2420554</t>
  </si>
  <si>
    <t>2420554</t>
  </si>
  <si>
    <t>P/R Ded - Stock Purchase Plan</t>
  </si>
  <si>
    <t>%,V2420532</t>
  </si>
  <si>
    <t>2420532</t>
  </si>
  <si>
    <t>Adm Liab-Cur-S/Ins-W/C</t>
  </si>
  <si>
    <t>%,V2420000</t>
  </si>
  <si>
    <t>2420000</t>
  </si>
  <si>
    <t>Misc Current &amp; Accrued Liab</t>
  </si>
  <si>
    <t>%,V2420027</t>
  </si>
  <si>
    <t>2420027</t>
  </si>
  <si>
    <t>FAS 112 CURRENT LIAB</t>
  </si>
  <si>
    <t>%,V2420046</t>
  </si>
  <si>
    <t>2420046</t>
  </si>
  <si>
    <t>FAS 158 SERP Payable - Current</t>
  </si>
  <si>
    <t>%,V2420071</t>
  </si>
  <si>
    <t>2420071</t>
  </si>
  <si>
    <t>P/R Ded - Vision Plan</t>
  </si>
  <si>
    <t>%,V2420072</t>
  </si>
  <si>
    <t>2420072</t>
  </si>
  <si>
    <t>P/R - Payroll Adjustment</t>
  </si>
  <si>
    <t>%,V2420076</t>
  </si>
  <si>
    <t>2420076</t>
  </si>
  <si>
    <t>P/R Savings Plan - Incentive</t>
  </si>
  <si>
    <t>%,V2420083</t>
  </si>
  <si>
    <t>2420083</t>
  </si>
  <si>
    <t>Active Med and Dental IBNR</t>
  </si>
  <si>
    <t>%,V2420511</t>
  </si>
  <si>
    <t>2420511</t>
  </si>
  <si>
    <t>Control Cash Disburse Account</t>
  </si>
  <si>
    <t>%,V2420512</t>
  </si>
  <si>
    <t>2420512</t>
  </si>
  <si>
    <t>Unclaimed Funds</t>
  </si>
  <si>
    <t>%,V2420542</t>
  </si>
  <si>
    <t>2420542</t>
  </si>
  <si>
    <t>Acc Cash Franchise Req</t>
  </si>
  <si>
    <t>%,V2420558</t>
  </si>
  <si>
    <t>2420558</t>
  </si>
  <si>
    <t>Admitted Liab NC-Self/Ins-W/C</t>
  </si>
  <si>
    <t>%,V242059209</t>
  </si>
  <si>
    <t>242059209</t>
  </si>
  <si>
    <t>Sales &amp; Use Tax - Leased Equ</t>
  </si>
  <si>
    <t>%,V242059210</t>
  </si>
  <si>
    <t>242059210</t>
  </si>
  <si>
    <t>Sales Use Tax - Leased Equip</t>
  </si>
  <si>
    <t>%,V2420598</t>
  </si>
  <si>
    <t>2420598</t>
  </si>
  <si>
    <t>Est Fin Cost - Sen Unsec Notes</t>
  </si>
  <si>
    <t>%,V2420618</t>
  </si>
  <si>
    <t>2420618</t>
  </si>
  <si>
    <t>Accrued Payroll</t>
  </si>
  <si>
    <t>%,V2420623</t>
  </si>
  <si>
    <t>2420623</t>
  </si>
  <si>
    <t>Energy Delivery Incentive Plan</t>
  </si>
  <si>
    <t>%,V2420624</t>
  </si>
  <si>
    <t>2420624</t>
  </si>
  <si>
    <t>Corp &amp; Shrd Srv Incentive Plan</t>
  </si>
  <si>
    <t>%,V2420635</t>
  </si>
  <si>
    <t>2420635</t>
  </si>
  <si>
    <t>Fossil and Hydro Gen ICP</t>
  </si>
  <si>
    <t>%,V2420643</t>
  </si>
  <si>
    <t>2420643</t>
  </si>
  <si>
    <t>Accrued Audit Fees</t>
  </si>
  <si>
    <t>%,V2420651</t>
  </si>
  <si>
    <t>2420651</t>
  </si>
  <si>
    <t>Reorg Severance Accrual</t>
  </si>
  <si>
    <t>%,V2420653</t>
  </si>
  <si>
    <t>2420653</t>
  </si>
  <si>
    <t>Reorg Misc HR Exp Accrual</t>
  </si>
  <si>
    <t>%,V2420656</t>
  </si>
  <si>
    <t>2420656</t>
  </si>
  <si>
    <t>Federal Mitigation Accru (NSR)</t>
  </si>
  <si>
    <t>%,V2420658</t>
  </si>
  <si>
    <t>2420658</t>
  </si>
  <si>
    <t>Accrued Prof. Tax Services</t>
  </si>
  <si>
    <t>%,V2420660</t>
  </si>
  <si>
    <t>2420660</t>
  </si>
  <si>
    <t>AEP Transmission ICP</t>
  </si>
  <si>
    <t>%,V2420661</t>
  </si>
  <si>
    <t>2420661</t>
  </si>
  <si>
    <t>COO Other ICP</t>
  </si>
  <si>
    <t>%,V2420664</t>
  </si>
  <si>
    <t>2420664</t>
  </si>
  <si>
    <t>ST State Mitigation Def (NSR)</t>
  </si>
  <si>
    <t>%,V2811001</t>
  </si>
  <si>
    <t>2811001</t>
  </si>
  <si>
    <t>Acc Dfd FIT - Accel Amort Prop</t>
  </si>
  <si>
    <t>%,V2821001</t>
  </si>
  <si>
    <t>2821001</t>
  </si>
  <si>
    <t>Accum Defd FIT - Utility Prop</t>
  </si>
  <si>
    <t>%,V2823001</t>
  </si>
  <si>
    <t>2823001</t>
  </si>
  <si>
    <t>Acc Dfrd FIT FAS 109 Flow Thru</t>
  </si>
  <si>
    <t>%,V2824001</t>
  </si>
  <si>
    <t>2824001</t>
  </si>
  <si>
    <t>Acc Dfrd FIT - SFAS 109 Excess</t>
  </si>
  <si>
    <t>%,V2830006</t>
  </si>
  <si>
    <t>2830006</t>
  </si>
  <si>
    <t>%,V2831001</t>
  </si>
  <si>
    <t>2831001</t>
  </si>
  <si>
    <t>%,V2832001</t>
  </si>
  <si>
    <t>2832001</t>
  </si>
  <si>
    <t>Accum Dfrd FIT - Oth Inc &amp; Ded</t>
  </si>
  <si>
    <t>%,V2833001</t>
  </si>
  <si>
    <t>2833001</t>
  </si>
  <si>
    <t>Acc Dfd FIT FAS 109 Flow Thru</t>
  </si>
  <si>
    <t>%,V2833002</t>
  </si>
  <si>
    <t>2833002</t>
  </si>
  <si>
    <t>Acc Dfrd SIT FAS 109 Flow Thru</t>
  </si>
  <si>
    <t>%,V2550001</t>
  </si>
  <si>
    <t>2550001</t>
  </si>
  <si>
    <t>Accum Deferred ITC - Federal</t>
  </si>
  <si>
    <t>%,V2540011</t>
  </si>
  <si>
    <t>2540011</t>
  </si>
  <si>
    <t>Over Recovered Fuel Cost</t>
  </si>
  <si>
    <t>%,V2540047</t>
  </si>
  <si>
    <t>2540047</t>
  </si>
  <si>
    <t>Unreal Gain on Fwd Commitments</t>
  </si>
  <si>
    <t>%,V2540071</t>
  </si>
  <si>
    <t>2540071</t>
  </si>
  <si>
    <t>KY Enhanced Reliability Liab</t>
  </si>
  <si>
    <t>%,V2540105</t>
  </si>
  <si>
    <t>2540105</t>
  </si>
  <si>
    <t>Home Energy Assist Prgm - KPCO</t>
  </si>
  <si>
    <t>%,V2540173</t>
  </si>
  <si>
    <t>2540173</t>
  </si>
  <si>
    <t>Green Pricing Option</t>
  </si>
  <si>
    <t>%,V2543001</t>
  </si>
  <si>
    <t>2543001</t>
  </si>
  <si>
    <t>SFAS109 Flow Thru Def FIT Liab</t>
  </si>
  <si>
    <t>%,V2544001</t>
  </si>
  <si>
    <t>2544001</t>
  </si>
  <si>
    <t>SFAS 109 Exces Deferred FIT</t>
  </si>
  <si>
    <t>%,V2440002</t>
  </si>
  <si>
    <t>2440002</t>
  </si>
  <si>
    <t>LT Unreal Losses - Non Affil</t>
  </si>
  <si>
    <t>%,V2440004</t>
  </si>
  <si>
    <t>2440004</t>
  </si>
  <si>
    <t>LT Unreal Losses - Affil</t>
  </si>
  <si>
    <t>%,V2440010</t>
  </si>
  <si>
    <t>2440010</t>
  </si>
  <si>
    <t>L/T Option Premium Receipts</t>
  </si>
  <si>
    <t>%,V2440022</t>
  </si>
  <si>
    <t>2440022</t>
  </si>
  <si>
    <t>L/T Liability MTM Collateral</t>
  </si>
  <si>
    <t>%,V2450011</t>
  </si>
  <si>
    <t>2450011</t>
  </si>
  <si>
    <t>L/T Liability-Commodity Hedges</t>
  </si>
  <si>
    <t>%,V2520000</t>
  </si>
  <si>
    <t>2520000</t>
  </si>
  <si>
    <t>Customer Adv for Construction</t>
  </si>
  <si>
    <t>%,V2530000</t>
  </si>
  <si>
    <t>2530000</t>
  </si>
  <si>
    <t>%,V2530022</t>
  </si>
  <si>
    <t>2530022</t>
  </si>
  <si>
    <t>Customer Advance Receipts</t>
  </si>
  <si>
    <t>%,V2530050</t>
  </si>
  <si>
    <t>2530050</t>
  </si>
  <si>
    <t>Deferred Rev -Pole Attachments</t>
  </si>
  <si>
    <t>%,V2530067</t>
  </si>
  <si>
    <t>2530067</t>
  </si>
  <si>
    <t>IPP - System Upgrade Credits</t>
  </si>
  <si>
    <t>%,V2530092</t>
  </si>
  <si>
    <t>2530092</t>
  </si>
  <si>
    <t>Fbr Opt Lns-In Kind Sv-Dfd Gns</t>
  </si>
  <si>
    <t>%,V2530101</t>
  </si>
  <si>
    <t>2530101</t>
  </si>
  <si>
    <t>MACSS Unidentified EDI Cash</t>
  </si>
  <si>
    <t>%,V2530112</t>
  </si>
  <si>
    <t>2530112</t>
  </si>
  <si>
    <t>Other Deferred Credits-Curr</t>
  </si>
  <si>
    <t>%,V2530113</t>
  </si>
  <si>
    <t>2530113</t>
  </si>
  <si>
    <t>State Mitigation Deferal (NSR)</t>
  </si>
  <si>
    <t>%,V2530114</t>
  </si>
  <si>
    <t>2530114</t>
  </si>
  <si>
    <t>Federl Mitigation Deferal(NSR)</t>
  </si>
  <si>
    <t>%,V2530137</t>
  </si>
  <si>
    <t>2530137</t>
  </si>
  <si>
    <t>Fbr Opt Lns-Sold-Defd Rev</t>
  </si>
  <si>
    <t>%,V2530148</t>
  </si>
  <si>
    <t>2530148</t>
  </si>
  <si>
    <t>Accrued Penalties-Tax Reserves</t>
  </si>
  <si>
    <t>%,V4380001</t>
  </si>
  <si>
    <t>4380001</t>
  </si>
  <si>
    <t>Div Declrd - Common Stk - Asso</t>
  </si>
  <si>
    <t>2010-09-30</t>
  </si>
  <si>
    <t>GLR2200V</t>
  </si>
  <si>
    <t>Error</t>
  </si>
  <si>
    <t>AEP Enterprises</t>
  </si>
  <si>
    <t>102</t>
  </si>
  <si>
    <t>X_OPR_COS</t>
  </si>
  <si>
    <t>Legal Tree: Operating Co.s</t>
  </si>
  <si>
    <t>Kentucky Power Corp Consol</t>
  </si>
  <si>
    <t>KYP_CORP_CONSOL</t>
  </si>
  <si>
    <t>GL_PRPT_CONS</t>
  </si>
  <si>
    <t>S144234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</si>
</sst>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yyyy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u val="single"/>
      <sz val="6.8"/>
      <color indexed="12"/>
      <name val="Arial"/>
      <family val="0"/>
    </font>
    <font>
      <u val="single"/>
      <sz val="6.8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color indexed="14"/>
      <name val="Arial"/>
      <family val="2"/>
    </font>
    <font>
      <sz val="10"/>
      <color indexed="14"/>
      <name val="Arial"/>
      <family val="0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9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2" borderId="1" applyNumberFormat="0" applyAlignment="0" applyProtection="0"/>
    <xf numFmtId="0" fontId="26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6" borderId="1" applyNumberFormat="0" applyAlignment="0" applyProtection="0"/>
    <xf numFmtId="0" fontId="33" fillId="0" borderId="6" applyNumberFormat="0" applyFill="0" applyAlignment="0" applyProtection="0"/>
    <xf numFmtId="0" fontId="34" fillId="9" borderId="0" applyNumberFormat="0" applyBorder="0" applyAlignment="0" applyProtection="0"/>
    <xf numFmtId="0" fontId="0" fillId="4" borderId="1" applyNumberFormat="0" applyFont="0" applyAlignment="0" applyProtection="0"/>
    <xf numFmtId="0" fontId="35" fillId="2" borderId="7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0" fillId="0" borderId="8">
      <alignment horizontal="center"/>
      <protection/>
    </xf>
    <xf numFmtId="3" fontId="9" fillId="0" borderId="0" applyFont="0" applyFill="0" applyBorder="0" applyAlignment="0" applyProtection="0"/>
    <xf numFmtId="0" fontId="9" fillId="18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0" fillId="6" borderId="10" xfId="0" applyFill="1" applyBorder="1" applyAlignment="1">
      <alignment horizontal="left" vertical="top" wrapText="1"/>
    </xf>
    <xf numFmtId="14" fontId="0" fillId="6" borderId="10" xfId="0" applyNumberFormat="1" applyFill="1" applyBorder="1" applyAlignment="1">
      <alignment horizontal="left" vertical="top" wrapText="1"/>
    </xf>
    <xf numFmtId="40" fontId="1" fillId="0" borderId="11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0" fontId="1" fillId="0" borderId="0" xfId="0" applyNumberFormat="1" applyFont="1" applyAlignment="1">
      <alignment horizontal="centerContinuous"/>
    </xf>
    <xf numFmtId="3" fontId="8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19" borderId="0" xfId="0" applyNumberFormat="1" applyFont="1" applyFill="1" applyAlignment="1">
      <alignment/>
    </xf>
    <xf numFmtId="40" fontId="0" fillId="19" borderId="0" xfId="0" applyNumberFormat="1" applyFont="1" applyFill="1" applyAlignment="1">
      <alignment/>
    </xf>
    <xf numFmtId="38" fontId="1" fillId="0" borderId="0" xfId="0" applyNumberFormat="1" applyFont="1" applyAlignment="1">
      <alignment horizontal="centerContinuous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5" fillId="0" borderId="0" xfId="0" applyNumberFormat="1" applyFont="1" applyBorder="1" applyAlignment="1" quotePrefix="1">
      <alignment horizontal="center"/>
    </xf>
    <xf numFmtId="3" fontId="8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8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 horizontal="center"/>
    </xf>
    <xf numFmtId="40" fontId="1" fillId="0" borderId="11" xfId="0" applyNumberFormat="1" applyFont="1" applyFill="1" applyBorder="1" applyAlignment="1">
      <alignment/>
    </xf>
    <xf numFmtId="8" fontId="1" fillId="0" borderId="11" xfId="0" applyNumberFormat="1" applyFont="1" applyFill="1" applyBorder="1" applyAlignment="1">
      <alignment/>
    </xf>
    <xf numFmtId="187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40" fontId="4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3" fontId="0" fillId="9" borderId="0" xfId="0" applyNumberFormat="1" applyFont="1" applyFill="1" applyAlignment="1">
      <alignment/>
    </xf>
    <xf numFmtId="0" fontId="0" fillId="9" borderId="0" xfId="0" applyFont="1" applyFill="1" applyAlignment="1">
      <alignment/>
    </xf>
    <xf numFmtId="40" fontId="0" fillId="9" borderId="0" xfId="0" applyNumberFormat="1" applyFont="1" applyFill="1" applyAlignment="1">
      <alignment/>
    </xf>
    <xf numFmtId="38" fontId="14" fillId="9" borderId="0" xfId="0" applyNumberFormat="1" applyFont="1" applyFill="1" applyBorder="1" applyAlignment="1">
      <alignment horizontal="left"/>
    </xf>
    <xf numFmtId="38" fontId="0" fillId="9" borderId="0" xfId="0" applyNumberFormat="1" applyFill="1" applyAlignment="1">
      <alignment/>
    </xf>
    <xf numFmtId="38" fontId="0" fillId="9" borderId="0" xfId="0" applyNumberFormat="1" applyFont="1" applyFill="1" applyAlignment="1" applyProtection="1">
      <alignment horizontal="centerContinuous"/>
      <protection hidden="1"/>
    </xf>
    <xf numFmtId="38" fontId="0" fillId="9" borderId="0" xfId="0" applyNumberFormat="1" applyFont="1" applyFill="1" applyAlignment="1">
      <alignment/>
    </xf>
    <xf numFmtId="0" fontId="14" fillId="9" borderId="0" xfId="0" applyFont="1" applyFill="1" applyAlignment="1">
      <alignment horizontal="left"/>
    </xf>
    <xf numFmtId="0" fontId="0" fillId="9" borderId="0" xfId="0" applyFont="1" applyFill="1" applyAlignment="1">
      <alignment horizontal="centerContinuous"/>
    </xf>
    <xf numFmtId="3" fontId="8" fillId="0" borderId="0" xfId="0" applyNumberFormat="1" applyFont="1" applyFill="1" applyAlignment="1">
      <alignment horizontal="center"/>
    </xf>
    <xf numFmtId="3" fontId="14" fillId="9" borderId="0" xfId="0" applyNumberFormat="1" applyFont="1" applyFill="1" applyAlignment="1">
      <alignment horizontal="right"/>
    </xf>
    <xf numFmtId="38" fontId="14" fillId="9" borderId="0" xfId="0" applyNumberFormat="1" applyFont="1" applyFill="1" applyAlignment="1">
      <alignment horizontal="right"/>
    </xf>
    <xf numFmtId="40" fontId="14" fillId="9" borderId="0" xfId="0" applyNumberFormat="1" applyFont="1" applyFill="1" applyBorder="1" applyAlignment="1">
      <alignment horizontal="right"/>
    </xf>
    <xf numFmtId="0" fontId="14" fillId="9" borderId="0" xfId="0" applyFont="1" applyFill="1" applyAlignment="1">
      <alignment horizontal="right"/>
    </xf>
    <xf numFmtId="3" fontId="8" fillId="0" borderId="8" xfId="0" applyNumberFormat="1" applyFont="1" applyBorder="1" applyAlignment="1">
      <alignment horizontal="left"/>
    </xf>
    <xf numFmtId="40" fontId="1" fillId="0" borderId="0" xfId="0" applyNumberFormat="1" applyFont="1" applyAlignment="1">
      <alignment horizontal="center"/>
    </xf>
    <xf numFmtId="40" fontId="0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indent="3"/>
    </xf>
    <xf numFmtId="190" fontId="0" fillId="19" borderId="0" xfId="0" applyNumberFormat="1" applyFont="1" applyFill="1" applyAlignment="1">
      <alignment horizontal="right"/>
    </xf>
    <xf numFmtId="190" fontId="1" fillId="0" borderId="11" xfId="0" applyNumberFormat="1" applyFont="1" applyFill="1" applyBorder="1" applyAlignment="1">
      <alignment horizontal="right"/>
    </xf>
    <xf numFmtId="190" fontId="0" fillId="0" borderId="0" xfId="0" applyNumberFormat="1" applyFont="1" applyFill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40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17" fillId="20" borderId="0" xfId="0" applyNumberFormat="1" applyFont="1" applyFill="1" applyAlignment="1">
      <alignment/>
    </xf>
    <xf numFmtId="3" fontId="16" fillId="20" borderId="0" xfId="0" applyNumberFormat="1" applyFont="1" applyFill="1" applyAlignment="1">
      <alignment/>
    </xf>
    <xf numFmtId="40" fontId="18" fillId="20" borderId="0" xfId="0" applyNumberFormat="1" applyFont="1" applyFill="1" applyAlignment="1">
      <alignment horizontal="center"/>
    </xf>
    <xf numFmtId="190" fontId="17" fillId="20" borderId="0" xfId="0" applyNumberFormat="1" applyFont="1" applyFill="1" applyAlignment="1">
      <alignment horizontal="right"/>
    </xf>
    <xf numFmtId="40" fontId="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8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0" fontId="15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 indent="3"/>
    </xf>
    <xf numFmtId="40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 indent="2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2"/>
    </xf>
    <xf numFmtId="3" fontId="0" fillId="0" borderId="12" xfId="0" applyNumberFormat="1" applyFont="1" applyFill="1" applyBorder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left" indent="2"/>
    </xf>
    <xf numFmtId="40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40" fontId="20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left" indent="1"/>
    </xf>
    <xf numFmtId="3" fontId="1" fillId="0" borderId="0" xfId="0" applyNumberFormat="1" applyFont="1" applyAlignment="1">
      <alignment/>
    </xf>
    <xf numFmtId="4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ill="1" applyAlignment="1">
      <alignment horizontal="left"/>
    </xf>
    <xf numFmtId="40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40" fontId="1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188" fontId="1" fillId="0" borderId="0" xfId="0" applyNumberFormat="1" applyFont="1" applyAlignment="1">
      <alignment horizontal="left" indent="2"/>
    </xf>
    <xf numFmtId="3" fontId="1" fillId="0" borderId="0" xfId="0" applyNumberFormat="1" applyFont="1" applyAlignment="1">
      <alignment horizontal="left" indent="2"/>
    </xf>
    <xf numFmtId="188" fontId="0" fillId="0" borderId="0" xfId="0" applyNumberFormat="1" applyFont="1" applyAlignment="1">
      <alignment horizontal="left" indent="3"/>
    </xf>
    <xf numFmtId="188" fontId="0" fillId="0" borderId="12" xfId="0" applyNumberFormat="1" applyFont="1" applyBorder="1" applyAlignment="1">
      <alignment horizontal="left" indent="3"/>
    </xf>
    <xf numFmtId="188" fontId="0" fillId="0" borderId="12" xfId="0" applyNumberFormat="1" applyFont="1" applyBorder="1" applyAlignment="1">
      <alignment/>
    </xf>
    <xf numFmtId="3" fontId="0" fillId="0" borderId="0" xfId="0" applyNumberFormat="1" applyFont="1" applyFill="1" applyAlignment="1">
      <alignment horizontal="left" indent="5"/>
    </xf>
    <xf numFmtId="3" fontId="0" fillId="0" borderId="12" xfId="0" applyNumberFormat="1" applyFont="1" applyFill="1" applyBorder="1" applyAlignment="1">
      <alignment horizontal="left" indent="5"/>
    </xf>
    <xf numFmtId="3" fontId="1" fillId="0" borderId="13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left" indent="1"/>
    </xf>
    <xf numFmtId="188" fontId="0" fillId="0" borderId="0" xfId="0" applyNumberFormat="1" applyFont="1" applyAlignment="1">
      <alignment horizontal="left" indent="4"/>
    </xf>
    <xf numFmtId="188" fontId="0" fillId="0" borderId="12" xfId="0" applyNumberFormat="1" applyFont="1" applyBorder="1" applyAlignment="1">
      <alignment horizontal="left" indent="4"/>
    </xf>
    <xf numFmtId="40" fontId="11" fillId="0" borderId="0" xfId="0" applyNumberFormat="1" applyFont="1" applyAlignment="1">
      <alignment horizontal="left" indent="1"/>
    </xf>
    <xf numFmtId="3" fontId="0" fillId="0" borderId="0" xfId="0" applyNumberFormat="1" applyAlignment="1">
      <alignment horizontal="left" indent="4"/>
    </xf>
    <xf numFmtId="3" fontId="0" fillId="0" borderId="0" xfId="0" applyNumberFormat="1" applyFont="1" applyFill="1" applyAlignment="1">
      <alignment horizontal="left" indent="6"/>
    </xf>
    <xf numFmtId="3" fontId="0" fillId="0" borderId="12" xfId="0" applyNumberFormat="1" applyFont="1" applyFill="1" applyBorder="1" applyAlignment="1">
      <alignment horizontal="left" indent="6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3"/>
    </xf>
    <xf numFmtId="3" fontId="0" fillId="0" borderId="12" xfId="0" applyNumberFormat="1" applyFont="1" applyBorder="1" applyAlignment="1">
      <alignment horizontal="left" indent="3"/>
    </xf>
    <xf numFmtId="3" fontId="1" fillId="0" borderId="14" xfId="0" applyNumberFormat="1" applyFont="1" applyBorder="1" applyAlignment="1">
      <alignment horizontal="left" indent="2"/>
    </xf>
    <xf numFmtId="39" fontId="0" fillId="0" borderId="0" xfId="0" applyNumberFormat="1" applyFont="1" applyFill="1" applyAlignment="1">
      <alignment horizontal="right"/>
    </xf>
    <xf numFmtId="39" fontId="0" fillId="0" borderId="12" xfId="0" applyNumberFormat="1" applyFont="1" applyBorder="1" applyAlignment="1">
      <alignment/>
    </xf>
    <xf numFmtId="3" fontId="0" fillId="9" borderId="0" xfId="0" applyNumberFormat="1" applyFont="1" applyFill="1" applyAlignment="1">
      <alignment horizontal="right"/>
    </xf>
    <xf numFmtId="3" fontId="0" fillId="19" borderId="0" xfId="0" applyNumberFormat="1" applyFont="1" applyFill="1" applyAlignment="1">
      <alignment horizontal="left" indent="4"/>
    </xf>
    <xf numFmtId="190" fontId="1" fillId="0" borderId="0" xfId="0" applyNumberFormat="1" applyFont="1" applyFill="1" applyBorder="1" applyAlignment="1">
      <alignment horizontal="right"/>
    </xf>
    <xf numFmtId="190" fontId="0" fillId="0" borderId="0" xfId="59" applyNumberFormat="1" applyFont="1" applyFill="1" applyBorder="1" applyAlignment="1">
      <alignment horizontal="right"/>
    </xf>
    <xf numFmtId="190" fontId="1" fillId="0" borderId="0" xfId="59" applyNumberFormat="1" applyFont="1" applyFill="1" applyBorder="1" applyAlignment="1">
      <alignment horizontal="right"/>
    </xf>
    <xf numFmtId="190" fontId="0" fillId="0" borderId="12" xfId="59" applyNumberFormat="1" applyFont="1" applyFill="1" applyBorder="1" applyAlignment="1">
      <alignment horizontal="right"/>
    </xf>
    <xf numFmtId="190" fontId="14" fillId="0" borderId="0" xfId="59" applyNumberFormat="1" applyFont="1" applyFill="1" applyBorder="1" applyAlignment="1">
      <alignment horizontal="right"/>
    </xf>
    <xf numFmtId="190" fontId="11" fillId="0" borderId="0" xfId="59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188" fontId="1" fillId="0" borderId="0" xfId="0" applyNumberFormat="1" applyFont="1" applyAlignment="1">
      <alignment horizontal="right"/>
    </xf>
    <xf numFmtId="3" fontId="0" fillId="0" borderId="12" xfId="0" applyNumberFormat="1" applyFont="1" applyBorder="1" applyAlignment="1">
      <alignment horizontal="right"/>
    </xf>
    <xf numFmtId="190" fontId="1" fillId="0" borderId="14" xfId="59" applyNumberFormat="1" applyFont="1" applyFill="1" applyBorder="1" applyAlignment="1">
      <alignment horizontal="right"/>
    </xf>
    <xf numFmtId="190" fontId="0" fillId="0" borderId="13" xfId="59" applyNumberFormat="1" applyFont="1" applyFill="1" applyBorder="1" applyAlignment="1">
      <alignment horizontal="right"/>
    </xf>
    <xf numFmtId="190" fontId="0" fillId="9" borderId="0" xfId="0" applyNumberFormat="1" applyFont="1" applyFill="1" applyAlignment="1">
      <alignment horizontal="right"/>
    </xf>
    <xf numFmtId="40" fontId="1" fillId="0" borderId="15" xfId="0" applyNumberFormat="1" applyFont="1" applyBorder="1" applyAlignment="1">
      <alignment horizontal="centerContinuous"/>
    </xf>
    <xf numFmtId="169" fontId="1" fillId="0" borderId="16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0" fontId="0" fillId="9" borderId="15" xfId="0" applyFont="1" applyFill="1" applyBorder="1" applyAlignment="1">
      <alignment/>
    </xf>
    <xf numFmtId="38" fontId="0" fillId="9" borderId="15" xfId="0" applyNumberFormat="1" applyFont="1" applyFill="1" applyBorder="1" applyAlignment="1" applyProtection="1">
      <alignment horizontal="centerContinuous"/>
      <protection hidden="1"/>
    </xf>
    <xf numFmtId="3" fontId="0" fillId="9" borderId="15" xfId="0" applyNumberFormat="1" applyFont="1" applyFill="1" applyBorder="1" applyAlignment="1">
      <alignment/>
    </xf>
    <xf numFmtId="40" fontId="0" fillId="9" borderId="15" xfId="0" applyNumberFormat="1" applyFont="1" applyFill="1" applyBorder="1" applyAlignment="1">
      <alignment/>
    </xf>
    <xf numFmtId="3" fontId="0" fillId="9" borderId="15" xfId="0" applyNumberFormat="1" applyFont="1" applyFill="1" applyBorder="1" applyAlignment="1">
      <alignment horizontal="centerContinuous"/>
    </xf>
    <xf numFmtId="40" fontId="0" fillId="0" borderId="15" xfId="0" applyNumberFormat="1" applyFont="1" applyBorder="1" applyAlignment="1">
      <alignment/>
    </xf>
    <xf numFmtId="8" fontId="0" fillId="0" borderId="17" xfId="0" applyNumberFormat="1" applyFont="1" applyFill="1" applyBorder="1" applyAlignment="1">
      <alignment/>
    </xf>
    <xf numFmtId="8" fontId="17" fillId="20" borderId="17" xfId="0" applyNumberFormat="1" applyFont="1" applyFill="1" applyBorder="1" applyAlignment="1">
      <alignment/>
    </xf>
    <xf numFmtId="171" fontId="0" fillId="0" borderId="17" xfId="0" applyNumberFormat="1" applyFont="1" applyFill="1" applyBorder="1" applyAlignment="1">
      <alignment horizontal="right"/>
    </xf>
    <xf numFmtId="8" fontId="1" fillId="0" borderId="17" xfId="0" applyNumberFormat="1" applyFont="1" applyFill="1" applyBorder="1" applyAlignment="1">
      <alignment/>
    </xf>
    <xf numFmtId="0" fontId="14" fillId="0" borderId="17" xfId="0" applyNumberFormat="1" applyFont="1" applyFill="1" applyBorder="1" applyAlignment="1" quotePrefix="1">
      <alignment horizontal="left"/>
    </xf>
    <xf numFmtId="0" fontId="13" fillId="0" borderId="17" xfId="0" applyNumberFormat="1" applyFont="1" applyFill="1" applyBorder="1" applyAlignment="1" quotePrefix="1">
      <alignment horizontal="left"/>
    </xf>
    <xf numFmtId="0" fontId="5" fillId="0" borderId="17" xfId="0" applyNumberFormat="1" applyFont="1" applyFill="1" applyBorder="1" applyAlignment="1" quotePrefix="1">
      <alignment horizontal="left"/>
    </xf>
    <xf numFmtId="8" fontId="17" fillId="0" borderId="17" xfId="0" applyNumberFormat="1" applyFont="1" applyFill="1" applyBorder="1" applyAlignment="1">
      <alignment/>
    </xf>
    <xf numFmtId="40" fontId="12" fillId="0" borderId="17" xfId="0" applyNumberFormat="1" applyFont="1" applyFill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88" fontId="1" fillId="0" borderId="17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90" fontId="0" fillId="0" borderId="0" xfId="0" applyNumberFormat="1" applyFont="1" applyFill="1" applyBorder="1" applyAlignment="1">
      <alignment horizontal="right"/>
    </xf>
    <xf numFmtId="8" fontId="0" fillId="0" borderId="0" xfId="0" applyNumberFormat="1" applyFont="1" applyFill="1" applyBorder="1" applyAlignment="1">
      <alignment horizontal="centerContinuous"/>
    </xf>
    <xf numFmtId="8" fontId="0" fillId="19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8" fontId="0" fillId="9" borderId="0" xfId="0" applyNumberFormat="1" applyFont="1" applyFill="1" applyBorder="1" applyAlignment="1">
      <alignment/>
    </xf>
    <xf numFmtId="40" fontId="1" fillId="0" borderId="18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40" fontId="1" fillId="0" borderId="0" xfId="42" applyNumberFormat="1" applyFont="1" applyAlignment="1">
      <alignment/>
    </xf>
    <xf numFmtId="40" fontId="0" fillId="0" borderId="0" xfId="42" applyNumberFormat="1" applyFont="1" applyAlignment="1">
      <alignment/>
    </xf>
    <xf numFmtId="40" fontId="0" fillId="0" borderId="0" xfId="42" applyNumberFormat="1" applyFont="1" applyFill="1" applyAlignment="1">
      <alignment/>
    </xf>
    <xf numFmtId="40" fontId="1" fillId="0" borderId="0" xfId="42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left" indent="1"/>
    </xf>
    <xf numFmtId="3" fontId="1" fillId="0" borderId="0" xfId="0" applyNumberFormat="1" applyFont="1" applyFill="1" applyAlignment="1">
      <alignment horizontal="left" indent="1"/>
    </xf>
    <xf numFmtId="3" fontId="1" fillId="0" borderId="13" xfId="0" applyNumberFormat="1" applyFont="1" applyFill="1" applyBorder="1" applyAlignment="1">
      <alignment/>
    </xf>
    <xf numFmtId="40" fontId="1" fillId="0" borderId="13" xfId="42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40" fontId="11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1"/>
    </xf>
    <xf numFmtId="3" fontId="0" fillId="0" borderId="12" xfId="0" applyNumberFormat="1" applyFont="1" applyFill="1" applyBorder="1" applyAlignment="1">
      <alignment/>
    </xf>
    <xf numFmtId="40" fontId="0" fillId="0" borderId="12" xfId="0" applyNumberFormat="1" applyFont="1" applyFill="1" applyBorder="1" applyAlignment="1">
      <alignment/>
    </xf>
    <xf numFmtId="39" fontId="0" fillId="0" borderId="12" xfId="0" applyNumberFormat="1" applyFont="1" applyFill="1" applyBorder="1" applyAlignment="1">
      <alignment horizontal="right"/>
    </xf>
    <xf numFmtId="39" fontId="0" fillId="0" borderId="0" xfId="0" applyNumberFormat="1" applyFont="1" applyAlignment="1">
      <alignment horizontal="right"/>
    </xf>
    <xf numFmtId="39" fontId="0" fillId="0" borderId="0" xfId="0" applyNumberFormat="1" applyFont="1" applyBorder="1" applyAlignment="1">
      <alignment/>
    </xf>
    <xf numFmtId="39" fontId="0" fillId="0" borderId="13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left" indent="2"/>
    </xf>
    <xf numFmtId="3" fontId="0" fillId="0" borderId="0" xfId="0" applyNumberFormat="1" applyFont="1" applyFill="1" applyAlignment="1">
      <alignment horizontal="left" indent="2"/>
    </xf>
    <xf numFmtId="39" fontId="0" fillId="0" borderId="0" xfId="0" applyNumberFormat="1" applyBorder="1" applyAlignment="1">
      <alignment/>
    </xf>
    <xf numFmtId="40" fontId="0" fillId="0" borderId="12" xfId="42" applyNumberFormat="1" applyFont="1" applyFill="1" applyBorder="1" applyAlignment="1">
      <alignment/>
    </xf>
    <xf numFmtId="39" fontId="0" fillId="0" borderId="12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left"/>
    </xf>
    <xf numFmtId="3" fontId="0" fillId="0" borderId="19" xfId="0" applyNumberFormat="1" applyFont="1" applyFill="1" applyBorder="1" applyAlignment="1">
      <alignment/>
    </xf>
    <xf numFmtId="40" fontId="0" fillId="0" borderId="19" xfId="42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 horizontal="right"/>
    </xf>
    <xf numFmtId="39" fontId="0" fillId="0" borderId="0" xfId="42" applyNumberFormat="1" applyFont="1" applyFill="1" applyAlignment="1">
      <alignment horizontal="right"/>
    </xf>
    <xf numFmtId="40" fontId="1" fillId="0" borderId="0" xfId="42" applyNumberFormat="1" applyFont="1" applyFill="1" applyAlignment="1">
      <alignment horizontal="right"/>
    </xf>
    <xf numFmtId="40" fontId="0" fillId="0" borderId="0" xfId="42" applyNumberFormat="1" applyFont="1" applyFill="1" applyAlignment="1">
      <alignment horizontal="right"/>
    </xf>
    <xf numFmtId="40" fontId="0" fillId="0" borderId="12" xfId="0" applyNumberFormat="1" applyFont="1" applyFill="1" applyBorder="1" applyAlignment="1">
      <alignment horizontal="right"/>
    </xf>
    <xf numFmtId="39" fontId="0" fillId="0" borderId="0" xfId="0" applyNumberFormat="1" applyFont="1" applyBorder="1" applyAlignment="1">
      <alignment horizontal="right"/>
    </xf>
    <xf numFmtId="39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Alignment="1" quotePrefix="1">
      <alignment/>
    </xf>
    <xf numFmtId="3" fontId="0" fillId="0" borderId="0" xfId="0" applyNumberFormat="1" applyFont="1" applyFill="1" applyAlignment="1">
      <alignment horizontal="left" indent="4"/>
    </xf>
    <xf numFmtId="39" fontId="0" fillId="0" borderId="0" xfId="42" applyNumberFormat="1" applyFont="1" applyFill="1" applyBorder="1" applyAlignment="1">
      <alignment horizontal="right"/>
    </xf>
    <xf numFmtId="39" fontId="0" fillId="0" borderId="12" xfId="42" applyNumberFormat="1" applyFont="1" applyFill="1" applyBorder="1" applyAlignment="1">
      <alignment horizontal="right"/>
    </xf>
    <xf numFmtId="39" fontId="0" fillId="0" borderId="0" xfId="42" applyNumberFormat="1" applyFont="1" applyAlignment="1">
      <alignment horizontal="right"/>
    </xf>
    <xf numFmtId="39" fontId="0" fillId="0" borderId="0" xfId="42" applyNumberFormat="1" applyFont="1" applyBorder="1" applyAlignment="1">
      <alignment horizontal="right"/>
    </xf>
    <xf numFmtId="3" fontId="1" fillId="21" borderId="0" xfId="0" applyNumberFormat="1" applyFont="1" applyFill="1" applyAlignment="1">
      <alignment/>
    </xf>
    <xf numFmtId="0" fontId="0" fillId="21" borderId="0" xfId="0" applyFill="1" applyAlignment="1">
      <alignment/>
    </xf>
    <xf numFmtId="39" fontId="0" fillId="0" borderId="17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 indent="4"/>
    </xf>
    <xf numFmtId="0" fontId="0" fillId="0" borderId="17" xfId="0" applyFont="1" applyBorder="1" applyAlignment="1">
      <alignment/>
    </xf>
    <xf numFmtId="3" fontId="0" fillId="0" borderId="12" xfId="0" applyNumberFormat="1" applyFont="1" applyBorder="1" applyAlignment="1">
      <alignment horizontal="left" indent="4"/>
    </xf>
    <xf numFmtId="40" fontId="16" fillId="20" borderId="0" xfId="0" applyNumberFormat="1" applyFont="1" applyFill="1" applyAlignment="1">
      <alignment/>
    </xf>
    <xf numFmtId="40" fontId="19" fillId="0" borderId="0" xfId="0" applyNumberFormat="1" applyFont="1" applyFill="1" applyBorder="1" applyAlignment="1">
      <alignment/>
    </xf>
    <xf numFmtId="40" fontId="11" fillId="0" borderId="0" xfId="0" applyNumberFormat="1" applyFont="1" applyAlignment="1">
      <alignment horizontal="center"/>
    </xf>
    <xf numFmtId="40" fontId="0" fillId="0" borderId="12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40" fontId="1" fillId="0" borderId="14" xfId="0" applyNumberFormat="1" applyFont="1" applyBorder="1" applyAlignment="1">
      <alignment/>
    </xf>
    <xf numFmtId="40" fontId="1" fillId="0" borderId="13" xfId="0" applyNumberFormat="1" applyFont="1" applyBorder="1" applyAlignment="1">
      <alignment/>
    </xf>
    <xf numFmtId="40" fontId="1" fillId="0" borderId="0" xfId="0" applyNumberFormat="1" applyFont="1" applyFill="1" applyAlignment="1">
      <alignment horizontal="right"/>
    </xf>
    <xf numFmtId="40" fontId="0" fillId="0" borderId="0" xfId="0" applyNumberFormat="1" applyFont="1" applyFill="1" applyAlignment="1">
      <alignment horizontal="right"/>
    </xf>
    <xf numFmtId="40" fontId="0" fillId="0" borderId="19" xfId="0" applyNumberFormat="1" applyFont="1" applyFill="1" applyBorder="1" applyAlignment="1">
      <alignment/>
    </xf>
    <xf numFmtId="40" fontId="1" fillId="0" borderId="0" xfId="0" applyNumberFormat="1" applyFont="1" applyFill="1" applyAlignment="1">
      <alignment horizontal="right"/>
    </xf>
    <xf numFmtId="40" fontId="0" fillId="0" borderId="12" xfId="42" applyNumberFormat="1" applyFont="1" applyFill="1" applyBorder="1" applyAlignment="1">
      <alignment horizontal="right"/>
    </xf>
    <xf numFmtId="40" fontId="1" fillId="0" borderId="13" xfId="42" applyNumberFormat="1" applyFont="1" applyFill="1" applyBorder="1" applyAlignment="1">
      <alignment horizontal="right"/>
    </xf>
    <xf numFmtId="40" fontId="17" fillId="20" borderId="0" xfId="0" applyNumberFormat="1" applyFont="1" applyFill="1" applyAlignment="1">
      <alignment/>
    </xf>
    <xf numFmtId="40" fontId="1" fillId="0" borderId="14" xfId="0" applyNumberFormat="1" applyFont="1" applyFill="1" applyBorder="1" applyAlignment="1">
      <alignment/>
    </xf>
    <xf numFmtId="40" fontId="0" fillId="0" borderId="13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 horizontal="right"/>
    </xf>
    <xf numFmtId="40" fontId="11" fillId="0" borderId="0" xfId="0" applyNumberFormat="1" applyFont="1" applyAlignment="1">
      <alignment horizontal="right"/>
    </xf>
    <xf numFmtId="40" fontId="12" fillId="0" borderId="0" xfId="0" applyNumberFormat="1" applyFont="1" applyAlignment="1">
      <alignment horizontal="right"/>
    </xf>
    <xf numFmtId="40" fontId="12" fillId="0" borderId="12" xfId="0" applyNumberFormat="1" applyFont="1" applyBorder="1" applyAlignment="1">
      <alignment horizontal="right"/>
    </xf>
    <xf numFmtId="40" fontId="1" fillId="0" borderId="0" xfId="0" applyNumberFormat="1" applyFont="1" applyAlignment="1">
      <alignment horizontal="right"/>
    </xf>
    <xf numFmtId="40" fontId="0" fillId="0" borderId="0" xfId="42" applyNumberFormat="1" applyFont="1" applyAlignment="1">
      <alignment horizontal="right"/>
    </xf>
    <xf numFmtId="40" fontId="0" fillId="0" borderId="0" xfId="0" applyNumberFormat="1" applyFont="1" applyAlignment="1">
      <alignment horizontal="right"/>
    </xf>
    <xf numFmtId="40" fontId="11" fillId="0" borderId="0" xfId="0" applyNumberFormat="1" applyFont="1" applyFill="1" applyAlignment="1">
      <alignment horizontal="right"/>
    </xf>
    <xf numFmtId="40" fontId="0" fillId="0" borderId="13" xfId="0" applyNumberFormat="1" applyFont="1" applyFill="1" applyBorder="1" applyAlignment="1">
      <alignment horizontal="right"/>
    </xf>
    <xf numFmtId="40" fontId="0" fillId="19" borderId="15" xfId="0" applyNumberFormat="1" applyFont="1" applyFill="1" applyBorder="1" applyAlignment="1">
      <alignment/>
    </xf>
    <xf numFmtId="3" fontId="0" fillId="9" borderId="0" xfId="0" applyNumberFormat="1" applyFont="1" applyFill="1" applyAlignment="1" quotePrefix="1">
      <alignment/>
    </xf>
    <xf numFmtId="38" fontId="14" fillId="9" borderId="0" xfId="0" applyNumberFormat="1" applyFont="1" applyFill="1" applyAlignment="1" quotePrefix="1">
      <alignment horizontal="right"/>
    </xf>
    <xf numFmtId="40" fontId="14" fillId="9" borderId="0" xfId="0" applyNumberFormat="1" applyFont="1" applyFill="1" applyBorder="1" applyAlignment="1" quotePrefix="1">
      <alignment horizontal="right"/>
    </xf>
    <xf numFmtId="3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</sheetPr>
  <dimension ref="A1:N596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2" sqref="A2"/>
      <selection pane="topRight" activeCell="E2" sqref="E2"/>
      <selection pane="bottomLeft" activeCell="A8" sqref="A8"/>
      <selection pane="bottomRight" activeCell="E8" sqref="E8"/>
    </sheetView>
  </sheetViews>
  <sheetFormatPr defaultColWidth="9.140625" defaultRowHeight="12.75" outlineLevelRow="2" outlineLevelCol="1"/>
  <cols>
    <col min="1" max="1" width="7.421875" style="11" hidden="1" customWidth="1"/>
    <col min="2" max="2" width="10.140625" style="11" customWidth="1"/>
    <col min="3" max="3" width="46.28125" style="11" customWidth="1"/>
    <col min="4" max="4" width="1.421875" style="18" customWidth="1"/>
    <col min="5" max="5" width="0.85546875" style="18" customWidth="1"/>
    <col min="6" max="7" width="18.8515625" style="18" customWidth="1"/>
    <col min="8" max="8" width="18.8515625" style="34" customWidth="1" collapsed="1"/>
    <col min="9" max="9" width="11.421875" style="55" hidden="1" customWidth="1" outlineLevel="1"/>
    <col min="10" max="10" width="1.28515625" style="70" customWidth="1"/>
    <col min="11" max="11" width="18.8515625" style="156" customWidth="1"/>
    <col min="12" max="12" width="18.8515625" style="34" customWidth="1" collapsed="1"/>
    <col min="13" max="13" width="10.8515625" style="55" hidden="1" customWidth="1" outlineLevel="1"/>
    <col min="14" max="16384" width="9.140625" style="11" customWidth="1"/>
  </cols>
  <sheetData>
    <row r="1" spans="1:13" s="15" customFormat="1" ht="11.25" customHeight="1" hidden="1">
      <c r="A1" s="15" t="s">
        <v>92</v>
      </c>
      <c r="B1" s="15" t="s">
        <v>121</v>
      </c>
      <c r="C1" s="134" t="s">
        <v>0</v>
      </c>
      <c r="D1" s="16"/>
      <c r="E1" s="16"/>
      <c r="F1" s="16" t="s">
        <v>92</v>
      </c>
      <c r="G1" s="16" t="s">
        <v>243</v>
      </c>
      <c r="H1" s="16" t="s">
        <v>53</v>
      </c>
      <c r="I1" s="53" t="s">
        <v>53</v>
      </c>
      <c r="J1" s="174"/>
      <c r="K1" s="257" t="s">
        <v>93</v>
      </c>
      <c r="L1" s="16" t="s">
        <v>53</v>
      </c>
      <c r="M1" s="53" t="s">
        <v>53</v>
      </c>
    </row>
    <row r="2" spans="3:12" ht="12.75">
      <c r="C2" s="17"/>
      <c r="F2" s="261" t="str">
        <f>IF($C$582="Error",$C$587,IF($C$588="Error",$C$584&amp;" - "&amp;$C$583,IF($C$588=$C$587,$C$588&amp;" -"&amp;$C$582,$C$588&amp;" - "&amp;$C$587)))</f>
        <v>Kentucky Power Corp Consol</v>
      </c>
      <c r="G2" s="261"/>
      <c r="H2" s="261"/>
      <c r="I2" s="261"/>
      <c r="J2" s="261"/>
      <c r="K2" s="261"/>
      <c r="L2" s="261"/>
    </row>
    <row r="3" spans="3:12" ht="12.75">
      <c r="C3" s="20">
        <f>IF(C578&gt;0,"REPORT HAS "&amp;C578&amp;" DATA ERROR(S)","")</f>
      </c>
      <c r="F3" s="262" t="s">
        <v>331</v>
      </c>
      <c r="G3" s="262"/>
      <c r="H3" s="262"/>
      <c r="I3" s="262"/>
      <c r="J3" s="262"/>
      <c r="K3" s="262"/>
      <c r="L3" s="262"/>
    </row>
    <row r="4" spans="3:12" ht="12.75">
      <c r="C4" s="28"/>
      <c r="F4" s="263" t="str">
        <f>TEXT(+$C$572,"MMMM dd, YYYY")</f>
        <v>September 30, 2010</v>
      </c>
      <c r="G4" s="263"/>
      <c r="H4" s="263"/>
      <c r="I4" s="263"/>
      <c r="J4" s="263"/>
      <c r="K4" s="263"/>
      <c r="L4" s="263"/>
    </row>
    <row r="5" spans="2:13" ht="13.5" thickBot="1">
      <c r="B5" s="49" t="str">
        <f>"Run Date: "&amp;TEXT(NvsEndTime,"MM/DD/YYYY  hh:mm")</f>
        <v>Run Date: 10/08/2010  15:41</v>
      </c>
      <c r="C5" s="22"/>
      <c r="D5" s="23"/>
      <c r="E5" s="23"/>
      <c r="F5" s="24"/>
      <c r="G5" s="24"/>
      <c r="H5" s="25"/>
      <c r="I5" s="54"/>
      <c r="J5" s="26"/>
      <c r="K5" s="24"/>
      <c r="L5" s="25"/>
      <c r="M5" s="54"/>
    </row>
    <row r="6" spans="2:12" ht="12.75">
      <c r="B6" s="27" t="str">
        <f>IF(C585&lt;&gt;"Error",C585,"")</f>
        <v>X_OPR_COS</v>
      </c>
      <c r="C6" s="44" t="str">
        <f>"Rpt ID: "&amp;C580&amp;"      Layout: "&amp;C581</f>
        <v>Rpt ID: GLR2200V      Layout: GLR2200V</v>
      </c>
      <c r="D6" s="19"/>
      <c r="E6" s="19"/>
      <c r="F6" s="8" t="s">
        <v>246</v>
      </c>
      <c r="G6" s="19"/>
      <c r="H6" s="50" t="s">
        <v>71</v>
      </c>
      <c r="I6" s="172"/>
      <c r="J6" s="173"/>
      <c r="K6" s="148" t="s">
        <v>244</v>
      </c>
      <c r="L6" s="50" t="s">
        <v>71</v>
      </c>
    </row>
    <row r="7" spans="1:13" s="13" customFormat="1" ht="13.5" thickBot="1">
      <c r="A7" s="11"/>
      <c r="B7" s="21" t="str">
        <f>IF(C582="Error",""&amp;C588,IF(C588="Error",""&amp;C584,""&amp;C588))</f>
        <v>KYP_CORP_CONSOL</v>
      </c>
      <c r="C7" s="9" t="str">
        <f>IF($C$582="Error",NvsTreeASD&amp;" Acct: PRPT_ACCOUNT      BU: "&amp;+$C$589,IF(C588="Error",NvsTreeASD&amp;" Acct: PRPT_ACCOUNT     BU: "&amp;+$C$584,NvsTreeASD&amp;"  Acct: PRPT_ACCOUNT    BU: "&amp;+$C$588))</f>
        <v>V2099-01-01 Acct: PRPT_ACCOUNT      BU: GL_PRPT_CONS</v>
      </c>
      <c r="D7" s="5"/>
      <c r="E7" s="5"/>
      <c r="F7" s="29" t="str">
        <f>TEXT($C$572,"YYYY")</f>
        <v>2010</v>
      </c>
      <c r="G7" s="10">
        <f>+F7-1</f>
        <v>2009</v>
      </c>
      <c r="H7" s="24" t="s">
        <v>54</v>
      </c>
      <c r="I7" s="54" t="s">
        <v>55</v>
      </c>
      <c r="J7" s="24"/>
      <c r="K7" s="149" t="s">
        <v>245</v>
      </c>
      <c r="L7" s="24" t="s">
        <v>54</v>
      </c>
      <c r="M7" s="54" t="s">
        <v>55</v>
      </c>
    </row>
    <row r="8" spans="1:13" s="13" customFormat="1" ht="13.5" thickTop="1">
      <c r="A8" s="11"/>
      <c r="B8" s="56"/>
      <c r="C8" s="57"/>
      <c r="D8" s="58"/>
      <c r="E8" s="58"/>
      <c r="F8" s="59"/>
      <c r="G8" s="60"/>
      <c r="H8" s="61"/>
      <c r="I8" s="135"/>
      <c r="J8" s="177"/>
      <c r="K8" s="150"/>
      <c r="L8" s="61"/>
      <c r="M8" s="135"/>
    </row>
    <row r="9" spans="3:13" s="63" customFormat="1" ht="12.75">
      <c r="C9" s="62" t="s">
        <v>77</v>
      </c>
      <c r="D9" s="64"/>
      <c r="E9" s="64"/>
      <c r="F9" s="232"/>
      <c r="G9" s="232"/>
      <c r="H9" s="245"/>
      <c r="I9" s="65"/>
      <c r="J9" s="158"/>
      <c r="K9" s="232"/>
      <c r="L9" s="245"/>
      <c r="M9" s="65"/>
    </row>
    <row r="10" spans="3:12" ht="8.25" customHeight="1" hidden="1" outlineLevel="1">
      <c r="C10" s="12"/>
      <c r="D10" s="30"/>
      <c r="E10" s="30"/>
      <c r="H10" s="240"/>
      <c r="J10" s="159"/>
      <c r="K10" s="18"/>
      <c r="L10" s="240"/>
    </row>
    <row r="11" spans="1:13" s="15" customFormat="1" ht="12.75" hidden="1" outlineLevel="2">
      <c r="A11" s="15" t="s">
        <v>351</v>
      </c>
      <c r="B11" s="15" t="s">
        <v>352</v>
      </c>
      <c r="C11" s="134" t="s">
        <v>353</v>
      </c>
      <c r="D11" s="16"/>
      <c r="E11" s="16"/>
      <c r="F11" s="16">
        <v>1601115292.01</v>
      </c>
      <c r="G11" s="16">
        <v>1522919581.81</v>
      </c>
      <c r="H11" s="16">
        <f>+F11-G11</f>
        <v>78195710.20000005</v>
      </c>
      <c r="I11" s="53">
        <f>IF(G11&lt;0,IF(H11=0,0,IF(OR(G11=0,F11=0),"N.M.",IF(ABS(H11/G11)&gt;=10,"N.M.",H11/(-G11)))),IF(H11=0,0,IF(OR(G11=0,F11=0),"N.M.",IF(ABS(H11/G11)&gt;=10,"N.M.",H11/G11))))</f>
        <v>0.051345922092001686</v>
      </c>
      <c r="J11" s="174"/>
      <c r="K11" s="257">
        <v>1536588920.96</v>
      </c>
      <c r="L11" s="16">
        <f>+F11-K11</f>
        <v>64526371.04999995</v>
      </c>
      <c r="M11" s="53">
        <f>IF(K11&lt;0,IF(L11=0,0,IF(OR(K11=0,F11=0),"N.M.",IF(ABS(L11/K11)&gt;=10,"N.M.",L11/(-K11)))),IF(L11=0,0,IF(OR(K11=0,F11=0),"N.M.",IF(ABS(L11/K11)&gt;=10,"N.M.",L11/K11))))</f>
        <v>0.04199325543079305</v>
      </c>
    </row>
    <row r="12" spans="1:13" s="15" customFormat="1" ht="12.75" hidden="1" outlineLevel="2">
      <c r="A12" s="15" t="s">
        <v>354</v>
      </c>
      <c r="B12" s="15" t="s">
        <v>355</v>
      </c>
      <c r="C12" s="134" t="s">
        <v>356</v>
      </c>
      <c r="D12" s="16"/>
      <c r="E12" s="16"/>
      <c r="F12" s="16">
        <v>6742571.91</v>
      </c>
      <c r="G12" s="16">
        <v>3880458.76</v>
      </c>
      <c r="H12" s="16">
        <f>+F12-G12</f>
        <v>2862113.1500000004</v>
      </c>
      <c r="I12" s="53">
        <f>IF(G12&lt;0,IF(H12=0,0,IF(OR(G12=0,F12=0),"N.M.",IF(ABS(H12/G12)&gt;=10,"N.M.",H12/(-G12)))),IF(H12=0,0,IF(OR(G12=0,F12=0),"N.M.",IF(ABS(H12/G12)&gt;=10,"N.M.",H12/G12))))</f>
        <v>0.7375708201058166</v>
      </c>
      <c r="J12" s="174"/>
      <c r="K12" s="257">
        <v>3378616.12</v>
      </c>
      <c r="L12" s="16">
        <f>+F12-K12</f>
        <v>3363955.79</v>
      </c>
      <c r="M12" s="53">
        <f>IF(K12&lt;0,IF(L12=0,0,IF(OR(K12=0,F12=0),"N.M.",IF(ABS(L12/K12)&gt;=10,"N.M.",L12/(-K12)))),IF(L12=0,0,IF(OR(K12=0,F12=0),"N.M.",IF(ABS(L12/K12)&gt;=10,"N.M.",L12/K12))))</f>
        <v>0.9956608476727448</v>
      </c>
    </row>
    <row r="13" spans="1:13" s="15" customFormat="1" ht="12.75" hidden="1" outlineLevel="2">
      <c r="A13" s="15" t="s">
        <v>357</v>
      </c>
      <c r="B13" s="15" t="s">
        <v>358</v>
      </c>
      <c r="C13" s="134" t="s">
        <v>359</v>
      </c>
      <c r="D13" s="16"/>
      <c r="E13" s="16"/>
      <c r="F13" s="16">
        <v>7436550.73</v>
      </c>
      <c r="G13" s="16">
        <v>6808947</v>
      </c>
      <c r="H13" s="16">
        <f>+F13-G13</f>
        <v>627603.7300000004</v>
      </c>
      <c r="I13" s="53">
        <f>IF(G13&lt;0,IF(H13=0,0,IF(OR(G13=0,F13=0),"N.M.",IF(ABS(H13/G13)&gt;=10,"N.M.",H13/(-G13)))),IF(H13=0,0,IF(OR(G13=0,F13=0),"N.M.",IF(ABS(H13/G13)&gt;=10,"N.M.",H13/G13))))</f>
        <v>0.09217339039355138</v>
      </c>
      <c r="J13" s="174"/>
      <c r="K13" s="257">
        <v>7436550.73</v>
      </c>
      <c r="L13" s="16">
        <f>+F13-K13</f>
        <v>0</v>
      </c>
      <c r="M13" s="53">
        <f>IF(K13&lt;0,IF(L13=0,0,IF(OR(K13=0,F13=0),"N.M.",IF(ABS(L13/K13)&gt;=10,"N.M.",L13/(-K13)))),IF(L13=0,0,IF(OR(K13=0,F13=0),"N.M.",IF(ABS(L13/K13)&gt;=10,"N.M.",L13/K13))))</f>
        <v>0</v>
      </c>
    </row>
    <row r="14" spans="1:13" s="15" customFormat="1" ht="12.75" hidden="1" outlineLevel="2">
      <c r="A14" s="15" t="s">
        <v>360</v>
      </c>
      <c r="B14" s="15" t="s">
        <v>361</v>
      </c>
      <c r="C14" s="134" t="s">
        <v>362</v>
      </c>
      <c r="D14" s="16"/>
      <c r="E14" s="16"/>
      <c r="F14" s="16">
        <v>25354302.7</v>
      </c>
      <c r="G14" s="16">
        <v>66659891.44</v>
      </c>
      <c r="H14" s="16">
        <f>+F14-G14</f>
        <v>-41305588.739999995</v>
      </c>
      <c r="I14" s="53">
        <f>IF(G14&lt;0,IF(H14=0,0,IF(OR(G14=0,F14=0),"N.M.",IF(ABS(H14/G14)&gt;=10,"N.M.",H14/(-G14)))),IF(H14=0,0,IF(OR(G14=0,F14=0),"N.M.",IF(ABS(H14/G14)&gt;=10,"N.M.",H14/G14))))</f>
        <v>-0.6196468048133382</v>
      </c>
      <c r="J14" s="174"/>
      <c r="K14" s="257">
        <v>61640980.6</v>
      </c>
      <c r="L14" s="16">
        <f>+F14-K14</f>
        <v>-36286677.900000006</v>
      </c>
      <c r="M14" s="53">
        <f>IF(K14&lt;0,IF(L14=0,0,IF(OR(K14=0,F14=0),"N.M.",IF(ABS(L14/K14)&gt;=10,"N.M.",L14/(-K14)))),IF(L14=0,0,IF(OR(K14=0,F14=0),"N.M.",IF(ABS(L14/K14)&gt;=10,"N.M.",L14/K14))))</f>
        <v>-0.5886778170430339</v>
      </c>
    </row>
    <row r="15" spans="1:13" s="67" customFormat="1" ht="12.75" collapsed="1">
      <c r="A15" s="67" t="s">
        <v>350</v>
      </c>
      <c r="B15" s="68"/>
      <c r="C15" s="81" t="s">
        <v>80</v>
      </c>
      <c r="D15" s="66"/>
      <c r="E15" s="66"/>
      <c r="F15" s="51">
        <v>1640648717.3500001</v>
      </c>
      <c r="G15" s="51">
        <v>1600268879.01</v>
      </c>
      <c r="H15" s="51">
        <f>+F15-G15</f>
        <v>40379838.34000015</v>
      </c>
      <c r="I15" s="136">
        <f>IF(G15&lt;0,IF(H15=0,0,IF(OR(G15=0,F15=0),"N.M.",IF(ABS(H15/G15)&gt;=10,"N.M.",H15/(-G15)))),IF(H15=0,0,IF(OR(G15=0,F15=0),"N.M.",IF(ABS(H15/G15)&gt;=10,"N.M.",H15/G15))))</f>
        <v>0.02523315854581949</v>
      </c>
      <c r="J15" s="157"/>
      <c r="K15" s="51">
        <v>1609045068.4099998</v>
      </c>
      <c r="L15" s="51">
        <f>+F15-K15</f>
        <v>31603648.940000296</v>
      </c>
      <c r="M15" s="136">
        <f>IF(K15&lt;0,IF(L15=0,0,IF(OR(K15=0,F15=0),"N.M.",IF(ABS(L15/K15)&gt;=10,"N.M.",L15/(-K15)))),IF(L15=0,0,IF(OR(K15=0,F15=0),"N.M.",IF(ABS(L15/K15)&gt;=10,"N.M.",L15/K15))))</f>
        <v>0.019641245332692812</v>
      </c>
    </row>
    <row r="16" spans="2:13" s="67" customFormat="1" ht="0.75" customHeight="1" hidden="1" outlineLevel="1">
      <c r="B16" s="68"/>
      <c r="C16" s="81"/>
      <c r="D16" s="66"/>
      <c r="E16" s="66"/>
      <c r="F16" s="51"/>
      <c r="G16" s="51"/>
      <c r="H16" s="51"/>
      <c r="I16" s="136"/>
      <c r="J16" s="157"/>
      <c r="K16" s="51"/>
      <c r="L16" s="51"/>
      <c r="M16" s="136"/>
    </row>
    <row r="17" spans="1:13" s="15" customFormat="1" ht="12.75" hidden="1" outlineLevel="2">
      <c r="A17" s="15" t="s">
        <v>363</v>
      </c>
      <c r="B17" s="15" t="s">
        <v>364</v>
      </c>
      <c r="C17" s="134" t="s">
        <v>365</v>
      </c>
      <c r="D17" s="16"/>
      <c r="E17" s="16"/>
      <c r="F17" s="16">
        <v>9565.23</v>
      </c>
      <c r="G17" s="16">
        <v>39883.37</v>
      </c>
      <c r="H17" s="16">
        <f>+F17-G17</f>
        <v>-30318.140000000003</v>
      </c>
      <c r="I17" s="53">
        <f>IF(G17&lt;0,IF(H17=0,0,IF(OR(G17=0,F17=0),"N.M.",IF(ABS(H17/G17)&gt;=10,"N.M.",H17/(-G17)))),IF(H17=0,0,IF(OR(G17=0,F17=0),"N.M.",IF(ABS(H17/G17)&gt;=10,"N.M.",H17/G17))))</f>
        <v>-0.7601699655771316</v>
      </c>
      <c r="J17" s="174"/>
      <c r="K17" s="257">
        <v>1513.6000000000001</v>
      </c>
      <c r="L17" s="16">
        <f>+F17-K17</f>
        <v>8051.629999999999</v>
      </c>
      <c r="M17" s="53">
        <f>IF(K17&lt;0,IF(L17=0,0,IF(OR(K17=0,F17=0),"N.M.",IF(ABS(L17/K17)&gt;=10,"N.M.",L17/(-K17)))),IF(L17=0,0,IF(OR(K17=0,F17=0),"N.M.",IF(ABS(L17/K17)&gt;=10,"N.M.",L17/K17))))</f>
        <v>5.319522991543339</v>
      </c>
    </row>
    <row r="18" spans="1:13" s="67" customFormat="1" ht="12.75" collapsed="1">
      <c r="A18" s="67" t="s">
        <v>169</v>
      </c>
      <c r="B18" s="68"/>
      <c r="C18" s="81" t="s">
        <v>79</v>
      </c>
      <c r="D18" s="66"/>
      <c r="E18" s="66"/>
      <c r="F18" s="51">
        <v>9565.23</v>
      </c>
      <c r="G18" s="51">
        <v>39883.37</v>
      </c>
      <c r="H18" s="51">
        <f>+F18-G18</f>
        <v>-30318.140000000003</v>
      </c>
      <c r="I18" s="136">
        <f>IF(G18&lt;0,IF(H18=0,0,IF(OR(G18=0,F18=0),"N.M.",IF(ABS(H18/G18)&gt;=10,"N.M.",H18/(-G18)))),IF(H18=0,0,IF(OR(G18=0,F18=0),"N.M.",IF(ABS(H18/G18)&gt;=10,"N.M.",H18/G18))))</f>
        <v>-0.7601699655771316</v>
      </c>
      <c r="J18" s="157"/>
      <c r="K18" s="51">
        <v>1513.6000000000001</v>
      </c>
      <c r="L18" s="51">
        <f>+F18-K18</f>
        <v>8051.629999999999</v>
      </c>
      <c r="M18" s="136">
        <f>IF(K18&lt;0,IF(L18=0,0,IF(OR(K18=0,F18=0),"N.M.",IF(ABS(L18/K18)&gt;=10,"N.M.",L18/(-K18)))),IF(L18=0,0,IF(OR(K18=0,F18=0),"N.M.",IF(ABS(L18/K18)&gt;=10,"N.M.",L18/K18))))</f>
        <v>5.319522991543339</v>
      </c>
    </row>
    <row r="19" spans="2:13" s="67" customFormat="1" ht="0.75" customHeight="1" hidden="1" outlineLevel="1">
      <c r="B19" s="68"/>
      <c r="C19" s="81"/>
      <c r="D19" s="66"/>
      <c r="E19" s="66"/>
      <c r="F19" s="51"/>
      <c r="G19" s="51"/>
      <c r="H19" s="51"/>
      <c r="I19" s="136"/>
      <c r="J19" s="157"/>
      <c r="K19" s="51"/>
      <c r="L19" s="51"/>
      <c r="M19" s="136"/>
    </row>
    <row r="20" spans="1:13" s="15" customFormat="1" ht="12.75" hidden="1" outlineLevel="2">
      <c r="A20" s="15" t="s">
        <v>366</v>
      </c>
      <c r="B20" s="15" t="s">
        <v>367</v>
      </c>
      <c r="C20" s="134" t="s">
        <v>368</v>
      </c>
      <c r="D20" s="16"/>
      <c r="E20" s="16"/>
      <c r="F20" s="16">
        <v>25315678.448</v>
      </c>
      <c r="G20" s="16">
        <v>28208038.992</v>
      </c>
      <c r="H20" s="16">
        <f>+F20-G20</f>
        <v>-2892360.5439999998</v>
      </c>
      <c r="I20" s="53">
        <f>IF(G20&lt;0,IF(H20=0,0,IF(OR(G20=0,F20=0),"N.M.",IF(ABS(H20/G20)&gt;=10,"N.M.",H20/(-G20)))),IF(H20=0,0,IF(OR(G20=0,F20=0),"N.M.",IF(ABS(H20/G20)&gt;=10,"N.M.",H20/G20))))</f>
        <v>-0.10253674652180869</v>
      </c>
      <c r="J20" s="174"/>
      <c r="K20" s="257">
        <v>28408870.427</v>
      </c>
      <c r="L20" s="16">
        <f>+F20-K20</f>
        <v>-3093191.979000002</v>
      </c>
      <c r="M20" s="53">
        <f>IF(K20&lt;0,IF(L20=0,0,IF(OR(K20=0,F20=0),"N.M.",IF(ABS(L20/K20)&gt;=10,"N.M.",L20/(-K20)))),IF(L20=0,0,IF(OR(K20=0,F20=0),"N.M.",IF(ABS(L20/K20)&gt;=10,"N.M.",L20/K20))))</f>
        <v>-0.10888120268450412</v>
      </c>
    </row>
    <row r="21" spans="1:13" s="67" customFormat="1" ht="12.75" collapsed="1">
      <c r="A21" s="67" t="s">
        <v>170</v>
      </c>
      <c r="B21" s="68"/>
      <c r="C21" s="81" t="s">
        <v>78</v>
      </c>
      <c r="D21" s="66"/>
      <c r="E21" s="66"/>
      <c r="F21" s="51">
        <v>25315678.448</v>
      </c>
      <c r="G21" s="51">
        <v>28208038.992</v>
      </c>
      <c r="H21" s="51">
        <f>+F21-G21</f>
        <v>-2892360.5439999998</v>
      </c>
      <c r="I21" s="136">
        <f>IF(G21&lt;0,IF(H21=0,0,IF(OR(G21=0,F21=0),"N.M.",IF(ABS(H21/G21)&gt;=10,"N.M.",H21/(-G21)))),IF(H21=0,0,IF(OR(G21=0,F21=0),"N.M.",IF(ABS(H21/G21)&gt;=10,"N.M.",H21/G21))))</f>
        <v>-0.10253674652180869</v>
      </c>
      <c r="J21" s="157"/>
      <c r="K21" s="51">
        <v>28408870.427</v>
      </c>
      <c r="L21" s="51">
        <f>+F21-K21</f>
        <v>-3093191.979000002</v>
      </c>
      <c r="M21" s="136">
        <f>IF(K21&lt;0,IF(L21=0,0,IF(OR(K21=0,F21=0),"N.M.",IF(ABS(L21/K21)&gt;=10,"N.M.",L21/(-K21)))),IF(L21=0,0,IF(OR(K21=0,F21=0),"N.M.",IF(ABS(L21/K21)&gt;=10,"N.M.",L21/K21))))</f>
        <v>-0.10888120268450412</v>
      </c>
    </row>
    <row r="22" spans="1:13" s="75" customFormat="1" ht="12.75">
      <c r="A22" s="75" t="s">
        <v>111</v>
      </c>
      <c r="B22" s="93"/>
      <c r="C22" s="75" t="s">
        <v>81</v>
      </c>
      <c r="D22" s="73"/>
      <c r="E22" s="73"/>
      <c r="F22" s="74">
        <f>+F21+F18+F15</f>
        <v>1665973961.028</v>
      </c>
      <c r="G22" s="74">
        <f>+G21+G18+G15</f>
        <v>1628516801.372</v>
      </c>
      <c r="H22" s="74">
        <f>+F22-G22</f>
        <v>37457159.65600014</v>
      </c>
      <c r="I22" s="137">
        <f>IF(G22&lt;0,IF(H22=0,0,IF(OR(G22=0,F22=0),"N.M.",IF(ABS(H22/G22)&gt;=10,"N.M.",H22/(-G22)))),IF(H22=0,0,IF(OR(G22=0,F22=0),"N.M.",IF(ABS(H22/G22)&gt;=10,"N.M.",H22/G22))))</f>
        <v>0.023000781830708205</v>
      </c>
      <c r="J22" s="160" t="s">
        <v>72</v>
      </c>
      <c r="K22" s="74">
        <f>+K21+K18+K15</f>
        <v>1637455452.4369998</v>
      </c>
      <c r="L22" s="74">
        <f>+F22-K22</f>
        <v>28518508.59100032</v>
      </c>
      <c r="M22" s="137">
        <f>IF(K22&lt;0,IF(L22=0,0,IF(OR(K22=0,F22=0),"N.M.",IF(ABS(L22/K22)&gt;=10,"N.M.",L22/(-K22)))),IF(L22=0,0,IF(OR(K22=0,F22=0),"N.M.",IF(ABS(L22/K22)&gt;=10,"N.M.",L22/K22))))</f>
        <v>0.01741635691435554</v>
      </c>
    </row>
    <row r="23" spans="1:13" s="67" customFormat="1" ht="0.75" customHeight="1" hidden="1" outlineLevel="1">
      <c r="A23" s="71"/>
      <c r="B23" s="72"/>
      <c r="C23" s="71"/>
      <c r="D23" s="66"/>
      <c r="E23" s="66"/>
      <c r="F23" s="51"/>
      <c r="G23" s="51"/>
      <c r="H23" s="51"/>
      <c r="I23" s="136"/>
      <c r="J23" s="157"/>
      <c r="K23" s="51"/>
      <c r="L23" s="51"/>
      <c r="M23" s="136"/>
    </row>
    <row r="24" spans="1:13" s="15" customFormat="1" ht="12.75" hidden="1" outlineLevel="2">
      <c r="A24" s="15" t="s">
        <v>369</v>
      </c>
      <c r="B24" s="15" t="s">
        <v>370</v>
      </c>
      <c r="C24" s="134" t="s">
        <v>371</v>
      </c>
      <c r="D24" s="16"/>
      <c r="E24" s="16"/>
      <c r="F24" s="16">
        <v>-2090726.96</v>
      </c>
      <c r="G24" s="16">
        <v>-1921439.3399999999</v>
      </c>
      <c r="H24" s="16">
        <f aca="true" t="shared" si="0" ref="H24:H29">+F24-G24</f>
        <v>-169287.6200000001</v>
      </c>
      <c r="I24" s="53">
        <f aca="true" t="shared" si="1" ref="I24:I29">IF(G24&lt;0,IF(H24=0,0,IF(OR(G24=0,F24=0),"N.M.",IF(ABS(H24/G24)&gt;=10,"N.M.",H24/(-G24)))),IF(H24=0,0,IF(OR(G24=0,F24=0),"N.M.",IF(ABS(H24/G24)&gt;=10,"N.M.",H24/G24))))</f>
        <v>-0.08810458726217198</v>
      </c>
      <c r="J24" s="174"/>
      <c r="K24" s="257">
        <v>-1627324.8900000001</v>
      </c>
      <c r="L24" s="16">
        <f aca="true" t="shared" si="2" ref="L24:L29">+F24-K24</f>
        <v>-463402.06999999983</v>
      </c>
      <c r="M24" s="53">
        <f aca="true" t="shared" si="3" ref="M24:M29">IF(K24&lt;0,IF(L24=0,0,IF(OR(K24=0,F24=0),"N.M.",IF(ABS(L24/K24)&gt;=10,"N.M.",L24/(-K24)))),IF(L24=0,0,IF(OR(K24=0,F24=0),"N.M.",IF(ABS(L24/K24)&gt;=10,"N.M.",L24/K24))))</f>
        <v>-0.28476309361924634</v>
      </c>
    </row>
    <row r="25" spans="1:13" s="15" customFormat="1" ht="12.75" hidden="1" outlineLevel="2">
      <c r="A25" s="15" t="s">
        <v>372</v>
      </c>
      <c r="B25" s="15" t="s">
        <v>373</v>
      </c>
      <c r="C25" s="134" t="s">
        <v>374</v>
      </c>
      <c r="D25" s="16"/>
      <c r="E25" s="16"/>
      <c r="F25" s="16">
        <v>-514498803.848</v>
      </c>
      <c r="G25" s="16">
        <v>-484770237.688</v>
      </c>
      <c r="H25" s="16">
        <f t="shared" si="0"/>
        <v>-29728566.159999967</v>
      </c>
      <c r="I25" s="53">
        <f t="shared" si="1"/>
        <v>-0.06132506463635951</v>
      </c>
      <c r="J25" s="174"/>
      <c r="K25" s="257">
        <v>-493467052.468</v>
      </c>
      <c r="L25" s="16">
        <f t="shared" si="2"/>
        <v>-21031751.379999995</v>
      </c>
      <c r="M25" s="53">
        <f t="shared" si="3"/>
        <v>-0.04262037612199823</v>
      </c>
    </row>
    <row r="26" spans="1:13" s="15" customFormat="1" ht="12.75" hidden="1" outlineLevel="2">
      <c r="A26" s="15" t="s">
        <v>375</v>
      </c>
      <c r="B26" s="15" t="s">
        <v>376</v>
      </c>
      <c r="C26" s="134" t="s">
        <v>377</v>
      </c>
      <c r="D26" s="16"/>
      <c r="E26" s="16"/>
      <c r="F26" s="16">
        <v>829791.721</v>
      </c>
      <c r="G26" s="16">
        <v>3166995.675</v>
      </c>
      <c r="H26" s="16">
        <f t="shared" si="0"/>
        <v>-2337203.954</v>
      </c>
      <c r="I26" s="53">
        <f t="shared" si="1"/>
        <v>-0.7379877315430815</v>
      </c>
      <c r="J26" s="174"/>
      <c r="K26" s="257">
        <v>3767366.255</v>
      </c>
      <c r="L26" s="16">
        <f t="shared" si="2"/>
        <v>-2937574.534</v>
      </c>
      <c r="M26" s="53">
        <f t="shared" si="3"/>
        <v>-0.7797422217978645</v>
      </c>
    </row>
    <row r="27" spans="1:13" s="15" customFormat="1" ht="12.75" hidden="1" outlineLevel="2">
      <c r="A27" s="15" t="s">
        <v>378</v>
      </c>
      <c r="B27" s="15" t="s">
        <v>379</v>
      </c>
      <c r="C27" s="134" t="s">
        <v>380</v>
      </c>
      <c r="D27" s="16"/>
      <c r="E27" s="16"/>
      <c r="F27" s="16">
        <v>-28659930.64</v>
      </c>
      <c r="G27" s="16">
        <v>-26496294.31</v>
      </c>
      <c r="H27" s="16">
        <f t="shared" si="0"/>
        <v>-2163636.330000002</v>
      </c>
      <c r="I27" s="53">
        <f t="shared" si="1"/>
        <v>-0.08165807281146562</v>
      </c>
      <c r="J27" s="174"/>
      <c r="K27" s="257">
        <v>-26544599.6</v>
      </c>
      <c r="L27" s="16">
        <f t="shared" si="2"/>
        <v>-2115331.039999999</v>
      </c>
      <c r="M27" s="53">
        <f t="shared" si="3"/>
        <v>-0.07968969477316956</v>
      </c>
    </row>
    <row r="28" spans="1:13" s="15" customFormat="1" ht="12.75" hidden="1" outlineLevel="2">
      <c r="A28" s="15" t="s">
        <v>381</v>
      </c>
      <c r="B28" s="15" t="s">
        <v>382</v>
      </c>
      <c r="C28" s="134" t="s">
        <v>383</v>
      </c>
      <c r="D28" s="16"/>
      <c r="E28" s="16"/>
      <c r="F28" s="16">
        <v>1919304.7000000002</v>
      </c>
      <c r="G28" s="16">
        <v>1444703.97</v>
      </c>
      <c r="H28" s="16">
        <f t="shared" si="0"/>
        <v>474600.7300000002</v>
      </c>
      <c r="I28" s="53">
        <f t="shared" si="1"/>
        <v>0.328510712128797</v>
      </c>
      <c r="J28" s="174"/>
      <c r="K28" s="257">
        <v>1565334.08</v>
      </c>
      <c r="L28" s="16">
        <f t="shared" si="2"/>
        <v>353970.6200000001</v>
      </c>
      <c r="M28" s="53">
        <f t="shared" si="3"/>
        <v>0.22613103779098714</v>
      </c>
    </row>
    <row r="29" spans="1:13" s="15" customFormat="1" ht="12.75" hidden="1" outlineLevel="2">
      <c r="A29" s="15" t="s">
        <v>384</v>
      </c>
      <c r="B29" s="15" t="s">
        <v>385</v>
      </c>
      <c r="C29" s="134" t="s">
        <v>386</v>
      </c>
      <c r="D29" s="16"/>
      <c r="E29" s="16"/>
      <c r="F29" s="16">
        <v>-20102364.8</v>
      </c>
      <c r="G29" s="16">
        <v>-20862821.74</v>
      </c>
      <c r="H29" s="16">
        <f t="shared" si="0"/>
        <v>760456.9399999976</v>
      </c>
      <c r="I29" s="53">
        <f t="shared" si="1"/>
        <v>0.0364503397228374</v>
      </c>
      <c r="J29" s="174"/>
      <c r="K29" s="257">
        <v>-17291094.09</v>
      </c>
      <c r="L29" s="16">
        <f t="shared" si="2"/>
        <v>-2811270.710000001</v>
      </c>
      <c r="M29" s="53">
        <f t="shared" si="3"/>
        <v>-0.16258489459182632</v>
      </c>
    </row>
    <row r="30" spans="1:13" s="67" customFormat="1" ht="12.75" collapsed="1">
      <c r="A30" s="67" t="s">
        <v>168</v>
      </c>
      <c r="B30" s="68"/>
      <c r="C30" s="85" t="s">
        <v>82</v>
      </c>
      <c r="D30" s="66"/>
      <c r="E30" s="66"/>
      <c r="F30" s="197">
        <v>-562602729.8269999</v>
      </c>
      <c r="G30" s="197">
        <v>-529439093.43299997</v>
      </c>
      <c r="H30" s="197">
        <f>+F30-G30</f>
        <v>-33163636.393999934</v>
      </c>
      <c r="I30" s="138">
        <f>IF(G30&lt;0,IF(H30=0,0,IF(OR(G30=0,F30=0),"N.M.",IF(ABS(H30/G30)&gt;=10,"N.M.",H30/(-G30)))),IF(H30=0,0,IF(OR(G30=0,F30=0),"N.M.",IF(ABS(H30/G30)&gt;=10,"N.M.",H30/G30))))</f>
        <v>-0.06263919080655642</v>
      </c>
      <c r="J30" s="157"/>
      <c r="K30" s="197">
        <v>-533597370.713</v>
      </c>
      <c r="L30" s="197">
        <f>+F30-K30</f>
        <v>-29005359.113999903</v>
      </c>
      <c r="M30" s="138">
        <f>IF(K30&lt;0,IF(L30=0,0,IF(OR(K30=0,F30=0),"N.M.",IF(ABS(L30/K30)&gt;=10,"N.M.",L30/(-K30)))),IF(L30=0,0,IF(OR(K30=0,F30=0),"N.M.",IF(ABS(L30/K30)&gt;=10,"N.M.",L30/K30))))</f>
        <v>-0.054358137251018596</v>
      </c>
    </row>
    <row r="31" spans="1:13" s="67" customFormat="1" ht="12.75">
      <c r="A31" s="71" t="s">
        <v>112</v>
      </c>
      <c r="B31" s="72"/>
      <c r="C31" s="71" t="s">
        <v>73</v>
      </c>
      <c r="D31" s="66"/>
      <c r="E31" s="66"/>
      <c r="F31" s="74">
        <f>+F22+F30</f>
        <v>1103371231.2010002</v>
      </c>
      <c r="G31" s="74">
        <f>+G22+G30</f>
        <v>1099077707.9390001</v>
      </c>
      <c r="H31" s="74">
        <f>+F31-G31</f>
        <v>4293523.262000084</v>
      </c>
      <c r="I31" s="137">
        <f>IF(G31&lt;0,IF(H31=0,0,IF(OR(G31=0,F31=0),"N.M.",IF(ABS(H31/G31)&gt;=10,"N.M.",H31/(-G31)))),IF(H31=0,0,IF(OR(G31=0,F31=0),"N.M.",IF(ABS(H31/G31)&gt;=10,"N.M.",H31/G31))))</f>
        <v>0.003906478341782889</v>
      </c>
      <c r="J31" s="157"/>
      <c r="K31" s="74">
        <f>+K22+K30</f>
        <v>1103858081.7239997</v>
      </c>
      <c r="L31" s="74">
        <f>+F31-K31</f>
        <v>-486850.52299952507</v>
      </c>
      <c r="M31" s="137">
        <f>IF(K31&lt;0,IF(L31=0,0,IF(OR(K31=0,F31=0),"N.M.",IF(ABS(L31/K31)&gt;=10,"N.M.",L31/(-K31)))),IF(L31=0,0,IF(OR(K31=0,F31=0),"N.M.",IF(ABS(L31/K31)&gt;=10,"N.M.",L31/K31))))</f>
        <v>-0.0004410444884718917</v>
      </c>
    </row>
    <row r="32" spans="1:13" s="67" customFormat="1" ht="7.5" customHeight="1">
      <c r="A32" s="71"/>
      <c r="B32" s="72"/>
      <c r="C32" s="71"/>
      <c r="D32" s="66"/>
      <c r="E32" s="66"/>
      <c r="F32" s="51"/>
      <c r="G32" s="51"/>
      <c r="H32" s="51"/>
      <c r="I32" s="136"/>
      <c r="J32" s="157"/>
      <c r="K32" s="51"/>
      <c r="L32" s="51"/>
      <c r="M32" s="136"/>
    </row>
    <row r="33" spans="1:13" s="67" customFormat="1" ht="1.5" customHeight="1" hidden="1" outlineLevel="1">
      <c r="A33" s="71"/>
      <c r="B33" s="72"/>
      <c r="C33" s="71"/>
      <c r="D33" s="66"/>
      <c r="E33" s="66"/>
      <c r="F33" s="51"/>
      <c r="G33" s="51"/>
      <c r="H33" s="51"/>
      <c r="I33" s="136"/>
      <c r="J33" s="157"/>
      <c r="K33" s="51"/>
      <c r="L33" s="51"/>
      <c r="M33" s="136"/>
    </row>
    <row r="34" spans="1:13" s="15" customFormat="1" ht="12.75" hidden="1" outlineLevel="2">
      <c r="A34" s="15" t="s">
        <v>387</v>
      </c>
      <c r="B34" s="15" t="s">
        <v>388</v>
      </c>
      <c r="C34" s="134" t="s">
        <v>389</v>
      </c>
      <c r="D34" s="16"/>
      <c r="E34" s="16"/>
      <c r="F34" s="16">
        <v>964528</v>
      </c>
      <c r="G34" s="16">
        <v>957608</v>
      </c>
      <c r="H34" s="16">
        <f aca="true" t="shared" si="4" ref="H34:H41">+F34-G34</f>
        <v>6920</v>
      </c>
      <c r="I34" s="53">
        <f aca="true" t="shared" si="5" ref="I34:I41">IF(G34&lt;0,IF(H34=0,0,IF(OR(G34=0,F34=0),"N.M.",IF(ABS(H34/G34)&gt;=10,"N.M.",H34/(-G34)))),IF(H34=0,0,IF(OR(G34=0,F34=0),"N.M.",IF(ABS(H34/G34)&gt;=10,"N.M.",H34/G34))))</f>
        <v>0.007226338961245102</v>
      </c>
      <c r="J34" s="174"/>
      <c r="K34" s="257">
        <v>964528</v>
      </c>
      <c r="L34" s="16">
        <f aca="true" t="shared" si="6" ref="L34:L40">+F34-K34</f>
        <v>0</v>
      </c>
      <c r="M34" s="53">
        <f aca="true" t="shared" si="7" ref="M34:M41">IF(K34&lt;0,IF(L34=0,0,IF(OR(K34=0,F34=0),"N.M.",IF(ABS(L34/K34)&gt;=10,"N.M.",L34/(-K34)))),IF(L34=0,0,IF(OR(K34=0,F34=0),"N.M.",IF(ABS(L34/K34)&gt;=10,"N.M.",L34/K34))))</f>
        <v>0</v>
      </c>
    </row>
    <row r="35" spans="1:13" s="67" customFormat="1" ht="12.75" hidden="1" outlineLevel="1">
      <c r="A35" s="11" t="s">
        <v>161</v>
      </c>
      <c r="B35" s="72"/>
      <c r="C35" s="83" t="s">
        <v>89</v>
      </c>
      <c r="D35" s="66"/>
      <c r="E35" s="66"/>
      <c r="F35" s="51">
        <v>964528</v>
      </c>
      <c r="G35" s="51">
        <v>957608</v>
      </c>
      <c r="H35" s="51">
        <f t="shared" si="4"/>
        <v>6920</v>
      </c>
      <c r="I35" s="136">
        <f t="shared" si="5"/>
        <v>0.007226338961245102</v>
      </c>
      <c r="J35" s="157"/>
      <c r="K35" s="51">
        <v>964528</v>
      </c>
      <c r="L35" s="51">
        <f t="shared" si="6"/>
        <v>0</v>
      </c>
      <c r="M35" s="136">
        <f t="shared" si="7"/>
        <v>0</v>
      </c>
    </row>
    <row r="36" spans="1:13" s="15" customFormat="1" ht="12.75" hidden="1" outlineLevel="2">
      <c r="A36" s="15" t="s">
        <v>390</v>
      </c>
      <c r="B36" s="15" t="s">
        <v>391</v>
      </c>
      <c r="C36" s="134" t="s">
        <v>392</v>
      </c>
      <c r="D36" s="16"/>
      <c r="E36" s="16"/>
      <c r="F36" s="16">
        <v>-193279.16</v>
      </c>
      <c r="G36" s="16">
        <v>-186609.44</v>
      </c>
      <c r="H36" s="16">
        <f t="shared" si="4"/>
        <v>-6669.720000000001</v>
      </c>
      <c r="I36" s="53">
        <f t="shared" si="5"/>
        <v>-0.03574160021057885</v>
      </c>
      <c r="J36" s="174"/>
      <c r="K36" s="257">
        <v>-188276.87</v>
      </c>
      <c r="L36" s="16">
        <f t="shared" si="6"/>
        <v>-5002.290000000008</v>
      </c>
      <c r="M36" s="53">
        <f t="shared" si="7"/>
        <v>-0.026568797324918396</v>
      </c>
    </row>
    <row r="37" spans="1:13" s="15" customFormat="1" ht="12.75" hidden="1" outlineLevel="2">
      <c r="A37" s="15" t="s">
        <v>393</v>
      </c>
      <c r="B37" s="15" t="s">
        <v>394</v>
      </c>
      <c r="C37" s="134" t="s">
        <v>395</v>
      </c>
      <c r="D37" s="16"/>
      <c r="E37" s="16"/>
      <c r="F37" s="16">
        <v>0</v>
      </c>
      <c r="G37" s="16">
        <v>4053.89</v>
      </c>
      <c r="H37" s="16">
        <f t="shared" si="4"/>
        <v>-4053.89</v>
      </c>
      <c r="I37" s="53" t="str">
        <f t="shared" si="5"/>
        <v>N.M.</v>
      </c>
      <c r="J37" s="174"/>
      <c r="K37" s="257">
        <v>0</v>
      </c>
      <c r="L37" s="16">
        <f t="shared" si="6"/>
        <v>0</v>
      </c>
      <c r="M37" s="53">
        <f t="shared" si="7"/>
        <v>0</v>
      </c>
    </row>
    <row r="38" spans="1:13" s="67" customFormat="1" ht="12.75" hidden="1" outlineLevel="1">
      <c r="A38" s="11" t="s">
        <v>162</v>
      </c>
      <c r="B38" s="72"/>
      <c r="C38" s="83" t="s">
        <v>90</v>
      </c>
      <c r="D38" s="66"/>
      <c r="E38" s="66"/>
      <c r="F38" s="51">
        <v>-193279.16</v>
      </c>
      <c r="G38" s="51">
        <v>-182555.55</v>
      </c>
      <c r="H38" s="51">
        <f t="shared" si="4"/>
        <v>-10723.610000000015</v>
      </c>
      <c r="I38" s="136">
        <f t="shared" si="5"/>
        <v>-0.05874162686371363</v>
      </c>
      <c r="J38" s="157"/>
      <c r="K38" s="51">
        <v>-188276.87</v>
      </c>
      <c r="L38" s="51">
        <f t="shared" si="6"/>
        <v>-5002.290000000008</v>
      </c>
      <c r="M38" s="136">
        <f t="shared" si="7"/>
        <v>-0.026568797324918396</v>
      </c>
    </row>
    <row r="39" spans="1:13" s="15" customFormat="1" ht="12.75" hidden="1" outlineLevel="2">
      <c r="A39" s="15" t="s">
        <v>396</v>
      </c>
      <c r="B39" s="15" t="s">
        <v>397</v>
      </c>
      <c r="C39" s="134" t="s">
        <v>398</v>
      </c>
      <c r="D39" s="16"/>
      <c r="E39" s="16"/>
      <c r="F39" s="16">
        <v>4734975.63</v>
      </c>
      <c r="G39" s="16">
        <v>4533569.9</v>
      </c>
      <c r="H39" s="16">
        <f t="shared" si="4"/>
        <v>201405.72999999952</v>
      </c>
      <c r="I39" s="53">
        <f t="shared" si="5"/>
        <v>0.04442541627074052</v>
      </c>
      <c r="J39" s="174"/>
      <c r="K39" s="257">
        <v>4533569.9</v>
      </c>
      <c r="L39" s="16">
        <f t="shared" si="6"/>
        <v>201405.72999999952</v>
      </c>
      <c r="M39" s="53">
        <f t="shared" si="7"/>
        <v>0.04442541627074052</v>
      </c>
    </row>
    <row r="40" spans="1:13" s="67" customFormat="1" ht="12.75" hidden="1" outlineLevel="1">
      <c r="A40" s="11" t="s">
        <v>163</v>
      </c>
      <c r="B40" s="72"/>
      <c r="C40" s="84" t="s">
        <v>91</v>
      </c>
      <c r="D40" s="66"/>
      <c r="E40" s="66"/>
      <c r="F40" s="197">
        <v>4734975.63</v>
      </c>
      <c r="G40" s="197">
        <v>4533569.9</v>
      </c>
      <c r="H40" s="197">
        <f t="shared" si="4"/>
        <v>201405.72999999952</v>
      </c>
      <c r="I40" s="138">
        <f t="shared" si="5"/>
        <v>0.04442541627074052</v>
      </c>
      <c r="J40" s="157"/>
      <c r="K40" s="197">
        <v>4533569.9</v>
      </c>
      <c r="L40" s="197">
        <f t="shared" si="6"/>
        <v>201405.72999999952</v>
      </c>
      <c r="M40" s="138">
        <f t="shared" si="7"/>
        <v>0.04442541627074052</v>
      </c>
    </row>
    <row r="41" spans="1:13" s="67" customFormat="1" ht="12.75" collapsed="1">
      <c r="A41" s="69" t="s">
        <v>237</v>
      </c>
      <c r="B41" s="72"/>
      <c r="C41" s="81" t="s">
        <v>83</v>
      </c>
      <c r="D41" s="66"/>
      <c r="E41" s="66"/>
      <c r="F41" s="51">
        <f>+F35+F38+F40</f>
        <v>5506224.47</v>
      </c>
      <c r="G41" s="51">
        <f>+G35+G38+G40</f>
        <v>5308622.350000001</v>
      </c>
      <c r="H41" s="51">
        <f t="shared" si="4"/>
        <v>197602.11999999918</v>
      </c>
      <c r="I41" s="136">
        <f t="shared" si="5"/>
        <v>0.03722286253796132</v>
      </c>
      <c r="J41" s="157" t="s">
        <v>72</v>
      </c>
      <c r="K41" s="51">
        <f>+K35+K38+K40</f>
        <v>5309821.03</v>
      </c>
      <c r="L41" s="51">
        <f>+L35+L38+L40</f>
        <v>196403.4399999995</v>
      </c>
      <c r="M41" s="136">
        <f t="shared" si="7"/>
        <v>0.036988711839879</v>
      </c>
    </row>
    <row r="42" spans="1:13" s="79" customFormat="1" ht="3" customHeight="1" hidden="1" outlineLevel="1">
      <c r="A42" s="86"/>
      <c r="B42" s="78"/>
      <c r="C42" s="80"/>
      <c r="D42" s="77"/>
      <c r="E42" s="77"/>
      <c r="F42" s="77"/>
      <c r="G42" s="77"/>
      <c r="H42" s="77"/>
      <c r="I42" s="139"/>
      <c r="J42" s="161"/>
      <c r="K42" s="77"/>
      <c r="L42" s="77"/>
      <c r="M42" s="139"/>
    </row>
    <row r="43" spans="1:13" s="79" customFormat="1" ht="12.75" hidden="1" outlineLevel="1">
      <c r="A43" s="86" t="s">
        <v>115</v>
      </c>
      <c r="B43" s="78"/>
      <c r="C43" s="80" t="s">
        <v>116</v>
      </c>
      <c r="D43" s="77"/>
      <c r="E43" s="77"/>
      <c r="F43" s="77">
        <v>0</v>
      </c>
      <c r="G43" s="77">
        <v>0</v>
      </c>
      <c r="H43" s="51">
        <f>+F43-G43</f>
        <v>0</v>
      </c>
      <c r="I43" s="136">
        <f>IF(G43&lt;0,IF(H43=0,0,IF(OR(G43=0,F43=0),"N.M.",IF(ABS(H43/G43)&gt;=10,"N.M.",H43/(-G43)))),IF(H43=0,0,IF(OR(G43=0,F43=0),"N.M.",IF(ABS(H43/G43)&gt;=10,"N.M.",H43/G43))))</f>
        <v>0</v>
      </c>
      <c r="J43" s="161"/>
      <c r="K43" s="77">
        <v>0</v>
      </c>
      <c r="L43" s="51">
        <f aca="true" t="shared" si="8" ref="L43:L56">+F43-K43</f>
        <v>0</v>
      </c>
      <c r="M43" s="136">
        <f>IF(K43&lt;0,IF(L43=0,0,IF(OR(K43=0,F43=0),"N.M.",IF(ABS(L43/K43)&gt;=10,"N.M.",L43/(-K43)))),IF(L43=0,0,IF(OR(K43=0,F43=0),"N.M.",IF(ABS(L43/K43)&gt;=10,"N.M.",L43/K43))))</f>
        <v>0</v>
      </c>
    </row>
    <row r="44" spans="1:13" s="79" customFormat="1" ht="12.75" hidden="1" outlineLevel="1">
      <c r="A44" s="86" t="s">
        <v>119</v>
      </c>
      <c r="B44" s="78"/>
      <c r="C44" s="80" t="s">
        <v>117</v>
      </c>
      <c r="D44" s="77"/>
      <c r="E44" s="77"/>
      <c r="F44" s="77">
        <v>0</v>
      </c>
      <c r="G44" s="77">
        <v>0</v>
      </c>
      <c r="H44" s="51">
        <f>+F44-G44</f>
        <v>0</v>
      </c>
      <c r="I44" s="136">
        <f>IF(G44&lt;0,IF(H44=0,0,IF(OR(G44=0,F44=0),"N.M.",IF(ABS(H44/G44)&gt;=10,"N.M.",H44/(-G44)))),IF(H44=0,0,IF(OR(G44=0,F44=0),"N.M.",IF(ABS(H44/G44)&gt;=10,"N.M.",H44/G44))))</f>
        <v>0</v>
      </c>
      <c r="J44" s="161"/>
      <c r="K44" s="77">
        <v>0</v>
      </c>
      <c r="L44" s="51">
        <f t="shared" si="8"/>
        <v>0</v>
      </c>
      <c r="M44" s="136">
        <f>IF(K44&lt;0,IF(L44=0,0,IF(OR(K44=0,F44=0),"N.M.",IF(ABS(L44/K44)&gt;=10,"N.M.",L44/(-K44)))),IF(L44=0,0,IF(OR(K44=0,F44=0),"N.M.",IF(ABS(L44/K44)&gt;=10,"N.M.",L44/K44))))</f>
        <v>0</v>
      </c>
    </row>
    <row r="45" spans="1:13" s="79" customFormat="1" ht="12.75" hidden="1" outlineLevel="1">
      <c r="A45" s="86" t="s">
        <v>120</v>
      </c>
      <c r="B45" s="78"/>
      <c r="C45" s="80" t="s">
        <v>118</v>
      </c>
      <c r="D45" s="77"/>
      <c r="E45" s="77"/>
      <c r="F45" s="77">
        <v>0</v>
      </c>
      <c r="G45" s="77">
        <v>0</v>
      </c>
      <c r="H45" s="51">
        <f>+F45-G45</f>
        <v>0</v>
      </c>
      <c r="I45" s="136">
        <f>IF(G45&lt;0,IF(H45=0,0,IF(OR(G45=0,F45=0),"N.M.",IF(ABS(H45/G45)&gt;=10,"N.M.",H45/(-G45)))),IF(H45=0,0,IF(OR(G45=0,F45=0),"N.M.",IF(ABS(H45/G45)&gt;=10,"N.M.",H45/G45))))</f>
        <v>0</v>
      </c>
      <c r="J45" s="161"/>
      <c r="K45" s="77">
        <v>0</v>
      </c>
      <c r="L45" s="51">
        <f t="shared" si="8"/>
        <v>0</v>
      </c>
      <c r="M45" s="136">
        <f>IF(K45&lt;0,IF(L45=0,0,IF(OR(K45=0,F45=0),"N.M.",IF(ABS(L45/K45)&gt;=10,"N.M.",L45/(-K45)))),IF(L45=0,0,IF(OR(K45=0,F45=0),"N.M.",IF(ABS(L45/K45)&gt;=10,"N.M.",L45/K45))))</f>
        <v>0</v>
      </c>
    </row>
    <row r="46" spans="1:13" s="67" customFormat="1" ht="12.75" collapsed="1">
      <c r="A46" s="68" t="s">
        <v>238</v>
      </c>
      <c r="B46" s="68"/>
      <c r="C46" s="81" t="s">
        <v>84</v>
      </c>
      <c r="D46" s="66"/>
      <c r="E46" s="66"/>
      <c r="F46" s="51">
        <f>+F45+F44+F43</f>
        <v>0</v>
      </c>
      <c r="G46" s="51">
        <f>+G45+G44+G43</f>
        <v>0</v>
      </c>
      <c r="H46" s="51">
        <f>+F46-G46</f>
        <v>0</v>
      </c>
      <c r="I46" s="136">
        <f>IF(G46&lt;0,IF(H46=0,0,IF(OR(G46=0,F46=0),"N.M.",IF(ABS(H46/G46)&gt;=10,"N.M.",H46/(-G46)))),IF(H46=0,0,IF(OR(G46=0,F46=0),"N.M.",IF(ABS(H46/G46)&gt;=10,"N.M.",H46/G46))))</f>
        <v>0</v>
      </c>
      <c r="J46" s="157" t="s">
        <v>72</v>
      </c>
      <c r="K46" s="51">
        <f>+K45+K44+K43</f>
        <v>0</v>
      </c>
      <c r="L46" s="51">
        <f t="shared" si="8"/>
        <v>0</v>
      </c>
      <c r="M46" s="136">
        <f>IF(K46&lt;0,IF(L46=0,0,IF(OR(K46=0,F46=0),"N.M.",IF(ABS(L46/K46)&gt;=10,"N.M.",L46/(-K46)))),IF(L46=0,0,IF(OR(K46=0,F46=0),"N.M.",IF(ABS(L46/K46)&gt;=10,"N.M.",L46/K46))))</f>
        <v>0</v>
      </c>
    </row>
    <row r="47" spans="1:13" s="67" customFormat="1" ht="0.75" customHeight="1" hidden="1" outlineLevel="1">
      <c r="A47" s="68"/>
      <c r="B47" s="68"/>
      <c r="C47" s="81"/>
      <c r="D47" s="66"/>
      <c r="E47" s="66"/>
      <c r="F47" s="51"/>
      <c r="G47" s="51"/>
      <c r="H47" s="51"/>
      <c r="I47" s="136"/>
      <c r="J47" s="157"/>
      <c r="K47" s="51"/>
      <c r="L47" s="51">
        <f t="shared" si="8"/>
        <v>0</v>
      </c>
      <c r="M47" s="136"/>
    </row>
    <row r="48" spans="1:13" s="15" customFormat="1" ht="12.75" hidden="1" outlineLevel="2">
      <c r="A48" s="15" t="s">
        <v>399</v>
      </c>
      <c r="B48" s="15" t="s">
        <v>400</v>
      </c>
      <c r="C48" s="134" t="s">
        <v>401</v>
      </c>
      <c r="D48" s="16"/>
      <c r="E48" s="16"/>
      <c r="F48" s="16">
        <v>806</v>
      </c>
      <c r="G48" s="16">
        <v>806</v>
      </c>
      <c r="H48" s="16">
        <f>+F48-G48</f>
        <v>0</v>
      </c>
      <c r="I48" s="53">
        <f>IF(G48&lt;0,IF(H48=0,0,IF(OR(G48=0,F48=0),"N.M.",IF(ABS(H48/G48)&gt;=10,"N.M.",H48/(-G48)))),IF(H48=0,0,IF(OR(G48=0,F48=0),"N.M.",IF(ABS(H48/G48)&gt;=10,"N.M.",H48/G48))))</f>
        <v>0</v>
      </c>
      <c r="J48" s="174"/>
      <c r="K48" s="257">
        <v>806</v>
      </c>
      <c r="L48" s="16">
        <f>+F48-K48</f>
        <v>0</v>
      </c>
      <c r="M48" s="53">
        <f>IF(K48&lt;0,IF(L48=0,0,IF(OR(K48=0,F48=0),"N.M.",IF(ABS(L48/K48)&gt;=10,"N.M.",L48/(-K48)))),IF(L48=0,0,IF(OR(K48=0,F48=0),"N.M.",IF(ABS(L48/K48)&gt;=10,"N.M.",L48/K48))))</f>
        <v>0</v>
      </c>
    </row>
    <row r="49" spans="1:13" s="15" customFormat="1" ht="12.75" hidden="1" outlineLevel="2">
      <c r="A49" s="15" t="s">
        <v>402</v>
      </c>
      <c r="B49" s="15" t="s">
        <v>403</v>
      </c>
      <c r="C49" s="134" t="s">
        <v>404</v>
      </c>
      <c r="D49" s="16"/>
      <c r="E49" s="16"/>
      <c r="F49" s="16">
        <v>129390.01000000001</v>
      </c>
      <c r="G49" s="16">
        <v>135823.58000000002</v>
      </c>
      <c r="H49" s="16">
        <f>+F49-G49</f>
        <v>-6433.570000000007</v>
      </c>
      <c r="I49" s="53">
        <f>IF(G49&lt;0,IF(H49=0,0,IF(OR(G49=0,F49=0),"N.M.",IF(ABS(H49/G49)&gt;=10,"N.M.",H49/(-G49)))),IF(H49=0,0,IF(OR(G49=0,F49=0),"N.M.",IF(ABS(H49/G49)&gt;=10,"N.M.",H49/G49))))</f>
        <v>-0.04736710665408765</v>
      </c>
      <c r="J49" s="174"/>
      <c r="K49" s="257">
        <v>129390.01000000001</v>
      </c>
      <c r="L49" s="16">
        <f>+F49-K49</f>
        <v>0</v>
      </c>
      <c r="M49" s="53">
        <f>IF(K49&lt;0,IF(L49=0,0,IF(OR(K49=0,F49=0),"N.M.",IF(ABS(L49/K49)&gt;=10,"N.M.",L49/(-K49)))),IF(L49=0,0,IF(OR(K49=0,F49=0),"N.M.",IF(ABS(L49/K49)&gt;=10,"N.M.",L49/K49))))</f>
        <v>0</v>
      </c>
    </row>
    <row r="50" spans="1:13" s="15" customFormat="1" ht="12.75" hidden="1" outlineLevel="2">
      <c r="A50" s="15" t="s">
        <v>405</v>
      </c>
      <c r="B50" s="15" t="s">
        <v>406</v>
      </c>
      <c r="C50" s="134" t="s">
        <v>407</v>
      </c>
      <c r="D50" s="16"/>
      <c r="E50" s="16"/>
      <c r="F50" s="16">
        <v>172972</v>
      </c>
      <c r="G50" s="16">
        <v>177028.21</v>
      </c>
      <c r="H50" s="16">
        <f>+F50-G50</f>
        <v>-4056.209999999992</v>
      </c>
      <c r="I50" s="53">
        <f>IF(G50&lt;0,IF(H50=0,0,IF(OR(G50=0,F50=0),"N.M.",IF(ABS(H50/G50)&gt;=10,"N.M.",H50/(-G50)))),IF(H50=0,0,IF(OR(G50=0,F50=0),"N.M.",IF(ABS(H50/G50)&gt;=10,"N.M.",H50/G50))))</f>
        <v>-0.022912788871332947</v>
      </c>
      <c r="J50" s="174"/>
      <c r="K50" s="257">
        <v>176281.21</v>
      </c>
      <c r="L50" s="16">
        <f>+F50-K50</f>
        <v>-3309.209999999992</v>
      </c>
      <c r="M50" s="53">
        <f>IF(K50&lt;0,IF(L50=0,0,IF(OR(K50=0,F50=0),"N.M.",IF(ABS(L50/K50)&gt;=10,"N.M.",L50/(-K50)))),IF(L50=0,0,IF(OR(K50=0,F50=0),"N.M.",IF(ABS(L50/K50)&gt;=10,"N.M.",L50/K50))))</f>
        <v>-0.018772335406592636</v>
      </c>
    </row>
    <row r="51" spans="1:13" s="67" customFormat="1" ht="12.75" collapsed="1">
      <c r="A51" s="67" t="s">
        <v>164</v>
      </c>
      <c r="B51" s="68"/>
      <c r="C51" s="81" t="s">
        <v>85</v>
      </c>
      <c r="D51" s="66"/>
      <c r="E51" s="66"/>
      <c r="F51" s="51">
        <v>303168.01</v>
      </c>
      <c r="G51" s="51">
        <v>313657.79000000004</v>
      </c>
      <c r="H51" s="51">
        <f>+F51-G51</f>
        <v>-10489.780000000028</v>
      </c>
      <c r="I51" s="136">
        <f>IF(G51&lt;0,IF(H51=0,0,IF(OR(G51=0,F51=0),"N.M.",IF(ABS(H51/G51)&gt;=10,"N.M.",H51/(-G51)))),IF(H51=0,0,IF(OR(G51=0,F51=0),"N.M.",IF(ABS(H51/G51)&gt;=10,"N.M.",H51/G51))))</f>
        <v>-0.03344339064558233</v>
      </c>
      <c r="J51" s="157"/>
      <c r="K51" s="51">
        <v>306477.22</v>
      </c>
      <c r="L51" s="51">
        <f t="shared" si="8"/>
        <v>-3309.2099999999627</v>
      </c>
      <c r="M51" s="136">
        <f>IF(K51&lt;0,IF(L51=0,0,IF(OR(K51=0,F51=0),"N.M.",IF(ABS(L51/K51)&gt;=10,"N.M.",L51/(-K51)))),IF(L51=0,0,IF(OR(K51=0,F51=0),"N.M.",IF(ABS(L51/K51)&gt;=10,"N.M.",L51/K51))))</f>
        <v>-0.01079757249168458</v>
      </c>
    </row>
    <row r="52" spans="2:13" s="67" customFormat="1" ht="0.75" customHeight="1" hidden="1" outlineLevel="1">
      <c r="B52" s="68"/>
      <c r="C52" s="81"/>
      <c r="D52" s="66"/>
      <c r="E52" s="66"/>
      <c r="F52" s="51"/>
      <c r="G52" s="51"/>
      <c r="H52" s="51"/>
      <c r="I52" s="136"/>
      <c r="J52" s="157"/>
      <c r="K52" s="51"/>
      <c r="L52" s="51">
        <f t="shared" si="8"/>
        <v>0</v>
      </c>
      <c r="M52" s="136"/>
    </row>
    <row r="53" spans="1:13" s="67" customFormat="1" ht="12.75" collapsed="1">
      <c r="A53" s="67" t="s">
        <v>165</v>
      </c>
      <c r="B53" s="68"/>
      <c r="C53" s="81" t="s">
        <v>86</v>
      </c>
      <c r="D53" s="66"/>
      <c r="E53" s="66"/>
      <c r="F53" s="51">
        <v>0</v>
      </c>
      <c r="G53" s="51">
        <v>0</v>
      </c>
      <c r="H53" s="51">
        <f>+F53-G53</f>
        <v>0</v>
      </c>
      <c r="I53" s="136">
        <f>IF(G53&lt;0,IF(H53=0,0,IF(OR(G53=0,F53=0),"N.M.",IF(ABS(H53/G53)&gt;=10,"N.M.",H53/(-G53)))),IF(H53=0,0,IF(OR(G53=0,F53=0),"N.M.",IF(ABS(H53/G53)&gt;=10,"N.M.",H53/G53))))</f>
        <v>0</v>
      </c>
      <c r="J53" s="157"/>
      <c r="K53" s="51">
        <v>0</v>
      </c>
      <c r="L53" s="51">
        <f t="shared" si="8"/>
        <v>0</v>
      </c>
      <c r="M53" s="136">
        <f>IF(K53&lt;0,IF(L53=0,0,IF(OR(K53=0,F53=0),"N.M.",IF(ABS(L53/K53)&gt;=10,"N.M.",L53/(-K53)))),IF(L53=0,0,IF(OR(K53=0,F53=0),"N.M.",IF(ABS(L53/K53)&gt;=10,"N.M.",L53/K53))))</f>
        <v>0</v>
      </c>
    </row>
    <row r="54" spans="2:13" s="67" customFormat="1" ht="4.5" customHeight="1" hidden="1" outlineLevel="1">
      <c r="B54" s="68"/>
      <c r="C54" s="81"/>
      <c r="D54" s="66"/>
      <c r="E54" s="66"/>
      <c r="F54" s="51"/>
      <c r="G54" s="51"/>
      <c r="H54" s="51"/>
      <c r="I54" s="136"/>
      <c r="J54" s="157"/>
      <c r="K54" s="51"/>
      <c r="L54" s="51">
        <f t="shared" si="8"/>
        <v>0</v>
      </c>
      <c r="M54" s="136"/>
    </row>
    <row r="55" spans="1:13" s="15" customFormat="1" ht="12.75" hidden="1" outlineLevel="2">
      <c r="A55" s="15" t="s">
        <v>408</v>
      </c>
      <c r="B55" s="15" t="s">
        <v>409</v>
      </c>
      <c r="C55" s="134" t="s">
        <v>410</v>
      </c>
      <c r="D55" s="16"/>
      <c r="E55" s="16"/>
      <c r="F55" s="16">
        <v>5997049.57</v>
      </c>
      <c r="G55" s="16">
        <v>6698929.08</v>
      </c>
      <c r="H55" s="16">
        <f>+F55-G55</f>
        <v>-701879.5099999998</v>
      </c>
      <c r="I55" s="53">
        <f>IF(G55&lt;0,IF(H55=0,0,IF(OR(G55=0,F55=0),"N.M.",IF(ABS(H55/G55)&gt;=10,"N.M.",H55/(-G55)))),IF(H55=0,0,IF(OR(G55=0,F55=0),"N.M.",IF(ABS(H55/G55)&gt;=10,"N.M.",H55/G55))))</f>
        <v>-0.10477488291307598</v>
      </c>
      <c r="J55" s="174"/>
      <c r="K55" s="257">
        <v>5997049.57</v>
      </c>
      <c r="L55" s="16">
        <f>+F55-K55</f>
        <v>0</v>
      </c>
      <c r="M55" s="53">
        <f>IF(K55&lt;0,IF(L55=0,0,IF(OR(K55=0,F55=0),"N.M.",IF(ABS(L55/K55)&gt;=10,"N.M.",L55/(-K55)))),IF(L55=0,0,IF(OR(K55=0,F55=0),"N.M.",IF(ABS(L55/K55)&gt;=10,"N.M.",L55/K55))))</f>
        <v>0</v>
      </c>
    </row>
    <row r="56" spans="1:13" s="67" customFormat="1" ht="12.75" collapsed="1">
      <c r="A56" s="67" t="s">
        <v>166</v>
      </c>
      <c r="B56" s="68"/>
      <c r="C56" s="81" t="s">
        <v>87</v>
      </c>
      <c r="D56" s="66"/>
      <c r="E56" s="66"/>
      <c r="F56" s="51">
        <v>5997049.57</v>
      </c>
      <c r="G56" s="51">
        <v>6698929.08</v>
      </c>
      <c r="H56" s="51">
        <f>+F56-G56</f>
        <v>-701879.5099999998</v>
      </c>
      <c r="I56" s="136">
        <f>IF(G56&lt;0,IF(H56=0,0,IF(OR(G56=0,F56=0),"N.M.",IF(ABS(H56/G56)&gt;=10,"N.M.",H56/(-G56)))),IF(H56=0,0,IF(OR(G56=0,F56=0),"N.M.",IF(ABS(H56/G56)&gt;=10,"N.M.",H56/G56))))</f>
        <v>-0.10477488291307598</v>
      </c>
      <c r="J56" s="157"/>
      <c r="K56" s="51">
        <v>5997049.57</v>
      </c>
      <c r="L56" s="51">
        <f t="shared" si="8"/>
        <v>0</v>
      </c>
      <c r="M56" s="136">
        <f>IF(K56&lt;0,IF(L56=0,0,IF(OR(K56=0,F56=0),"N.M.",IF(ABS(L56/K56)&gt;=10,"N.M.",L56/(-K56)))),IF(L56=0,0,IF(OR(K56=0,F56=0),"N.M.",IF(ABS(L56/K56)&gt;=10,"N.M.",L56/K56))))</f>
        <v>0</v>
      </c>
    </row>
    <row r="57" spans="2:13" s="67" customFormat="1" ht="4.5" customHeight="1" hidden="1" outlineLevel="1">
      <c r="B57" s="68"/>
      <c r="C57" s="81"/>
      <c r="D57" s="66"/>
      <c r="E57" s="66"/>
      <c r="F57" s="51"/>
      <c r="G57" s="51"/>
      <c r="H57" s="51"/>
      <c r="I57" s="136"/>
      <c r="J57" s="157"/>
      <c r="K57" s="51"/>
      <c r="L57" s="51"/>
      <c r="M57" s="136"/>
    </row>
    <row r="58" spans="1:13" s="15" customFormat="1" ht="12.75" hidden="1" outlineLevel="2">
      <c r="A58" s="15" t="s">
        <v>411</v>
      </c>
      <c r="B58" s="15" t="s">
        <v>412</v>
      </c>
      <c r="C58" s="134" t="s">
        <v>413</v>
      </c>
      <c r="D58" s="16"/>
      <c r="E58" s="16"/>
      <c r="F58" s="16">
        <v>11156485.51</v>
      </c>
      <c r="G58" s="16">
        <v>12534185.41</v>
      </c>
      <c r="H58" s="16">
        <f>+F58-G58</f>
        <v>-1377699.9000000004</v>
      </c>
      <c r="I58" s="53">
        <f>IF(G58&lt;0,IF(H58=0,0,IF(OR(G58=0,F58=0),"N.M.",IF(ABS(H58/G58)&gt;=10,"N.M.",H58/(-G58)))),IF(H58=0,0,IF(OR(G58=0,F58=0),"N.M.",IF(ABS(H58/G58)&gt;=10,"N.M.",H58/G58))))</f>
        <v>-0.1099153917813316</v>
      </c>
      <c r="J58" s="174"/>
      <c r="K58" s="257">
        <v>9834007.87</v>
      </c>
      <c r="L58" s="16">
        <f>+F58-K58</f>
        <v>1322477.6400000006</v>
      </c>
      <c r="M58" s="53">
        <f>IF(K58&lt;0,IF(L58=0,0,IF(OR(K58=0,F58=0),"N.M.",IF(ABS(L58/K58)&gt;=10,"N.M.",L58/(-K58)))),IF(L58=0,0,IF(OR(K58=0,F58=0),"N.M.",IF(ABS(L58/K58)&gt;=10,"N.M.",L58/K58))))</f>
        <v>0.13448002660587668</v>
      </c>
    </row>
    <row r="59" spans="1:13" s="15" customFormat="1" ht="12.75" hidden="1" outlineLevel="2">
      <c r="A59" s="15" t="s">
        <v>414</v>
      </c>
      <c r="B59" s="15" t="s">
        <v>415</v>
      </c>
      <c r="C59" s="134" t="s">
        <v>416</v>
      </c>
      <c r="D59" s="16"/>
      <c r="E59" s="16"/>
      <c r="F59" s="16">
        <v>-408012</v>
      </c>
      <c r="G59" s="16">
        <v>-954343</v>
      </c>
      <c r="H59" s="16">
        <f>+F59-G59</f>
        <v>546331</v>
      </c>
      <c r="I59" s="53">
        <f>IF(G59&lt;0,IF(H59=0,0,IF(OR(G59=0,F59=0),"N.M.",IF(ABS(H59/G59)&gt;=10,"N.M.",H59/(-G59)))),IF(H59=0,0,IF(OR(G59=0,F59=0),"N.M.",IF(ABS(H59/G59)&gt;=10,"N.M.",H59/G59))))</f>
        <v>0.572468179679633</v>
      </c>
      <c r="J59" s="174"/>
      <c r="K59" s="257">
        <v>-336181</v>
      </c>
      <c r="L59" s="16">
        <f>+F59-K59</f>
        <v>-71831</v>
      </c>
      <c r="M59" s="53">
        <f>IF(K59&lt;0,IF(L59=0,0,IF(OR(K59=0,F59=0),"N.M.",IF(ABS(L59/K59)&gt;=10,"N.M.",L59/(-K59)))),IF(L59=0,0,IF(OR(K59=0,F59=0),"N.M.",IF(ABS(L59/K59)&gt;=10,"N.M.",L59/K59))))</f>
        <v>-0.21366763737391464</v>
      </c>
    </row>
    <row r="60" spans="1:13" s="15" customFormat="1" ht="12.75" hidden="1" outlineLevel="2">
      <c r="A60" s="15" t="s">
        <v>417</v>
      </c>
      <c r="B60" s="15" t="s">
        <v>418</v>
      </c>
      <c r="C60" s="134" t="s">
        <v>419</v>
      </c>
      <c r="D60" s="16"/>
      <c r="E60" s="16"/>
      <c r="F60" s="16">
        <v>1199</v>
      </c>
      <c r="G60" s="16">
        <v>112983</v>
      </c>
      <c r="H60" s="16">
        <f>+F60-G60</f>
        <v>-111784</v>
      </c>
      <c r="I60" s="53">
        <f>IF(G60&lt;0,IF(H60=0,0,IF(OR(G60=0,F60=0),"N.M.",IF(ABS(H60/G60)&gt;=10,"N.M.",H60/(-G60)))),IF(H60=0,0,IF(OR(G60=0,F60=0),"N.M.",IF(ABS(H60/G60)&gt;=10,"N.M.",H60/G60))))</f>
        <v>-0.9893877840029031</v>
      </c>
      <c r="J60" s="174"/>
      <c r="K60" s="257">
        <v>0</v>
      </c>
      <c r="L60" s="16">
        <f>+F60-K60</f>
        <v>1199</v>
      </c>
      <c r="M60" s="53" t="str">
        <f>IF(K60&lt;0,IF(L60=0,0,IF(OR(K60=0,F60=0),"N.M.",IF(ABS(L60/K60)&gt;=10,"N.M.",L60/(-K60)))),IF(L60=0,0,IF(OR(K60=0,F60=0),"N.M.",IF(ABS(L60/K60)&gt;=10,"N.M.",L60/K60))))</f>
        <v>N.M.</v>
      </c>
    </row>
    <row r="61" spans="1:13" s="67" customFormat="1" ht="12.75" collapsed="1">
      <c r="A61" s="67" t="s">
        <v>167</v>
      </c>
      <c r="B61" s="68"/>
      <c r="C61" s="81" t="s">
        <v>88</v>
      </c>
      <c r="D61" s="66"/>
      <c r="E61" s="66"/>
      <c r="F61" s="51">
        <v>10749672.51</v>
      </c>
      <c r="G61" s="51">
        <v>11692825.41</v>
      </c>
      <c r="H61" s="51">
        <f>+F61-G61</f>
        <v>-943152.9000000004</v>
      </c>
      <c r="I61" s="136">
        <f>IF(G61&lt;0,IF(H61=0,0,IF(OR(G61=0,F61=0),"N.M.",IF(ABS(H61/G61)&gt;=10,"N.M.",H61/(-G61)))),IF(H61=0,0,IF(OR(G61=0,F61=0),"N.M.",IF(ABS(H61/G61)&gt;=10,"N.M.",H61/G61))))</f>
        <v>-0.08066082122404668</v>
      </c>
      <c r="J61" s="157"/>
      <c r="K61" s="51">
        <v>9497826.87</v>
      </c>
      <c r="L61" s="51">
        <f>+F61-K61</f>
        <v>1251845.6400000006</v>
      </c>
      <c r="M61" s="136">
        <f>IF(K61&lt;0,IF(L61=0,0,IF(OR(K61=0,F61=0),"N.M.",IF(ABS(L61/K61)&gt;=10,"N.M.",L61/(-K61)))),IF(L61=0,0,IF(OR(K61=0,F61=0),"N.M.",IF(ABS(L61/K61)&gt;=10,"N.M.",L61/K61))))</f>
        <v>0.13180337535464054</v>
      </c>
    </row>
    <row r="62" spans="1:13" s="75" customFormat="1" ht="12.75">
      <c r="A62" s="71" t="s">
        <v>114</v>
      </c>
      <c r="B62" s="72"/>
      <c r="C62" s="71" t="s">
        <v>145</v>
      </c>
      <c r="D62" s="73"/>
      <c r="E62" s="73"/>
      <c r="F62" s="74">
        <f>+F61+F56+F53+F51+F46+F41</f>
        <v>22556114.56</v>
      </c>
      <c r="G62" s="74">
        <f>+G61+G56+G53+G51+G46+G41</f>
        <v>24014034.630000003</v>
      </c>
      <c r="H62" s="74">
        <f>+F62-G62</f>
        <v>-1457920.070000004</v>
      </c>
      <c r="I62" s="137">
        <f>IF(G62&lt;0,IF(H62=0,0,IF(OR(G62=0,F62=0),"N.M.",IF(ABS(H62/G62)&gt;=10,"N.M.",H62/(-G62)))),IF(H62=0,0,IF(OR(G62=0,F62=0),"N.M.",IF(ABS(H62/G62)&gt;=10,"N.M.",H62/G62))))</f>
        <v>-0.06071116713468335</v>
      </c>
      <c r="J62" s="160" t="s">
        <v>72</v>
      </c>
      <c r="K62" s="74">
        <f>+K61+K56+K53+K51+K46+K41</f>
        <v>21111174.69</v>
      </c>
      <c r="L62" s="74">
        <f>+F62-K62</f>
        <v>1444939.8699999973</v>
      </c>
      <c r="M62" s="137">
        <f>IF(K62&lt;0,IF(L62=0,0,IF(OR(K62=0,F62=0),"N.M.",IF(ABS(L62/K62)&gt;=10,"N.M.",L62/(-K62)))),IF(L62=0,0,IF(OR(K62=0,F62=0),"N.M.",IF(ABS(L62/K62)&gt;=10,"N.M.",L62/K62))))</f>
        <v>0.06844431402883708</v>
      </c>
    </row>
    <row r="63" spans="1:13" s="75" customFormat="1" ht="9" customHeight="1">
      <c r="A63" s="71"/>
      <c r="B63" s="72"/>
      <c r="C63" s="71"/>
      <c r="D63" s="73"/>
      <c r="E63" s="73"/>
      <c r="F63" s="74"/>
      <c r="G63" s="74"/>
      <c r="H63" s="74"/>
      <c r="I63" s="137"/>
      <c r="J63" s="160"/>
      <c r="K63" s="74"/>
      <c r="L63" s="74"/>
      <c r="M63" s="137"/>
    </row>
    <row r="64" spans="2:13" s="67" customFormat="1" ht="0.75" customHeight="1" hidden="1" outlineLevel="1">
      <c r="B64" s="68"/>
      <c r="C64" s="71"/>
      <c r="D64" s="66"/>
      <c r="E64" s="66"/>
      <c r="F64" s="51"/>
      <c r="G64" s="51"/>
      <c r="H64" s="51"/>
      <c r="I64" s="136"/>
      <c r="J64" s="157"/>
      <c r="K64" s="51"/>
      <c r="L64" s="51"/>
      <c r="M64" s="136"/>
    </row>
    <row r="65" spans="1:13" s="15" customFormat="1" ht="12.75" hidden="1" outlineLevel="2">
      <c r="A65" s="15" t="s">
        <v>420</v>
      </c>
      <c r="B65" s="15" t="s">
        <v>421</v>
      </c>
      <c r="C65" s="134" t="s">
        <v>422</v>
      </c>
      <c r="D65" s="16"/>
      <c r="E65" s="16"/>
      <c r="F65" s="16">
        <v>615789.1</v>
      </c>
      <c r="G65" s="16">
        <v>539815.48</v>
      </c>
      <c r="H65" s="16">
        <f>+F65-G65</f>
        <v>75973.62</v>
      </c>
      <c r="I65" s="53">
        <f>IF(G65&lt;0,IF(H65=0,0,IF(OR(G65=0,F65=0),"N.M.",IF(ABS(H65/G65)&gt;=10,"N.M.",H65/(-G65)))),IF(H65=0,0,IF(OR(G65=0,F65=0),"N.M.",IF(ABS(H65/G65)&gt;=10,"N.M.",H65/G65))))</f>
        <v>0.14073998026140339</v>
      </c>
      <c r="J65" s="174"/>
      <c r="K65" s="257">
        <v>488717.91000000003</v>
      </c>
      <c r="L65" s="16">
        <f>+F65-K65</f>
        <v>127071.18999999994</v>
      </c>
      <c r="M65" s="53">
        <f>IF(K65&lt;0,IF(L65=0,0,IF(OR(K65=0,F65=0),"N.M.",IF(ABS(L65/K65)&gt;=10,"N.M.",L65/(-K65)))),IF(L65=0,0,IF(OR(K65=0,F65=0),"N.M.",IF(ABS(L65/K65)&gt;=10,"N.M.",L65/K65))))</f>
        <v>0.2600092761077652</v>
      </c>
    </row>
    <row r="66" spans="1:13" s="67" customFormat="1" ht="12.75" hidden="1" outlineLevel="1">
      <c r="A66" s="86" t="s">
        <v>135</v>
      </c>
      <c r="B66" s="87"/>
      <c r="C66" s="83" t="s">
        <v>94</v>
      </c>
      <c r="D66" s="66"/>
      <c r="E66" s="66"/>
      <c r="F66" s="51">
        <v>615789.1</v>
      </c>
      <c r="G66" s="51">
        <v>539815.48</v>
      </c>
      <c r="H66" s="51">
        <f aca="true" t="shared" si="9" ref="H66:H75">+F66-G66</f>
        <v>75973.62</v>
      </c>
      <c r="I66" s="136">
        <f aca="true" t="shared" si="10" ref="I66:I75">IF(G66&lt;0,IF(H66=0,0,IF(OR(G66=0,F66=0),"N.M.",IF(ABS(H66/G66)&gt;=10,"N.M.",H66/(-G66)))),IF(H66=0,0,IF(OR(G66=0,F66=0),"N.M.",IF(ABS(H66/G66)&gt;=10,"N.M.",H66/G66))))</f>
        <v>0.14073998026140339</v>
      </c>
      <c r="J66" s="157"/>
      <c r="K66" s="51">
        <v>488717.91000000003</v>
      </c>
      <c r="L66" s="51">
        <f aca="true" t="shared" si="11" ref="L66:L76">+F66-K66</f>
        <v>127071.18999999994</v>
      </c>
      <c r="M66" s="136">
        <f aca="true" t="shared" si="12" ref="M66:M76">IF(K66&lt;0,IF(L66=0,0,IF(OR(K66=0,F66=0),"N.M.",IF(ABS(L66/K66)&gt;=10,"N.M.",L66/(-K66)))),IF(L66=0,0,IF(OR(K66=0,F66=0),"N.M.",IF(ABS(L66/K66)&gt;=10,"N.M.",L66/K66))))</f>
        <v>0.2600092761077652</v>
      </c>
    </row>
    <row r="67" spans="1:13" s="67" customFormat="1" ht="0.75" customHeight="1" hidden="1" outlineLevel="1">
      <c r="A67" s="86"/>
      <c r="B67" s="87"/>
      <c r="C67" s="83"/>
      <c r="D67" s="66"/>
      <c r="E67" s="66"/>
      <c r="F67" s="51"/>
      <c r="G67" s="51"/>
      <c r="H67" s="51">
        <f t="shared" si="9"/>
        <v>0</v>
      </c>
      <c r="I67" s="136">
        <f t="shared" si="10"/>
        <v>0</v>
      </c>
      <c r="J67" s="157"/>
      <c r="K67" s="51"/>
      <c r="L67" s="51">
        <f t="shared" si="11"/>
        <v>0</v>
      </c>
      <c r="M67" s="136">
        <f t="shared" si="12"/>
        <v>0</v>
      </c>
    </row>
    <row r="68" spans="1:13" s="15" customFormat="1" ht="12.75" hidden="1" outlineLevel="2">
      <c r="A68" s="15" t="s">
        <v>423</v>
      </c>
      <c r="B68" s="15" t="s">
        <v>424</v>
      </c>
      <c r="C68" s="134" t="s">
        <v>425</v>
      </c>
      <c r="D68" s="16"/>
      <c r="E68" s="16"/>
      <c r="F68" s="16">
        <v>2483377.74</v>
      </c>
      <c r="G68" s="16">
        <v>37481.450000000004</v>
      </c>
      <c r="H68" s="16">
        <f>+F68-G68</f>
        <v>2445896.29</v>
      </c>
      <c r="I68" s="53" t="str">
        <f>IF(G68&lt;0,IF(H68=0,0,IF(OR(G68=0,F68=0),"N.M.",IF(ABS(H68/G68)&gt;=10,"N.M.",H68/(-G68)))),IF(H68=0,0,IF(OR(G68=0,F68=0),"N.M.",IF(ABS(H68/G68)&gt;=10,"N.M.",H68/G68))))</f>
        <v>N.M.</v>
      </c>
      <c r="J68" s="174"/>
      <c r="K68" s="257">
        <v>814201.01</v>
      </c>
      <c r="L68" s="16">
        <f>+F68-K68</f>
        <v>1669176.7300000002</v>
      </c>
      <c r="M68" s="53">
        <f>IF(K68&lt;0,IF(L68=0,0,IF(OR(K68=0,F68=0),"N.M.",IF(ABS(L68/K68)&gt;=10,"N.M.",L68/(-K68)))),IF(L68=0,0,IF(OR(K68=0,F68=0),"N.M.",IF(ABS(L68/K68)&gt;=10,"N.M.",L68/K68))))</f>
        <v>2.050079414664445</v>
      </c>
    </row>
    <row r="69" spans="1:13" s="67" customFormat="1" ht="12.75" hidden="1" outlineLevel="1">
      <c r="A69" s="86" t="s">
        <v>136</v>
      </c>
      <c r="B69" s="87"/>
      <c r="C69" s="76" t="s">
        <v>95</v>
      </c>
      <c r="D69" s="66"/>
      <c r="E69" s="66"/>
      <c r="F69" s="51">
        <v>2483377.74</v>
      </c>
      <c r="G69" s="51">
        <v>37481.450000000004</v>
      </c>
      <c r="H69" s="51">
        <f t="shared" si="9"/>
        <v>2445896.29</v>
      </c>
      <c r="I69" s="136" t="str">
        <f t="shared" si="10"/>
        <v>N.M.</v>
      </c>
      <c r="J69" s="157"/>
      <c r="K69" s="51">
        <v>814201.01</v>
      </c>
      <c r="L69" s="51">
        <f t="shared" si="11"/>
        <v>1669176.7300000002</v>
      </c>
      <c r="M69" s="136">
        <f t="shared" si="12"/>
        <v>2.050079414664445</v>
      </c>
    </row>
    <row r="70" spans="1:13" s="67" customFormat="1" ht="12.75" hidden="1" outlineLevel="1">
      <c r="A70" s="86" t="s">
        <v>137</v>
      </c>
      <c r="B70" s="87"/>
      <c r="C70" s="76" t="s">
        <v>97</v>
      </c>
      <c r="D70" s="66"/>
      <c r="E70" s="66"/>
      <c r="F70" s="51">
        <v>0</v>
      </c>
      <c r="G70" s="51">
        <v>0</v>
      </c>
      <c r="H70" s="51">
        <f t="shared" si="9"/>
        <v>0</v>
      </c>
      <c r="I70" s="136">
        <f t="shared" si="10"/>
        <v>0</v>
      </c>
      <c r="J70" s="157"/>
      <c r="K70" s="51">
        <v>0</v>
      </c>
      <c r="L70" s="51">
        <f t="shared" si="11"/>
        <v>0</v>
      </c>
      <c r="M70" s="136">
        <f t="shared" si="12"/>
        <v>0</v>
      </c>
    </row>
    <row r="71" spans="1:13" s="15" customFormat="1" ht="12.75" hidden="1" outlineLevel="2">
      <c r="A71" s="15" t="s">
        <v>426</v>
      </c>
      <c r="B71" s="15" t="s">
        <v>427</v>
      </c>
      <c r="C71" s="134" t="s">
        <v>428</v>
      </c>
      <c r="D71" s="16"/>
      <c r="E71" s="16"/>
      <c r="F71" s="16">
        <v>4999.72</v>
      </c>
      <c r="G71" s="16">
        <v>4999.72</v>
      </c>
      <c r="H71" s="16">
        <f>+F71-G71</f>
        <v>0</v>
      </c>
      <c r="I71" s="53">
        <f>IF(G71&lt;0,IF(H71=0,0,IF(OR(G71=0,F71=0),"N.M.",IF(ABS(H71/G71)&gt;=10,"N.M.",H71/(-G71)))),IF(H71=0,0,IF(OR(G71=0,F71=0),"N.M.",IF(ABS(H71/G71)&gt;=10,"N.M.",H71/G71))))</f>
        <v>0</v>
      </c>
      <c r="J71" s="174"/>
      <c r="K71" s="257">
        <v>4999.72</v>
      </c>
      <c r="L71" s="16">
        <f>+F71-K71</f>
        <v>0</v>
      </c>
      <c r="M71" s="53">
        <f>IF(K71&lt;0,IF(L71=0,0,IF(OR(K71=0,F71=0),"N.M.",IF(ABS(L71/K71)&gt;=10,"N.M.",L71/(-K71)))),IF(L71=0,0,IF(OR(K71=0,F71=0),"N.M.",IF(ABS(L71/K71)&gt;=10,"N.M.",L71/K71))))</f>
        <v>0</v>
      </c>
    </row>
    <row r="72" spans="1:13" s="67" customFormat="1" ht="12.75" hidden="1" outlineLevel="1">
      <c r="A72" s="86" t="s">
        <v>138</v>
      </c>
      <c r="B72" s="87"/>
      <c r="C72" s="76" t="s">
        <v>96</v>
      </c>
      <c r="D72" s="66"/>
      <c r="E72" s="66"/>
      <c r="F72" s="51">
        <v>4999.72</v>
      </c>
      <c r="G72" s="51">
        <v>4999.72</v>
      </c>
      <c r="H72" s="51">
        <f t="shared" si="9"/>
        <v>0</v>
      </c>
      <c r="I72" s="136">
        <f t="shared" si="10"/>
        <v>0</v>
      </c>
      <c r="J72" s="157"/>
      <c r="K72" s="51">
        <v>4999.72</v>
      </c>
      <c r="L72" s="51">
        <f t="shared" si="11"/>
        <v>0</v>
      </c>
      <c r="M72" s="136">
        <f t="shared" si="12"/>
        <v>0</v>
      </c>
    </row>
    <row r="73" spans="1:13" s="67" customFormat="1" ht="12.75" hidden="1" outlineLevel="1">
      <c r="A73" s="86" t="s">
        <v>247</v>
      </c>
      <c r="B73" s="87"/>
      <c r="C73" s="52" t="s">
        <v>248</v>
      </c>
      <c r="D73" s="66"/>
      <c r="E73" s="66"/>
      <c r="F73" s="197">
        <v>0</v>
      </c>
      <c r="G73" s="197">
        <v>0</v>
      </c>
      <c r="H73" s="197">
        <f>+F73-G73</f>
        <v>0</v>
      </c>
      <c r="I73" s="138">
        <f>IF(G73&lt;0,IF(H73=0,0,IF(OR(G73=0,F73=0),"N.M.",IF(ABS(H73/G73)&gt;=10,"N.M.",H73/(-G73)))),IF(H73=0,0,IF(OR(G73=0,F73=0),"N.M.",IF(ABS(H73/G73)&gt;=10,"N.M.",H73/G73))))</f>
        <v>0</v>
      </c>
      <c r="J73" s="157"/>
      <c r="K73" s="197">
        <v>0</v>
      </c>
      <c r="L73" s="197">
        <f t="shared" si="11"/>
        <v>0</v>
      </c>
      <c r="M73" s="138">
        <f>IF(K73&lt;0,IF(L73=0,0,IF(OR(K73=0,F73=0),"N.M.",IF(ABS(L73/K73)&gt;=10,"N.M.",L73/(-K73)))),IF(L73=0,0,IF(OR(K73=0,F73=0),"N.M.",IF(ABS(L73/K73)&gt;=10,"N.M.",L73/K73))))</f>
        <v>0</v>
      </c>
    </row>
    <row r="74" spans="1:13" s="67" customFormat="1" ht="12.75" hidden="1" outlineLevel="1">
      <c r="A74" s="86" t="s">
        <v>239</v>
      </c>
      <c r="B74" s="87"/>
      <c r="C74" s="83" t="s">
        <v>99</v>
      </c>
      <c r="D74" s="66"/>
      <c r="E74" s="66"/>
      <c r="F74" s="51">
        <f>+F72+F70+F69+F73</f>
        <v>2488377.4600000004</v>
      </c>
      <c r="G74" s="51">
        <f>+G72+G70+G69+G73</f>
        <v>42481.170000000006</v>
      </c>
      <c r="H74" s="51">
        <f>+F74-G74</f>
        <v>2445896.2900000005</v>
      </c>
      <c r="I74" s="136" t="str">
        <f t="shared" si="10"/>
        <v>N.M.</v>
      </c>
      <c r="J74" s="157"/>
      <c r="K74" s="51">
        <f>+K72+K70+K69+K73</f>
        <v>819200.73</v>
      </c>
      <c r="L74" s="51">
        <f t="shared" si="11"/>
        <v>1669176.7300000004</v>
      </c>
      <c r="M74" s="136">
        <f t="shared" si="12"/>
        <v>2.0375674347848793</v>
      </c>
    </row>
    <row r="75" spans="1:13" s="67" customFormat="1" ht="12.75" hidden="1" outlineLevel="1">
      <c r="A75" s="86" t="s">
        <v>139</v>
      </c>
      <c r="B75" s="87"/>
      <c r="C75" s="83" t="s">
        <v>98</v>
      </c>
      <c r="D75" s="66"/>
      <c r="E75" s="66"/>
      <c r="F75" s="51">
        <v>0</v>
      </c>
      <c r="G75" s="51">
        <v>0</v>
      </c>
      <c r="H75" s="51">
        <f t="shared" si="9"/>
        <v>0</v>
      </c>
      <c r="I75" s="136">
        <f t="shared" si="10"/>
        <v>0</v>
      </c>
      <c r="J75" s="157"/>
      <c r="K75" s="51">
        <v>0</v>
      </c>
      <c r="L75" s="51">
        <f t="shared" si="11"/>
        <v>0</v>
      </c>
      <c r="M75" s="136">
        <f t="shared" si="12"/>
        <v>0</v>
      </c>
    </row>
    <row r="76" spans="1:13" s="67" customFormat="1" ht="12.75" collapsed="1">
      <c r="A76" s="67" t="s">
        <v>240</v>
      </c>
      <c r="B76" s="87"/>
      <c r="C76" s="82" t="s">
        <v>94</v>
      </c>
      <c r="D76" s="66"/>
      <c r="E76" s="66"/>
      <c r="F76" s="51">
        <f>+F75+F74+F66</f>
        <v>3104166.5600000005</v>
      </c>
      <c r="G76" s="51">
        <f>+G75+G74+G66</f>
        <v>582296.65</v>
      </c>
      <c r="H76" s="51">
        <f>+F76-G76</f>
        <v>2521869.9100000006</v>
      </c>
      <c r="I76" s="136">
        <f>IF(G76&lt;0,IF(H76=0,0,IF(OR(G76=0,F76=0),"N.M.",IF(ABS(H76/G76)&gt;=10,"N.M.",H76/(-G76)))),IF(H76=0,0,IF(OR(G76=0,F76=0),"N.M.",IF(ABS(H76/G76)&gt;=10,"N.M.",H76/G76))))</f>
        <v>4.330902315855673</v>
      </c>
      <c r="J76" s="157"/>
      <c r="K76" s="51">
        <f>+K75+K74+K66</f>
        <v>1307918.6400000001</v>
      </c>
      <c r="L76" s="51">
        <f t="shared" si="11"/>
        <v>1796247.9200000004</v>
      </c>
      <c r="M76" s="136">
        <f t="shared" si="12"/>
        <v>1.3733636520387844</v>
      </c>
    </row>
    <row r="77" spans="2:13" s="67" customFormat="1" ht="0.75" customHeight="1" hidden="1" outlineLevel="1">
      <c r="B77" s="87"/>
      <c r="C77" s="82"/>
      <c r="D77" s="66"/>
      <c r="E77" s="66"/>
      <c r="F77" s="51"/>
      <c r="G77" s="51"/>
      <c r="H77" s="51"/>
      <c r="I77" s="136"/>
      <c r="J77" s="157"/>
      <c r="K77" s="51"/>
      <c r="L77" s="51"/>
      <c r="M77" s="136"/>
    </row>
    <row r="78" spans="1:13" s="15" customFormat="1" ht="12.75" hidden="1" outlineLevel="2">
      <c r="A78" s="15" t="s">
        <v>429</v>
      </c>
      <c r="B78" s="15" t="s">
        <v>430</v>
      </c>
      <c r="C78" s="134" t="s">
        <v>431</v>
      </c>
      <c r="D78" s="16"/>
      <c r="E78" s="16"/>
      <c r="F78" s="16">
        <v>42822925.41</v>
      </c>
      <c r="G78" s="16">
        <v>4197299.71</v>
      </c>
      <c r="H78" s="16">
        <f>+F78-G78</f>
        <v>38625625.699999996</v>
      </c>
      <c r="I78" s="53">
        <f>IF(G78&lt;0,IF(H78=0,0,IF(OR(G78=0,F78=0),"N.M.",IF(ABS(H78/G78)&gt;=10,"N.M.",H78/(-G78)))),IF(H78=0,0,IF(OR(G78=0,F78=0),"N.M.",IF(ABS(H78/G78)&gt;=10,"N.M.",H78/G78))))</f>
        <v>9.202494072075686</v>
      </c>
      <c r="J78" s="174"/>
      <c r="K78" s="257">
        <v>0</v>
      </c>
      <c r="L78" s="16">
        <f>+F78-K78</f>
        <v>42822925.41</v>
      </c>
      <c r="M78" s="53" t="str">
        <f>IF(K78&lt;0,IF(L78=0,0,IF(OR(K78=0,F78=0),"N.M.",IF(ABS(L78/K78)&gt;=10,"N.M.",L78/(-K78)))),IF(L78=0,0,IF(OR(K78=0,F78=0),"N.M.",IF(ABS(L78/K78)&gt;=10,"N.M.",L78/K78))))</f>
        <v>N.M.</v>
      </c>
    </row>
    <row r="79" spans="1:13" s="67" customFormat="1" ht="12.75" collapsed="1">
      <c r="A79" s="67" t="s">
        <v>140</v>
      </c>
      <c r="B79" s="87"/>
      <c r="C79" s="82" t="s">
        <v>100</v>
      </c>
      <c r="D79" s="66"/>
      <c r="E79" s="66"/>
      <c r="F79" s="51">
        <v>42822925.41</v>
      </c>
      <c r="G79" s="51">
        <v>4197299.71</v>
      </c>
      <c r="H79" s="51">
        <f>+F79-G79</f>
        <v>38625625.699999996</v>
      </c>
      <c r="I79" s="136">
        <f>IF(G79&lt;0,IF(H79=0,0,IF(OR(G79=0,F79=0),"N.M.",IF(ABS(H79/G79)&gt;=10,"N.M.",H79/(-G79)))),IF(H79=0,0,IF(OR(G79=0,F79=0),"N.M.",IF(ABS(H79/G79)&gt;=10,"N.M.",H79/G79))))</f>
        <v>9.202494072075686</v>
      </c>
      <c r="J79" s="157"/>
      <c r="K79" s="51">
        <v>0</v>
      </c>
      <c r="L79" s="51">
        <f>+F79-K79</f>
        <v>42822925.41</v>
      </c>
      <c r="M79" s="136" t="str">
        <f>IF(K79&lt;0,IF(L79=0,0,IF(OR(K79=0,F79=0),"N.M.",IF(ABS(L79/K79)&gt;=10,"N.M.",L79/(-K79)))),IF(L79=0,0,IF(OR(K79=0,F79=0),"N.M.",IF(ABS(L79/K79)&gt;=10,"N.M.",L79/K79))))</f>
        <v>N.M.</v>
      </c>
    </row>
    <row r="80" spans="2:13" s="67" customFormat="1" ht="0.75" customHeight="1" hidden="1" outlineLevel="1">
      <c r="B80" s="87"/>
      <c r="C80" s="82"/>
      <c r="D80" s="66"/>
      <c r="E80" s="66"/>
      <c r="F80" s="51"/>
      <c r="G80" s="51"/>
      <c r="H80" s="51"/>
      <c r="I80" s="136"/>
      <c r="J80" s="157"/>
      <c r="K80" s="51"/>
      <c r="L80" s="51"/>
      <c r="M80" s="136"/>
    </row>
    <row r="81" spans="1:13" s="15" customFormat="1" ht="12.75" hidden="1" outlineLevel="2">
      <c r="A81" s="15" t="s">
        <v>432</v>
      </c>
      <c r="B81" s="15" t="s">
        <v>433</v>
      </c>
      <c r="C81" s="134" t="s">
        <v>434</v>
      </c>
      <c r="D81" s="16"/>
      <c r="E81" s="16"/>
      <c r="F81" s="16">
        <v>30062778.836</v>
      </c>
      <c r="G81" s="16">
        <v>22534283.106</v>
      </c>
      <c r="H81" s="16">
        <f aca="true" t="shared" si="13" ref="H81:H93">+F81-G81</f>
        <v>7528495.73</v>
      </c>
      <c r="I81" s="53">
        <f aca="true" t="shared" si="14" ref="I81:I93">IF(G81&lt;0,IF(H81=0,0,IF(OR(G81=0,F81=0),"N.M.",IF(ABS(H81/G81)&gt;=10,"N.M.",H81/(-G81)))),IF(H81=0,0,IF(OR(G81=0,F81=0),"N.M.",IF(ABS(H81/G81)&gt;=10,"N.M.",H81/G81))))</f>
        <v>0.33409075827202406</v>
      </c>
      <c r="J81" s="174"/>
      <c r="K81" s="257">
        <v>27684774.136</v>
      </c>
      <c r="L81" s="16">
        <f aca="true" t="shared" si="15" ref="L81:L93">+F81-K81</f>
        <v>2378004.6999999993</v>
      </c>
      <c r="M81" s="53">
        <f aca="true" t="shared" si="16" ref="M81:M93">IF(K81&lt;0,IF(L81=0,0,IF(OR(K81=0,F81=0),"N.M.",IF(ABS(L81/K81)&gt;=10,"N.M.",L81/(-K81)))),IF(L81=0,0,IF(OR(K81=0,F81=0),"N.M.",IF(ABS(L81/K81)&gt;=10,"N.M.",L81/K81))))</f>
        <v>0.08589575946396297</v>
      </c>
    </row>
    <row r="82" spans="1:13" s="15" customFormat="1" ht="12.75" hidden="1" outlineLevel="2">
      <c r="A82" s="15" t="s">
        <v>435</v>
      </c>
      <c r="B82" s="15" t="s">
        <v>436</v>
      </c>
      <c r="C82" s="134" t="s">
        <v>437</v>
      </c>
      <c r="D82" s="16"/>
      <c r="E82" s="16"/>
      <c r="F82" s="16">
        <v>0</v>
      </c>
      <c r="G82" s="16">
        <v>1721.17</v>
      </c>
      <c r="H82" s="16">
        <f t="shared" si="13"/>
        <v>-1721.17</v>
      </c>
      <c r="I82" s="53" t="str">
        <f t="shared" si="14"/>
        <v>N.M.</v>
      </c>
      <c r="J82" s="174"/>
      <c r="K82" s="257">
        <v>348.6</v>
      </c>
      <c r="L82" s="16">
        <f t="shared" si="15"/>
        <v>-348.6</v>
      </c>
      <c r="M82" s="53" t="str">
        <f t="shared" si="16"/>
        <v>N.M.</v>
      </c>
    </row>
    <row r="83" spans="1:13" s="15" customFormat="1" ht="12.75" hidden="1" outlineLevel="2">
      <c r="A83" s="15" t="s">
        <v>438</v>
      </c>
      <c r="B83" s="15" t="s">
        <v>439</v>
      </c>
      <c r="C83" s="134" t="s">
        <v>440</v>
      </c>
      <c r="D83" s="16"/>
      <c r="E83" s="16"/>
      <c r="F83" s="16">
        <v>636237.1900000001</v>
      </c>
      <c r="G83" s="16">
        <v>697340.43</v>
      </c>
      <c r="H83" s="16">
        <f t="shared" si="13"/>
        <v>-61103.23999999999</v>
      </c>
      <c r="I83" s="53">
        <f t="shared" si="14"/>
        <v>-0.08762325740958399</v>
      </c>
      <c r="J83" s="174"/>
      <c r="K83" s="257">
        <v>571942.26</v>
      </c>
      <c r="L83" s="16">
        <f t="shared" si="15"/>
        <v>64294.93000000005</v>
      </c>
      <c r="M83" s="53">
        <f t="shared" si="16"/>
        <v>0.11241507140948118</v>
      </c>
    </row>
    <row r="84" spans="1:13" s="15" customFormat="1" ht="12.75" hidden="1" outlineLevel="2">
      <c r="A84" s="15" t="s">
        <v>441</v>
      </c>
      <c r="B84" s="15" t="s">
        <v>442</v>
      </c>
      <c r="C84" s="134" t="s">
        <v>443</v>
      </c>
      <c r="D84" s="16"/>
      <c r="E84" s="16"/>
      <c r="F84" s="16">
        <v>13476</v>
      </c>
      <c r="G84" s="16">
        <v>18072</v>
      </c>
      <c r="H84" s="16">
        <f t="shared" si="13"/>
        <v>-4596</v>
      </c>
      <c r="I84" s="53">
        <f t="shared" si="14"/>
        <v>-0.2543160690571049</v>
      </c>
      <c r="J84" s="174"/>
      <c r="K84" s="257">
        <v>9036</v>
      </c>
      <c r="L84" s="16">
        <f t="shared" si="15"/>
        <v>4440</v>
      </c>
      <c r="M84" s="53">
        <f t="shared" si="16"/>
        <v>0.4913678618857902</v>
      </c>
    </row>
    <row r="85" spans="1:13" s="15" customFormat="1" ht="12.75" hidden="1" outlineLevel="2">
      <c r="A85" s="15" t="s">
        <v>444</v>
      </c>
      <c r="B85" s="15" t="s">
        <v>445</v>
      </c>
      <c r="C85" s="134" t="s">
        <v>446</v>
      </c>
      <c r="D85" s="16"/>
      <c r="E85" s="16"/>
      <c r="F85" s="16">
        <v>-29646808.31</v>
      </c>
      <c r="G85" s="16">
        <v>-23408259.84</v>
      </c>
      <c r="H85" s="16">
        <f t="shared" si="13"/>
        <v>-6238548.469999999</v>
      </c>
      <c r="I85" s="53">
        <f t="shared" si="14"/>
        <v>-0.26651056134209417</v>
      </c>
      <c r="J85" s="174"/>
      <c r="K85" s="257">
        <v>-24943544.66</v>
      </c>
      <c r="L85" s="16">
        <f t="shared" si="15"/>
        <v>-4703263.6499999985</v>
      </c>
      <c r="M85" s="53">
        <f t="shared" si="16"/>
        <v>-0.18855634650604622</v>
      </c>
    </row>
    <row r="86" spans="1:13" s="15" customFormat="1" ht="12.75" hidden="1" outlineLevel="2">
      <c r="A86" s="15" t="s">
        <v>447</v>
      </c>
      <c r="B86" s="15" t="s">
        <v>448</v>
      </c>
      <c r="C86" s="134" t="s">
        <v>449</v>
      </c>
      <c r="D86" s="16"/>
      <c r="E86" s="16"/>
      <c r="F86" s="16">
        <v>8068848.162</v>
      </c>
      <c r="G86" s="16">
        <v>7966934.546</v>
      </c>
      <c r="H86" s="16">
        <f t="shared" si="13"/>
        <v>101913.61599999946</v>
      </c>
      <c r="I86" s="53">
        <f t="shared" si="14"/>
        <v>0.012792073966663596</v>
      </c>
      <c r="J86" s="174"/>
      <c r="K86" s="257">
        <v>7687473.434</v>
      </c>
      <c r="L86" s="16">
        <f t="shared" si="15"/>
        <v>381374.7279999992</v>
      </c>
      <c r="M86" s="53">
        <f t="shared" si="16"/>
        <v>0.04960989215432769</v>
      </c>
    </row>
    <row r="87" spans="1:13" s="15" customFormat="1" ht="12.75" hidden="1" outlineLevel="2">
      <c r="A87" s="15" t="s">
        <v>450</v>
      </c>
      <c r="B87" s="15" t="s">
        <v>451</v>
      </c>
      <c r="C87" s="134" t="s">
        <v>452</v>
      </c>
      <c r="D87" s="16"/>
      <c r="E87" s="16"/>
      <c r="F87" s="16">
        <v>355676.07</v>
      </c>
      <c r="G87" s="16">
        <v>927865.25</v>
      </c>
      <c r="H87" s="16">
        <f t="shared" si="13"/>
        <v>-572189.1799999999</v>
      </c>
      <c r="I87" s="53">
        <f t="shared" si="14"/>
        <v>-0.6166727119050961</v>
      </c>
      <c r="J87" s="174"/>
      <c r="K87" s="257">
        <v>462470.81</v>
      </c>
      <c r="L87" s="16">
        <f t="shared" si="15"/>
        <v>-106794.73999999999</v>
      </c>
      <c r="M87" s="53">
        <f t="shared" si="16"/>
        <v>-0.23092212025230305</v>
      </c>
    </row>
    <row r="88" spans="1:13" s="15" customFormat="1" ht="12.75" hidden="1" outlineLevel="2">
      <c r="A88" s="15" t="s">
        <v>453</v>
      </c>
      <c r="B88" s="15" t="s">
        <v>454</v>
      </c>
      <c r="C88" s="134" t="s">
        <v>455</v>
      </c>
      <c r="D88" s="16"/>
      <c r="E88" s="16"/>
      <c r="F88" s="16">
        <v>0</v>
      </c>
      <c r="G88" s="16">
        <v>252</v>
      </c>
      <c r="H88" s="16">
        <f t="shared" si="13"/>
        <v>-252</v>
      </c>
      <c r="I88" s="53" t="str">
        <f t="shared" si="14"/>
        <v>N.M.</v>
      </c>
      <c r="J88" s="174"/>
      <c r="K88" s="257">
        <v>948303</v>
      </c>
      <c r="L88" s="16">
        <f t="shared" si="15"/>
        <v>-948303</v>
      </c>
      <c r="M88" s="53" t="str">
        <f t="shared" si="16"/>
        <v>N.M.</v>
      </c>
    </row>
    <row r="89" spans="1:13" s="15" customFormat="1" ht="12.75" hidden="1" outlineLevel="2">
      <c r="A89" s="15" t="s">
        <v>456</v>
      </c>
      <c r="B89" s="15" t="s">
        <v>457</v>
      </c>
      <c r="C89" s="134" t="s">
        <v>458</v>
      </c>
      <c r="D89" s="16"/>
      <c r="E89" s="16"/>
      <c r="F89" s="16">
        <v>1013747</v>
      </c>
      <c r="G89" s="16">
        <v>4008580</v>
      </c>
      <c r="H89" s="16">
        <f t="shared" si="13"/>
        <v>-2994833</v>
      </c>
      <c r="I89" s="53">
        <f t="shared" si="14"/>
        <v>-0.7471057082557914</v>
      </c>
      <c r="J89" s="174"/>
      <c r="K89" s="257">
        <v>648202</v>
      </c>
      <c r="L89" s="16">
        <f t="shared" si="15"/>
        <v>365545</v>
      </c>
      <c r="M89" s="53">
        <f t="shared" si="16"/>
        <v>0.5639368591889565</v>
      </c>
    </row>
    <row r="90" spans="1:13" s="15" customFormat="1" ht="12.75" hidden="1" outlineLevel="2">
      <c r="A90" s="15" t="s">
        <v>459</v>
      </c>
      <c r="B90" s="15" t="s">
        <v>460</v>
      </c>
      <c r="C90" s="134" t="s">
        <v>461</v>
      </c>
      <c r="D90" s="16"/>
      <c r="E90" s="16"/>
      <c r="F90" s="16">
        <v>0.001</v>
      </c>
      <c r="G90" s="16">
        <v>0</v>
      </c>
      <c r="H90" s="16">
        <f t="shared" si="13"/>
        <v>0.001</v>
      </c>
      <c r="I90" s="53" t="str">
        <f t="shared" si="14"/>
        <v>N.M.</v>
      </c>
      <c r="J90" s="174"/>
      <c r="K90" s="257">
        <v>0</v>
      </c>
      <c r="L90" s="16">
        <f t="shared" si="15"/>
        <v>0.001</v>
      </c>
      <c r="M90" s="53" t="str">
        <f t="shared" si="16"/>
        <v>N.M.</v>
      </c>
    </row>
    <row r="91" spans="1:13" s="15" customFormat="1" ht="12.75" hidden="1" outlineLevel="2">
      <c r="A91" s="15" t="s">
        <v>462</v>
      </c>
      <c r="B91" s="15" t="s">
        <v>463</v>
      </c>
      <c r="C91" s="134" t="s">
        <v>464</v>
      </c>
      <c r="D91" s="16"/>
      <c r="E91" s="16"/>
      <c r="F91" s="16">
        <v>19911.010000000002</v>
      </c>
      <c r="G91" s="16">
        <v>0</v>
      </c>
      <c r="H91" s="16">
        <f t="shared" si="13"/>
        <v>19911.010000000002</v>
      </c>
      <c r="I91" s="53" t="str">
        <f t="shared" si="14"/>
        <v>N.M.</v>
      </c>
      <c r="J91" s="174"/>
      <c r="K91" s="257">
        <v>0</v>
      </c>
      <c r="L91" s="16">
        <f t="shared" si="15"/>
        <v>19911.010000000002</v>
      </c>
      <c r="M91" s="53" t="str">
        <f t="shared" si="16"/>
        <v>N.M.</v>
      </c>
    </row>
    <row r="92" spans="1:13" s="15" customFormat="1" ht="12.75" hidden="1" outlineLevel="2">
      <c r="A92" s="15" t="s">
        <v>465</v>
      </c>
      <c r="B92" s="15" t="s">
        <v>466</v>
      </c>
      <c r="C92" s="134" t="s">
        <v>467</v>
      </c>
      <c r="D92" s="16"/>
      <c r="E92" s="16"/>
      <c r="F92" s="16">
        <v>293471.53</v>
      </c>
      <c r="G92" s="16">
        <v>0</v>
      </c>
      <c r="H92" s="16">
        <f t="shared" si="13"/>
        <v>293471.53</v>
      </c>
      <c r="I92" s="53" t="str">
        <f t="shared" si="14"/>
        <v>N.M.</v>
      </c>
      <c r="J92" s="174"/>
      <c r="K92" s="257">
        <v>0</v>
      </c>
      <c r="L92" s="16">
        <f t="shared" si="15"/>
        <v>293471.53</v>
      </c>
      <c r="M92" s="53" t="str">
        <f t="shared" si="16"/>
        <v>N.M.</v>
      </c>
    </row>
    <row r="93" spans="1:13" s="15" customFormat="1" ht="12.75" hidden="1" outlineLevel="2">
      <c r="A93" s="15" t="s">
        <v>468</v>
      </c>
      <c r="B93" s="15" t="s">
        <v>469</v>
      </c>
      <c r="C93" s="134" t="s">
        <v>470</v>
      </c>
      <c r="D93" s="16"/>
      <c r="E93" s="16"/>
      <c r="F93" s="16">
        <v>215274.63</v>
      </c>
      <c r="G93" s="16">
        <v>0</v>
      </c>
      <c r="H93" s="16">
        <f t="shared" si="13"/>
        <v>215274.63</v>
      </c>
      <c r="I93" s="53" t="str">
        <f t="shared" si="14"/>
        <v>N.M.</v>
      </c>
      <c r="J93" s="174"/>
      <c r="K93" s="257">
        <v>0</v>
      </c>
      <c r="L93" s="16">
        <f t="shared" si="15"/>
        <v>215274.63</v>
      </c>
      <c r="M93" s="53" t="str">
        <f t="shared" si="16"/>
        <v>N.M.</v>
      </c>
    </row>
    <row r="94" spans="1:13" s="67" customFormat="1" ht="12.75" collapsed="1">
      <c r="A94" s="67" t="s">
        <v>141</v>
      </c>
      <c r="B94" s="87"/>
      <c r="C94" s="82" t="s">
        <v>101</v>
      </c>
      <c r="D94" s="66"/>
      <c r="E94" s="66"/>
      <c r="F94" s="51">
        <v>11032612.119000003</v>
      </c>
      <c r="G94" s="51">
        <v>12746788.662</v>
      </c>
      <c r="H94" s="51">
        <f>+F94-G94</f>
        <v>-1714176.5429999977</v>
      </c>
      <c r="I94" s="136">
        <f>IF(G94&lt;0,IF(H94=0,0,IF(OR(G94=0,F94=0),"N.M.",IF(ABS(H94/G94)&gt;=10,"N.M.",H94/(-G94)))),IF(H94=0,0,IF(OR(G94=0,F94=0),"N.M.",IF(ABS(H94/G94)&gt;=10,"N.M.",H94/G94))))</f>
        <v>-0.13447909025982388</v>
      </c>
      <c r="J94" s="157"/>
      <c r="K94" s="51">
        <v>13069005.580000004</v>
      </c>
      <c r="L94" s="51">
        <f>+F94-K94</f>
        <v>-2036393.461000001</v>
      </c>
      <c r="M94" s="136">
        <f>IF(K94&lt;0,IF(L94=0,0,IF(OR(K94=0,F94=0),"N.M.",IF(ABS(L94/K94)&gt;=10,"N.M.",L94/(-K94)))),IF(L94=0,0,IF(OR(K94=0,F94=0),"N.M.",IF(ABS(L94/K94)&gt;=10,"N.M.",L94/K94))))</f>
        <v>-0.15581854706041073</v>
      </c>
    </row>
    <row r="95" spans="2:13" s="67" customFormat="1" ht="0.75" customHeight="1" hidden="1" outlineLevel="1">
      <c r="B95" s="87"/>
      <c r="C95" s="82"/>
      <c r="D95" s="66"/>
      <c r="E95" s="66"/>
      <c r="F95" s="51"/>
      <c r="G95" s="51"/>
      <c r="H95" s="51"/>
      <c r="I95" s="136"/>
      <c r="J95" s="157"/>
      <c r="K95" s="51"/>
      <c r="L95" s="51"/>
      <c r="M95" s="136"/>
    </row>
    <row r="96" spans="1:13" s="15" customFormat="1" ht="12.75" hidden="1" outlineLevel="2">
      <c r="A96" s="15" t="s">
        <v>471</v>
      </c>
      <c r="B96" s="15" t="s">
        <v>472</v>
      </c>
      <c r="C96" s="134" t="s">
        <v>473</v>
      </c>
      <c r="D96" s="16"/>
      <c r="E96" s="16"/>
      <c r="F96" s="16">
        <v>0</v>
      </c>
      <c r="G96" s="16">
        <v>386040.32</v>
      </c>
      <c r="H96" s="16">
        <f aca="true" t="shared" si="17" ref="H96:H111">+F96-G96</f>
        <v>-386040.32</v>
      </c>
      <c r="I96" s="53" t="str">
        <f aca="true" t="shared" si="18" ref="I96:I111">IF(G96&lt;0,IF(H96=0,0,IF(OR(G96=0,F96=0),"N.M.",IF(ABS(H96/G96)&gt;=10,"N.M.",H96/(-G96)))),IF(H96=0,0,IF(OR(G96=0,F96=0),"N.M.",IF(ABS(H96/G96)&gt;=10,"N.M.",H96/G96))))</f>
        <v>N.M.</v>
      </c>
      <c r="J96" s="174"/>
      <c r="K96" s="257">
        <v>325656.03</v>
      </c>
      <c r="L96" s="16">
        <f aca="true" t="shared" si="19" ref="L96:L111">+F96-K96</f>
        <v>-325656.03</v>
      </c>
      <c r="M96" s="53" t="str">
        <f aca="true" t="shared" si="20" ref="M96:M111">IF(K96&lt;0,IF(L96=0,0,IF(OR(K96=0,F96=0),"N.M.",IF(ABS(L96/K96)&gt;=10,"N.M.",L96/(-K96)))),IF(L96=0,0,IF(OR(K96=0,F96=0),"N.M.",IF(ABS(L96/K96)&gt;=10,"N.M.",L96/K96))))</f>
        <v>N.M.</v>
      </c>
    </row>
    <row r="97" spans="1:13" s="15" customFormat="1" ht="12.75" hidden="1" outlineLevel="2">
      <c r="A97" s="15" t="s">
        <v>474</v>
      </c>
      <c r="B97" s="15" t="s">
        <v>475</v>
      </c>
      <c r="C97" s="134" t="s">
        <v>476</v>
      </c>
      <c r="D97" s="16"/>
      <c r="E97" s="16"/>
      <c r="F97" s="16">
        <v>73727.65000000001</v>
      </c>
      <c r="G97" s="16">
        <v>106437.86</v>
      </c>
      <c r="H97" s="16">
        <f t="shared" si="17"/>
        <v>-32710.209999999992</v>
      </c>
      <c r="I97" s="53">
        <f t="shared" si="18"/>
        <v>-0.3073174338529541</v>
      </c>
      <c r="J97" s="174"/>
      <c r="K97" s="257">
        <v>100857.22</v>
      </c>
      <c r="L97" s="16">
        <f t="shared" si="19"/>
        <v>-27129.569999999992</v>
      </c>
      <c r="M97" s="53">
        <f t="shared" si="20"/>
        <v>-0.26898986507857336</v>
      </c>
    </row>
    <row r="98" spans="1:13" s="15" customFormat="1" ht="12.75" hidden="1" outlineLevel="2">
      <c r="A98" s="15" t="s">
        <v>477</v>
      </c>
      <c r="B98" s="15" t="s">
        <v>478</v>
      </c>
      <c r="C98" s="134" t="s">
        <v>479</v>
      </c>
      <c r="D98" s="16"/>
      <c r="E98" s="16"/>
      <c r="F98" s="16">
        <v>0</v>
      </c>
      <c r="G98" s="16">
        <v>847430.99</v>
      </c>
      <c r="H98" s="16">
        <f t="shared" si="17"/>
        <v>-847430.99</v>
      </c>
      <c r="I98" s="53" t="str">
        <f t="shared" si="18"/>
        <v>N.M.</v>
      </c>
      <c r="J98" s="174"/>
      <c r="K98" s="257">
        <v>1865052.0899999999</v>
      </c>
      <c r="L98" s="16">
        <f t="shared" si="19"/>
        <v>-1865052.0899999999</v>
      </c>
      <c r="M98" s="53" t="str">
        <f t="shared" si="20"/>
        <v>N.M.</v>
      </c>
    </row>
    <row r="99" spans="1:13" s="15" customFormat="1" ht="12.75" hidden="1" outlineLevel="2">
      <c r="A99" s="15" t="s">
        <v>480</v>
      </c>
      <c r="B99" s="15" t="s">
        <v>481</v>
      </c>
      <c r="C99" s="134" t="s">
        <v>482</v>
      </c>
      <c r="D99" s="16"/>
      <c r="E99" s="16"/>
      <c r="F99" s="16">
        <v>51505</v>
      </c>
      <c r="G99" s="16">
        <v>41464.9</v>
      </c>
      <c r="H99" s="16">
        <f t="shared" si="17"/>
        <v>10040.099999999999</v>
      </c>
      <c r="I99" s="53">
        <f t="shared" si="18"/>
        <v>0.24213491410807692</v>
      </c>
      <c r="J99" s="174"/>
      <c r="K99" s="257">
        <v>83410.65000000001</v>
      </c>
      <c r="L99" s="16">
        <f t="shared" si="19"/>
        <v>-31905.65000000001</v>
      </c>
      <c r="M99" s="53">
        <f t="shared" si="20"/>
        <v>-0.38251290452717973</v>
      </c>
    </row>
    <row r="100" spans="1:13" s="15" customFormat="1" ht="12.75" hidden="1" outlineLevel="2">
      <c r="A100" s="15" t="s">
        <v>483</v>
      </c>
      <c r="B100" s="15" t="s">
        <v>484</v>
      </c>
      <c r="C100" s="134" t="s">
        <v>485</v>
      </c>
      <c r="D100" s="16"/>
      <c r="E100" s="16"/>
      <c r="F100" s="16">
        <v>-66052.004</v>
      </c>
      <c r="G100" s="16">
        <v>-50228.904</v>
      </c>
      <c r="H100" s="16">
        <f t="shared" si="17"/>
        <v>-15823.099999999999</v>
      </c>
      <c r="I100" s="53">
        <f t="shared" si="18"/>
        <v>-0.315019814089513</v>
      </c>
      <c r="J100" s="174"/>
      <c r="K100" s="257">
        <v>-92404.654</v>
      </c>
      <c r="L100" s="16">
        <f t="shared" si="19"/>
        <v>26352.649999999994</v>
      </c>
      <c r="M100" s="53">
        <f t="shared" si="20"/>
        <v>0.28518747551394974</v>
      </c>
    </row>
    <row r="101" spans="1:13" s="15" customFormat="1" ht="12.75" hidden="1" outlineLevel="2">
      <c r="A101" s="15" t="s">
        <v>486</v>
      </c>
      <c r="B101" s="15" t="s">
        <v>487</v>
      </c>
      <c r="C101" s="134" t="s">
        <v>488</v>
      </c>
      <c r="D101" s="16"/>
      <c r="E101" s="16"/>
      <c r="F101" s="16">
        <v>0</v>
      </c>
      <c r="G101" s="16">
        <v>27647.39</v>
      </c>
      <c r="H101" s="16">
        <f t="shared" si="17"/>
        <v>-27647.39</v>
      </c>
      <c r="I101" s="53" t="str">
        <f t="shared" si="18"/>
        <v>N.M.</v>
      </c>
      <c r="J101" s="174"/>
      <c r="K101" s="257">
        <v>0</v>
      </c>
      <c r="L101" s="16">
        <f t="shared" si="19"/>
        <v>0</v>
      </c>
      <c r="M101" s="53">
        <f t="shared" si="20"/>
        <v>0</v>
      </c>
    </row>
    <row r="102" spans="1:13" s="15" customFormat="1" ht="12.75" hidden="1" outlineLevel="2">
      <c r="A102" s="15" t="s">
        <v>489</v>
      </c>
      <c r="B102" s="15" t="s">
        <v>490</v>
      </c>
      <c r="C102" s="134" t="s">
        <v>491</v>
      </c>
      <c r="D102" s="16"/>
      <c r="E102" s="16"/>
      <c r="F102" s="16">
        <v>0</v>
      </c>
      <c r="G102" s="16">
        <v>10212.5</v>
      </c>
      <c r="H102" s="16">
        <f t="shared" si="17"/>
        <v>-10212.5</v>
      </c>
      <c r="I102" s="53" t="str">
        <f t="shared" si="18"/>
        <v>N.M.</v>
      </c>
      <c r="J102" s="174"/>
      <c r="K102" s="257">
        <v>2763.16</v>
      </c>
      <c r="L102" s="16">
        <f t="shared" si="19"/>
        <v>-2763.16</v>
      </c>
      <c r="M102" s="53" t="str">
        <f t="shared" si="20"/>
        <v>N.M.</v>
      </c>
    </row>
    <row r="103" spans="1:13" s="15" customFormat="1" ht="12.75" hidden="1" outlineLevel="2">
      <c r="A103" s="15" t="s">
        <v>492</v>
      </c>
      <c r="B103" s="15" t="s">
        <v>493</v>
      </c>
      <c r="C103" s="134" t="s">
        <v>461</v>
      </c>
      <c r="D103" s="16"/>
      <c r="E103" s="16"/>
      <c r="F103" s="16">
        <v>0</v>
      </c>
      <c r="G103" s="16">
        <v>0.004</v>
      </c>
      <c r="H103" s="16">
        <f t="shared" si="17"/>
        <v>-0.004</v>
      </c>
      <c r="I103" s="53" t="str">
        <f t="shared" si="18"/>
        <v>N.M.</v>
      </c>
      <c r="J103" s="174"/>
      <c r="K103" s="257">
        <v>257295.968</v>
      </c>
      <c r="L103" s="16">
        <f t="shared" si="19"/>
        <v>-257295.968</v>
      </c>
      <c r="M103" s="53" t="str">
        <f t="shared" si="20"/>
        <v>N.M.</v>
      </c>
    </row>
    <row r="104" spans="1:13" s="15" customFormat="1" ht="12.75" hidden="1" outlineLevel="2">
      <c r="A104" s="15" t="s">
        <v>494</v>
      </c>
      <c r="B104" s="15" t="s">
        <v>495</v>
      </c>
      <c r="C104" s="134" t="s">
        <v>496</v>
      </c>
      <c r="D104" s="16"/>
      <c r="E104" s="16"/>
      <c r="F104" s="16">
        <v>2900.4500000000003</v>
      </c>
      <c r="G104" s="16">
        <v>-66.47</v>
      </c>
      <c r="H104" s="16">
        <f t="shared" si="17"/>
        <v>2966.92</v>
      </c>
      <c r="I104" s="53" t="str">
        <f t="shared" si="18"/>
        <v>N.M.</v>
      </c>
      <c r="J104" s="174"/>
      <c r="K104" s="257">
        <v>456.68</v>
      </c>
      <c r="L104" s="16">
        <f t="shared" si="19"/>
        <v>2443.7700000000004</v>
      </c>
      <c r="M104" s="53">
        <f t="shared" si="20"/>
        <v>5.3511649294911106</v>
      </c>
    </row>
    <row r="105" spans="1:13" s="15" customFormat="1" ht="12.75" hidden="1" outlineLevel="2">
      <c r="A105" s="15" t="s">
        <v>497</v>
      </c>
      <c r="B105" s="15" t="s">
        <v>498</v>
      </c>
      <c r="C105" s="134" t="s">
        <v>499</v>
      </c>
      <c r="D105" s="16"/>
      <c r="E105" s="16"/>
      <c r="F105" s="16">
        <v>0</v>
      </c>
      <c r="G105" s="16">
        <v>0</v>
      </c>
      <c r="H105" s="16">
        <f t="shared" si="17"/>
        <v>0</v>
      </c>
      <c r="I105" s="53">
        <f t="shared" si="18"/>
        <v>0</v>
      </c>
      <c r="J105" s="174"/>
      <c r="K105" s="257">
        <v>278507.72000000003</v>
      </c>
      <c r="L105" s="16">
        <f t="shared" si="19"/>
        <v>-278507.72000000003</v>
      </c>
      <c r="M105" s="53" t="str">
        <f t="shared" si="20"/>
        <v>N.M.</v>
      </c>
    </row>
    <row r="106" spans="1:13" s="15" customFormat="1" ht="12.75" hidden="1" outlineLevel="2">
      <c r="A106" s="15" t="s">
        <v>500</v>
      </c>
      <c r="B106" s="15" t="s">
        <v>501</v>
      </c>
      <c r="C106" s="134" t="s">
        <v>502</v>
      </c>
      <c r="D106" s="16"/>
      <c r="E106" s="16"/>
      <c r="F106" s="16">
        <v>216299.96</v>
      </c>
      <c r="G106" s="16">
        <v>0</v>
      </c>
      <c r="H106" s="16">
        <f t="shared" si="17"/>
        <v>216299.96</v>
      </c>
      <c r="I106" s="53" t="str">
        <f t="shared" si="18"/>
        <v>N.M.</v>
      </c>
      <c r="J106" s="174"/>
      <c r="K106" s="257">
        <v>0</v>
      </c>
      <c r="L106" s="16">
        <f t="shared" si="19"/>
        <v>216299.96</v>
      </c>
      <c r="M106" s="53" t="str">
        <f t="shared" si="20"/>
        <v>N.M.</v>
      </c>
    </row>
    <row r="107" spans="1:13" s="15" customFormat="1" ht="12.75" hidden="1" outlineLevel="2">
      <c r="A107" s="15" t="s">
        <v>503</v>
      </c>
      <c r="B107" s="15" t="s">
        <v>504</v>
      </c>
      <c r="C107" s="134" t="s">
        <v>505</v>
      </c>
      <c r="D107" s="16"/>
      <c r="E107" s="16"/>
      <c r="F107" s="16">
        <v>0</v>
      </c>
      <c r="G107" s="16">
        <v>26744.54</v>
      </c>
      <c r="H107" s="16">
        <f t="shared" si="17"/>
        <v>-26744.54</v>
      </c>
      <c r="I107" s="53" t="str">
        <f t="shared" si="18"/>
        <v>N.M.</v>
      </c>
      <c r="J107" s="174"/>
      <c r="K107" s="257">
        <v>21531.64</v>
      </c>
      <c r="L107" s="16">
        <f t="shared" si="19"/>
        <v>-21531.64</v>
      </c>
      <c r="M107" s="53" t="str">
        <f t="shared" si="20"/>
        <v>N.M.</v>
      </c>
    </row>
    <row r="108" spans="1:13" s="15" customFormat="1" ht="12.75" hidden="1" outlineLevel="2">
      <c r="A108" s="15" t="s">
        <v>506</v>
      </c>
      <c r="B108" s="15" t="s">
        <v>507</v>
      </c>
      <c r="C108" s="134" t="s">
        <v>508</v>
      </c>
      <c r="D108" s="16"/>
      <c r="E108" s="16"/>
      <c r="F108" s="16">
        <v>-190350</v>
      </c>
      <c r="G108" s="16">
        <v>1716000</v>
      </c>
      <c r="H108" s="16">
        <f t="shared" si="17"/>
        <v>-1906350</v>
      </c>
      <c r="I108" s="53">
        <f t="shared" si="18"/>
        <v>-1.1109265734265734</v>
      </c>
      <c r="J108" s="174"/>
      <c r="K108" s="257">
        <v>-634767</v>
      </c>
      <c r="L108" s="16">
        <f t="shared" si="19"/>
        <v>444417</v>
      </c>
      <c r="M108" s="53">
        <f t="shared" si="20"/>
        <v>0.7001261880343496</v>
      </c>
    </row>
    <row r="109" spans="1:13" s="15" customFormat="1" ht="12.75" hidden="1" outlineLevel="2">
      <c r="A109" s="15" t="s">
        <v>509</v>
      </c>
      <c r="B109" s="15" t="s">
        <v>510</v>
      </c>
      <c r="C109" s="134" t="s">
        <v>511</v>
      </c>
      <c r="D109" s="16"/>
      <c r="E109" s="16"/>
      <c r="F109" s="16">
        <v>796514</v>
      </c>
      <c r="G109" s="16">
        <v>0</v>
      </c>
      <c r="H109" s="16">
        <f t="shared" si="17"/>
        <v>796514</v>
      </c>
      <c r="I109" s="53" t="str">
        <f t="shared" si="18"/>
        <v>N.M.</v>
      </c>
      <c r="J109" s="174"/>
      <c r="K109" s="257">
        <v>796514</v>
      </c>
      <c r="L109" s="16">
        <f t="shared" si="19"/>
        <v>0</v>
      </c>
      <c r="M109" s="53">
        <f t="shared" si="20"/>
        <v>0</v>
      </c>
    </row>
    <row r="110" spans="1:13" s="15" customFormat="1" ht="12.75" hidden="1" outlineLevel="2">
      <c r="A110" s="15" t="s">
        <v>512</v>
      </c>
      <c r="B110" s="15" t="s">
        <v>513</v>
      </c>
      <c r="C110" s="134" t="s">
        <v>514</v>
      </c>
      <c r="D110" s="16"/>
      <c r="E110" s="16"/>
      <c r="F110" s="16">
        <v>137084</v>
      </c>
      <c r="G110" s="16">
        <v>0</v>
      </c>
      <c r="H110" s="16">
        <f t="shared" si="17"/>
        <v>137084</v>
      </c>
      <c r="I110" s="53" t="str">
        <f t="shared" si="18"/>
        <v>N.M.</v>
      </c>
      <c r="J110" s="174"/>
      <c r="K110" s="257">
        <v>137084</v>
      </c>
      <c r="L110" s="16">
        <f t="shared" si="19"/>
        <v>0</v>
      </c>
      <c r="M110" s="53">
        <f t="shared" si="20"/>
        <v>0</v>
      </c>
    </row>
    <row r="111" spans="1:13" s="15" customFormat="1" ht="12.75" hidden="1" outlineLevel="2">
      <c r="A111" s="15" t="s">
        <v>515</v>
      </c>
      <c r="B111" s="15" t="s">
        <v>516</v>
      </c>
      <c r="C111" s="134" t="s">
        <v>517</v>
      </c>
      <c r="D111" s="16"/>
      <c r="E111" s="16"/>
      <c r="F111" s="16">
        <v>1642416.03</v>
      </c>
      <c r="G111" s="16">
        <v>1609080.27</v>
      </c>
      <c r="H111" s="16">
        <f t="shared" si="17"/>
        <v>33335.76000000001</v>
      </c>
      <c r="I111" s="53">
        <f t="shared" si="18"/>
        <v>0.0207172759628704</v>
      </c>
      <c r="J111" s="174"/>
      <c r="K111" s="257">
        <v>2073414.74</v>
      </c>
      <c r="L111" s="16">
        <f t="shared" si="19"/>
        <v>-430998.70999999996</v>
      </c>
      <c r="M111" s="53">
        <f t="shared" si="20"/>
        <v>-0.2078690296182615</v>
      </c>
    </row>
    <row r="112" spans="1:13" s="67" customFormat="1" ht="12.75" collapsed="1">
      <c r="A112" s="67" t="s">
        <v>142</v>
      </c>
      <c r="B112" s="87"/>
      <c r="C112" s="82" t="s">
        <v>102</v>
      </c>
      <c r="D112" s="66"/>
      <c r="E112" s="66"/>
      <c r="F112" s="51">
        <v>2664045.086</v>
      </c>
      <c r="G112" s="51">
        <v>4720763.4</v>
      </c>
      <c r="H112" s="51">
        <f>+F112-G112</f>
        <v>-2056718.3140000002</v>
      </c>
      <c r="I112" s="136">
        <f>IF(G112&lt;0,IF(H112=0,0,IF(OR(G112=0,F112=0),"N.M.",IF(ABS(H112/G112)&gt;=10,"N.M.",H112/(-G112)))),IF(H112=0,0,IF(OR(G112=0,F112=0),"N.M.",IF(ABS(H112/G112)&gt;=10,"N.M.",H112/G112))))</f>
        <v>-0.4356749406250693</v>
      </c>
      <c r="J112" s="157"/>
      <c r="K112" s="51">
        <v>5215372.244</v>
      </c>
      <c r="L112" s="51">
        <f>+F112-K112</f>
        <v>-2551327.158</v>
      </c>
      <c r="M112" s="136">
        <f>IF(K112&lt;0,IF(L112=0,0,IF(OR(K112=0,F112=0),"N.M.",IF(ABS(L112/K112)&gt;=10,"N.M.",L112/(-K112)))),IF(L112=0,0,IF(OR(K112=0,F112=0),"N.M.",IF(ABS(L112/K112)&gt;=10,"N.M.",L112/K112))))</f>
        <v>-0.4891936833339484</v>
      </c>
    </row>
    <row r="113" spans="2:13" s="67" customFormat="1" ht="0.75" customHeight="1" hidden="1" outlineLevel="1">
      <c r="B113" s="87"/>
      <c r="C113" s="82"/>
      <c r="D113" s="66"/>
      <c r="E113" s="66"/>
      <c r="F113" s="51"/>
      <c r="G113" s="51"/>
      <c r="H113" s="51"/>
      <c r="I113" s="136"/>
      <c r="J113" s="157"/>
      <c r="K113" s="51"/>
      <c r="L113" s="51"/>
      <c r="M113" s="136"/>
    </row>
    <row r="114" spans="1:13" s="15" customFormat="1" ht="12.75" hidden="1" outlineLevel="2">
      <c r="A114" s="15" t="s">
        <v>518</v>
      </c>
      <c r="B114" s="15" t="s">
        <v>519</v>
      </c>
      <c r="C114" s="134" t="s">
        <v>520</v>
      </c>
      <c r="D114" s="16"/>
      <c r="E114" s="16"/>
      <c r="F114" s="16">
        <v>-8404.39</v>
      </c>
      <c r="G114" s="16">
        <v>-34578.03</v>
      </c>
      <c r="H114" s="16">
        <f>+F114-G114</f>
        <v>26173.64</v>
      </c>
      <c r="I114" s="53">
        <f>IF(G114&lt;0,IF(H114=0,0,IF(OR(G114=0,F114=0),"N.M.",IF(ABS(H114/G114)&gt;=10,"N.M.",H114/(-G114)))),IF(H114=0,0,IF(OR(G114=0,F114=0),"N.M.",IF(ABS(H114/G114)&gt;=10,"N.M.",H114/G114))))</f>
        <v>0.7569442215186927</v>
      </c>
      <c r="J114" s="174"/>
      <c r="K114" s="257">
        <v>-22676.54</v>
      </c>
      <c r="L114" s="16">
        <f>+F114-K114</f>
        <v>14272.150000000001</v>
      </c>
      <c r="M114" s="53">
        <f>IF(K114&lt;0,IF(L114=0,0,IF(OR(K114=0,F114=0),"N.M.",IF(ABS(L114/K114)&gt;=10,"N.M.",L114/(-K114)))),IF(L114=0,0,IF(OR(K114=0,F114=0),"N.M.",IF(ABS(L114/K114)&gt;=10,"N.M.",L114/K114))))</f>
        <v>0.6293795261534608</v>
      </c>
    </row>
    <row r="115" spans="1:13" s="15" customFormat="1" ht="12.75" hidden="1" outlineLevel="2">
      <c r="A115" s="15" t="s">
        <v>521</v>
      </c>
      <c r="B115" s="15" t="s">
        <v>522</v>
      </c>
      <c r="C115" s="134" t="s">
        <v>523</v>
      </c>
      <c r="D115" s="16"/>
      <c r="E115" s="16"/>
      <c r="F115" s="16">
        <v>-828642.09</v>
      </c>
      <c r="G115" s="16">
        <v>-828642.09</v>
      </c>
      <c r="H115" s="16">
        <f>+F115-G115</f>
        <v>0</v>
      </c>
      <c r="I115" s="53">
        <f>IF(G115&lt;0,IF(H115=0,0,IF(OR(G115=0,F115=0),"N.M.",IF(ABS(H115/G115)&gt;=10,"N.M.",H115/(-G115)))),IF(H115=0,0,IF(OR(G115=0,F115=0),"N.M.",IF(ABS(H115/G115)&gt;=10,"N.M.",H115/G115))))</f>
        <v>0</v>
      </c>
      <c r="J115" s="174"/>
      <c r="K115" s="257">
        <v>-828642.09</v>
      </c>
      <c r="L115" s="16">
        <f>+F115-K115</f>
        <v>0</v>
      </c>
      <c r="M115" s="53">
        <f>IF(K115&lt;0,IF(L115=0,0,IF(OR(K115=0,F115=0),"N.M.",IF(ABS(L115/K115)&gt;=10,"N.M.",L115/(-K115)))),IF(L115=0,0,IF(OR(K115=0,F115=0),"N.M.",IF(ABS(L115/K115)&gt;=10,"N.M.",L115/K115))))</f>
        <v>0</v>
      </c>
    </row>
    <row r="116" spans="1:13" s="67" customFormat="1" ht="12.75" collapsed="1">
      <c r="A116" s="67" t="s">
        <v>143</v>
      </c>
      <c r="B116" s="87"/>
      <c r="C116" s="82" t="s">
        <v>103</v>
      </c>
      <c r="D116" s="66"/>
      <c r="E116" s="66"/>
      <c r="F116" s="51">
        <v>-837046.48</v>
      </c>
      <c r="G116" s="51">
        <v>-863220.12</v>
      </c>
      <c r="H116" s="51">
        <f>+F116-G116</f>
        <v>26173.640000000014</v>
      </c>
      <c r="I116" s="136">
        <f>IF(G116&lt;0,IF(H116=0,0,IF(OR(G116=0,F116=0),"N.M.",IF(ABS(H116/G116)&gt;=10,"N.M.",H116/(-G116)))),IF(H116=0,0,IF(OR(G116=0,F116=0),"N.M.",IF(ABS(H116/G116)&gt;=10,"N.M.",H116/G116))))</f>
        <v>0.030320933668691614</v>
      </c>
      <c r="J116" s="157"/>
      <c r="K116" s="51">
        <v>-851318.63</v>
      </c>
      <c r="L116" s="51">
        <f>+F116-K116</f>
        <v>14272.150000000023</v>
      </c>
      <c r="M116" s="136">
        <f>IF(K116&lt;0,IF(L116=0,0,IF(OR(K116=0,F116=0),"N.M.",IF(ABS(L116/K116)&gt;=10,"N.M.",L116/(-K116)))),IF(L116=0,0,IF(OR(K116=0,F116=0),"N.M.",IF(ABS(L116/K116)&gt;=10,"N.M.",L116/K116))))</f>
        <v>0.016764757045197077</v>
      </c>
    </row>
    <row r="117" spans="2:13" s="67" customFormat="1" ht="0.75" customHeight="1" hidden="1" outlineLevel="1">
      <c r="B117" s="87"/>
      <c r="C117" s="82"/>
      <c r="D117" s="66"/>
      <c r="E117" s="66"/>
      <c r="F117" s="51"/>
      <c r="G117" s="51"/>
      <c r="H117" s="51"/>
      <c r="I117" s="136"/>
      <c r="J117" s="157"/>
      <c r="K117" s="51"/>
      <c r="L117" s="51"/>
      <c r="M117" s="136"/>
    </row>
    <row r="118" spans="1:13" s="15" customFormat="1" ht="12.75" hidden="1" outlineLevel="2">
      <c r="A118" s="15" t="s">
        <v>524</v>
      </c>
      <c r="B118" s="15" t="s">
        <v>525</v>
      </c>
      <c r="C118" s="134" t="s">
        <v>526</v>
      </c>
      <c r="D118" s="16"/>
      <c r="E118" s="16"/>
      <c r="F118" s="16">
        <v>2191793.61</v>
      </c>
      <c r="G118" s="16">
        <v>9971990.44</v>
      </c>
      <c r="H118" s="16">
        <f aca="true" t="shared" si="21" ref="H118:H125">+F118-G118</f>
        <v>-7780196.83</v>
      </c>
      <c r="I118" s="53">
        <f aca="true" t="shared" si="22" ref="I118:I125">IF(G118&lt;0,IF(H118=0,0,IF(OR(G118=0,F118=0),"N.M.",IF(ABS(H118/G118)&gt;=10,"N.M.",H118/(-G118)))),IF(H118=0,0,IF(OR(G118=0,F118=0),"N.M.",IF(ABS(H118/G118)&gt;=10,"N.M.",H118/G118))))</f>
        <v>-0.7802050028840581</v>
      </c>
      <c r="J118" s="174"/>
      <c r="K118" s="257">
        <v>5069525.01</v>
      </c>
      <c r="L118" s="16">
        <f aca="true" t="shared" si="23" ref="L118:L125">+F118-K118</f>
        <v>-2877731.4</v>
      </c>
      <c r="M118" s="53">
        <f aca="true" t="shared" si="24" ref="M118:M125">IF(K118&lt;0,IF(L118=0,0,IF(OR(K118=0,F118=0),"N.M.",IF(ABS(L118/K118)&gt;=10,"N.M.",L118/(-K118)))),IF(L118=0,0,IF(OR(K118=0,F118=0),"N.M.",IF(ABS(L118/K118)&gt;=10,"N.M.",L118/K118))))</f>
        <v>-0.5676530630233542</v>
      </c>
    </row>
    <row r="119" spans="1:13" s="15" customFormat="1" ht="12.75" hidden="1" outlineLevel="2">
      <c r="A119" s="15" t="s">
        <v>527</v>
      </c>
      <c r="B119" s="15" t="s">
        <v>528</v>
      </c>
      <c r="C119" s="134" t="s">
        <v>529</v>
      </c>
      <c r="D119" s="16"/>
      <c r="E119" s="16"/>
      <c r="F119" s="16">
        <v>239550.58000000002</v>
      </c>
      <c r="G119" s="16">
        <v>241411.052</v>
      </c>
      <c r="H119" s="16">
        <f t="shared" si="21"/>
        <v>-1860.4719999999797</v>
      </c>
      <c r="I119" s="53">
        <f t="shared" si="22"/>
        <v>-0.00770665628017718</v>
      </c>
      <c r="J119" s="174"/>
      <c r="K119" s="257">
        <v>542450.892</v>
      </c>
      <c r="L119" s="16">
        <f t="shared" si="23"/>
        <v>-302900.312</v>
      </c>
      <c r="M119" s="53">
        <f t="shared" si="24"/>
        <v>-0.5583921355225645</v>
      </c>
    </row>
    <row r="120" spans="1:13" s="15" customFormat="1" ht="12.75" hidden="1" outlineLevel="2">
      <c r="A120" s="15" t="s">
        <v>530</v>
      </c>
      <c r="B120" s="15" t="s">
        <v>531</v>
      </c>
      <c r="C120" s="134" t="s">
        <v>532</v>
      </c>
      <c r="D120" s="16"/>
      <c r="E120" s="16"/>
      <c r="F120" s="16">
        <v>9243.17</v>
      </c>
      <c r="G120" s="16">
        <v>3797.66</v>
      </c>
      <c r="H120" s="16">
        <f t="shared" si="21"/>
        <v>5445.51</v>
      </c>
      <c r="I120" s="53">
        <f t="shared" si="22"/>
        <v>1.4339119352443348</v>
      </c>
      <c r="J120" s="174"/>
      <c r="K120" s="257">
        <v>0.02</v>
      </c>
      <c r="L120" s="16">
        <f t="shared" si="23"/>
        <v>9243.15</v>
      </c>
      <c r="M120" s="53" t="str">
        <f t="shared" si="24"/>
        <v>N.M.</v>
      </c>
    </row>
    <row r="121" spans="1:13" s="15" customFormat="1" ht="12.75" hidden="1" outlineLevel="2">
      <c r="A121" s="15" t="s">
        <v>533</v>
      </c>
      <c r="B121" s="15" t="s">
        <v>534</v>
      </c>
      <c r="C121" s="134" t="s">
        <v>535</v>
      </c>
      <c r="D121" s="16"/>
      <c r="E121" s="16"/>
      <c r="F121" s="16">
        <v>1030077.8</v>
      </c>
      <c r="G121" s="16">
        <v>1070186.36</v>
      </c>
      <c r="H121" s="16">
        <f t="shared" si="21"/>
        <v>-40108.560000000056</v>
      </c>
      <c r="I121" s="53">
        <f t="shared" si="22"/>
        <v>-0.03747810801849507</v>
      </c>
      <c r="J121" s="174"/>
      <c r="K121" s="257">
        <v>577998.36</v>
      </c>
      <c r="L121" s="16">
        <f t="shared" si="23"/>
        <v>452079.44000000006</v>
      </c>
      <c r="M121" s="53">
        <f t="shared" si="24"/>
        <v>0.7821465791010204</v>
      </c>
    </row>
    <row r="122" spans="1:13" s="15" customFormat="1" ht="12.75" hidden="1" outlineLevel="2">
      <c r="A122" s="15" t="s">
        <v>536</v>
      </c>
      <c r="B122" s="15" t="s">
        <v>537</v>
      </c>
      <c r="C122" s="134" t="s">
        <v>538</v>
      </c>
      <c r="D122" s="16"/>
      <c r="E122" s="16"/>
      <c r="F122" s="16">
        <v>899081</v>
      </c>
      <c r="G122" s="16">
        <v>713077</v>
      </c>
      <c r="H122" s="16">
        <f t="shared" si="21"/>
        <v>186004</v>
      </c>
      <c r="I122" s="53">
        <f t="shared" si="22"/>
        <v>0.26084700530237265</v>
      </c>
      <c r="J122" s="174"/>
      <c r="K122" s="257">
        <v>659338</v>
      </c>
      <c r="L122" s="16">
        <f t="shared" si="23"/>
        <v>239743</v>
      </c>
      <c r="M122" s="53">
        <f t="shared" si="24"/>
        <v>0.36361168323378906</v>
      </c>
    </row>
    <row r="123" spans="1:13" s="15" customFormat="1" ht="12.75" hidden="1" outlineLevel="2">
      <c r="A123" s="15" t="s">
        <v>539</v>
      </c>
      <c r="B123" s="15" t="s">
        <v>540</v>
      </c>
      <c r="C123" s="134" t="s">
        <v>541</v>
      </c>
      <c r="D123" s="16"/>
      <c r="E123" s="16"/>
      <c r="F123" s="16">
        <v>0</v>
      </c>
      <c r="G123" s="16">
        <v>0</v>
      </c>
      <c r="H123" s="16">
        <f t="shared" si="21"/>
        <v>0</v>
      </c>
      <c r="I123" s="53">
        <f t="shared" si="22"/>
        <v>0</v>
      </c>
      <c r="J123" s="174"/>
      <c r="K123" s="257">
        <v>833808.62</v>
      </c>
      <c r="L123" s="16">
        <f t="shared" si="23"/>
        <v>-833808.62</v>
      </c>
      <c r="M123" s="53" t="str">
        <f t="shared" si="24"/>
        <v>N.M.</v>
      </c>
    </row>
    <row r="124" spans="1:13" s="15" customFormat="1" ht="12.75" hidden="1" outlineLevel="2">
      <c r="A124" s="15" t="s">
        <v>542</v>
      </c>
      <c r="B124" s="15" t="s">
        <v>543</v>
      </c>
      <c r="C124" s="134" t="s">
        <v>544</v>
      </c>
      <c r="D124" s="16"/>
      <c r="E124" s="16"/>
      <c r="F124" s="16">
        <v>40041.53</v>
      </c>
      <c r="G124" s="16">
        <v>26700.82</v>
      </c>
      <c r="H124" s="16">
        <f t="shared" si="21"/>
        <v>13340.71</v>
      </c>
      <c r="I124" s="53">
        <f t="shared" si="22"/>
        <v>0.49963671527690906</v>
      </c>
      <c r="J124" s="174"/>
      <c r="K124" s="257">
        <v>160835.94</v>
      </c>
      <c r="L124" s="16">
        <f t="shared" si="23"/>
        <v>-120794.41</v>
      </c>
      <c r="M124" s="53">
        <f t="shared" si="24"/>
        <v>-0.751041154110207</v>
      </c>
    </row>
    <row r="125" spans="1:13" s="15" customFormat="1" ht="12.75" hidden="1" outlineLevel="2">
      <c r="A125" s="15" t="s">
        <v>545</v>
      </c>
      <c r="B125" s="15" t="s">
        <v>546</v>
      </c>
      <c r="C125" s="134" t="s">
        <v>547</v>
      </c>
      <c r="D125" s="16"/>
      <c r="E125" s="16"/>
      <c r="F125" s="16">
        <v>11139.960000000001</v>
      </c>
      <c r="G125" s="16">
        <v>14525.76</v>
      </c>
      <c r="H125" s="16">
        <f t="shared" si="21"/>
        <v>-3385.7999999999993</v>
      </c>
      <c r="I125" s="53">
        <f t="shared" si="22"/>
        <v>-0.2330893529839402</v>
      </c>
      <c r="J125" s="174"/>
      <c r="K125" s="257">
        <v>22592.75</v>
      </c>
      <c r="L125" s="16">
        <f t="shared" si="23"/>
        <v>-11452.789999999999</v>
      </c>
      <c r="M125" s="53">
        <f t="shared" si="24"/>
        <v>-0.5069232386495668</v>
      </c>
    </row>
    <row r="126" spans="1:13" s="67" customFormat="1" ht="12.75" collapsed="1">
      <c r="A126" s="67" t="s">
        <v>144</v>
      </c>
      <c r="B126" s="87"/>
      <c r="C126" s="82" t="s">
        <v>104</v>
      </c>
      <c r="D126" s="66"/>
      <c r="E126" s="66"/>
      <c r="F126" s="51">
        <v>4420927.65</v>
      </c>
      <c r="G126" s="51">
        <v>12041689.091999998</v>
      </c>
      <c r="H126" s="51">
        <f>+F126-G126</f>
        <v>-7620761.441999998</v>
      </c>
      <c r="I126" s="136">
        <f>IF(G126&lt;0,IF(H126=0,0,IF(OR(G126=0,F126=0),"N.M.",IF(ABS(H126/G126)&gt;=10,"N.M.",H126/(-G126)))),IF(H126=0,0,IF(OR(G126=0,F126=0),"N.M.",IF(ABS(H126/G126)&gt;=10,"N.M.",H126/G126))))</f>
        <v>-0.6328648235124188</v>
      </c>
      <c r="J126" s="157"/>
      <c r="K126" s="51">
        <v>7866549.592</v>
      </c>
      <c r="L126" s="51">
        <f>+F126-K126</f>
        <v>-3445621.942</v>
      </c>
      <c r="M126" s="136">
        <f>IF(K126&lt;0,IF(L126=0,0,IF(OR(K126=0,F126=0),"N.M.",IF(ABS(L126/K126)&gt;=10,"N.M.",L126/(-K126)))),IF(L126=0,0,IF(OR(K126=0,F126=0),"N.M.",IF(ABS(L126/K126)&gt;=10,"N.M.",L126/K126))))</f>
        <v>-0.4380093078551331</v>
      </c>
    </row>
    <row r="127" spans="2:13" s="67" customFormat="1" ht="0.75" customHeight="1" hidden="1" outlineLevel="1">
      <c r="B127" s="87"/>
      <c r="C127" s="82"/>
      <c r="D127" s="66"/>
      <c r="E127" s="66"/>
      <c r="F127" s="51"/>
      <c r="G127" s="51"/>
      <c r="H127" s="51"/>
      <c r="I127" s="136"/>
      <c r="J127" s="157"/>
      <c r="K127" s="51"/>
      <c r="L127" s="51"/>
      <c r="M127" s="136"/>
    </row>
    <row r="128" spans="1:13" s="15" customFormat="1" ht="12.75" hidden="1" outlineLevel="2">
      <c r="A128" s="15" t="s">
        <v>548</v>
      </c>
      <c r="B128" s="15" t="s">
        <v>549</v>
      </c>
      <c r="C128" s="134" t="s">
        <v>550</v>
      </c>
      <c r="D128" s="16"/>
      <c r="E128" s="16"/>
      <c r="F128" s="16">
        <v>10116467.15</v>
      </c>
      <c r="G128" s="16">
        <v>41524413.85</v>
      </c>
      <c r="H128" s="16">
        <f>+F128-G128</f>
        <v>-31407946.700000003</v>
      </c>
      <c r="I128" s="53">
        <f>IF(G128&lt;0,IF(H128=0,0,IF(OR(G128=0,F128=0),"N.M.",IF(ABS(H128/G128)&gt;=10,"N.M.",H128/(-G128)))),IF(H128=0,0,IF(OR(G128=0,F128=0),"N.M.",IF(ABS(H128/G128)&gt;=10,"N.M.",H128/G128))))</f>
        <v>-0.7563730294533706</v>
      </c>
      <c r="J128" s="174"/>
      <c r="K128" s="257">
        <v>34327550.77</v>
      </c>
      <c r="L128" s="16">
        <f>+F128-K128</f>
        <v>-24211083.620000005</v>
      </c>
      <c r="M128" s="53">
        <f>IF(K128&lt;0,IF(L128=0,0,IF(OR(K128=0,F128=0),"N.M.",IF(ABS(L128/K128)&gt;=10,"N.M.",L128/(-K128)))),IF(L128=0,0,IF(OR(K128=0,F128=0),"N.M.",IF(ABS(L128/K128)&gt;=10,"N.M.",L128/K128))))</f>
        <v>-0.705295981709213</v>
      </c>
    </row>
    <row r="129" spans="1:13" s="15" customFormat="1" ht="12.75" hidden="1" outlineLevel="2">
      <c r="A129" s="15" t="s">
        <v>551</v>
      </c>
      <c r="B129" s="15" t="s">
        <v>552</v>
      </c>
      <c r="C129" s="134" t="s">
        <v>553</v>
      </c>
      <c r="D129" s="16"/>
      <c r="E129" s="16"/>
      <c r="F129" s="16">
        <v>638579.81</v>
      </c>
      <c r="G129" s="16">
        <v>619124.5700000001</v>
      </c>
      <c r="H129" s="16">
        <f>+F129-G129</f>
        <v>19455.23999999999</v>
      </c>
      <c r="I129" s="53">
        <f>IF(G129&lt;0,IF(H129=0,0,IF(OR(G129=0,F129=0),"N.M.",IF(ABS(H129/G129)&gt;=10,"N.M.",H129/(-G129)))),IF(H129=0,0,IF(OR(G129=0,F129=0),"N.M.",IF(ABS(H129/G129)&gt;=10,"N.M.",H129/G129))))</f>
        <v>0.031423789238408016</v>
      </c>
      <c r="J129" s="174"/>
      <c r="K129" s="257">
        <v>639780.39</v>
      </c>
      <c r="L129" s="16">
        <f>+F129-K129</f>
        <v>-1200.579999999958</v>
      </c>
      <c r="M129" s="53">
        <f>IF(K129&lt;0,IF(L129=0,0,IF(OR(K129=0,F129=0),"N.M.",IF(ABS(L129/K129)&gt;=10,"N.M.",L129/(-K129)))),IF(L129=0,0,IF(OR(K129=0,F129=0),"N.M.",IF(ABS(L129/K129)&gt;=10,"N.M.",L129/K129))))</f>
        <v>-0.0018765501705983174</v>
      </c>
    </row>
    <row r="130" spans="1:13" s="15" customFormat="1" ht="12.75" hidden="1" outlineLevel="2">
      <c r="A130" s="15" t="s">
        <v>554</v>
      </c>
      <c r="B130" s="15" t="s">
        <v>555</v>
      </c>
      <c r="C130" s="134" t="s">
        <v>556</v>
      </c>
      <c r="D130" s="16"/>
      <c r="E130" s="16"/>
      <c r="F130" s="16">
        <v>0</v>
      </c>
      <c r="G130" s="16">
        <v>570728.4</v>
      </c>
      <c r="H130" s="16">
        <f>+F130-G130</f>
        <v>-570728.4</v>
      </c>
      <c r="I130" s="53" t="str">
        <f>IF(G130&lt;0,IF(H130=0,0,IF(OR(G130=0,F130=0),"N.M.",IF(ABS(H130/G130)&gt;=10,"N.M.",H130/(-G130)))),IF(H130=0,0,IF(OR(G130=0,F130=0),"N.M.",IF(ABS(H130/G130)&gt;=10,"N.M.",H130/G130))))</f>
        <v>N.M.</v>
      </c>
      <c r="J130" s="174"/>
      <c r="K130" s="257">
        <v>547553.3</v>
      </c>
      <c r="L130" s="16">
        <f>+F130-K130</f>
        <v>-547553.3</v>
      </c>
      <c r="M130" s="53" t="str">
        <f>IF(K130&lt;0,IF(L130=0,0,IF(OR(K130=0,F130=0),"N.M.",IF(ABS(L130/K130)&gt;=10,"N.M.",L130/(-K130)))),IF(L130=0,0,IF(OR(K130=0,F130=0),"N.M.",IF(ABS(L130/K130)&gt;=10,"N.M.",L130/K130))))</f>
        <v>N.M.</v>
      </c>
    </row>
    <row r="131" spans="1:13" s="15" customFormat="1" ht="12.75" hidden="1" outlineLevel="2">
      <c r="A131" s="15" t="s">
        <v>557</v>
      </c>
      <c r="B131" s="15" t="s">
        <v>558</v>
      </c>
      <c r="C131" s="134" t="s">
        <v>559</v>
      </c>
      <c r="D131" s="16"/>
      <c r="E131" s="16"/>
      <c r="F131" s="16">
        <v>244109.36000000002</v>
      </c>
      <c r="G131" s="16">
        <v>620536.77</v>
      </c>
      <c r="H131" s="16">
        <f>+F131-G131</f>
        <v>-376427.41000000003</v>
      </c>
      <c r="I131" s="53">
        <f>IF(G131&lt;0,IF(H131=0,0,IF(OR(G131=0,F131=0),"N.M.",IF(ABS(H131/G131)&gt;=10,"N.M.",H131/(-G131)))),IF(H131=0,0,IF(OR(G131=0,F131=0),"N.M.",IF(ABS(H131/G131)&gt;=10,"N.M.",H131/G131))))</f>
        <v>-0.606615801348887</v>
      </c>
      <c r="J131" s="174"/>
      <c r="K131" s="257">
        <v>652947.63</v>
      </c>
      <c r="L131" s="16">
        <f>+F131-K131</f>
        <v>-408838.27</v>
      </c>
      <c r="M131" s="53">
        <f>IF(K131&lt;0,IF(L131=0,0,IF(OR(K131=0,F131=0),"N.M.",IF(ABS(L131/K131)&gt;=10,"N.M.",L131/(-K131)))),IF(L131=0,0,IF(OR(K131=0,F131=0),"N.M.",IF(ABS(L131/K131)&gt;=10,"N.M.",L131/K131))))</f>
        <v>-0.626142513144584</v>
      </c>
    </row>
    <row r="132" spans="1:13" s="67" customFormat="1" ht="12.75" collapsed="1">
      <c r="A132" s="67" t="s">
        <v>126</v>
      </c>
      <c r="B132" s="87"/>
      <c r="C132" s="82" t="s">
        <v>105</v>
      </c>
      <c r="D132" s="66"/>
      <c r="E132" s="66"/>
      <c r="F132" s="51">
        <v>10999156.32</v>
      </c>
      <c r="G132" s="51">
        <v>43334803.59</v>
      </c>
      <c r="H132" s="51">
        <f>+F132-G132</f>
        <v>-32335647.270000003</v>
      </c>
      <c r="I132" s="136">
        <f>IF(G132&lt;0,IF(H132=0,0,IF(OR(G132=0,F132=0),"N.M.",IF(ABS(H132/G132)&gt;=10,"N.M.",H132/(-G132)))),IF(H132=0,0,IF(OR(G132=0,F132=0),"N.M.",IF(ABS(H132/G132)&gt;=10,"N.M.",H132/G132))))</f>
        <v>-0.74618192748569</v>
      </c>
      <c r="J132" s="157"/>
      <c r="K132" s="51">
        <v>36167832.09</v>
      </c>
      <c r="L132" s="51">
        <f>+F132-K132</f>
        <v>-25168675.770000003</v>
      </c>
      <c r="M132" s="136">
        <f>IF(K132&lt;0,IF(L132=0,0,IF(OR(K132=0,F132=0),"N.M.",IF(ABS(L132/K132)&gt;=10,"N.M.",L132/(-K132)))),IF(L132=0,0,IF(OR(K132=0,F132=0),"N.M.",IF(ABS(L132/K132)&gt;=10,"N.M.",L132/K132))))</f>
        <v>-0.6958856618049511</v>
      </c>
    </row>
    <row r="133" spans="2:13" s="67" customFormat="1" ht="0.75" customHeight="1" hidden="1" outlineLevel="1">
      <c r="B133" s="87"/>
      <c r="C133" s="82"/>
      <c r="D133" s="66"/>
      <c r="E133" s="66"/>
      <c r="F133" s="51"/>
      <c r="G133" s="51"/>
      <c r="H133" s="51"/>
      <c r="I133" s="136"/>
      <c r="J133" s="157"/>
      <c r="K133" s="51"/>
      <c r="L133" s="51"/>
      <c r="M133" s="136"/>
    </row>
    <row r="134" spans="1:13" s="15" customFormat="1" ht="12.75" hidden="1" outlineLevel="2">
      <c r="A134" s="15" t="s">
        <v>560</v>
      </c>
      <c r="B134" s="15" t="s">
        <v>561</v>
      </c>
      <c r="C134" s="134" t="s">
        <v>562</v>
      </c>
      <c r="D134" s="16"/>
      <c r="E134" s="16"/>
      <c r="F134" s="16">
        <v>10608679.42</v>
      </c>
      <c r="G134" s="16">
        <v>9892892.93</v>
      </c>
      <c r="H134" s="16">
        <f aca="true" t="shared" si="25" ref="H134:H145">+F134-G134</f>
        <v>715786.4900000002</v>
      </c>
      <c r="I134" s="53">
        <f aca="true" t="shared" si="26" ref="I134:I145">IF(G134&lt;0,IF(H134=0,0,IF(OR(G134=0,F134=0),"N.M.",IF(ABS(H134/G134)&gt;=10,"N.M.",H134/(-G134)))),IF(H134=0,0,IF(OR(G134=0,F134=0),"N.M.",IF(ABS(H134/G134)&gt;=10,"N.M.",H134/G134))))</f>
        <v>0.07235360728805545</v>
      </c>
      <c r="J134" s="174"/>
      <c r="K134" s="257">
        <v>10099972.28</v>
      </c>
      <c r="L134" s="16">
        <f aca="true" t="shared" si="27" ref="L134:L145">+F134-K134</f>
        <v>508707.1400000006</v>
      </c>
      <c r="M134" s="53">
        <f aca="true" t="shared" si="28" ref="M134:M145">IF(K134&lt;0,IF(L134=0,0,IF(OR(K134=0,F134=0),"N.M.",IF(ABS(L134/K134)&gt;=10,"N.M.",L134/(-K134)))),IF(L134=0,0,IF(OR(K134=0,F134=0),"N.M.",IF(ABS(L134/K134)&gt;=10,"N.M.",L134/K134))))</f>
        <v>0.05036718179982971</v>
      </c>
    </row>
    <row r="135" spans="1:13" s="15" customFormat="1" ht="12.75" hidden="1" outlineLevel="2">
      <c r="A135" s="15" t="s">
        <v>563</v>
      </c>
      <c r="B135" s="15" t="s">
        <v>564</v>
      </c>
      <c r="C135" s="134" t="s">
        <v>565</v>
      </c>
      <c r="D135" s="16"/>
      <c r="E135" s="16"/>
      <c r="F135" s="16">
        <v>42356.857</v>
      </c>
      <c r="G135" s="16">
        <v>46927.567</v>
      </c>
      <c r="H135" s="16">
        <f t="shared" si="25"/>
        <v>-4570.709999999999</v>
      </c>
      <c r="I135" s="53">
        <f t="shared" si="26"/>
        <v>-0.0973992536199458</v>
      </c>
      <c r="J135" s="174"/>
      <c r="K135" s="257">
        <v>42091.137</v>
      </c>
      <c r="L135" s="16">
        <f t="shared" si="27"/>
        <v>265.72000000000116</v>
      </c>
      <c r="M135" s="53">
        <f t="shared" si="28"/>
        <v>0.006312967977082708</v>
      </c>
    </row>
    <row r="136" spans="1:13" s="15" customFormat="1" ht="12.75" hidden="1" outlineLevel="2">
      <c r="A136" s="15" t="s">
        <v>566</v>
      </c>
      <c r="B136" s="15" t="s">
        <v>567</v>
      </c>
      <c r="C136" s="134" t="s">
        <v>568</v>
      </c>
      <c r="D136" s="16"/>
      <c r="E136" s="16"/>
      <c r="F136" s="16">
        <v>240614.63</v>
      </c>
      <c r="G136" s="16">
        <v>233950.36000000002</v>
      </c>
      <c r="H136" s="16">
        <f t="shared" si="25"/>
        <v>6664.2699999999895</v>
      </c>
      <c r="I136" s="53">
        <f t="shared" si="26"/>
        <v>0.0284858292160781</v>
      </c>
      <c r="J136" s="174"/>
      <c r="K136" s="257">
        <v>186731.99</v>
      </c>
      <c r="L136" s="16">
        <f t="shared" si="27"/>
        <v>53882.640000000014</v>
      </c>
      <c r="M136" s="53">
        <f t="shared" si="28"/>
        <v>0.28855602085106047</v>
      </c>
    </row>
    <row r="137" spans="1:13" s="15" customFormat="1" ht="12.75" hidden="1" outlineLevel="2">
      <c r="A137" s="15" t="s">
        <v>569</v>
      </c>
      <c r="B137" s="15" t="s">
        <v>570</v>
      </c>
      <c r="C137" s="134" t="s">
        <v>571</v>
      </c>
      <c r="D137" s="16"/>
      <c r="E137" s="16"/>
      <c r="F137" s="16">
        <v>65975.64</v>
      </c>
      <c r="G137" s="16">
        <v>47100.450000000004</v>
      </c>
      <c r="H137" s="16">
        <f t="shared" si="25"/>
        <v>18875.189999999995</v>
      </c>
      <c r="I137" s="53">
        <f t="shared" si="26"/>
        <v>0.40074330500027056</v>
      </c>
      <c r="J137" s="174"/>
      <c r="K137" s="257">
        <v>47100.450000000004</v>
      </c>
      <c r="L137" s="16">
        <f t="shared" si="27"/>
        <v>18875.189999999995</v>
      </c>
      <c r="M137" s="53">
        <f t="shared" si="28"/>
        <v>0.40074330500027056</v>
      </c>
    </row>
    <row r="138" spans="1:13" s="15" customFormat="1" ht="12.75" hidden="1" outlineLevel="2">
      <c r="A138" s="15" t="s">
        <v>572</v>
      </c>
      <c r="B138" s="15" t="s">
        <v>573</v>
      </c>
      <c r="C138" s="134" t="s">
        <v>574</v>
      </c>
      <c r="D138" s="16"/>
      <c r="E138" s="16"/>
      <c r="F138" s="16">
        <v>831665.14</v>
      </c>
      <c r="G138" s="16">
        <v>396454.14</v>
      </c>
      <c r="H138" s="16">
        <f t="shared" si="25"/>
        <v>435211</v>
      </c>
      <c r="I138" s="53">
        <f t="shared" si="26"/>
        <v>1.0977587470772785</v>
      </c>
      <c r="J138" s="174"/>
      <c r="K138" s="257">
        <v>776458.16</v>
      </c>
      <c r="L138" s="16">
        <f t="shared" si="27"/>
        <v>55206.97999999998</v>
      </c>
      <c r="M138" s="53">
        <f t="shared" si="28"/>
        <v>0.07110103653234835</v>
      </c>
    </row>
    <row r="139" spans="1:13" s="67" customFormat="1" ht="12.75" hidden="1" outlineLevel="1">
      <c r="A139" s="86" t="s">
        <v>127</v>
      </c>
      <c r="B139" s="87"/>
      <c r="C139" s="83" t="s">
        <v>122</v>
      </c>
      <c r="D139" s="66"/>
      <c r="E139" s="66"/>
      <c r="F139" s="51">
        <v>11789291.687000003</v>
      </c>
      <c r="G139" s="51">
        <v>10617325.446999999</v>
      </c>
      <c r="H139" s="51">
        <f t="shared" si="25"/>
        <v>1171966.240000004</v>
      </c>
      <c r="I139" s="136">
        <f t="shared" si="26"/>
        <v>0.11038243537416963</v>
      </c>
      <c r="J139" s="157"/>
      <c r="K139" s="51">
        <v>11152354.016999999</v>
      </c>
      <c r="L139" s="51">
        <f t="shared" si="27"/>
        <v>636937.6700000037</v>
      </c>
      <c r="M139" s="136">
        <f t="shared" si="28"/>
        <v>0.05711239699072437</v>
      </c>
    </row>
    <row r="140" spans="1:13" s="67" customFormat="1" ht="12.75" hidden="1" outlineLevel="1">
      <c r="A140" s="86" t="s">
        <v>128</v>
      </c>
      <c r="B140" s="87"/>
      <c r="C140" s="83" t="s">
        <v>123</v>
      </c>
      <c r="D140" s="66"/>
      <c r="E140" s="66"/>
      <c r="F140" s="51">
        <v>0</v>
      </c>
      <c r="G140" s="51">
        <v>0</v>
      </c>
      <c r="H140" s="51">
        <f t="shared" si="25"/>
        <v>0</v>
      </c>
      <c r="I140" s="136">
        <f t="shared" si="26"/>
        <v>0</v>
      </c>
      <c r="J140" s="157"/>
      <c r="K140" s="51">
        <v>0</v>
      </c>
      <c r="L140" s="51">
        <f t="shared" si="27"/>
        <v>0</v>
      </c>
      <c r="M140" s="136">
        <f t="shared" si="28"/>
        <v>0</v>
      </c>
    </row>
    <row r="141" spans="1:13" s="15" customFormat="1" ht="12.75" hidden="1" outlineLevel="2">
      <c r="A141" s="15" t="s">
        <v>575</v>
      </c>
      <c r="B141" s="15" t="s">
        <v>576</v>
      </c>
      <c r="C141" s="134" t="s">
        <v>577</v>
      </c>
      <c r="D141" s="16"/>
      <c r="E141" s="16"/>
      <c r="F141" s="16">
        <v>2135521.39</v>
      </c>
      <c r="G141" s="16">
        <v>882667.22</v>
      </c>
      <c r="H141" s="16">
        <f t="shared" si="25"/>
        <v>1252854.1700000002</v>
      </c>
      <c r="I141" s="53">
        <f t="shared" si="26"/>
        <v>1.419395828475425</v>
      </c>
      <c r="J141" s="174"/>
      <c r="K141" s="257">
        <v>7048319.82</v>
      </c>
      <c r="L141" s="16">
        <f t="shared" si="27"/>
        <v>-4912798.43</v>
      </c>
      <c r="M141" s="53">
        <f t="shared" si="28"/>
        <v>-0.6970169565886696</v>
      </c>
    </row>
    <row r="142" spans="1:13" s="15" customFormat="1" ht="12.75" hidden="1" outlineLevel="2">
      <c r="A142" s="15" t="s">
        <v>578</v>
      </c>
      <c r="B142" s="15" t="s">
        <v>579</v>
      </c>
      <c r="C142" s="134" t="s">
        <v>580</v>
      </c>
      <c r="D142" s="16"/>
      <c r="E142" s="16"/>
      <c r="F142" s="16">
        <v>5129.25</v>
      </c>
      <c r="G142" s="16">
        <v>55009.880000000005</v>
      </c>
      <c r="H142" s="16">
        <f t="shared" si="25"/>
        <v>-49880.630000000005</v>
      </c>
      <c r="I142" s="53">
        <f t="shared" si="26"/>
        <v>-0.9067576588060181</v>
      </c>
      <c r="J142" s="174"/>
      <c r="K142" s="257">
        <v>46975.700000000004</v>
      </c>
      <c r="L142" s="16">
        <f t="shared" si="27"/>
        <v>-41846.450000000004</v>
      </c>
      <c r="M142" s="53">
        <f t="shared" si="28"/>
        <v>-0.8908105680170811</v>
      </c>
    </row>
    <row r="143" spans="1:13" s="67" customFormat="1" ht="12.75" hidden="1" outlineLevel="1">
      <c r="A143" s="86" t="s">
        <v>129</v>
      </c>
      <c r="B143" s="87"/>
      <c r="C143" s="83" t="s">
        <v>124</v>
      </c>
      <c r="D143" s="66"/>
      <c r="E143" s="66"/>
      <c r="F143" s="51">
        <v>2140650.64</v>
      </c>
      <c r="G143" s="51">
        <v>937677.1</v>
      </c>
      <c r="H143" s="51">
        <f t="shared" si="25"/>
        <v>1202973.54</v>
      </c>
      <c r="I143" s="136">
        <f t="shared" si="26"/>
        <v>1.2829294220793064</v>
      </c>
      <c r="J143" s="157"/>
      <c r="K143" s="51">
        <v>7095295.5200000005</v>
      </c>
      <c r="L143" s="51">
        <f t="shared" si="27"/>
        <v>-4954644.880000001</v>
      </c>
      <c r="M143" s="136">
        <f t="shared" si="28"/>
        <v>-0.6983000025910127</v>
      </c>
    </row>
    <row r="144" spans="1:13" s="67" customFormat="1" ht="12.75" hidden="1" outlineLevel="1">
      <c r="A144" s="86" t="s">
        <v>130</v>
      </c>
      <c r="B144" s="87"/>
      <c r="C144" s="84" t="s">
        <v>125</v>
      </c>
      <c r="D144" s="66"/>
      <c r="E144" s="66"/>
      <c r="F144" s="197">
        <v>0</v>
      </c>
      <c r="G144" s="197">
        <v>0</v>
      </c>
      <c r="H144" s="197">
        <f t="shared" si="25"/>
        <v>0</v>
      </c>
      <c r="I144" s="138">
        <f t="shared" si="26"/>
        <v>0</v>
      </c>
      <c r="J144" s="157"/>
      <c r="K144" s="197">
        <v>0</v>
      </c>
      <c r="L144" s="197">
        <f t="shared" si="27"/>
        <v>0</v>
      </c>
      <c r="M144" s="138">
        <f t="shared" si="28"/>
        <v>0</v>
      </c>
    </row>
    <row r="145" spans="1:13" s="67" customFormat="1" ht="12.75" collapsed="1">
      <c r="A145" s="67" t="s">
        <v>241</v>
      </c>
      <c r="B145" s="87"/>
      <c r="C145" s="82" t="s">
        <v>106</v>
      </c>
      <c r="D145" s="66"/>
      <c r="E145" s="66"/>
      <c r="F145" s="51">
        <f>+F144+F143+F140+F139</f>
        <v>13929942.327000003</v>
      </c>
      <c r="G145" s="51">
        <f>+G144+G143+G140+G139</f>
        <v>11555002.546999998</v>
      </c>
      <c r="H145" s="51">
        <f t="shared" si="25"/>
        <v>2374939.780000005</v>
      </c>
      <c r="I145" s="136">
        <f t="shared" si="26"/>
        <v>0.20553347092222024</v>
      </c>
      <c r="J145" s="157"/>
      <c r="K145" s="51">
        <f>+K144+K143+K140+K139</f>
        <v>18247649.537</v>
      </c>
      <c r="L145" s="51">
        <f t="shared" si="27"/>
        <v>-4317707.209999997</v>
      </c>
      <c r="M145" s="136">
        <f t="shared" si="28"/>
        <v>-0.2366171709537254</v>
      </c>
    </row>
    <row r="146" spans="2:13" s="67" customFormat="1" ht="0.75" customHeight="1" hidden="1" outlineLevel="1">
      <c r="B146" s="87"/>
      <c r="C146" s="82"/>
      <c r="D146" s="66"/>
      <c r="E146" s="66"/>
      <c r="F146" s="51"/>
      <c r="G146" s="51"/>
      <c r="H146" s="51"/>
      <c r="I146" s="136"/>
      <c r="J146" s="157"/>
      <c r="K146" s="51"/>
      <c r="L146" s="51"/>
      <c r="M146" s="136"/>
    </row>
    <row r="147" spans="1:13" s="15" customFormat="1" ht="12.75" hidden="1" outlineLevel="2">
      <c r="A147" s="15" t="s">
        <v>581</v>
      </c>
      <c r="B147" s="15" t="s">
        <v>582</v>
      </c>
      <c r="C147" s="134" t="s">
        <v>107</v>
      </c>
      <c r="D147" s="16"/>
      <c r="E147" s="16"/>
      <c r="F147" s="16">
        <v>15390736.26</v>
      </c>
      <c r="G147" s="16">
        <v>13966784.17</v>
      </c>
      <c r="H147" s="16">
        <f>+F147-G147</f>
        <v>1423952.0899999999</v>
      </c>
      <c r="I147" s="53">
        <f>IF(G147&lt;0,IF(H147=0,0,IF(OR(G147=0,F147=0),"N.M.",IF(ABS(H147/G147)&gt;=10,"N.M.",H147/(-G147)))),IF(H147=0,0,IF(OR(G147=0,F147=0),"N.M.",IF(ABS(H147/G147)&gt;=10,"N.M.",H147/G147))))</f>
        <v>0.10195275252112669</v>
      </c>
      <c r="J147" s="174"/>
      <c r="K147" s="257">
        <v>21157586.17</v>
      </c>
      <c r="L147" s="16">
        <f>+F147-K147</f>
        <v>-5766849.910000002</v>
      </c>
      <c r="M147" s="53">
        <f>IF(K147&lt;0,IF(L147=0,0,IF(OR(K147=0,F147=0),"N.M.",IF(ABS(L147/K147)&gt;=10,"N.M.",L147/(-K147)))),IF(L147=0,0,IF(OR(K147=0,F147=0),"N.M.",IF(ABS(L147/K147)&gt;=10,"N.M.",L147/K147))))</f>
        <v>-0.27256653304699746</v>
      </c>
    </row>
    <row r="148" spans="1:13" s="15" customFormat="1" ht="12.75" hidden="1" outlineLevel="2">
      <c r="A148" s="15" t="s">
        <v>583</v>
      </c>
      <c r="B148" s="15" t="s">
        <v>584</v>
      </c>
      <c r="C148" s="134" t="s">
        <v>585</v>
      </c>
      <c r="D148" s="16"/>
      <c r="E148" s="16"/>
      <c r="F148" s="16">
        <v>-10527599.55</v>
      </c>
      <c r="G148" s="16">
        <v>-14405018.85</v>
      </c>
      <c r="H148" s="16">
        <f>+F148-G148</f>
        <v>3877419.299999999</v>
      </c>
      <c r="I148" s="53">
        <f>IF(G148&lt;0,IF(H148=0,0,IF(OR(G148=0,F148=0),"N.M.",IF(ABS(H148/G148)&gt;=10,"N.M.",H148/(-G148)))),IF(H148=0,0,IF(OR(G148=0,F148=0),"N.M.",IF(ABS(H148/G148)&gt;=10,"N.M.",H148/G148))))</f>
        <v>0.2691714145171007</v>
      </c>
      <c r="J148" s="174"/>
      <c r="K148" s="257">
        <v>-16351881.44</v>
      </c>
      <c r="L148" s="16">
        <f>+F148-K148</f>
        <v>5824281.889999999</v>
      </c>
      <c r="M148" s="53">
        <f>IF(K148&lt;0,IF(L148=0,0,IF(OR(K148=0,F148=0),"N.M.",IF(ABS(L148/K148)&gt;=10,"N.M.",L148/(-K148)))),IF(L148=0,0,IF(OR(K148=0,F148=0),"N.M.",IF(ABS(L148/K148)&gt;=10,"N.M.",L148/K148))))</f>
        <v>0.356184204941251</v>
      </c>
    </row>
    <row r="149" spans="1:13" s="67" customFormat="1" ht="12.75" collapsed="1">
      <c r="A149" s="67" t="s">
        <v>131</v>
      </c>
      <c r="B149" s="87"/>
      <c r="C149" s="82" t="s">
        <v>107</v>
      </c>
      <c r="D149" s="66"/>
      <c r="E149" s="66"/>
      <c r="F149" s="51">
        <v>4863136.709999999</v>
      </c>
      <c r="G149" s="51">
        <v>-438234.6799999997</v>
      </c>
      <c r="H149" s="51">
        <f>+F149-G149</f>
        <v>5301371.389999999</v>
      </c>
      <c r="I149" s="136" t="str">
        <f>IF(G149&lt;0,IF(H149=0,0,IF(OR(G149=0,F149=0),"N.M.",IF(ABS(H149/G149)&gt;=10,"N.M.",H149/(-G149)))),IF(H149=0,0,IF(OR(G149=0,F149=0),"N.M.",IF(ABS(H149/G149)&gt;=10,"N.M.",H149/G149))))</f>
        <v>N.M.</v>
      </c>
      <c r="J149" s="157"/>
      <c r="K149" s="51">
        <v>4805704.730000002</v>
      </c>
      <c r="L149" s="51">
        <f>+F149-K149</f>
        <v>57431.97999999672</v>
      </c>
      <c r="M149" s="136">
        <f>IF(K149&lt;0,IF(L149=0,0,IF(OR(K149=0,F149=0),"N.M.",IF(ABS(L149/K149)&gt;=10,"N.M.",L149/(-K149)))),IF(L149=0,0,IF(OR(K149=0,F149=0),"N.M.",IF(ABS(L149/K149)&gt;=10,"N.M.",L149/K149))))</f>
        <v>0.01195079249073979</v>
      </c>
    </row>
    <row r="150" spans="2:13" s="67" customFormat="1" ht="0.75" customHeight="1" hidden="1" outlineLevel="1">
      <c r="B150" s="87"/>
      <c r="C150" s="82"/>
      <c r="D150" s="66"/>
      <c r="E150" s="66"/>
      <c r="F150" s="51"/>
      <c r="G150" s="51"/>
      <c r="H150" s="51"/>
      <c r="I150" s="136"/>
      <c r="J150" s="157"/>
      <c r="K150" s="51"/>
      <c r="L150" s="51"/>
      <c r="M150" s="136"/>
    </row>
    <row r="151" spans="1:13" s="15" customFormat="1" ht="12.75" hidden="1" outlineLevel="2">
      <c r="A151" s="15" t="s">
        <v>586</v>
      </c>
      <c r="B151" s="15" t="s">
        <v>587</v>
      </c>
      <c r="C151" s="134" t="s">
        <v>588</v>
      </c>
      <c r="D151" s="16"/>
      <c r="E151" s="16"/>
      <c r="F151" s="16">
        <v>13531801.03</v>
      </c>
      <c r="G151" s="16">
        <v>17196168.5</v>
      </c>
      <c r="H151" s="16">
        <f aca="true" t="shared" si="29" ref="H151:H156">+F151-G151</f>
        <v>-3664367.4700000007</v>
      </c>
      <c r="I151" s="53">
        <f aca="true" t="shared" si="30" ref="I151:I156">IF(G151&lt;0,IF(H151=0,0,IF(OR(G151=0,F151=0),"N.M.",IF(ABS(H151/G151)&gt;=10,"N.M.",H151/(-G151)))),IF(H151=0,0,IF(OR(G151=0,F151=0),"N.M.",IF(ABS(H151/G151)&gt;=10,"N.M.",H151/G151))))</f>
        <v>-0.21309208908949692</v>
      </c>
      <c r="J151" s="174"/>
      <c r="K151" s="257">
        <v>13290912.23</v>
      </c>
      <c r="L151" s="16">
        <f aca="true" t="shared" si="31" ref="L151:L156">+F151-K151</f>
        <v>240888.79999999888</v>
      </c>
      <c r="M151" s="53">
        <f aca="true" t="shared" si="32" ref="M151:M156">IF(K151&lt;0,IF(L151=0,0,IF(OR(K151=0,F151=0),"N.M.",IF(ABS(L151/K151)&gt;=10,"N.M.",L151/(-K151)))),IF(L151=0,0,IF(OR(K151=0,F151=0),"N.M.",IF(ABS(L151/K151)&gt;=10,"N.M.",L151/K151))))</f>
        <v>0.018124324036710524</v>
      </c>
    </row>
    <row r="152" spans="1:13" s="15" customFormat="1" ht="12.75" hidden="1" outlineLevel="2">
      <c r="A152" s="15" t="s">
        <v>589</v>
      </c>
      <c r="B152" s="15" t="s">
        <v>590</v>
      </c>
      <c r="C152" s="134" t="s">
        <v>591</v>
      </c>
      <c r="D152" s="16"/>
      <c r="E152" s="16"/>
      <c r="F152" s="16">
        <v>0</v>
      </c>
      <c r="G152" s="16">
        <v>379656</v>
      </c>
      <c r="H152" s="16">
        <f t="shared" si="29"/>
        <v>-379656</v>
      </c>
      <c r="I152" s="53" t="str">
        <f t="shared" si="30"/>
        <v>N.M.</v>
      </c>
      <c r="J152" s="174"/>
      <c r="K152" s="257">
        <v>399292</v>
      </c>
      <c r="L152" s="16">
        <f t="shared" si="31"/>
        <v>-399292</v>
      </c>
      <c r="M152" s="53" t="str">
        <f t="shared" si="32"/>
        <v>N.M.</v>
      </c>
    </row>
    <row r="153" spans="1:13" s="15" customFormat="1" ht="12.75" hidden="1" outlineLevel="2">
      <c r="A153" s="15" t="s">
        <v>592</v>
      </c>
      <c r="B153" s="15" t="s">
        <v>593</v>
      </c>
      <c r="C153" s="134" t="s">
        <v>594</v>
      </c>
      <c r="D153" s="16"/>
      <c r="E153" s="16"/>
      <c r="F153" s="16">
        <v>1577.28</v>
      </c>
      <c r="G153" s="16">
        <v>2120.7</v>
      </c>
      <c r="H153" s="16">
        <f t="shared" si="29"/>
        <v>-543.4199999999998</v>
      </c>
      <c r="I153" s="53">
        <f t="shared" si="30"/>
        <v>-0.2562455792898571</v>
      </c>
      <c r="J153" s="174"/>
      <c r="K153" s="257">
        <v>2821.25</v>
      </c>
      <c r="L153" s="16">
        <f t="shared" si="31"/>
        <v>-1243.97</v>
      </c>
      <c r="M153" s="53">
        <f t="shared" si="32"/>
        <v>-0.44092866637128936</v>
      </c>
    </row>
    <row r="154" spans="1:13" s="15" customFormat="1" ht="12.75" hidden="1" outlineLevel="2">
      <c r="A154" s="15" t="s">
        <v>595</v>
      </c>
      <c r="B154" s="15" t="s">
        <v>596</v>
      </c>
      <c r="C154" s="134" t="s">
        <v>597</v>
      </c>
      <c r="D154" s="16"/>
      <c r="E154" s="16"/>
      <c r="F154" s="16">
        <v>-899909</v>
      </c>
      <c r="G154" s="16">
        <v>-995826</v>
      </c>
      <c r="H154" s="16">
        <f t="shared" si="29"/>
        <v>95917</v>
      </c>
      <c r="I154" s="53">
        <f t="shared" si="30"/>
        <v>0.09631903565482323</v>
      </c>
      <c r="J154" s="174"/>
      <c r="K154" s="257">
        <v>-427357</v>
      </c>
      <c r="L154" s="16">
        <f t="shared" si="31"/>
        <v>-472552</v>
      </c>
      <c r="M154" s="53">
        <f t="shared" si="32"/>
        <v>-1.1057546734931216</v>
      </c>
    </row>
    <row r="155" spans="1:13" s="15" customFormat="1" ht="12.75" hidden="1" outlineLevel="2">
      <c r="A155" s="15" t="s">
        <v>598</v>
      </c>
      <c r="B155" s="15" t="s">
        <v>599</v>
      </c>
      <c r="C155" s="134" t="s">
        <v>600</v>
      </c>
      <c r="D155" s="16"/>
      <c r="E155" s="16"/>
      <c r="F155" s="16">
        <v>15697</v>
      </c>
      <c r="G155" s="16">
        <v>575071</v>
      </c>
      <c r="H155" s="16">
        <f t="shared" si="29"/>
        <v>-559374</v>
      </c>
      <c r="I155" s="53">
        <f t="shared" si="30"/>
        <v>-0.9727042399981916</v>
      </c>
      <c r="J155" s="174"/>
      <c r="K155" s="257">
        <v>421541</v>
      </c>
      <c r="L155" s="16">
        <f t="shared" si="31"/>
        <v>-405844</v>
      </c>
      <c r="M155" s="53">
        <f t="shared" si="32"/>
        <v>-0.9627628154793958</v>
      </c>
    </row>
    <row r="156" spans="1:13" s="67" customFormat="1" ht="12.75" collapsed="1">
      <c r="A156" s="67" t="s">
        <v>132</v>
      </c>
      <c r="B156" s="87"/>
      <c r="C156" s="82" t="s">
        <v>108</v>
      </c>
      <c r="D156" s="66"/>
      <c r="E156" s="66"/>
      <c r="F156" s="51">
        <v>12649166.309999999</v>
      </c>
      <c r="G156" s="51">
        <v>17157190.2</v>
      </c>
      <c r="H156" s="51">
        <f t="shared" si="29"/>
        <v>-4508023.890000001</v>
      </c>
      <c r="I156" s="136">
        <f t="shared" si="30"/>
        <v>-0.26274837764519277</v>
      </c>
      <c r="J156" s="157"/>
      <c r="K156" s="51">
        <v>13687209.48</v>
      </c>
      <c r="L156" s="51">
        <f t="shared" si="31"/>
        <v>-1038043.1700000018</v>
      </c>
      <c r="M156" s="136">
        <f t="shared" si="32"/>
        <v>-0.07584038013861111</v>
      </c>
    </row>
    <row r="157" spans="1:13" s="67" customFormat="1" ht="0.75" customHeight="1" hidden="1" outlineLevel="1">
      <c r="A157" s="86"/>
      <c r="B157" s="87"/>
      <c r="C157" s="83"/>
      <c r="D157" s="66"/>
      <c r="E157" s="66"/>
      <c r="F157" s="51"/>
      <c r="G157" s="51"/>
      <c r="H157" s="51"/>
      <c r="I157" s="136"/>
      <c r="J157" s="157"/>
      <c r="K157" s="51"/>
      <c r="L157" s="51"/>
      <c r="M157" s="136"/>
    </row>
    <row r="158" spans="1:13" s="15" customFormat="1" ht="12.75" hidden="1" outlineLevel="2">
      <c r="A158" s="15" t="s">
        <v>601</v>
      </c>
      <c r="B158" s="15" t="s">
        <v>602</v>
      </c>
      <c r="C158" s="134" t="s">
        <v>603</v>
      </c>
      <c r="D158" s="16"/>
      <c r="E158" s="16"/>
      <c r="F158" s="16">
        <v>444739.175</v>
      </c>
      <c r="G158" s="16">
        <v>485359.575</v>
      </c>
      <c r="H158" s="16">
        <f aca="true" t="shared" si="33" ref="H158:H169">+F158-G158</f>
        <v>-40620.40000000002</v>
      </c>
      <c r="I158" s="53">
        <f aca="true" t="shared" si="34" ref="I158:I169">IF(G158&lt;0,IF(H158=0,0,IF(OR(G158=0,F158=0),"N.M.",IF(ABS(H158/G158)&gt;=10,"N.M.",H158/(-G158)))),IF(H158=0,0,IF(OR(G158=0,F158=0),"N.M.",IF(ABS(H158/G158)&gt;=10,"N.M.",H158/G158))))</f>
        <v>-0.08369135398225125</v>
      </c>
      <c r="J158" s="174"/>
      <c r="K158" s="257">
        <v>367942.235</v>
      </c>
      <c r="L158" s="16">
        <f aca="true" t="shared" si="35" ref="L158:L169">+F158-K158</f>
        <v>76796.94</v>
      </c>
      <c r="M158" s="53">
        <f aca="true" t="shared" si="36" ref="M158:M169">IF(K158&lt;0,IF(L158=0,0,IF(OR(K158=0,F158=0),"N.M.",IF(ABS(L158/K158)&gt;=10,"N.M.",L158/(-K158)))),IF(L158=0,0,IF(OR(K158=0,F158=0),"N.M.",IF(ABS(L158/K158)&gt;=10,"N.M.",L158/K158))))</f>
        <v>0.20872009977327013</v>
      </c>
    </row>
    <row r="159" spans="1:13" s="15" customFormat="1" ht="12.75" hidden="1" outlineLevel="2">
      <c r="A159" s="15" t="s">
        <v>604</v>
      </c>
      <c r="B159" s="15" t="s">
        <v>605</v>
      </c>
      <c r="C159" s="134" t="s">
        <v>606</v>
      </c>
      <c r="D159" s="16"/>
      <c r="E159" s="16"/>
      <c r="F159" s="16">
        <v>0</v>
      </c>
      <c r="G159" s="16">
        <v>562316.09</v>
      </c>
      <c r="H159" s="16">
        <f t="shared" si="33"/>
        <v>-562316.09</v>
      </c>
      <c r="I159" s="53" t="str">
        <f t="shared" si="34"/>
        <v>N.M.</v>
      </c>
      <c r="J159" s="174"/>
      <c r="K159" s="257">
        <v>374877.41000000003</v>
      </c>
      <c r="L159" s="16">
        <f t="shared" si="35"/>
        <v>-374877.41000000003</v>
      </c>
      <c r="M159" s="53" t="str">
        <f t="shared" si="36"/>
        <v>N.M.</v>
      </c>
    </row>
    <row r="160" spans="1:13" s="15" customFormat="1" ht="12.75" hidden="1" outlineLevel="2">
      <c r="A160" s="15" t="s">
        <v>607</v>
      </c>
      <c r="B160" s="15" t="s">
        <v>608</v>
      </c>
      <c r="C160" s="134" t="s">
        <v>606</v>
      </c>
      <c r="D160" s="16"/>
      <c r="E160" s="16"/>
      <c r="F160" s="16">
        <v>599512.16</v>
      </c>
      <c r="G160" s="16">
        <v>0</v>
      </c>
      <c r="H160" s="16">
        <f t="shared" si="33"/>
        <v>599512.16</v>
      </c>
      <c r="I160" s="53" t="str">
        <f t="shared" si="34"/>
        <v>N.M.</v>
      </c>
      <c r="J160" s="174"/>
      <c r="K160" s="257">
        <v>0</v>
      </c>
      <c r="L160" s="16">
        <f t="shared" si="35"/>
        <v>599512.16</v>
      </c>
      <c r="M160" s="53" t="str">
        <f t="shared" si="36"/>
        <v>N.M.</v>
      </c>
    </row>
    <row r="161" spans="1:13" s="15" customFormat="1" ht="12.75" hidden="1" outlineLevel="2">
      <c r="A161" s="15" t="s">
        <v>609</v>
      </c>
      <c r="B161" s="15" t="s">
        <v>610</v>
      </c>
      <c r="C161" s="134" t="s">
        <v>611</v>
      </c>
      <c r="D161" s="16"/>
      <c r="E161" s="16"/>
      <c r="F161" s="16">
        <v>15927.140000000001</v>
      </c>
      <c r="G161" s="16">
        <v>15886.550000000001</v>
      </c>
      <c r="H161" s="16">
        <f t="shared" si="33"/>
        <v>40.590000000000146</v>
      </c>
      <c r="I161" s="53">
        <f t="shared" si="34"/>
        <v>0.002554991486509037</v>
      </c>
      <c r="J161" s="174"/>
      <c r="K161" s="257">
        <v>19411.28</v>
      </c>
      <c r="L161" s="16">
        <f t="shared" si="35"/>
        <v>-3484.1399999999976</v>
      </c>
      <c r="M161" s="53">
        <f t="shared" si="36"/>
        <v>-0.17949048182293995</v>
      </c>
    </row>
    <row r="162" spans="1:13" s="15" customFormat="1" ht="12.75" hidden="1" outlineLevel="2">
      <c r="A162" s="15" t="s">
        <v>612</v>
      </c>
      <c r="B162" s="15" t="s">
        <v>613</v>
      </c>
      <c r="C162" s="134" t="s">
        <v>614</v>
      </c>
      <c r="D162" s="16"/>
      <c r="E162" s="16"/>
      <c r="F162" s="16">
        <v>17881161.76</v>
      </c>
      <c r="G162" s="16">
        <v>15390035.22</v>
      </c>
      <c r="H162" s="16">
        <f t="shared" si="33"/>
        <v>2491126.540000001</v>
      </c>
      <c r="I162" s="53">
        <f t="shared" si="34"/>
        <v>0.16186620136922603</v>
      </c>
      <c r="J162" s="174"/>
      <c r="K162" s="257">
        <v>14836181.16</v>
      </c>
      <c r="L162" s="16">
        <f t="shared" si="35"/>
        <v>3044980.6000000015</v>
      </c>
      <c r="M162" s="53">
        <f t="shared" si="36"/>
        <v>0.20524018729358798</v>
      </c>
    </row>
    <row r="163" spans="1:13" s="15" customFormat="1" ht="12.75" hidden="1" outlineLevel="2">
      <c r="A163" s="15" t="s">
        <v>615</v>
      </c>
      <c r="B163" s="15" t="s">
        <v>616</v>
      </c>
      <c r="C163" s="134" t="s">
        <v>617</v>
      </c>
      <c r="D163" s="16"/>
      <c r="E163" s="16"/>
      <c r="F163" s="16">
        <v>401246.88</v>
      </c>
      <c r="G163" s="16">
        <v>0</v>
      </c>
      <c r="H163" s="16">
        <f t="shared" si="33"/>
        <v>401246.88</v>
      </c>
      <c r="I163" s="53" t="str">
        <f t="shared" si="34"/>
        <v>N.M.</v>
      </c>
      <c r="J163" s="174"/>
      <c r="K163" s="257">
        <v>0</v>
      </c>
      <c r="L163" s="16">
        <f t="shared" si="35"/>
        <v>401246.88</v>
      </c>
      <c r="M163" s="53" t="str">
        <f t="shared" si="36"/>
        <v>N.M.</v>
      </c>
    </row>
    <row r="164" spans="1:13" s="15" customFormat="1" ht="12.75" hidden="1" outlineLevel="2">
      <c r="A164" s="15" t="s">
        <v>618</v>
      </c>
      <c r="B164" s="15" t="s">
        <v>619</v>
      </c>
      <c r="C164" s="134" t="s">
        <v>620</v>
      </c>
      <c r="D164" s="16"/>
      <c r="E164" s="16"/>
      <c r="F164" s="16">
        <v>0</v>
      </c>
      <c r="G164" s="16">
        <v>398943.86</v>
      </c>
      <c r="H164" s="16">
        <f t="shared" si="33"/>
        <v>-398943.86</v>
      </c>
      <c r="I164" s="53" t="str">
        <f t="shared" si="34"/>
        <v>N.M.</v>
      </c>
      <c r="J164" s="174"/>
      <c r="K164" s="257">
        <v>340189.38</v>
      </c>
      <c r="L164" s="16">
        <f t="shared" si="35"/>
        <v>-340189.38</v>
      </c>
      <c r="M164" s="53" t="str">
        <f t="shared" si="36"/>
        <v>N.M.</v>
      </c>
    </row>
    <row r="165" spans="1:13" s="15" customFormat="1" ht="12.75" hidden="1" outlineLevel="2">
      <c r="A165" s="15" t="s">
        <v>621</v>
      </c>
      <c r="B165" s="15" t="s">
        <v>622</v>
      </c>
      <c r="C165" s="134" t="s">
        <v>623</v>
      </c>
      <c r="D165" s="16"/>
      <c r="E165" s="16"/>
      <c r="F165" s="16">
        <v>18239.52</v>
      </c>
      <c r="G165" s="16">
        <v>0</v>
      </c>
      <c r="H165" s="16">
        <f t="shared" si="33"/>
        <v>18239.52</v>
      </c>
      <c r="I165" s="53" t="str">
        <f t="shared" si="34"/>
        <v>N.M.</v>
      </c>
      <c r="J165" s="174"/>
      <c r="K165" s="257">
        <v>0</v>
      </c>
      <c r="L165" s="16">
        <f t="shared" si="35"/>
        <v>18239.52</v>
      </c>
      <c r="M165" s="53" t="str">
        <f t="shared" si="36"/>
        <v>N.M.</v>
      </c>
    </row>
    <row r="166" spans="1:13" s="15" customFormat="1" ht="12.75" hidden="1" outlineLevel="2">
      <c r="A166" s="15" t="s">
        <v>624</v>
      </c>
      <c r="B166" s="15" t="s">
        <v>625</v>
      </c>
      <c r="C166" s="134" t="s">
        <v>626</v>
      </c>
      <c r="D166" s="16"/>
      <c r="E166" s="16"/>
      <c r="F166" s="16">
        <v>-17881161.76</v>
      </c>
      <c r="G166" s="16">
        <v>-15390035.22</v>
      </c>
      <c r="H166" s="16">
        <f t="shared" si="33"/>
        <v>-2491126.540000001</v>
      </c>
      <c r="I166" s="53">
        <f t="shared" si="34"/>
        <v>-0.16186620136922603</v>
      </c>
      <c r="J166" s="174"/>
      <c r="K166" s="257">
        <v>-14836181.16</v>
      </c>
      <c r="L166" s="16">
        <f t="shared" si="35"/>
        <v>-3044980.6000000015</v>
      </c>
      <c r="M166" s="53">
        <f t="shared" si="36"/>
        <v>-0.20524018729358798</v>
      </c>
    </row>
    <row r="167" spans="1:13" s="15" customFormat="1" ht="12.75" hidden="1" outlineLevel="2">
      <c r="A167" s="15" t="s">
        <v>627</v>
      </c>
      <c r="B167" s="15" t="s">
        <v>628</v>
      </c>
      <c r="C167" s="134" t="s">
        <v>629</v>
      </c>
      <c r="D167" s="16"/>
      <c r="E167" s="16"/>
      <c r="F167" s="16">
        <v>0</v>
      </c>
      <c r="G167" s="16">
        <v>122026.11</v>
      </c>
      <c r="H167" s="16">
        <f t="shared" si="33"/>
        <v>-122026.11</v>
      </c>
      <c r="I167" s="53" t="str">
        <f t="shared" si="34"/>
        <v>N.M.</v>
      </c>
      <c r="J167" s="174"/>
      <c r="K167" s="257">
        <v>0</v>
      </c>
      <c r="L167" s="16">
        <f t="shared" si="35"/>
        <v>0</v>
      </c>
      <c r="M167" s="53">
        <f t="shared" si="36"/>
        <v>0</v>
      </c>
    </row>
    <row r="168" spans="1:13" s="15" customFormat="1" ht="12.75" hidden="1" outlineLevel="2">
      <c r="A168" s="15" t="s">
        <v>630</v>
      </c>
      <c r="B168" s="15" t="s">
        <v>631</v>
      </c>
      <c r="C168" s="134" t="s">
        <v>632</v>
      </c>
      <c r="D168" s="16"/>
      <c r="E168" s="16"/>
      <c r="F168" s="16">
        <v>519366.84</v>
      </c>
      <c r="G168" s="16">
        <v>401930.95</v>
      </c>
      <c r="H168" s="16">
        <f t="shared" si="33"/>
        <v>117435.89000000001</v>
      </c>
      <c r="I168" s="53">
        <f t="shared" si="34"/>
        <v>0.292179266115237</v>
      </c>
      <c r="J168" s="174"/>
      <c r="K168" s="257">
        <v>179434.74</v>
      </c>
      <c r="L168" s="16">
        <f t="shared" si="35"/>
        <v>339932.10000000003</v>
      </c>
      <c r="M168" s="53">
        <f t="shared" si="36"/>
        <v>1.8944609053965806</v>
      </c>
    </row>
    <row r="169" spans="1:13" s="15" customFormat="1" ht="12.75" hidden="1" outlineLevel="2">
      <c r="A169" s="15" t="s">
        <v>633</v>
      </c>
      <c r="B169" s="15" t="s">
        <v>634</v>
      </c>
      <c r="C169" s="134" t="s">
        <v>635</v>
      </c>
      <c r="D169" s="16"/>
      <c r="E169" s="16"/>
      <c r="F169" s="16">
        <v>935.07</v>
      </c>
      <c r="G169" s="16">
        <v>0</v>
      </c>
      <c r="H169" s="16">
        <f t="shared" si="33"/>
        <v>935.07</v>
      </c>
      <c r="I169" s="53" t="str">
        <f t="shared" si="34"/>
        <v>N.M.</v>
      </c>
      <c r="J169" s="174"/>
      <c r="K169" s="257">
        <v>0</v>
      </c>
      <c r="L169" s="16">
        <f t="shared" si="35"/>
        <v>935.07</v>
      </c>
      <c r="M169" s="53" t="str">
        <f t="shared" si="36"/>
        <v>N.M.</v>
      </c>
    </row>
    <row r="170" spans="1:13" s="67" customFormat="1" ht="12.75" collapsed="1">
      <c r="A170" s="67" t="s">
        <v>133</v>
      </c>
      <c r="B170" s="87"/>
      <c r="C170" s="82" t="s">
        <v>109</v>
      </c>
      <c r="D170" s="66"/>
      <c r="E170" s="66"/>
      <c r="F170" s="51">
        <v>1999966.7850000001</v>
      </c>
      <c r="G170" s="51">
        <v>1986463.1350000012</v>
      </c>
      <c r="H170" s="51">
        <f>+F170-G170</f>
        <v>13503.649999998976</v>
      </c>
      <c r="I170" s="136">
        <f>IF(G170&lt;0,IF(H170=0,0,IF(OR(G170=0,F170=0),"N.M.",IF(ABS(H170/G170)&gt;=10,"N.M.",H170/(-G170)))),IF(H170=0,0,IF(OR(G170=0,F170=0),"N.M.",IF(ABS(H170/G170)&gt;=10,"N.M.",H170/G170))))</f>
        <v>0.00679783569202706</v>
      </c>
      <c r="J170" s="157"/>
      <c r="K170" s="51">
        <v>1281855.0450000016</v>
      </c>
      <c r="L170" s="51">
        <f>+F170-K170</f>
        <v>718111.7399999986</v>
      </c>
      <c r="M170" s="136">
        <f>IF(K170&lt;0,IF(L170=0,0,IF(OR(K170=0,F170=0),"N.M.",IF(ABS(L170/K170)&gt;=10,"N.M.",L170/(-K170)))),IF(L170=0,0,IF(OR(K170=0,F170=0),"N.M.",IF(ABS(L170/K170)&gt;=10,"N.M.",L170/K170))))</f>
        <v>0.5602129061324541</v>
      </c>
    </row>
    <row r="171" spans="2:13" s="67" customFormat="1" ht="0.75" customHeight="1" hidden="1" outlineLevel="1">
      <c r="B171" s="87"/>
      <c r="C171" s="82"/>
      <c r="D171" s="66"/>
      <c r="E171" s="66"/>
      <c r="F171" s="51"/>
      <c r="G171" s="51"/>
      <c r="H171" s="51"/>
      <c r="I171" s="136"/>
      <c r="J171" s="157"/>
      <c r="K171" s="51"/>
      <c r="L171" s="51"/>
      <c r="M171" s="136"/>
    </row>
    <row r="172" spans="1:13" s="15" customFormat="1" ht="12.75" hidden="1" outlineLevel="2">
      <c r="A172" s="15" t="s">
        <v>636</v>
      </c>
      <c r="B172" s="15" t="s">
        <v>637</v>
      </c>
      <c r="C172" s="134" t="s">
        <v>638</v>
      </c>
      <c r="D172" s="16"/>
      <c r="E172" s="16"/>
      <c r="F172" s="16">
        <v>51.410000000000004</v>
      </c>
      <c r="G172" s="16">
        <v>221.61</v>
      </c>
      <c r="H172" s="16">
        <f aca="true" t="shared" si="37" ref="H172:H182">+F172-G172</f>
        <v>-170.20000000000002</v>
      </c>
      <c r="I172" s="53">
        <f aca="true" t="shared" si="38" ref="I172:I182">IF(G172&lt;0,IF(H172=0,0,IF(OR(G172=0,F172=0),"N.M.",IF(ABS(H172/G172)&gt;=10,"N.M.",H172/(-G172)))),IF(H172=0,0,IF(OR(G172=0,F172=0),"N.M.",IF(ABS(H172/G172)&gt;=10,"N.M.",H172/G172))))</f>
        <v>-0.7680158837597582</v>
      </c>
      <c r="J172" s="174"/>
      <c r="K172" s="257">
        <v>156.35</v>
      </c>
      <c r="L172" s="16">
        <f aca="true" t="shared" si="39" ref="L172:L182">+F172-K172</f>
        <v>-104.94</v>
      </c>
      <c r="M172" s="53">
        <f aca="true" t="shared" si="40" ref="M172:M182">IF(K172&lt;0,IF(L172=0,0,IF(OR(K172=0,F172=0),"N.M.",IF(ABS(L172/K172)&gt;=10,"N.M.",L172/(-K172)))),IF(L172=0,0,IF(OR(K172=0,F172=0),"N.M.",IF(ABS(L172/K172)&gt;=10,"N.M.",L172/K172))))</f>
        <v>-0.6711864406779661</v>
      </c>
    </row>
    <row r="173" spans="1:13" s="15" customFormat="1" ht="12.75" hidden="1" outlineLevel="2">
      <c r="A173" s="15" t="s">
        <v>639</v>
      </c>
      <c r="B173" s="15" t="s">
        <v>640</v>
      </c>
      <c r="C173" s="134" t="s">
        <v>641</v>
      </c>
      <c r="D173" s="16"/>
      <c r="E173" s="16"/>
      <c r="F173" s="16">
        <v>34.5</v>
      </c>
      <c r="G173" s="16">
        <v>15709.95</v>
      </c>
      <c r="H173" s="16">
        <f t="shared" si="37"/>
        <v>-15675.45</v>
      </c>
      <c r="I173" s="53">
        <f t="shared" si="38"/>
        <v>-0.9978039395415008</v>
      </c>
      <c r="J173" s="174"/>
      <c r="K173" s="257">
        <v>5189.400000000001</v>
      </c>
      <c r="L173" s="16">
        <f t="shared" si="39"/>
        <v>-5154.900000000001</v>
      </c>
      <c r="M173" s="53">
        <f t="shared" si="40"/>
        <v>-0.9933518325818014</v>
      </c>
    </row>
    <row r="174" spans="1:13" s="15" customFormat="1" ht="12.75" hidden="1" outlineLevel="2">
      <c r="A174" s="15" t="s">
        <v>642</v>
      </c>
      <c r="B174" s="15" t="s">
        <v>643</v>
      </c>
      <c r="C174" s="134" t="s">
        <v>644</v>
      </c>
      <c r="D174" s="16"/>
      <c r="E174" s="16"/>
      <c r="F174" s="16">
        <v>372.78000000000003</v>
      </c>
      <c r="G174" s="16">
        <v>541.7</v>
      </c>
      <c r="H174" s="16">
        <f t="shared" si="37"/>
        <v>-168.92000000000002</v>
      </c>
      <c r="I174" s="53">
        <f t="shared" si="38"/>
        <v>-0.31183311796197155</v>
      </c>
      <c r="J174" s="174"/>
      <c r="K174" s="257">
        <v>372.99</v>
      </c>
      <c r="L174" s="16">
        <f t="shared" si="39"/>
        <v>-0.20999999999997954</v>
      </c>
      <c r="M174" s="53">
        <f t="shared" si="40"/>
        <v>-0.0005630177752754216</v>
      </c>
    </row>
    <row r="175" spans="1:13" s="15" customFormat="1" ht="12.75" hidden="1" outlineLevel="2">
      <c r="A175" s="15" t="s">
        <v>645</v>
      </c>
      <c r="B175" s="15" t="s">
        <v>646</v>
      </c>
      <c r="C175" s="134" t="s">
        <v>647</v>
      </c>
      <c r="D175" s="16"/>
      <c r="E175" s="16"/>
      <c r="F175" s="16">
        <v>4011023.132</v>
      </c>
      <c r="G175" s="16">
        <v>679690.952</v>
      </c>
      <c r="H175" s="16">
        <f t="shared" si="37"/>
        <v>3331332.18</v>
      </c>
      <c r="I175" s="53">
        <f t="shared" si="38"/>
        <v>4.901245441325221</v>
      </c>
      <c r="J175" s="174"/>
      <c r="K175" s="257">
        <v>618024.642</v>
      </c>
      <c r="L175" s="16">
        <f t="shared" si="39"/>
        <v>3392998.49</v>
      </c>
      <c r="M175" s="53">
        <f t="shared" si="40"/>
        <v>5.4900699088953155</v>
      </c>
    </row>
    <row r="176" spans="1:13" s="15" customFormat="1" ht="12.75" hidden="1" outlineLevel="2">
      <c r="A176" s="15" t="s">
        <v>648</v>
      </c>
      <c r="B176" s="15" t="s">
        <v>649</v>
      </c>
      <c r="C176" s="134" t="s">
        <v>650</v>
      </c>
      <c r="D176" s="16"/>
      <c r="E176" s="16"/>
      <c r="F176" s="16">
        <v>8553420.475</v>
      </c>
      <c r="G176" s="16">
        <v>12724888.375</v>
      </c>
      <c r="H176" s="16">
        <f t="shared" si="37"/>
        <v>-4171467.9000000004</v>
      </c>
      <c r="I176" s="53">
        <f t="shared" si="38"/>
        <v>-0.3278196065118725</v>
      </c>
      <c r="J176" s="174"/>
      <c r="K176" s="257">
        <v>10898806.895</v>
      </c>
      <c r="L176" s="16">
        <f t="shared" si="39"/>
        <v>-2345386.42</v>
      </c>
      <c r="M176" s="53">
        <f t="shared" si="40"/>
        <v>-0.21519662129952805</v>
      </c>
    </row>
    <row r="177" spans="1:13" s="15" customFormat="1" ht="12.75" hidden="1" outlineLevel="2">
      <c r="A177" s="15" t="s">
        <v>651</v>
      </c>
      <c r="B177" s="15" t="s">
        <v>652</v>
      </c>
      <c r="C177" s="134" t="s">
        <v>653</v>
      </c>
      <c r="D177" s="16"/>
      <c r="E177" s="16"/>
      <c r="F177" s="16">
        <v>-9716247</v>
      </c>
      <c r="G177" s="16">
        <v>-6611833</v>
      </c>
      <c r="H177" s="16">
        <f t="shared" si="37"/>
        <v>-3104414</v>
      </c>
      <c r="I177" s="53">
        <f t="shared" si="38"/>
        <v>-0.4695239580310029</v>
      </c>
      <c r="J177" s="174"/>
      <c r="K177" s="257">
        <v>-6406127</v>
      </c>
      <c r="L177" s="16">
        <f t="shared" si="39"/>
        <v>-3310120</v>
      </c>
      <c r="M177" s="53">
        <f t="shared" si="40"/>
        <v>-0.5167115793989098</v>
      </c>
    </row>
    <row r="178" spans="1:13" s="15" customFormat="1" ht="12.75" hidden="1" outlineLevel="2">
      <c r="A178" s="15" t="s">
        <v>654</v>
      </c>
      <c r="B178" s="15" t="s">
        <v>655</v>
      </c>
      <c r="C178" s="134" t="s">
        <v>656</v>
      </c>
      <c r="D178" s="16"/>
      <c r="E178" s="16"/>
      <c r="F178" s="16">
        <v>0</v>
      </c>
      <c r="G178" s="16">
        <v>244612.9</v>
      </c>
      <c r="H178" s="16">
        <f t="shared" si="37"/>
        <v>-244612.9</v>
      </c>
      <c r="I178" s="53" t="str">
        <f t="shared" si="38"/>
        <v>N.M.</v>
      </c>
      <c r="J178" s="174"/>
      <c r="K178" s="257">
        <v>0</v>
      </c>
      <c r="L178" s="16">
        <f t="shared" si="39"/>
        <v>0</v>
      </c>
      <c r="M178" s="53">
        <f t="shared" si="40"/>
        <v>0</v>
      </c>
    </row>
    <row r="179" spans="1:13" s="15" customFormat="1" ht="12.75" hidden="1" outlineLevel="2">
      <c r="A179" s="15" t="s">
        <v>657</v>
      </c>
      <c r="B179" s="15" t="s">
        <v>658</v>
      </c>
      <c r="C179" s="134" t="s">
        <v>659</v>
      </c>
      <c r="D179" s="16"/>
      <c r="E179" s="16"/>
      <c r="F179" s="16">
        <v>0.02</v>
      </c>
      <c r="G179" s="16">
        <v>1234</v>
      </c>
      <c r="H179" s="16">
        <f t="shared" si="37"/>
        <v>-1233.98</v>
      </c>
      <c r="I179" s="53">
        <f t="shared" si="38"/>
        <v>-0.9999837925445705</v>
      </c>
      <c r="J179" s="174"/>
      <c r="K179" s="257">
        <v>0</v>
      </c>
      <c r="L179" s="16">
        <f t="shared" si="39"/>
        <v>0.02</v>
      </c>
      <c r="M179" s="53" t="str">
        <f t="shared" si="40"/>
        <v>N.M.</v>
      </c>
    </row>
    <row r="180" spans="1:13" s="15" customFormat="1" ht="12.75" hidden="1" outlineLevel="2">
      <c r="A180" s="15" t="s">
        <v>660</v>
      </c>
      <c r="B180" s="15" t="s">
        <v>661</v>
      </c>
      <c r="C180" s="134" t="s">
        <v>662</v>
      </c>
      <c r="D180" s="16"/>
      <c r="E180" s="16"/>
      <c r="F180" s="16">
        <v>942</v>
      </c>
      <c r="G180" s="16">
        <v>0</v>
      </c>
      <c r="H180" s="16">
        <f t="shared" si="37"/>
        <v>942</v>
      </c>
      <c r="I180" s="53" t="str">
        <f t="shared" si="38"/>
        <v>N.M.</v>
      </c>
      <c r="J180" s="174"/>
      <c r="K180" s="257">
        <v>0</v>
      </c>
      <c r="L180" s="16">
        <f t="shared" si="39"/>
        <v>942</v>
      </c>
      <c r="M180" s="53" t="str">
        <f t="shared" si="40"/>
        <v>N.M.</v>
      </c>
    </row>
    <row r="181" spans="1:13" s="15" customFormat="1" ht="12.75" hidden="1" outlineLevel="2">
      <c r="A181" s="15" t="s">
        <v>663</v>
      </c>
      <c r="B181" s="15" t="s">
        <v>664</v>
      </c>
      <c r="C181" s="134" t="s">
        <v>665</v>
      </c>
      <c r="D181" s="16"/>
      <c r="E181" s="16"/>
      <c r="F181" s="16">
        <v>1162070.007</v>
      </c>
      <c r="G181" s="16">
        <v>1093577.957</v>
      </c>
      <c r="H181" s="16">
        <f t="shared" si="37"/>
        <v>68492.05000000005</v>
      </c>
      <c r="I181" s="53">
        <f t="shared" si="38"/>
        <v>0.06263115451585502</v>
      </c>
      <c r="J181" s="174"/>
      <c r="K181" s="257">
        <v>1102111.917</v>
      </c>
      <c r="L181" s="16">
        <f t="shared" si="39"/>
        <v>59958.090000000084</v>
      </c>
      <c r="M181" s="53">
        <f t="shared" si="40"/>
        <v>0.05440290507266159</v>
      </c>
    </row>
    <row r="182" spans="1:13" s="15" customFormat="1" ht="12.75" hidden="1" outlineLevel="2">
      <c r="A182" s="15" t="s">
        <v>666</v>
      </c>
      <c r="B182" s="15" t="s">
        <v>667</v>
      </c>
      <c r="C182" s="134" t="s">
        <v>668</v>
      </c>
      <c r="D182" s="16"/>
      <c r="E182" s="16"/>
      <c r="F182" s="16">
        <v>0</v>
      </c>
      <c r="G182" s="16">
        <v>43420.63</v>
      </c>
      <c r="H182" s="16">
        <f t="shared" si="37"/>
        <v>-43420.63</v>
      </c>
      <c r="I182" s="53" t="str">
        <f t="shared" si="38"/>
        <v>N.M.</v>
      </c>
      <c r="J182" s="174"/>
      <c r="K182" s="257">
        <v>24847.27</v>
      </c>
      <c r="L182" s="16">
        <f t="shared" si="39"/>
        <v>-24847.27</v>
      </c>
      <c r="M182" s="53" t="str">
        <f t="shared" si="40"/>
        <v>N.M.</v>
      </c>
    </row>
    <row r="183" spans="1:13" s="67" customFormat="1" ht="12" customHeight="1" collapsed="1">
      <c r="A183" s="67" t="s">
        <v>134</v>
      </c>
      <c r="B183" s="87"/>
      <c r="C183" s="96" t="s">
        <v>110</v>
      </c>
      <c r="D183" s="51"/>
      <c r="E183" s="51"/>
      <c r="F183" s="197">
        <v>4011667.324</v>
      </c>
      <c r="G183" s="197">
        <v>8192065.074</v>
      </c>
      <c r="H183" s="197">
        <f>+F183-G183</f>
        <v>-4180397.75</v>
      </c>
      <c r="I183" s="138">
        <f>IF(G183&lt;0,IF(H183=0,0,IF(OR(G183=0,F183=0),"N.M.",IF(ABS(H183/G183)&gt;=10,"N.M.",H183/(-G183)))),IF(H183=0,0,IF(OR(G183=0,F183=0),"N.M.",IF(ABS(H183/G183)&gt;=10,"N.M.",H183/G183))))</f>
        <v>-0.5102984061085841</v>
      </c>
      <c r="J183" s="157"/>
      <c r="K183" s="197">
        <v>6243382.463999998</v>
      </c>
      <c r="L183" s="197">
        <f>+F183-K183</f>
        <v>-2231715.139999998</v>
      </c>
      <c r="M183" s="138">
        <f>IF(K183&lt;0,IF(L183=0,0,IF(OR(K183=0,F183=0),"N.M.",IF(ABS(L183/K183)&gt;=10,"N.M.",L183/(-K183)))),IF(L183=0,0,IF(OR(K183=0,F183=0),"N.M.",IF(ABS(L183/K183)&gt;=10,"N.M.",L183/K183))))</f>
        <v>-0.3574528955847736</v>
      </c>
    </row>
    <row r="184" spans="1:13" s="75" customFormat="1" ht="12" customHeight="1">
      <c r="A184" s="75" t="s">
        <v>113</v>
      </c>
      <c r="B184" s="93"/>
      <c r="C184" s="75" t="s">
        <v>146</v>
      </c>
      <c r="D184" s="74"/>
      <c r="E184" s="74"/>
      <c r="F184" s="74">
        <f>+F183+F170+F156+F149+F145+F132+F126+F116+F112+F94+F79+F76</f>
        <v>111660666.121</v>
      </c>
      <c r="G184" s="74">
        <f>+G183+G170+G156+G149+G145+G132+G126+G116+G112+G94+G79+G76</f>
        <v>115212907.25999999</v>
      </c>
      <c r="H184" s="74">
        <f>+F184-G184</f>
        <v>-3552241.1389999837</v>
      </c>
      <c r="I184" s="137">
        <f>IF(G184&lt;0,IF(H184=0,0,IF(OR(G184=0,F184=0),"N.M.",IF(ABS(H184/G184)&gt;=10,"N.M.",H184/(-G184)))),IF(H184=0,0,IF(OR(G184=0,F184=0),"N.M.",IF(ABS(H184/G184)&gt;=10,"N.M.",H184/G184))))</f>
        <v>-0.030831972072223393</v>
      </c>
      <c r="J184" s="163" t="s">
        <v>72</v>
      </c>
      <c r="K184" s="74">
        <f>+K183+K170+K156+K149+K145+K132+K126+K116+K112+K94+K79+K76</f>
        <v>107041160.77200003</v>
      </c>
      <c r="L184" s="74">
        <f>+F184-K184</f>
        <v>4619505.348999977</v>
      </c>
      <c r="M184" s="137">
        <f>IF(K184&lt;0,IF(L184=0,0,IF(OR(K184=0,F184=0),"N.M.",IF(ABS(L184/K184)&gt;=10,"N.M.",L184/(-K184)))),IF(L184=0,0,IF(OR(K184=0,F184=0),"N.M.",IF(ABS(L184/K184)&gt;=10,"N.M.",L184/K184))))</f>
        <v>0.04315634579897375</v>
      </c>
    </row>
    <row r="185" spans="2:13" s="67" customFormat="1" ht="6" customHeight="1">
      <c r="B185" s="87"/>
      <c r="D185" s="51"/>
      <c r="E185" s="51"/>
      <c r="F185" s="51"/>
      <c r="G185" s="51"/>
      <c r="H185" s="51"/>
      <c r="I185" s="136"/>
      <c r="J185" s="162"/>
      <c r="K185" s="51"/>
      <c r="L185" s="51"/>
      <c r="M185" s="136"/>
    </row>
    <row r="186" spans="2:13" s="67" customFormat="1" ht="0.75" customHeight="1" hidden="1" outlineLevel="1">
      <c r="B186" s="87"/>
      <c r="D186" s="51"/>
      <c r="E186" s="51"/>
      <c r="F186" s="51"/>
      <c r="G186" s="51"/>
      <c r="H186" s="51"/>
      <c r="I186" s="136"/>
      <c r="J186" s="162"/>
      <c r="K186" s="51"/>
      <c r="L186" s="51"/>
      <c r="M186" s="136"/>
    </row>
    <row r="187" spans="1:13" s="15" customFormat="1" ht="12.75" hidden="1" outlineLevel="2">
      <c r="A187" s="15" t="s">
        <v>669</v>
      </c>
      <c r="B187" s="15" t="s">
        <v>670</v>
      </c>
      <c r="C187" s="134" t="s">
        <v>671</v>
      </c>
      <c r="D187" s="16"/>
      <c r="E187" s="16"/>
      <c r="F187" s="16">
        <v>6456335.62</v>
      </c>
      <c r="G187" s="16">
        <v>6519109.2</v>
      </c>
      <c r="H187" s="16">
        <f aca="true" t="shared" si="41" ref="H187:H206">+F187-G187</f>
        <v>-62773.580000000075</v>
      </c>
      <c r="I187" s="53">
        <f aca="true" t="shared" si="42" ref="I187:I206">IF(G187&lt;0,IF(H187=0,0,IF(OR(G187=0,F187=0),"N.M.",IF(ABS(H187/G187)&gt;=10,"N.M.",H187/(-G187)))),IF(H187=0,0,IF(OR(G187=0,F187=0),"N.M.",IF(ABS(H187/G187)&gt;=10,"N.M.",H187/G187))))</f>
        <v>-0.009629165285342984</v>
      </c>
      <c r="J187" s="174"/>
      <c r="K187" s="257">
        <v>7076806.39</v>
      </c>
      <c r="L187" s="16">
        <f aca="true" t="shared" si="43" ref="L187:L206">+F187-K187</f>
        <v>-620470.7699999996</v>
      </c>
      <c r="M187" s="53">
        <f aca="true" t="shared" si="44" ref="M187:M206">IF(K187&lt;0,IF(L187=0,0,IF(OR(K187=0,F187=0),"N.M.",IF(ABS(L187/K187)&gt;=10,"N.M.",L187/(-K187)))),IF(L187=0,0,IF(OR(K187=0,F187=0),"N.M.",IF(ABS(L187/K187)&gt;=10,"N.M.",L187/K187))))</f>
        <v>-0.08767666314522413</v>
      </c>
    </row>
    <row r="188" spans="1:13" s="15" customFormat="1" ht="12.75" hidden="1" outlineLevel="2">
      <c r="A188" s="15" t="s">
        <v>672</v>
      </c>
      <c r="B188" s="15" t="s">
        <v>673</v>
      </c>
      <c r="C188" s="134" t="s">
        <v>674</v>
      </c>
      <c r="D188" s="16"/>
      <c r="E188" s="16"/>
      <c r="F188" s="16">
        <v>1183873</v>
      </c>
      <c r="G188" s="16">
        <v>953738</v>
      </c>
      <c r="H188" s="16">
        <f t="shared" si="41"/>
        <v>230135</v>
      </c>
      <c r="I188" s="53">
        <f t="shared" si="42"/>
        <v>0.24129792458725563</v>
      </c>
      <c r="J188" s="174"/>
      <c r="K188" s="257">
        <v>991571</v>
      </c>
      <c r="L188" s="16">
        <f t="shared" si="43"/>
        <v>192302</v>
      </c>
      <c r="M188" s="53">
        <f t="shared" si="44"/>
        <v>0.19393669238007163</v>
      </c>
    </row>
    <row r="189" spans="1:13" s="15" customFormat="1" ht="12.75" hidden="1" outlineLevel="2">
      <c r="A189" s="15" t="s">
        <v>675</v>
      </c>
      <c r="B189" s="15" t="s">
        <v>676</v>
      </c>
      <c r="C189" s="134" t="s">
        <v>677</v>
      </c>
      <c r="D189" s="16"/>
      <c r="E189" s="16"/>
      <c r="F189" s="16">
        <v>-16017598</v>
      </c>
      <c r="G189" s="16">
        <v>-14476392</v>
      </c>
      <c r="H189" s="16">
        <f t="shared" si="41"/>
        <v>-1541206</v>
      </c>
      <c r="I189" s="53">
        <f t="shared" si="42"/>
        <v>-0.10646340607521543</v>
      </c>
      <c r="J189" s="174"/>
      <c r="K189" s="257">
        <v>-14670635</v>
      </c>
      <c r="L189" s="16">
        <f t="shared" si="43"/>
        <v>-1346963</v>
      </c>
      <c r="M189" s="53">
        <f t="shared" si="44"/>
        <v>-0.09181354453982395</v>
      </c>
    </row>
    <row r="190" spans="1:13" s="15" customFormat="1" ht="12.75" hidden="1" outlineLevel="2">
      <c r="A190" s="15" t="s">
        <v>678</v>
      </c>
      <c r="B190" s="15" t="s">
        <v>679</v>
      </c>
      <c r="C190" s="134" t="s">
        <v>680</v>
      </c>
      <c r="D190" s="16"/>
      <c r="E190" s="16"/>
      <c r="F190" s="16">
        <v>3925747</v>
      </c>
      <c r="G190" s="16">
        <v>3586884</v>
      </c>
      <c r="H190" s="16">
        <f t="shared" si="41"/>
        <v>338863</v>
      </c>
      <c r="I190" s="53">
        <f t="shared" si="42"/>
        <v>0.09447280703808654</v>
      </c>
      <c r="J190" s="174"/>
      <c r="K190" s="257">
        <v>3650578</v>
      </c>
      <c r="L190" s="16">
        <f t="shared" si="43"/>
        <v>275169</v>
      </c>
      <c r="M190" s="53">
        <f t="shared" si="44"/>
        <v>0.07537683073748869</v>
      </c>
    </row>
    <row r="191" spans="1:13" s="15" customFormat="1" ht="12.75" hidden="1" outlineLevel="2">
      <c r="A191" s="15" t="s">
        <v>681</v>
      </c>
      <c r="B191" s="15" t="s">
        <v>682</v>
      </c>
      <c r="C191" s="134" t="s">
        <v>683</v>
      </c>
      <c r="D191" s="16"/>
      <c r="E191" s="16"/>
      <c r="F191" s="16">
        <v>11308965</v>
      </c>
      <c r="G191" s="16">
        <v>10006341</v>
      </c>
      <c r="H191" s="16">
        <f t="shared" si="41"/>
        <v>1302624</v>
      </c>
      <c r="I191" s="53">
        <f t="shared" si="42"/>
        <v>0.1301798529552411</v>
      </c>
      <c r="J191" s="174"/>
      <c r="K191" s="257">
        <v>10297990</v>
      </c>
      <c r="L191" s="16">
        <f t="shared" si="43"/>
        <v>1010975</v>
      </c>
      <c r="M191" s="53">
        <f t="shared" si="44"/>
        <v>0.09817207047200473</v>
      </c>
    </row>
    <row r="192" spans="1:13" s="15" customFormat="1" ht="12.75" hidden="1" outlineLevel="2">
      <c r="A192" s="15" t="s">
        <v>684</v>
      </c>
      <c r="B192" s="15" t="s">
        <v>685</v>
      </c>
      <c r="C192" s="134" t="s">
        <v>686</v>
      </c>
      <c r="D192" s="16"/>
      <c r="E192" s="16"/>
      <c r="F192" s="16">
        <v>740808</v>
      </c>
      <c r="G192" s="16">
        <v>774216</v>
      </c>
      <c r="H192" s="16">
        <f t="shared" si="41"/>
        <v>-33408</v>
      </c>
      <c r="I192" s="53">
        <f t="shared" si="42"/>
        <v>-0.04315074862828978</v>
      </c>
      <c r="J192" s="174"/>
      <c r="K192" s="257">
        <v>765864</v>
      </c>
      <c r="L192" s="16">
        <f t="shared" si="43"/>
        <v>-25056</v>
      </c>
      <c r="M192" s="53">
        <f t="shared" si="44"/>
        <v>-0.032715991350944815</v>
      </c>
    </row>
    <row r="193" spans="1:13" s="15" customFormat="1" ht="12.75" hidden="1" outlineLevel="2">
      <c r="A193" s="15" t="s">
        <v>687</v>
      </c>
      <c r="B193" s="15" t="s">
        <v>688</v>
      </c>
      <c r="C193" s="134" t="s">
        <v>689</v>
      </c>
      <c r="D193" s="16"/>
      <c r="E193" s="16"/>
      <c r="F193" s="16">
        <v>115447</v>
      </c>
      <c r="G193" s="16">
        <v>120655</v>
      </c>
      <c r="H193" s="16">
        <f t="shared" si="41"/>
        <v>-5208</v>
      </c>
      <c r="I193" s="53">
        <f t="shared" si="42"/>
        <v>-0.043164394347519786</v>
      </c>
      <c r="J193" s="174"/>
      <c r="K193" s="257">
        <v>119353</v>
      </c>
      <c r="L193" s="16">
        <f t="shared" si="43"/>
        <v>-3906</v>
      </c>
      <c r="M193" s="53">
        <f t="shared" si="44"/>
        <v>-0.03272645011017737</v>
      </c>
    </row>
    <row r="194" spans="1:13" s="15" customFormat="1" ht="12.75" hidden="1" outlineLevel="2">
      <c r="A194" s="15" t="s">
        <v>690</v>
      </c>
      <c r="B194" s="15" t="s">
        <v>691</v>
      </c>
      <c r="C194" s="134" t="s">
        <v>692</v>
      </c>
      <c r="D194" s="16"/>
      <c r="E194" s="16"/>
      <c r="F194" s="16">
        <v>22317609</v>
      </c>
      <c r="G194" s="16">
        <v>0</v>
      </c>
      <c r="H194" s="16">
        <f t="shared" si="41"/>
        <v>22317609</v>
      </c>
      <c r="I194" s="53" t="str">
        <f t="shared" si="42"/>
        <v>N.M.</v>
      </c>
      <c r="J194" s="174"/>
      <c r="K194" s="257">
        <v>24355055</v>
      </c>
      <c r="L194" s="16">
        <f t="shared" si="43"/>
        <v>-2037446</v>
      </c>
      <c r="M194" s="53">
        <f t="shared" si="44"/>
        <v>-0.08365598024722178</v>
      </c>
    </row>
    <row r="195" spans="1:13" s="15" customFormat="1" ht="12.75" hidden="1" outlineLevel="2">
      <c r="A195" s="15" t="s">
        <v>693</v>
      </c>
      <c r="B195" s="15" t="s">
        <v>694</v>
      </c>
      <c r="C195" s="134" t="s">
        <v>695</v>
      </c>
      <c r="D195" s="16"/>
      <c r="E195" s="16"/>
      <c r="F195" s="16">
        <v>-158147.65</v>
      </c>
      <c r="G195" s="16">
        <v>-180575.65</v>
      </c>
      <c r="H195" s="16">
        <f t="shared" si="41"/>
        <v>22428</v>
      </c>
      <c r="I195" s="53">
        <f t="shared" si="42"/>
        <v>0.12420279256920853</v>
      </c>
      <c r="J195" s="174"/>
      <c r="K195" s="257">
        <v>-174968.65</v>
      </c>
      <c r="L195" s="16">
        <f t="shared" si="43"/>
        <v>16821</v>
      </c>
      <c r="M195" s="53">
        <f t="shared" si="44"/>
        <v>0.09613722229668001</v>
      </c>
    </row>
    <row r="196" spans="1:13" s="15" customFormat="1" ht="12.75" hidden="1" outlineLevel="2">
      <c r="A196" s="15" t="s">
        <v>696</v>
      </c>
      <c r="B196" s="15" t="s">
        <v>697</v>
      </c>
      <c r="C196" s="134" t="s">
        <v>698</v>
      </c>
      <c r="D196" s="16"/>
      <c r="E196" s="16"/>
      <c r="F196" s="16">
        <v>320158.328</v>
      </c>
      <c r="G196" s="16">
        <v>341736.848</v>
      </c>
      <c r="H196" s="16">
        <f t="shared" si="41"/>
        <v>-21578.52000000002</v>
      </c>
      <c r="I196" s="53">
        <f t="shared" si="42"/>
        <v>-0.0631436736374417</v>
      </c>
      <c r="J196" s="174"/>
      <c r="K196" s="257">
        <v>336498.648</v>
      </c>
      <c r="L196" s="16">
        <f t="shared" si="43"/>
        <v>-16340.320000000007</v>
      </c>
      <c r="M196" s="53">
        <f t="shared" si="44"/>
        <v>-0.04855983849302125</v>
      </c>
    </row>
    <row r="197" spans="1:13" s="15" customFormat="1" ht="12.75" hidden="1" outlineLevel="2">
      <c r="A197" s="15" t="s">
        <v>699</v>
      </c>
      <c r="B197" s="15" t="s">
        <v>700</v>
      </c>
      <c r="C197" s="134" t="s">
        <v>701</v>
      </c>
      <c r="D197" s="16"/>
      <c r="E197" s="16"/>
      <c r="F197" s="16">
        <v>537625.181</v>
      </c>
      <c r="G197" s="16">
        <v>641584.531</v>
      </c>
      <c r="H197" s="16">
        <f t="shared" si="41"/>
        <v>-103959.34999999998</v>
      </c>
      <c r="I197" s="53">
        <f t="shared" si="42"/>
        <v>-0.16203531253779554</v>
      </c>
      <c r="J197" s="174"/>
      <c r="K197" s="257">
        <v>616302.141</v>
      </c>
      <c r="L197" s="16">
        <f t="shared" si="43"/>
        <v>-78676.95999999996</v>
      </c>
      <c r="M197" s="53">
        <f t="shared" si="44"/>
        <v>-0.12765972201936576</v>
      </c>
    </row>
    <row r="198" spans="1:13" s="15" customFormat="1" ht="12.75" hidden="1" outlineLevel="2">
      <c r="A198" s="15" t="s">
        <v>702</v>
      </c>
      <c r="B198" s="15" t="s">
        <v>703</v>
      </c>
      <c r="C198" s="134" t="s">
        <v>704</v>
      </c>
      <c r="D198" s="16"/>
      <c r="E198" s="16"/>
      <c r="F198" s="16">
        <v>338246.555</v>
      </c>
      <c r="G198" s="16">
        <v>361044.235</v>
      </c>
      <c r="H198" s="16">
        <f t="shared" si="41"/>
        <v>-22797.679999999993</v>
      </c>
      <c r="I198" s="53">
        <f t="shared" si="42"/>
        <v>-0.06314373085059784</v>
      </c>
      <c r="J198" s="174"/>
      <c r="K198" s="257">
        <v>355510.075</v>
      </c>
      <c r="L198" s="16">
        <f t="shared" si="43"/>
        <v>-17263.52000000002</v>
      </c>
      <c r="M198" s="53">
        <f t="shared" si="44"/>
        <v>-0.048559861489157564</v>
      </c>
    </row>
    <row r="199" spans="1:13" s="15" customFormat="1" ht="12.75" hidden="1" outlineLevel="2">
      <c r="A199" s="15" t="s">
        <v>705</v>
      </c>
      <c r="B199" s="15" t="s">
        <v>706</v>
      </c>
      <c r="C199" s="134" t="s">
        <v>707</v>
      </c>
      <c r="D199" s="16"/>
      <c r="E199" s="16"/>
      <c r="F199" s="16">
        <v>210198.84</v>
      </c>
      <c r="G199" s="16">
        <v>234472.24</v>
      </c>
      <c r="H199" s="16">
        <f t="shared" si="41"/>
        <v>-24273.399999999994</v>
      </c>
      <c r="I199" s="53">
        <f t="shared" si="42"/>
        <v>-0.10352355570962257</v>
      </c>
      <c r="J199" s="174"/>
      <c r="K199" s="257">
        <v>228575.41</v>
      </c>
      <c r="L199" s="16">
        <f t="shared" si="43"/>
        <v>-18376.570000000007</v>
      </c>
      <c r="M199" s="53">
        <f t="shared" si="44"/>
        <v>-0.08039609335054898</v>
      </c>
    </row>
    <row r="200" spans="1:13" s="15" customFormat="1" ht="12.75" hidden="1" outlineLevel="2">
      <c r="A200" s="15" t="s">
        <v>708</v>
      </c>
      <c r="B200" s="15" t="s">
        <v>709</v>
      </c>
      <c r="C200" s="134" t="s">
        <v>710</v>
      </c>
      <c r="D200" s="16"/>
      <c r="E200" s="16"/>
      <c r="F200" s="16">
        <v>167567.255</v>
      </c>
      <c r="G200" s="16">
        <v>178861.215</v>
      </c>
      <c r="H200" s="16">
        <f t="shared" si="41"/>
        <v>-11293.959999999992</v>
      </c>
      <c r="I200" s="53">
        <f t="shared" si="42"/>
        <v>-0.06314370614109935</v>
      </c>
      <c r="J200" s="174"/>
      <c r="K200" s="257">
        <v>176119.595</v>
      </c>
      <c r="L200" s="16">
        <f t="shared" si="43"/>
        <v>-8552.339999999997</v>
      </c>
      <c r="M200" s="53">
        <f t="shared" si="44"/>
        <v>-0.04855984366759415</v>
      </c>
    </row>
    <row r="201" spans="1:13" s="15" customFormat="1" ht="12.75" hidden="1" outlineLevel="2">
      <c r="A201" s="15" t="s">
        <v>711</v>
      </c>
      <c r="B201" s="15" t="s">
        <v>712</v>
      </c>
      <c r="C201" s="134" t="s">
        <v>713</v>
      </c>
      <c r="D201" s="16"/>
      <c r="E201" s="16"/>
      <c r="F201" s="16">
        <v>40052819</v>
      </c>
      <c r="G201" s="16">
        <v>39749073</v>
      </c>
      <c r="H201" s="16">
        <f t="shared" si="41"/>
        <v>303746</v>
      </c>
      <c r="I201" s="53">
        <f t="shared" si="42"/>
        <v>0.007641587012607816</v>
      </c>
      <c r="J201" s="174"/>
      <c r="K201" s="257">
        <v>41703110</v>
      </c>
      <c r="L201" s="16">
        <f t="shared" si="43"/>
        <v>-1650291</v>
      </c>
      <c r="M201" s="53">
        <f t="shared" si="44"/>
        <v>-0.03957237242018641</v>
      </c>
    </row>
    <row r="202" spans="1:13" s="15" customFormat="1" ht="12.75" hidden="1" outlineLevel="2">
      <c r="A202" s="15" t="s">
        <v>714</v>
      </c>
      <c r="B202" s="15" t="s">
        <v>715</v>
      </c>
      <c r="C202" s="134" t="s">
        <v>716</v>
      </c>
      <c r="D202" s="16"/>
      <c r="E202" s="16"/>
      <c r="F202" s="16">
        <v>14351208</v>
      </c>
      <c r="G202" s="16">
        <v>19517241</v>
      </c>
      <c r="H202" s="16">
        <f t="shared" si="41"/>
        <v>-5166033</v>
      </c>
      <c r="I202" s="53">
        <f t="shared" si="42"/>
        <v>-0.26469074189328295</v>
      </c>
      <c r="J202" s="174"/>
      <c r="K202" s="257">
        <v>15266079</v>
      </c>
      <c r="L202" s="16">
        <f t="shared" si="43"/>
        <v>-914871</v>
      </c>
      <c r="M202" s="53">
        <f t="shared" si="44"/>
        <v>-0.05992835488405372</v>
      </c>
    </row>
    <row r="203" spans="1:13" s="15" customFormat="1" ht="12.75" hidden="1" outlineLevel="2">
      <c r="A203" s="15" t="s">
        <v>717</v>
      </c>
      <c r="B203" s="15" t="s">
        <v>718</v>
      </c>
      <c r="C203" s="134" t="s">
        <v>719</v>
      </c>
      <c r="D203" s="16"/>
      <c r="E203" s="16"/>
      <c r="F203" s="16">
        <v>-122394</v>
      </c>
      <c r="G203" s="16">
        <v>-115707</v>
      </c>
      <c r="H203" s="16">
        <f t="shared" si="41"/>
        <v>-6687</v>
      </c>
      <c r="I203" s="53">
        <f t="shared" si="42"/>
        <v>-0.05779252767766859</v>
      </c>
      <c r="J203" s="174"/>
      <c r="K203" s="257">
        <v>-121317</v>
      </c>
      <c r="L203" s="16">
        <f t="shared" si="43"/>
        <v>-1077</v>
      </c>
      <c r="M203" s="53">
        <f t="shared" si="44"/>
        <v>-0.008877568683696432</v>
      </c>
    </row>
    <row r="204" spans="1:13" s="15" customFormat="1" ht="12.75" hidden="1" outlineLevel="2">
      <c r="A204" s="15" t="s">
        <v>720</v>
      </c>
      <c r="B204" s="15" t="s">
        <v>721</v>
      </c>
      <c r="C204" s="134" t="s">
        <v>722</v>
      </c>
      <c r="D204" s="16"/>
      <c r="E204" s="16"/>
      <c r="F204" s="16">
        <v>287501</v>
      </c>
      <c r="G204" s="16">
        <v>150000</v>
      </c>
      <c r="H204" s="16">
        <f t="shared" si="41"/>
        <v>137501</v>
      </c>
      <c r="I204" s="53">
        <f t="shared" si="42"/>
        <v>0.9166733333333333</v>
      </c>
      <c r="J204" s="174"/>
      <c r="K204" s="257">
        <v>200000</v>
      </c>
      <c r="L204" s="16">
        <f t="shared" si="43"/>
        <v>87501</v>
      </c>
      <c r="M204" s="53">
        <f t="shared" si="44"/>
        <v>0.437505</v>
      </c>
    </row>
    <row r="205" spans="1:13" s="15" customFormat="1" ht="12.75" hidden="1" outlineLevel="2">
      <c r="A205" s="15" t="s">
        <v>723</v>
      </c>
      <c r="B205" s="15" t="s">
        <v>724</v>
      </c>
      <c r="C205" s="134" t="s">
        <v>725</v>
      </c>
      <c r="D205" s="16"/>
      <c r="E205" s="16"/>
      <c r="F205" s="16">
        <v>80015202.6</v>
      </c>
      <c r="G205" s="16">
        <v>81112211.99</v>
      </c>
      <c r="H205" s="16">
        <f t="shared" si="41"/>
        <v>-1097009.3900000006</v>
      </c>
      <c r="I205" s="53">
        <f t="shared" si="42"/>
        <v>-0.013524589739153539</v>
      </c>
      <c r="J205" s="174"/>
      <c r="K205" s="257">
        <v>79448610.56</v>
      </c>
      <c r="L205" s="16">
        <f t="shared" si="43"/>
        <v>566592.0399999917</v>
      </c>
      <c r="M205" s="53">
        <f t="shared" si="44"/>
        <v>0.00713155379315411</v>
      </c>
    </row>
    <row r="206" spans="1:13" s="15" customFormat="1" ht="12.75" hidden="1" outlineLevel="2">
      <c r="A206" s="15" t="s">
        <v>726</v>
      </c>
      <c r="B206" s="15" t="s">
        <v>727</v>
      </c>
      <c r="C206" s="134" t="s">
        <v>728</v>
      </c>
      <c r="D206" s="16"/>
      <c r="E206" s="16"/>
      <c r="F206" s="16">
        <v>37640547</v>
      </c>
      <c r="G206" s="16">
        <v>32387792</v>
      </c>
      <c r="H206" s="16">
        <f t="shared" si="41"/>
        <v>5252755</v>
      </c>
      <c r="I206" s="53">
        <f t="shared" si="42"/>
        <v>0.16218317692048906</v>
      </c>
      <c r="J206" s="174"/>
      <c r="K206" s="257">
        <v>36824251</v>
      </c>
      <c r="L206" s="16">
        <f t="shared" si="43"/>
        <v>816296</v>
      </c>
      <c r="M206" s="53">
        <f t="shared" si="44"/>
        <v>0.022167348359644845</v>
      </c>
    </row>
    <row r="207" spans="1:13" s="67" customFormat="1" ht="12.75" hidden="1" outlineLevel="1">
      <c r="A207" s="67" t="s">
        <v>149</v>
      </c>
      <c r="B207" s="87"/>
      <c r="C207" s="82" t="s">
        <v>147</v>
      </c>
      <c r="D207" s="66"/>
      <c r="E207" s="66"/>
      <c r="F207" s="51">
        <v>203671718.729</v>
      </c>
      <c r="G207" s="51">
        <v>181862285.609</v>
      </c>
      <c r="H207" s="51">
        <f>+F207-G207</f>
        <v>21809433.120000005</v>
      </c>
      <c r="I207" s="136">
        <f>IF(G207&lt;0,IF(H207=0,0,IF(OR(G207=0,F207=0),"N.M.",IF(ABS(H207/G207)&gt;=10,"N.M.",H207/(-G207)))),IF(H207=0,0,IF(OR(G207=0,F207=0),"N.M.",IF(ABS(H207/G207)&gt;=10,"N.M.",H207/G207))))</f>
        <v>0.11992279238637646</v>
      </c>
      <c r="J207" s="162"/>
      <c r="K207" s="51">
        <v>207445353.169</v>
      </c>
      <c r="L207" s="51">
        <f>+F207-K207</f>
        <v>-3773634.4399999976</v>
      </c>
      <c r="M207" s="136">
        <f>IF(K207&lt;0,IF(L207=0,0,IF(OR(K207=0,F207=0),"N.M.",IF(ABS(L207/K207)&gt;=10,"N.M.",L207/(-K207)))),IF(L207=0,0,IF(OR(K207=0,F207=0),"N.M.",IF(ABS(L207/K207)&gt;=10,"N.M.",L207/K207))))</f>
        <v>-0.018190980816647755</v>
      </c>
    </row>
    <row r="208" spans="1:13" s="15" customFormat="1" ht="12.75" hidden="1" outlineLevel="2">
      <c r="A208" s="15" t="s">
        <v>729</v>
      </c>
      <c r="B208" s="15" t="s">
        <v>730</v>
      </c>
      <c r="C208" s="134" t="s">
        <v>731</v>
      </c>
      <c r="D208" s="16"/>
      <c r="E208" s="16"/>
      <c r="F208" s="16">
        <v>745876.75</v>
      </c>
      <c r="G208" s="16">
        <v>779525.35</v>
      </c>
      <c r="H208" s="16">
        <f>+F208-G208</f>
        <v>-33648.59999999998</v>
      </c>
      <c r="I208" s="53">
        <f>IF(G208&lt;0,IF(H208=0,0,IF(OR(G208=0,F208=0),"N.M.",IF(ABS(H208/G208)&gt;=10,"N.M.",H208/(-G208)))),IF(H208=0,0,IF(OR(G208=0,F208=0),"N.M.",IF(ABS(H208/G208)&gt;=10,"N.M.",H208/G208))))</f>
        <v>-0.04316549808162105</v>
      </c>
      <c r="J208" s="174"/>
      <c r="K208" s="257">
        <v>771113.2000000001</v>
      </c>
      <c r="L208" s="16">
        <f>+F208-K208</f>
        <v>-25236.45000000007</v>
      </c>
      <c r="M208" s="53">
        <f>IF(K208&lt;0,IF(L208=0,0,IF(OR(K208=0,F208=0),"N.M.",IF(ABS(L208/K208)&gt;=10,"N.M.",L208/(-K208)))),IF(L208=0,0,IF(OR(K208=0,F208=0),"N.M.",IF(ABS(L208/K208)&gt;=10,"N.M.",L208/K208))))</f>
        <v>-0.03272729607014906</v>
      </c>
    </row>
    <row r="209" spans="1:13" s="67" customFormat="1" ht="12.75" hidden="1" outlineLevel="1">
      <c r="A209" s="67" t="s">
        <v>150</v>
      </c>
      <c r="B209" s="87"/>
      <c r="C209" s="96" t="s">
        <v>148</v>
      </c>
      <c r="D209" s="66"/>
      <c r="E209" s="66"/>
      <c r="F209" s="197">
        <v>745876.75</v>
      </c>
      <c r="G209" s="197">
        <v>779525.35</v>
      </c>
      <c r="H209" s="197">
        <f>+F209-G209</f>
        <v>-33648.59999999998</v>
      </c>
      <c r="I209" s="138">
        <f>IF(G209&lt;0,IF(H209=0,0,IF(OR(G209=0,F209=0),"N.M.",IF(ABS(H209/G209)&gt;=10,"N.M.",H209/(-G209)))),IF(H209=0,0,IF(OR(G209=0,F209=0),"N.M.",IF(ABS(H209/G209)&gt;=10,"N.M.",H209/G209))))</f>
        <v>-0.04316549808162105</v>
      </c>
      <c r="J209" s="162"/>
      <c r="K209" s="197">
        <v>771113.2000000001</v>
      </c>
      <c r="L209" s="197">
        <f>+F209-K209</f>
        <v>-25236.45000000007</v>
      </c>
      <c r="M209" s="138">
        <f>IF(K209&lt;0,IF(L209=0,0,IF(OR(K209=0,F209=0),"N.M.",IF(ABS(L209/K209)&gt;=10,"N.M.",L209/(-K209)))),IF(L209=0,0,IF(OR(K209=0,F209=0),"N.M.",IF(ABS(L209/K209)&gt;=10,"N.M.",L209/K209))))</f>
        <v>-0.03272729607014906</v>
      </c>
    </row>
    <row r="210" spans="1:13" s="75" customFormat="1" ht="12" customHeight="1" collapsed="1">
      <c r="A210" s="75" t="s">
        <v>159</v>
      </c>
      <c r="B210" s="93"/>
      <c r="C210" s="75" t="s">
        <v>74</v>
      </c>
      <c r="D210" s="74"/>
      <c r="E210" s="74"/>
      <c r="F210" s="74">
        <f>+F209+F207</f>
        <v>204417595.479</v>
      </c>
      <c r="G210" s="74">
        <f>+G209+G207</f>
        <v>182641810.959</v>
      </c>
      <c r="H210" s="74">
        <f>+F210-G210</f>
        <v>21775784.52000001</v>
      </c>
      <c r="I210" s="137">
        <f>IF(G210&lt;0,IF(H210=0,0,IF(OR(G210=0,F210=0),"N.M.",IF(ABS(H210/G210)&gt;=10,"N.M.",H210/(-G210)))),IF(H210=0,0,IF(OR(G210=0,F210=0),"N.M.",IF(ABS(H210/G210)&gt;=10,"N.M.",H210/G210))))</f>
        <v>0.11922672254322045</v>
      </c>
      <c r="J210" s="163"/>
      <c r="K210" s="74">
        <f>+K209+K207</f>
        <v>208216466.369</v>
      </c>
      <c r="L210" s="74">
        <f>+F210-K210</f>
        <v>-3798870.8899999857</v>
      </c>
      <c r="M210" s="137">
        <f>IF(K210&lt;0,IF(L210=0,0,IF(OR(K210=0,F210=0),"N.M.",IF(ABS(L210/K210)&gt;=10,"N.M.",L210/(-K210)))),IF(L210=0,0,IF(OR(K210=0,F210=0),"N.M.",IF(ABS(L210/K210)&gt;=10,"N.M.",L210/K210))))</f>
        <v>-0.018244814909439723</v>
      </c>
    </row>
    <row r="211" spans="2:13" s="67" customFormat="1" ht="7.5" customHeight="1">
      <c r="B211" s="87"/>
      <c r="D211" s="51"/>
      <c r="E211" s="51"/>
      <c r="F211" s="51"/>
      <c r="G211" s="51"/>
      <c r="H211" s="51"/>
      <c r="I211" s="136"/>
      <c r="J211" s="162"/>
      <c r="K211" s="51"/>
      <c r="L211" s="51"/>
      <c r="M211" s="136"/>
    </row>
    <row r="212" spans="2:13" s="67" customFormat="1" ht="0.75" customHeight="1" hidden="1" outlineLevel="1">
      <c r="B212" s="87"/>
      <c r="D212" s="51"/>
      <c r="E212" s="51"/>
      <c r="F212" s="51"/>
      <c r="G212" s="51"/>
      <c r="H212" s="51"/>
      <c r="I212" s="136"/>
      <c r="J212" s="162"/>
      <c r="K212" s="51"/>
      <c r="L212" s="51"/>
      <c r="M212" s="136"/>
    </row>
    <row r="213" spans="1:13" s="15" customFormat="1" ht="12.75" hidden="1" outlineLevel="2">
      <c r="A213" s="15" t="s">
        <v>732</v>
      </c>
      <c r="B213" s="15" t="s">
        <v>733</v>
      </c>
      <c r="C213" s="134" t="s">
        <v>734</v>
      </c>
      <c r="D213" s="16"/>
      <c r="E213" s="16"/>
      <c r="F213" s="16">
        <v>2890317.92</v>
      </c>
      <c r="G213" s="16">
        <v>3261542.57</v>
      </c>
      <c r="H213" s="16">
        <f>+F213-G213</f>
        <v>-371224.6499999999</v>
      </c>
      <c r="I213" s="53">
        <f>IF(G213&lt;0,IF(H213=0,0,IF(OR(G213=0,F213=0),"N.M.",IF(ABS(H213/G213)&gt;=10,"N.M.",H213/(-G213)))),IF(H213=0,0,IF(OR(G213=0,F213=0),"N.M.",IF(ABS(H213/G213)&gt;=10,"N.M.",H213/G213))))</f>
        <v>-0.11381873516371117</v>
      </c>
      <c r="J213" s="174"/>
      <c r="K213" s="257">
        <v>3118664.03</v>
      </c>
      <c r="L213" s="16">
        <f>+F213-K213</f>
        <v>-228346.10999999987</v>
      </c>
      <c r="M213" s="53">
        <f>IF(K213&lt;0,IF(L213=0,0,IF(OR(K213=0,F213=0),"N.M.",IF(ABS(L213/K213)&gt;=10,"N.M.",L213/(-K213)))),IF(L213=0,0,IF(OR(K213=0,F213=0),"N.M.",IF(ABS(L213/K213)&gt;=10,"N.M.",L213/K213))))</f>
        <v>-0.07321920790550815</v>
      </c>
    </row>
    <row r="214" spans="1:13" s="67" customFormat="1" ht="12.75" hidden="1" outlineLevel="1">
      <c r="A214" s="67" t="s">
        <v>171</v>
      </c>
      <c r="B214" s="87"/>
      <c r="C214" s="82" t="s">
        <v>151</v>
      </c>
      <c r="D214" s="66"/>
      <c r="E214" s="66"/>
      <c r="F214" s="51">
        <v>2890317.92</v>
      </c>
      <c r="G214" s="51">
        <v>3261542.57</v>
      </c>
      <c r="H214" s="51">
        <f>+F214-G214</f>
        <v>-371224.6499999999</v>
      </c>
      <c r="I214" s="136">
        <f>IF(G214&lt;0,IF(H214=0,0,IF(OR(G214=0,F214=0),"N.M.",IF(ABS(H214/G214)&gt;=10,"N.M.",H214/(-G214)))),IF(H214=0,0,IF(OR(G214=0,F214=0),"N.M.",IF(ABS(H214/G214)&gt;=10,"N.M.",H214/G214))))</f>
        <v>-0.11381873516371117</v>
      </c>
      <c r="J214" s="162"/>
      <c r="K214" s="51">
        <v>3118664.03</v>
      </c>
      <c r="L214" s="51">
        <f>+F214-K214</f>
        <v>-228346.10999999987</v>
      </c>
      <c r="M214" s="136">
        <f>IF(K214&lt;0,IF(L214=0,0,IF(OR(K214=0,F214=0),"N.M.",IF(ABS(L214/K214)&gt;=10,"N.M.",L214/(-K214)))),IF(L214=0,0,IF(OR(K214=0,F214=0),"N.M.",IF(ABS(L214/K214)&gt;=10,"N.M.",L214/K214))))</f>
        <v>-0.07321920790550815</v>
      </c>
    </row>
    <row r="215" spans="1:13" s="67" customFormat="1" ht="12.75" hidden="1" outlineLevel="1">
      <c r="A215" s="67" t="s">
        <v>157</v>
      </c>
      <c r="B215" s="87"/>
      <c r="C215" s="82" t="s">
        <v>152</v>
      </c>
      <c r="D215" s="66"/>
      <c r="E215" s="66"/>
      <c r="F215" s="51">
        <v>0</v>
      </c>
      <c r="G215" s="51">
        <v>0</v>
      </c>
      <c r="H215" s="51">
        <f>+F215-G215</f>
        <v>0</v>
      </c>
      <c r="I215" s="136">
        <f>IF(G215&lt;0,IF(H215=0,0,IF(OR(G215=0,F215=0),"N.M.",IF(ABS(H215/G215)&gt;=10,"N.M.",H215/(-G215)))),IF(H215=0,0,IF(OR(G215=0,F215=0),"N.M.",IF(ABS(H215/G215)&gt;=10,"N.M.",H215/G215))))</f>
        <v>0</v>
      </c>
      <c r="J215" s="162"/>
      <c r="K215" s="51">
        <v>0</v>
      </c>
      <c r="L215" s="51">
        <f>+F215-K215</f>
        <v>0</v>
      </c>
      <c r="M215" s="136">
        <f>IF(K215&lt;0,IF(L215=0,0,IF(OR(K215=0,F215=0),"N.M.",IF(ABS(L215/K215)&gt;=10,"N.M.",L215/(-K215)))),IF(L215=0,0,IF(OR(K215=0,F215=0),"N.M.",IF(ABS(L215/K215)&gt;=10,"N.M.",L215/K215))))</f>
        <v>0</v>
      </c>
    </row>
    <row r="216" spans="1:13" s="15" customFormat="1" ht="12.75" hidden="1" outlineLevel="2">
      <c r="A216" s="15" t="s">
        <v>735</v>
      </c>
      <c r="B216" s="15" t="s">
        <v>736</v>
      </c>
      <c r="C216" s="134" t="s">
        <v>737</v>
      </c>
      <c r="D216" s="16"/>
      <c r="E216" s="16"/>
      <c r="F216" s="16">
        <v>21072898.44</v>
      </c>
      <c r="G216" s="16">
        <v>21052202.12</v>
      </c>
      <c r="H216" s="16">
        <f aca="true" t="shared" si="45" ref="H216:H227">+F216-G216</f>
        <v>20696.320000000298</v>
      </c>
      <c r="I216" s="53">
        <f aca="true" t="shared" si="46" ref="I216:I227">IF(G216&lt;0,IF(H216=0,0,IF(OR(G216=0,F216=0),"N.M.",IF(ABS(H216/G216)&gt;=10,"N.M.",H216/(-G216)))),IF(H216=0,0,IF(OR(G216=0,F216=0),"N.M.",IF(ABS(H216/G216)&gt;=10,"N.M.",H216/G216))))</f>
        <v>0.0009830952544550382</v>
      </c>
      <c r="J216" s="174"/>
      <c r="K216" s="257">
        <v>21315585.94</v>
      </c>
      <c r="L216" s="16">
        <f aca="true" t="shared" si="47" ref="L216:L227">+F216-K216</f>
        <v>-242687.5</v>
      </c>
      <c r="M216" s="53">
        <f aca="true" t="shared" si="48" ref="M216:M227">IF(K216&lt;0,IF(L216=0,0,IF(OR(K216=0,F216=0),"N.M.",IF(ABS(L216/K216)&gt;=10,"N.M.",L216/(-K216)))),IF(L216=0,0,IF(OR(K216=0,F216=0),"N.M.",IF(ABS(L216/K216)&gt;=10,"N.M.",L216/K216))))</f>
        <v>-0.011385448220054887</v>
      </c>
    </row>
    <row r="217" spans="1:13" s="15" customFormat="1" ht="12.75" hidden="1" outlineLevel="2">
      <c r="A217" s="15" t="s">
        <v>738</v>
      </c>
      <c r="B217" s="15" t="s">
        <v>739</v>
      </c>
      <c r="C217" s="134" t="s">
        <v>740</v>
      </c>
      <c r="D217" s="16"/>
      <c r="E217" s="16"/>
      <c r="F217" s="16">
        <v>251.96</v>
      </c>
      <c r="G217" s="16">
        <v>0</v>
      </c>
      <c r="H217" s="16">
        <f t="shared" si="45"/>
        <v>251.96</v>
      </c>
      <c r="I217" s="53" t="str">
        <f t="shared" si="46"/>
        <v>N.M.</v>
      </c>
      <c r="J217" s="174"/>
      <c r="K217" s="257">
        <v>0</v>
      </c>
      <c r="L217" s="16">
        <f t="shared" si="47"/>
        <v>251.96</v>
      </c>
      <c r="M217" s="53" t="str">
        <f t="shared" si="48"/>
        <v>N.M.</v>
      </c>
    </row>
    <row r="218" spans="1:13" s="15" customFormat="1" ht="12.75" hidden="1" outlineLevel="2">
      <c r="A218" s="15" t="s">
        <v>741</v>
      </c>
      <c r="B218" s="15" t="s">
        <v>742</v>
      </c>
      <c r="C218" s="134" t="s">
        <v>743</v>
      </c>
      <c r="D218" s="16"/>
      <c r="E218" s="16"/>
      <c r="F218" s="16">
        <v>0</v>
      </c>
      <c r="G218" s="16">
        <v>8482.8</v>
      </c>
      <c r="H218" s="16">
        <f t="shared" si="45"/>
        <v>-8482.8</v>
      </c>
      <c r="I218" s="53" t="str">
        <f t="shared" si="46"/>
        <v>N.M.</v>
      </c>
      <c r="J218" s="174"/>
      <c r="K218" s="257">
        <v>0</v>
      </c>
      <c r="L218" s="16">
        <f t="shared" si="47"/>
        <v>0</v>
      </c>
      <c r="M218" s="53">
        <f t="shared" si="48"/>
        <v>0</v>
      </c>
    </row>
    <row r="219" spans="1:13" s="15" customFormat="1" ht="12.75" hidden="1" outlineLevel="2">
      <c r="A219" s="15" t="s">
        <v>744</v>
      </c>
      <c r="B219" s="15" t="s">
        <v>745</v>
      </c>
      <c r="C219" s="134" t="s">
        <v>746</v>
      </c>
      <c r="D219" s="16"/>
      <c r="E219" s="16"/>
      <c r="F219" s="16">
        <v>0</v>
      </c>
      <c r="G219" s="16">
        <v>2264011</v>
      </c>
      <c r="H219" s="16">
        <f t="shared" si="45"/>
        <v>-2264011</v>
      </c>
      <c r="I219" s="53" t="str">
        <f t="shared" si="46"/>
        <v>N.M.</v>
      </c>
      <c r="J219" s="174"/>
      <c r="K219" s="257">
        <v>0</v>
      </c>
      <c r="L219" s="16">
        <f t="shared" si="47"/>
        <v>0</v>
      </c>
      <c r="M219" s="53">
        <f t="shared" si="48"/>
        <v>0</v>
      </c>
    </row>
    <row r="220" spans="1:13" s="15" customFormat="1" ht="12.75" hidden="1" outlineLevel="2">
      <c r="A220" s="15" t="s">
        <v>747</v>
      </c>
      <c r="B220" s="15" t="s">
        <v>748</v>
      </c>
      <c r="C220" s="134" t="s">
        <v>746</v>
      </c>
      <c r="D220" s="16"/>
      <c r="E220" s="16"/>
      <c r="F220" s="16">
        <v>2260594</v>
      </c>
      <c r="G220" s="16">
        <v>0</v>
      </c>
      <c r="H220" s="16">
        <f t="shared" si="45"/>
        <v>2260594</v>
      </c>
      <c r="I220" s="53" t="str">
        <f t="shared" si="46"/>
        <v>N.M.</v>
      </c>
      <c r="J220" s="174"/>
      <c r="K220" s="257">
        <v>9323500</v>
      </c>
      <c r="L220" s="16">
        <f t="shared" si="47"/>
        <v>-7062906</v>
      </c>
      <c r="M220" s="53">
        <f t="shared" si="48"/>
        <v>-0.7575380490159275</v>
      </c>
    </row>
    <row r="221" spans="1:13" s="15" customFormat="1" ht="12.75" hidden="1" outlineLevel="2">
      <c r="A221" s="15" t="s">
        <v>749</v>
      </c>
      <c r="B221" s="15" t="s">
        <v>750</v>
      </c>
      <c r="C221" s="134" t="s">
        <v>751</v>
      </c>
      <c r="D221" s="16"/>
      <c r="E221" s="16"/>
      <c r="F221" s="16">
        <v>24.13</v>
      </c>
      <c r="G221" s="16">
        <v>0</v>
      </c>
      <c r="H221" s="16">
        <f t="shared" si="45"/>
        <v>24.13</v>
      </c>
      <c r="I221" s="53" t="str">
        <f t="shared" si="46"/>
        <v>N.M.</v>
      </c>
      <c r="J221" s="174"/>
      <c r="K221" s="257">
        <v>0</v>
      </c>
      <c r="L221" s="16">
        <f t="shared" si="47"/>
        <v>24.13</v>
      </c>
      <c r="M221" s="53" t="str">
        <f t="shared" si="48"/>
        <v>N.M.</v>
      </c>
    </row>
    <row r="222" spans="1:13" s="15" customFormat="1" ht="12.75" hidden="1" outlineLevel="2">
      <c r="A222" s="15" t="s">
        <v>752</v>
      </c>
      <c r="B222" s="15" t="s">
        <v>753</v>
      </c>
      <c r="C222" s="134" t="s">
        <v>754</v>
      </c>
      <c r="D222" s="16"/>
      <c r="E222" s="16"/>
      <c r="F222" s="16">
        <v>803488.15</v>
      </c>
      <c r="G222" s="16">
        <v>756265.5700000001</v>
      </c>
      <c r="H222" s="16">
        <f t="shared" si="45"/>
        <v>47222.57999999996</v>
      </c>
      <c r="I222" s="53">
        <f t="shared" si="46"/>
        <v>0.06244179541321702</v>
      </c>
      <c r="J222" s="174"/>
      <c r="K222" s="257">
        <v>825908.49</v>
      </c>
      <c r="L222" s="16">
        <f t="shared" si="47"/>
        <v>-22420.339999999967</v>
      </c>
      <c r="M222" s="53">
        <f t="shared" si="48"/>
        <v>-0.02714627621759884</v>
      </c>
    </row>
    <row r="223" spans="1:13" s="15" customFormat="1" ht="12.75" hidden="1" outlineLevel="2">
      <c r="A223" s="15" t="s">
        <v>755</v>
      </c>
      <c r="B223" s="15" t="s">
        <v>756</v>
      </c>
      <c r="C223" s="134" t="s">
        <v>757</v>
      </c>
      <c r="D223" s="16"/>
      <c r="E223" s="16"/>
      <c r="F223" s="16">
        <v>0</v>
      </c>
      <c r="G223" s="16">
        <v>8250</v>
      </c>
      <c r="H223" s="16">
        <f t="shared" si="45"/>
        <v>-8250</v>
      </c>
      <c r="I223" s="53" t="str">
        <f t="shared" si="46"/>
        <v>N.M.</v>
      </c>
      <c r="J223" s="174"/>
      <c r="K223" s="257">
        <v>0</v>
      </c>
      <c r="L223" s="16">
        <f t="shared" si="47"/>
        <v>0</v>
      </c>
      <c r="M223" s="53">
        <f t="shared" si="48"/>
        <v>0</v>
      </c>
    </row>
    <row r="224" spans="1:13" s="15" customFormat="1" ht="12.75" hidden="1" outlineLevel="2">
      <c r="A224" s="15" t="s">
        <v>758</v>
      </c>
      <c r="B224" s="15" t="s">
        <v>759</v>
      </c>
      <c r="C224" s="134" t="s">
        <v>757</v>
      </c>
      <c r="D224" s="16"/>
      <c r="E224" s="16"/>
      <c r="F224" s="16">
        <v>26569</v>
      </c>
      <c r="G224" s="16">
        <v>0</v>
      </c>
      <c r="H224" s="16">
        <f t="shared" si="45"/>
        <v>26569</v>
      </c>
      <c r="I224" s="53" t="str">
        <f t="shared" si="46"/>
        <v>N.M.</v>
      </c>
      <c r="J224" s="174"/>
      <c r="K224" s="257">
        <v>0</v>
      </c>
      <c r="L224" s="16">
        <f t="shared" si="47"/>
        <v>26569</v>
      </c>
      <c r="M224" s="53" t="str">
        <f t="shared" si="48"/>
        <v>N.M.</v>
      </c>
    </row>
    <row r="225" spans="1:13" s="15" customFormat="1" ht="12.75" hidden="1" outlineLevel="2">
      <c r="A225" s="15" t="s">
        <v>760</v>
      </c>
      <c r="B225" s="15" t="s">
        <v>761</v>
      </c>
      <c r="C225" s="134" t="s">
        <v>762</v>
      </c>
      <c r="D225" s="16"/>
      <c r="E225" s="16"/>
      <c r="F225" s="16">
        <v>347415.03</v>
      </c>
      <c r="G225" s="16">
        <v>109323.79000000001</v>
      </c>
      <c r="H225" s="16">
        <f t="shared" si="45"/>
        <v>238091.24000000002</v>
      </c>
      <c r="I225" s="53">
        <f t="shared" si="46"/>
        <v>2.177853877916234</v>
      </c>
      <c r="J225" s="174"/>
      <c r="K225" s="257">
        <v>94643.74</v>
      </c>
      <c r="L225" s="16">
        <f t="shared" si="47"/>
        <v>252771.29000000004</v>
      </c>
      <c r="M225" s="53">
        <f t="shared" si="48"/>
        <v>2.6707660749670294</v>
      </c>
    </row>
    <row r="226" spans="1:13" s="15" customFormat="1" ht="12.75" hidden="1" outlineLevel="2">
      <c r="A226" s="15" t="s">
        <v>763</v>
      </c>
      <c r="B226" s="15" t="s">
        <v>764</v>
      </c>
      <c r="C226" s="134" t="s">
        <v>765</v>
      </c>
      <c r="D226" s="16"/>
      <c r="E226" s="16"/>
      <c r="F226" s="16">
        <v>1462.67</v>
      </c>
      <c r="G226" s="16">
        <v>6959.1</v>
      </c>
      <c r="H226" s="16">
        <f t="shared" si="45"/>
        <v>-5496.43</v>
      </c>
      <c r="I226" s="53">
        <f t="shared" si="46"/>
        <v>-0.7898190858013249</v>
      </c>
      <c r="J226" s="174"/>
      <c r="K226" s="257">
        <v>1873.14</v>
      </c>
      <c r="L226" s="16">
        <f t="shared" si="47"/>
        <v>-410.47</v>
      </c>
      <c r="M226" s="53">
        <f t="shared" si="48"/>
        <v>-0.21913471497058415</v>
      </c>
    </row>
    <row r="227" spans="1:13" s="15" customFormat="1" ht="12.75" hidden="1" outlineLevel="2">
      <c r="A227" s="15" t="s">
        <v>766</v>
      </c>
      <c r="B227" s="15" t="s">
        <v>767</v>
      </c>
      <c r="C227" s="134" t="s">
        <v>768</v>
      </c>
      <c r="D227" s="16"/>
      <c r="E227" s="16"/>
      <c r="F227" s="16">
        <v>13403.31</v>
      </c>
      <c r="G227" s="16">
        <v>12221.34</v>
      </c>
      <c r="H227" s="16">
        <f t="shared" si="45"/>
        <v>1181.9699999999993</v>
      </c>
      <c r="I227" s="53">
        <f t="shared" si="46"/>
        <v>0.09671361732837801</v>
      </c>
      <c r="J227" s="174"/>
      <c r="K227" s="257">
        <v>0</v>
      </c>
      <c r="L227" s="16">
        <f t="shared" si="47"/>
        <v>13403.31</v>
      </c>
      <c r="M227" s="53" t="str">
        <f t="shared" si="48"/>
        <v>N.M.</v>
      </c>
    </row>
    <row r="228" spans="1:13" s="67" customFormat="1" ht="12.75" hidden="1" outlineLevel="1">
      <c r="A228" s="67" t="s">
        <v>156</v>
      </c>
      <c r="B228" s="87"/>
      <c r="C228" s="82" t="s">
        <v>153</v>
      </c>
      <c r="D228" s="66"/>
      <c r="E228" s="66"/>
      <c r="F228" s="51">
        <v>24526106.69</v>
      </c>
      <c r="G228" s="51">
        <v>24217715.720000003</v>
      </c>
      <c r="H228" s="51">
        <f>+F228-G228</f>
        <v>308390.9699999988</v>
      </c>
      <c r="I228" s="136">
        <f>IF(G228&lt;0,IF(H228=0,0,IF(OR(G228=0,F228=0),"N.M.",IF(ABS(H228/G228)&gt;=10,"N.M.",H228/(-G228)))),IF(H228=0,0,IF(OR(G228=0,F228=0),"N.M.",IF(ABS(H228/G228)&gt;=10,"N.M.",H228/G228))))</f>
        <v>0.012734106451886239</v>
      </c>
      <c r="J228" s="162"/>
      <c r="K228" s="51">
        <v>31561511.31</v>
      </c>
      <c r="L228" s="51">
        <f>+F228-K228</f>
        <v>-7035404.619999997</v>
      </c>
      <c r="M228" s="136">
        <f>IF(K228&lt;0,IF(L228=0,0,IF(OR(K228=0,F228=0),"N.M.",IF(ABS(L228/K228)&gt;=10,"N.M.",L228/(-K228)))),IF(L228=0,0,IF(OR(K228=0,F228=0),"N.M.",IF(ABS(L228/K228)&gt;=10,"N.M.",L228/K228))))</f>
        <v>-0.22291089139862857</v>
      </c>
    </row>
    <row r="229" spans="1:13" s="15" customFormat="1" ht="12.75" hidden="1" outlineLevel="2">
      <c r="A229" s="15" t="s">
        <v>769</v>
      </c>
      <c r="B229" s="15" t="s">
        <v>770</v>
      </c>
      <c r="C229" s="134" t="s">
        <v>771</v>
      </c>
      <c r="D229" s="16"/>
      <c r="E229" s="16"/>
      <c r="F229" s="16">
        <v>244449.65</v>
      </c>
      <c r="G229" s="16">
        <v>238949.7</v>
      </c>
      <c r="H229" s="16">
        <f aca="true" t="shared" si="49" ref="H229:H234">+F229-G229</f>
        <v>5499.9499999999825</v>
      </c>
      <c r="I229" s="53">
        <f aca="true" t="shared" si="50" ref="I229:I234">IF(G229&lt;0,IF(H229=0,0,IF(OR(G229=0,F229=0),"N.M.",IF(ABS(H229/G229)&gt;=10,"N.M.",H229/(-G229)))),IF(H229=0,0,IF(OR(G229=0,F229=0),"N.M.",IF(ABS(H229/G229)&gt;=10,"N.M.",H229/G229))))</f>
        <v>0.023017187299251608</v>
      </c>
      <c r="J229" s="174"/>
      <c r="K229" s="257">
        <v>252948.30000000002</v>
      </c>
      <c r="L229" s="16">
        <f aca="true" t="shared" si="51" ref="L229:L234">+F229-K229</f>
        <v>-8498.650000000023</v>
      </c>
      <c r="M229" s="53">
        <f aca="true" t="shared" si="52" ref="M229:M234">IF(K229&lt;0,IF(L229=0,0,IF(OR(K229=0,F229=0),"N.M.",IF(ABS(L229/K229)&gt;=10,"N.M.",L229/(-K229)))),IF(L229=0,0,IF(OR(K229=0,F229=0),"N.M.",IF(ABS(L229/K229)&gt;=10,"N.M.",L229/K229))))</f>
        <v>-0.033598367729690305</v>
      </c>
    </row>
    <row r="230" spans="1:13" s="15" customFormat="1" ht="12.75" hidden="1" outlineLevel="2">
      <c r="A230" s="15" t="s">
        <v>772</v>
      </c>
      <c r="B230" s="15" t="s">
        <v>773</v>
      </c>
      <c r="C230" s="134" t="s">
        <v>774</v>
      </c>
      <c r="D230" s="16"/>
      <c r="E230" s="16"/>
      <c r="F230" s="16">
        <v>225031.26</v>
      </c>
      <c r="G230" s="16">
        <v>257565.9</v>
      </c>
      <c r="H230" s="16">
        <f t="shared" si="49"/>
        <v>-32534.639999999985</v>
      </c>
      <c r="I230" s="53">
        <f t="shared" si="50"/>
        <v>-0.12631578947368416</v>
      </c>
      <c r="J230" s="174"/>
      <c r="K230" s="257">
        <v>249432.24</v>
      </c>
      <c r="L230" s="16">
        <f t="shared" si="51"/>
        <v>-24400.97999999998</v>
      </c>
      <c r="M230" s="53">
        <f t="shared" si="52"/>
        <v>-0.09782608695652167</v>
      </c>
    </row>
    <row r="231" spans="1:13" s="15" customFormat="1" ht="12.75" hidden="1" outlineLevel="2">
      <c r="A231" s="15" t="s">
        <v>775</v>
      </c>
      <c r="B231" s="15" t="s">
        <v>776</v>
      </c>
      <c r="C231" s="134" t="s">
        <v>777</v>
      </c>
      <c r="D231" s="16"/>
      <c r="E231" s="16"/>
      <c r="F231" s="16">
        <v>10691488.84</v>
      </c>
      <c r="G231" s="16">
        <v>31660816.01</v>
      </c>
      <c r="H231" s="16">
        <f t="shared" si="49"/>
        <v>-20969327.17</v>
      </c>
      <c r="I231" s="53">
        <f t="shared" si="50"/>
        <v>-0.6623116461488827</v>
      </c>
      <c r="J231" s="174"/>
      <c r="K231" s="257">
        <v>14157012.45</v>
      </c>
      <c r="L231" s="16">
        <f t="shared" si="51"/>
        <v>-3465523.6099999994</v>
      </c>
      <c r="M231" s="53">
        <f t="shared" si="52"/>
        <v>-0.24479201542271722</v>
      </c>
    </row>
    <row r="232" spans="1:13" s="15" customFormat="1" ht="12.75" hidden="1" outlineLevel="2">
      <c r="A232" s="15" t="s">
        <v>778</v>
      </c>
      <c r="B232" s="15" t="s">
        <v>779</v>
      </c>
      <c r="C232" s="134" t="s">
        <v>780</v>
      </c>
      <c r="D232" s="16"/>
      <c r="E232" s="16"/>
      <c r="F232" s="16">
        <v>524709.64</v>
      </c>
      <c r="G232" s="16">
        <v>1190273.36</v>
      </c>
      <c r="H232" s="16">
        <f t="shared" si="49"/>
        <v>-665563.7200000001</v>
      </c>
      <c r="I232" s="53">
        <f t="shared" si="50"/>
        <v>-0.5591687946372252</v>
      </c>
      <c r="J232" s="174"/>
      <c r="K232" s="257">
        <v>607057.99</v>
      </c>
      <c r="L232" s="16">
        <f t="shared" si="51"/>
        <v>-82348.34999999998</v>
      </c>
      <c r="M232" s="53">
        <f t="shared" si="52"/>
        <v>-0.13565153800216018</v>
      </c>
    </row>
    <row r="233" spans="1:13" s="15" customFormat="1" ht="12.75" hidden="1" outlineLevel="2">
      <c r="A233" s="15" t="s">
        <v>781</v>
      </c>
      <c r="B233" s="15" t="s">
        <v>782</v>
      </c>
      <c r="C233" s="134" t="s">
        <v>783</v>
      </c>
      <c r="D233" s="16"/>
      <c r="E233" s="16"/>
      <c r="F233" s="16">
        <v>12159099.81</v>
      </c>
      <c r="G233" s="16">
        <v>12360342</v>
      </c>
      <c r="H233" s="16">
        <f t="shared" si="49"/>
        <v>-201242.18999999948</v>
      </c>
      <c r="I233" s="53">
        <f t="shared" si="50"/>
        <v>-0.016281280081085092</v>
      </c>
      <c r="J233" s="174"/>
      <c r="K233" s="257">
        <v>13730759.07</v>
      </c>
      <c r="L233" s="16">
        <f t="shared" si="51"/>
        <v>-1571659.2599999998</v>
      </c>
      <c r="M233" s="53">
        <f t="shared" si="52"/>
        <v>-0.1144626638620351</v>
      </c>
    </row>
    <row r="234" spans="1:13" s="15" customFormat="1" ht="12.75" hidden="1" outlineLevel="2">
      <c r="A234" s="15" t="s">
        <v>784</v>
      </c>
      <c r="B234" s="15" t="s">
        <v>785</v>
      </c>
      <c r="C234" s="134" t="s">
        <v>786</v>
      </c>
      <c r="D234" s="16"/>
      <c r="E234" s="16"/>
      <c r="F234" s="16">
        <v>394241.60000000003</v>
      </c>
      <c r="G234" s="16">
        <v>449846.39</v>
      </c>
      <c r="H234" s="16">
        <f t="shared" si="49"/>
        <v>-55604.78999999998</v>
      </c>
      <c r="I234" s="53">
        <f t="shared" si="50"/>
        <v>-0.12360839441214584</v>
      </c>
      <c r="J234" s="174"/>
      <c r="K234" s="257">
        <v>429831.75</v>
      </c>
      <c r="L234" s="16">
        <f t="shared" si="51"/>
        <v>-35590.149999999965</v>
      </c>
      <c r="M234" s="53">
        <f t="shared" si="52"/>
        <v>-0.08280018867847702</v>
      </c>
    </row>
    <row r="235" spans="1:13" s="67" customFormat="1" ht="12.75" hidden="1" outlineLevel="1">
      <c r="A235" s="67" t="s">
        <v>155</v>
      </c>
      <c r="B235" s="87"/>
      <c r="C235" s="96" t="s">
        <v>154</v>
      </c>
      <c r="D235" s="66"/>
      <c r="E235" s="66"/>
      <c r="F235" s="197">
        <v>24239020.800000004</v>
      </c>
      <c r="G235" s="197">
        <v>46157793.36</v>
      </c>
      <c r="H235" s="197">
        <f>+F235-G235</f>
        <v>-21918772.559999995</v>
      </c>
      <c r="I235" s="138">
        <f>IF(G235&lt;0,IF(H235=0,0,IF(OR(G235=0,F235=0),"N.M.",IF(ABS(H235/G235)&gt;=10,"N.M.",H235/(-G235)))),IF(H235=0,0,IF(OR(G235=0,F235=0),"N.M.",IF(ABS(H235/G235)&gt;=10,"N.M.",H235/G235))))</f>
        <v>-0.4748661269192006</v>
      </c>
      <c r="J235" s="162"/>
      <c r="K235" s="197">
        <v>29427041.799999997</v>
      </c>
      <c r="L235" s="197">
        <f>+F235-K235</f>
        <v>-5188020.999999993</v>
      </c>
      <c r="M235" s="138">
        <f>IF(K235&lt;0,IF(L235=0,0,IF(OR(K235=0,F235=0),"N.M.",IF(ABS(L235/K235)&gt;=10,"N.M.",L235/(-K235)))),IF(L235=0,0,IF(OR(K235=0,F235=0),"N.M.",IF(ABS(L235/K235)&gt;=10,"N.M.",L235/K235))))</f>
        <v>-0.17630113945058498</v>
      </c>
    </row>
    <row r="236" spans="1:13" s="75" customFormat="1" ht="12" customHeight="1" collapsed="1">
      <c r="A236" s="75" t="s">
        <v>158</v>
      </c>
      <c r="B236" s="93"/>
      <c r="C236" s="75" t="s">
        <v>75</v>
      </c>
      <c r="D236" s="74"/>
      <c r="E236" s="74"/>
      <c r="F236" s="74">
        <f>+F214+F215+F228+F235</f>
        <v>51655445.410000004</v>
      </c>
      <c r="G236" s="74">
        <f>+G214+G215+G228+G235</f>
        <v>73637051.65</v>
      </c>
      <c r="H236" s="74">
        <f>+F236-G236</f>
        <v>-21981606.240000002</v>
      </c>
      <c r="I236" s="137">
        <f>IF(G236&lt;0,IF(H236=0,0,IF(OR(G236=0,F236=0),"N.M.",IF(ABS(H236/G236)&gt;=10,"N.M.",H236/(-G236)))),IF(H236=0,0,IF(OR(G236=0,F236=0),"N.M.",IF(ABS(H236/G236)&gt;=10,"N.M.",H236/G236))))</f>
        <v>-0.2985128511727968</v>
      </c>
      <c r="J236" s="163"/>
      <c r="K236" s="74">
        <f>+K214+K215+K228+K235</f>
        <v>64107217.13999999</v>
      </c>
      <c r="L236" s="74">
        <f>+F236-K236</f>
        <v>-12451771.72999999</v>
      </c>
      <c r="M236" s="137">
        <f>IF(K236&lt;0,IF(L236=0,0,IF(OR(K236=0,F236=0),"N.M.",IF(ABS(L236/K236)&gt;=10,"N.M.",L236/(-K236)))),IF(L236=0,0,IF(OR(K236=0,F236=0),"N.M.",IF(ABS(L236/K236)&gt;=10,"N.M.",L236/K236))))</f>
        <v>-0.19423354008344013</v>
      </c>
    </row>
    <row r="237" spans="1:13" s="75" customFormat="1" ht="9" customHeight="1">
      <c r="A237" s="67"/>
      <c r="B237" s="88"/>
      <c r="C237" s="71"/>
      <c r="D237" s="74"/>
      <c r="E237" s="74"/>
      <c r="F237" s="74"/>
      <c r="G237" s="74"/>
      <c r="H237" s="74"/>
      <c r="I237" s="137"/>
      <c r="J237" s="163"/>
      <c r="K237" s="74"/>
      <c r="L237" s="74"/>
      <c r="M237" s="137"/>
    </row>
    <row r="238" spans="1:13" s="95" customFormat="1" ht="12" customHeight="1">
      <c r="A238" s="93" t="s">
        <v>160</v>
      </c>
      <c r="B238" s="93"/>
      <c r="C238" s="75" t="s">
        <v>76</v>
      </c>
      <c r="D238" s="94"/>
      <c r="E238" s="94"/>
      <c r="F238" s="233">
        <v>1493661052.771</v>
      </c>
      <c r="G238" s="233">
        <v>1494583512.4380002</v>
      </c>
      <c r="H238" s="74">
        <f>+F238-G238</f>
        <v>-922459.6670002937</v>
      </c>
      <c r="I238" s="137">
        <f>IF(G238&lt;0,IF(H238=0,0,IF(OR(G238=0,F238=0),"N.M.",IF(ABS(H238/G238)&gt;=10,"N.M.",H238/(-G238)))),IF(H238=0,0,IF(OR(G238=0,F238=0),"N.M.",IF(ABS(H238/G238)&gt;=10,"N.M.",H238/G238))))</f>
        <v>-0.0006172018219949152</v>
      </c>
      <c r="J238" s="164"/>
      <c r="K238" s="233">
        <v>1504334100.6949997</v>
      </c>
      <c r="L238" s="74">
        <f>+F238-K238</f>
        <v>-10673047.923999786</v>
      </c>
      <c r="M238" s="137">
        <f>IF(K238&lt;0,IF(L238=0,0,IF(OR(K238=0,F238=0),"N.M.",IF(ABS(L238/K238)&gt;=10,"N.M.",L238/(-K238)))),IF(L238=0,0,IF(OR(K238=0,F238=0),"N.M.",IF(ABS(L238/K238)&gt;=10,"N.M.",L238/K238))))</f>
        <v>-0.007094865375363663</v>
      </c>
    </row>
    <row r="239" spans="2:13" s="89" customFormat="1" ht="12" customHeight="1">
      <c r="B239" s="90"/>
      <c r="C239" s="91"/>
      <c r="D239" s="92"/>
      <c r="E239" s="92"/>
      <c r="F239" s="234" t="str">
        <f>IF(ABS(F31+F62+F184+F210+F236-F238)&gt;$C$573,$C$574," ")</f>
        <v> </v>
      </c>
      <c r="G239" s="234" t="str">
        <f>IF(ABS(G31+G62+G184+G210+G236-G238)&gt;$C$573,$C$574," ")</f>
        <v> </v>
      </c>
      <c r="H239" s="234"/>
      <c r="I239" s="140"/>
      <c r="J239" s="165"/>
      <c r="K239" s="234" t="str">
        <f>IF(ABS(K31+K62+K184+K210+K236-K238)&gt;$C$573,$C$574," ")</f>
        <v> </v>
      </c>
      <c r="L239" s="234"/>
      <c r="M239" s="140"/>
    </row>
    <row r="240" spans="3:13" s="63" customFormat="1" ht="12.75">
      <c r="C240" s="62" t="s">
        <v>188</v>
      </c>
      <c r="D240" s="64"/>
      <c r="E240" s="64"/>
      <c r="F240" s="232"/>
      <c r="G240" s="232"/>
      <c r="H240" s="245"/>
      <c r="I240" s="65"/>
      <c r="J240" s="158"/>
      <c r="K240" s="232"/>
      <c r="L240" s="245"/>
      <c r="M240" s="65"/>
    </row>
    <row r="241" spans="3:13" ht="12.75">
      <c r="C241" s="97" t="s">
        <v>177</v>
      </c>
      <c r="D241" s="98"/>
      <c r="E241" s="99"/>
      <c r="F241" s="98"/>
      <c r="G241" s="98"/>
      <c r="H241" s="98"/>
      <c r="I241" s="141"/>
      <c r="J241" s="166"/>
      <c r="K241" s="98"/>
      <c r="L241" s="98"/>
      <c r="M241" s="141"/>
    </row>
    <row r="242" spans="3:13" s="1" customFormat="1" ht="12.75">
      <c r="C242" s="100" t="str">
        <f>"Authorized: "&amp;TEXT(CSA,"#,##0")&amp;" Shares"</f>
        <v>Authorized: 0 Shares</v>
      </c>
      <c r="D242" s="101" t="s">
        <v>19</v>
      </c>
      <c r="E242" s="102"/>
      <c r="F242" s="101" t="s">
        <v>19</v>
      </c>
      <c r="G242" s="101"/>
      <c r="H242" s="101" t="s">
        <v>19</v>
      </c>
      <c r="I242" s="142"/>
      <c r="J242" s="167"/>
      <c r="K242" s="101" t="s">
        <v>19</v>
      </c>
      <c r="L242" s="101" t="s">
        <v>19</v>
      </c>
      <c r="M242" s="142"/>
    </row>
    <row r="243" spans="3:13" s="1" customFormat="1" ht="12.75">
      <c r="C243" s="100" t="str">
        <f>"Outstanding: "&amp;TEXT(CSO,"#,##0")&amp;" Shares"</f>
        <v>Outstanding: 1,009,000 Shares</v>
      </c>
      <c r="D243" s="101" t="s">
        <v>19</v>
      </c>
      <c r="E243" s="102"/>
      <c r="F243" s="101" t="s">
        <v>19</v>
      </c>
      <c r="G243" s="101"/>
      <c r="H243" s="101" t="s">
        <v>19</v>
      </c>
      <c r="I243" s="142"/>
      <c r="J243" s="167"/>
      <c r="K243" s="101" t="s">
        <v>19</v>
      </c>
      <c r="L243" s="101" t="s">
        <v>19</v>
      </c>
      <c r="M243" s="142"/>
    </row>
    <row r="244" spans="3:13" s="1" customFormat="1" ht="0.75" customHeight="1" hidden="1" outlineLevel="1">
      <c r="C244" s="100"/>
      <c r="D244" s="101"/>
      <c r="E244" s="102"/>
      <c r="F244" s="101"/>
      <c r="G244" s="101"/>
      <c r="H244" s="101"/>
      <c r="I244" s="142"/>
      <c r="J244" s="167"/>
      <c r="K244" s="101"/>
      <c r="L244" s="101"/>
      <c r="M244" s="142"/>
    </row>
    <row r="245" spans="1:13" s="15" customFormat="1" ht="12.75" hidden="1" outlineLevel="2">
      <c r="A245" s="15" t="s">
        <v>787</v>
      </c>
      <c r="B245" s="15" t="s">
        <v>788</v>
      </c>
      <c r="C245" s="134" t="s">
        <v>789</v>
      </c>
      <c r="D245" s="16"/>
      <c r="E245" s="16"/>
      <c r="F245" s="16">
        <v>50450000</v>
      </c>
      <c r="G245" s="16">
        <v>50450000</v>
      </c>
      <c r="H245" s="16">
        <f>+F245-G245</f>
        <v>0</v>
      </c>
      <c r="I245" s="53">
        <f>IF(G245&lt;0,IF(H245=0,0,IF(OR(G245=0,F245=0),"N.M.",IF(ABS(H245/G245)&gt;=10,"N.M.",H245/(-G245)))),IF(H245=0,0,IF(OR(G245=0,F245=0),"N.M.",IF(ABS(H245/G245)&gt;=10,"N.M.",H245/G245))))</f>
        <v>0</v>
      </c>
      <c r="J245" s="174"/>
      <c r="K245" s="257">
        <v>50450000</v>
      </c>
      <c r="L245" s="16">
        <f>+F245-K245</f>
        <v>0</v>
      </c>
      <c r="M245" s="53">
        <f>IF(K245&lt;0,IF(L245=0,0,IF(OR(K245=0,F245=0),"N.M.",IF(ABS(L245/K245)&gt;=10,"N.M.",L245/(-K245)))),IF(L245=0,0,IF(OR(K245=0,F245=0),"N.M.",IF(ABS(L245/K245)&gt;=10,"N.M.",L245/K245))))</f>
        <v>0</v>
      </c>
    </row>
    <row r="246" spans="1:13" ht="12.75" collapsed="1">
      <c r="A246" s="11" t="s">
        <v>249</v>
      </c>
      <c r="C246" s="111" t="s">
        <v>182</v>
      </c>
      <c r="D246" s="103"/>
      <c r="E246" s="104"/>
      <c r="F246" s="103">
        <v>50450000</v>
      </c>
      <c r="G246" s="103">
        <v>50450000</v>
      </c>
      <c r="H246" s="51">
        <f>+F246-G246</f>
        <v>0</v>
      </c>
      <c r="I246" s="136">
        <f>IF(G246&lt;0,IF(H246=0,0,IF(OR(G246=0,F246=0),"N.M.",IF(ABS(H246/G246)&gt;=10,"N.M.",H246/(-G246)))),IF(H246=0,0,IF(OR(G246=0,F246=0),"N.M.",IF(ABS(H246/G246)&gt;=10,"N.M.",H246/G246))))</f>
        <v>0</v>
      </c>
      <c r="J246" s="166"/>
      <c r="K246" s="103">
        <v>50450000</v>
      </c>
      <c r="L246" s="51">
        <f>+F246-K246</f>
        <v>0</v>
      </c>
      <c r="M246" s="136">
        <f>IF(K246&lt;0,IF(L246=0,0,IF(OR(K246=0,F246=0),"N.M.",IF(ABS(L246/K246)&gt;=10,"N.M.",L246/(-K246)))),IF(L246=0,0,IF(OR(K246=0,F246=0),"N.M.",IF(ABS(L246/K246)&gt;=10,"N.M.",L246/K246))))</f>
        <v>0</v>
      </c>
    </row>
    <row r="247" spans="3:13" ht="0.75" customHeight="1" hidden="1" outlineLevel="1">
      <c r="C247" s="111"/>
      <c r="D247" s="103"/>
      <c r="E247" s="104"/>
      <c r="F247" s="103"/>
      <c r="G247" s="103"/>
      <c r="H247" s="51"/>
      <c r="I247" s="136"/>
      <c r="J247" s="166"/>
      <c r="K247" s="103"/>
      <c r="L247" s="51"/>
      <c r="M247" s="136"/>
    </row>
    <row r="248" spans="1:13" ht="12.75" collapsed="1">
      <c r="A248" s="11" t="s">
        <v>250</v>
      </c>
      <c r="C248" s="111" t="s">
        <v>183</v>
      </c>
      <c r="D248" s="103"/>
      <c r="E248" s="104"/>
      <c r="F248" s="103">
        <v>0</v>
      </c>
      <c r="G248" s="103">
        <v>0</v>
      </c>
      <c r="H248" s="51">
        <f>+F248-G248</f>
        <v>0</v>
      </c>
      <c r="I248" s="136">
        <f>IF(G248&lt;0,IF(H248=0,0,IF(OR(G248=0,F248=0),"N.M.",IF(ABS(H248/G248)&gt;=10,"N.M.",H248/(-G248)))),IF(H248=0,0,IF(OR(G248=0,F248=0),"N.M.",IF(ABS(H248/G248)&gt;=10,"N.M.",H248/G248))))</f>
        <v>0</v>
      </c>
      <c r="J248" s="166"/>
      <c r="K248" s="103">
        <v>0</v>
      </c>
      <c r="L248" s="51">
        <f>+F248-K248</f>
        <v>0</v>
      </c>
      <c r="M248" s="136">
        <f>IF(K248&lt;0,IF(L248=0,0,IF(OR(K248=0,F248=0),"N.M.",IF(ABS(L248/K248)&gt;=10,"N.M.",L248/(-K248)))),IF(L248=0,0,IF(OR(K248=0,F248=0),"N.M.",IF(ABS(L248/K248)&gt;=10,"N.M.",L248/K248))))</f>
        <v>0</v>
      </c>
    </row>
    <row r="249" spans="3:13" ht="0.75" customHeight="1" hidden="1" outlineLevel="1">
      <c r="C249" s="111"/>
      <c r="D249" s="103"/>
      <c r="E249" s="104"/>
      <c r="F249" s="103"/>
      <c r="G249" s="103"/>
      <c r="H249" s="51"/>
      <c r="I249" s="136"/>
      <c r="J249" s="166"/>
      <c r="K249" s="103"/>
      <c r="L249" s="51"/>
      <c r="M249" s="136"/>
    </row>
    <row r="250" spans="1:13" s="15" customFormat="1" ht="12.75" hidden="1" outlineLevel="2">
      <c r="A250" s="15" t="s">
        <v>790</v>
      </c>
      <c r="B250" s="15" t="s">
        <v>791</v>
      </c>
      <c r="C250" s="134" t="s">
        <v>792</v>
      </c>
      <c r="D250" s="16"/>
      <c r="E250" s="16"/>
      <c r="F250" s="16">
        <v>238750000</v>
      </c>
      <c r="G250" s="16">
        <v>238750000</v>
      </c>
      <c r="H250" s="16">
        <f>+F250-G250</f>
        <v>0</v>
      </c>
      <c r="I250" s="53">
        <f>IF(G250&lt;0,IF(H250=0,0,IF(OR(G250=0,F250=0),"N.M.",IF(ABS(H250/G250)&gt;=10,"N.M.",H250/(-G250)))),IF(H250=0,0,IF(OR(G250=0,F250=0),"N.M.",IF(ABS(H250/G250)&gt;=10,"N.M.",H250/G250))))</f>
        <v>0</v>
      </c>
      <c r="J250" s="174"/>
      <c r="K250" s="257">
        <v>238750000</v>
      </c>
      <c r="L250" s="16">
        <f>+F250-K250</f>
        <v>0</v>
      </c>
      <c r="M250" s="53">
        <f>IF(K250&lt;0,IF(L250=0,0,IF(OR(K250=0,F250=0),"N.M.",IF(ABS(L250/K250)&gt;=10,"N.M.",L250/(-K250)))),IF(L250=0,0,IF(OR(K250=0,F250=0),"N.M.",IF(ABS(L250/K250)&gt;=10,"N.M.",L250/K250))))</f>
        <v>0</v>
      </c>
    </row>
    <row r="251" spans="1:13" s="15" customFormat="1" ht="12.75" hidden="1" outlineLevel="2">
      <c r="A251" s="15" t="s">
        <v>793</v>
      </c>
      <c r="B251" s="15" t="s">
        <v>794</v>
      </c>
      <c r="C251" s="134" t="s">
        <v>795</v>
      </c>
      <c r="D251" s="16"/>
      <c r="E251" s="16"/>
      <c r="F251" s="16">
        <v>-438945.76</v>
      </c>
      <c r="G251" s="16">
        <v>100219.6</v>
      </c>
      <c r="H251" s="16">
        <f>+F251-G251</f>
        <v>-539165.36</v>
      </c>
      <c r="I251" s="53">
        <f>IF(G251&lt;0,IF(H251=0,0,IF(OR(G251=0,F251=0),"N.M.",IF(ABS(H251/G251)&gt;=10,"N.M.",H251/(-G251)))),IF(H251=0,0,IF(OR(G251=0,F251=0),"N.M.",IF(ABS(H251/G251)&gt;=10,"N.M.",H251/G251))))</f>
        <v>-5.379839472518349</v>
      </c>
      <c r="J251" s="174"/>
      <c r="K251" s="257">
        <v>-137709.73</v>
      </c>
      <c r="L251" s="16">
        <f>+F251-K251</f>
        <v>-301236.03</v>
      </c>
      <c r="M251" s="53">
        <f>IF(K251&lt;0,IF(L251=0,0,IF(OR(K251=0,F251=0),"N.M.",IF(ABS(L251/K251)&gt;=10,"N.M.",L251/(-K251)))),IF(L251=0,0,IF(OR(K251=0,F251=0),"N.M.",IF(ABS(L251/K251)&gt;=10,"N.M.",L251/K251))))</f>
        <v>-2.187470921626235</v>
      </c>
    </row>
    <row r="252" spans="1:13" s="15" customFormat="1" ht="12.75" hidden="1" outlineLevel="2">
      <c r="A252" s="15" t="s">
        <v>796</v>
      </c>
      <c r="B252" s="15" t="s">
        <v>797</v>
      </c>
      <c r="C252" s="134" t="s">
        <v>798</v>
      </c>
      <c r="D252" s="16"/>
      <c r="E252" s="16"/>
      <c r="F252" s="16">
        <v>-417915.79000000004</v>
      </c>
      <c r="G252" s="16">
        <v>-478337.35000000003</v>
      </c>
      <c r="H252" s="16">
        <f>+F252-G252</f>
        <v>60421.56</v>
      </c>
      <c r="I252" s="53">
        <f>IF(G252&lt;0,IF(H252=0,0,IF(OR(G252=0,F252=0),"N.M.",IF(ABS(H252/G252)&gt;=10,"N.M.",H252/(-G252)))),IF(H252=0,0,IF(OR(G252=0,F252=0),"N.M.",IF(ABS(H252/G252)&gt;=10,"N.M.",H252/G252))))</f>
        <v>0.1263157894736842</v>
      </c>
      <c r="J252" s="174"/>
      <c r="K252" s="257">
        <v>-463231.96</v>
      </c>
      <c r="L252" s="16">
        <f>+F252-K252</f>
        <v>45316.169999999984</v>
      </c>
      <c r="M252" s="53">
        <f>IF(K252&lt;0,IF(L252=0,0,IF(OR(K252=0,F252=0),"N.M.",IF(ABS(L252/K252)&gt;=10,"N.M.",L252/(-K252)))),IF(L252=0,0,IF(OR(K252=0,F252=0),"N.M.",IF(ABS(L252/K252)&gt;=10,"N.M.",L252/K252))))</f>
        <v>0.0978260869565217</v>
      </c>
    </row>
    <row r="253" spans="1:13" ht="12.75" collapsed="1">
      <c r="A253" s="11" t="s">
        <v>251</v>
      </c>
      <c r="C253" s="111" t="s">
        <v>184</v>
      </c>
      <c r="D253" s="103"/>
      <c r="E253" s="104"/>
      <c r="F253" s="103">
        <v>237893138.45000002</v>
      </c>
      <c r="G253" s="103">
        <v>238371882.25</v>
      </c>
      <c r="H253" s="51">
        <f>+F253-G253</f>
        <v>-478743.7999999821</v>
      </c>
      <c r="I253" s="136">
        <f>IF(G253&lt;0,IF(H253=0,0,IF(OR(G253=0,F253=0),"N.M.",IF(ABS(H253/G253)&gt;=10,"N.M.",H253/(-G253)))),IF(H253=0,0,IF(OR(G253=0,F253=0),"N.M.",IF(ABS(H253/G253)&gt;=10,"N.M.",H253/G253))))</f>
        <v>-0.002008390400248149</v>
      </c>
      <c r="J253" s="166"/>
      <c r="K253" s="103">
        <v>238149058.31</v>
      </c>
      <c r="L253" s="51">
        <f>+F253-K253</f>
        <v>-255919.8599999845</v>
      </c>
      <c r="M253" s="136">
        <f>IF(K253&lt;0,IF(L253=0,0,IF(OR(K253=0,F253=0),"N.M.",IF(ABS(L253/K253)&gt;=10,"N.M.",L253/(-K253)))),IF(L253=0,0,IF(OR(K253=0,F253=0),"N.M.",IF(ABS(L253/K253)&gt;=10,"N.M.",L253/K253))))</f>
        <v>-0.001074620499514435</v>
      </c>
    </row>
    <row r="254" spans="3:13" ht="0.75" customHeight="1" hidden="1" outlineLevel="1">
      <c r="C254" s="111"/>
      <c r="D254" s="103"/>
      <c r="E254" s="104"/>
      <c r="F254" s="103"/>
      <c r="G254" s="103"/>
      <c r="H254" s="51"/>
      <c r="I254" s="136"/>
      <c r="J254" s="166"/>
      <c r="K254" s="103"/>
      <c r="L254" s="51"/>
      <c r="M254" s="136"/>
    </row>
    <row r="255" spans="1:13" ht="12.75" collapsed="1">
      <c r="A255" s="11" t="s">
        <v>252</v>
      </c>
      <c r="C255" s="112" t="s">
        <v>236</v>
      </c>
      <c r="D255" s="103"/>
      <c r="E255" s="104"/>
      <c r="F255" s="235">
        <v>146575862.87700003</v>
      </c>
      <c r="G255" s="235">
        <v>142220208.13699982</v>
      </c>
      <c r="H255" s="197">
        <f>+F255-G255</f>
        <v>4355654.740000218</v>
      </c>
      <c r="I255" s="138">
        <f>IF(G255&lt;0,IF(H255=0,0,IF(OR(G255=0,F255=0),"N.M.",IF(ABS(H255/G255)&gt;=10,"N.M.",H255/(-G255)))),IF(H255=0,0,IF(OR(G255=0,F255=0),"N.M.",IF(ABS(H255/G255)&gt;=10,"N.M.",H255/G255))))</f>
        <v>0.030626131103706752</v>
      </c>
      <c r="J255" s="166"/>
      <c r="K255" s="235">
        <v>143184638.96199968</v>
      </c>
      <c r="L255" s="197">
        <f>+F255-K255</f>
        <v>3391223.9150003493</v>
      </c>
      <c r="M255" s="138">
        <f>IF(K255&lt;0,IF(L255=0,0,IF(OR(K255=0,F255=0),"N.M.",IF(ABS(L255/K255)&gt;=10,"N.M.",L255/(-K255)))),IF(L255=0,0,IF(OR(K255=0,F255=0),"N.M.",IF(ABS(L255/K255)&gt;=10,"N.M.",L255/K255))))</f>
        <v>0.023684271857544435</v>
      </c>
    </row>
    <row r="256" spans="1:13" s="13" customFormat="1" ht="12.75">
      <c r="A256" s="13" t="s">
        <v>253</v>
      </c>
      <c r="C256" s="110" t="s">
        <v>178</v>
      </c>
      <c r="D256" s="33"/>
      <c r="F256" s="33">
        <v>434919001.32699996</v>
      </c>
      <c r="G256" s="33">
        <v>431042090.38699967</v>
      </c>
      <c r="H256" s="74">
        <f>+F256-G256</f>
        <v>3876910.9400002956</v>
      </c>
      <c r="I256" s="137">
        <f>IF(G256&lt;0,IF(H256=0,0,IF(OR(G256=0,F256=0),"N.M.",IF(ABS(H256/G256)&gt;=10,"N.M.",H256/(-G256)))),IF(H256=0,0,IF(OR(G256=0,F256=0),"N.M.",IF(ABS(H256/G256)&gt;=10,"N.M.",H256/G256))))</f>
        <v>0.008994274634571102</v>
      </c>
      <c r="J256" s="168"/>
      <c r="K256" s="33">
        <v>431783697.27199996</v>
      </c>
      <c r="L256" s="74">
        <f>+F256-K256</f>
        <v>3135304.055000007</v>
      </c>
      <c r="M256" s="137">
        <f>IF(K256&lt;0,IF(L256=0,0,IF(OR(K256=0,F256=0),"N.M.",IF(ABS(L256/K256)&gt;=10,"N.M.",L256/(-K256)))),IF(L256=0,0,IF(OR(K256=0,F256=0),"N.M.",IF(ABS(L256/K256)&gt;=10,"N.M.",L256/K256))))</f>
        <v>0.00726128400587792</v>
      </c>
    </row>
    <row r="257" spans="3:14" ht="12.75">
      <c r="C257" s="105"/>
      <c r="D257" s="105"/>
      <c r="E257" s="105"/>
      <c r="F257" s="108"/>
      <c r="G257" s="108"/>
      <c r="H257" s="108"/>
      <c r="I257" s="143"/>
      <c r="J257" s="169"/>
      <c r="K257" s="108"/>
      <c r="L257" s="108"/>
      <c r="M257" s="143"/>
      <c r="N257" s="105"/>
    </row>
    <row r="258" spans="3:13" ht="0.75" customHeight="1" hidden="1" outlineLevel="1">
      <c r="C258" s="105"/>
      <c r="D258" s="108"/>
      <c r="E258" s="107"/>
      <c r="F258" s="108"/>
      <c r="G258" s="108"/>
      <c r="H258" s="108"/>
      <c r="I258" s="141"/>
      <c r="J258" s="166"/>
      <c r="K258" s="108"/>
      <c r="L258" s="108"/>
      <c r="M258" s="141"/>
    </row>
    <row r="259" spans="1:13" ht="14.25" customHeight="1" collapsed="1">
      <c r="A259" s="11" t="s">
        <v>254</v>
      </c>
      <c r="C259" s="111" t="s">
        <v>185</v>
      </c>
      <c r="D259" s="103"/>
      <c r="E259" s="104"/>
      <c r="F259" s="103">
        <v>0</v>
      </c>
      <c r="G259" s="103">
        <v>0</v>
      </c>
      <c r="H259" s="51">
        <f>+F259-G259</f>
        <v>0</v>
      </c>
      <c r="I259" s="136">
        <f>IF(G259&lt;0,IF(H259=0,0,IF(OR(G259=0,F259=0),"N.M.",IF(ABS(H259/G259)&gt;=10,"N.M.",H259/(-G259)))),IF(H259=0,0,IF(OR(G259=0,F259=0),"N.M.",IF(ABS(H259/G259)&gt;=10,"N.M.",H259/G259))))</f>
        <v>0</v>
      </c>
      <c r="J259" s="166"/>
      <c r="K259" s="103">
        <v>0</v>
      </c>
      <c r="L259" s="51">
        <f>+F259-K259</f>
        <v>0</v>
      </c>
      <c r="M259" s="136">
        <f>IF(K259&lt;0,IF(L259=0,0,IF(OR(K259=0,F259=0),"N.M.",IF(ABS(L259/K259)&gt;=10,"N.M.",L259/(-K259)))),IF(L259=0,0,IF(OR(K259=0,F259=0),"N.M.",IF(ABS(L259/K259)&gt;=10,"N.M.",L259/K259))))</f>
        <v>0</v>
      </c>
    </row>
    <row r="260" spans="3:13" ht="0.75" customHeight="1" hidden="1" outlineLevel="1">
      <c r="C260" s="111"/>
      <c r="D260" s="103"/>
      <c r="E260" s="104"/>
      <c r="F260" s="103"/>
      <c r="G260" s="103"/>
      <c r="H260" s="51"/>
      <c r="I260" s="136"/>
      <c r="J260" s="166"/>
      <c r="K260" s="103"/>
      <c r="L260" s="51"/>
      <c r="M260" s="136"/>
    </row>
    <row r="261" spans="1:13" ht="12.75" collapsed="1">
      <c r="A261" s="11" t="s">
        <v>255</v>
      </c>
      <c r="C261" s="112" t="s">
        <v>186</v>
      </c>
      <c r="D261" s="103"/>
      <c r="E261" s="104"/>
      <c r="F261" s="235">
        <v>0</v>
      </c>
      <c r="G261" s="235">
        <v>0</v>
      </c>
      <c r="H261" s="197">
        <f>+F261-G261</f>
        <v>0</v>
      </c>
      <c r="I261" s="138">
        <f>IF(G261&lt;0,IF(H261=0,0,IF(OR(G261=0,F261=0),"N.M.",IF(ABS(H261/G261)&gt;=10,"N.M.",H261/(-G261)))),IF(H261=0,0,IF(OR(G261=0,F261=0),"N.M.",IF(ABS(H261/G261)&gt;=10,"N.M.",H261/G261))))</f>
        <v>0</v>
      </c>
      <c r="J261" s="166"/>
      <c r="K261" s="235">
        <v>0</v>
      </c>
      <c r="L261" s="197">
        <f>+F261-K261</f>
        <v>0</v>
      </c>
      <c r="M261" s="138">
        <f>IF(K261&lt;0,IF(L261=0,0,IF(OR(K261=0,F261=0),"N.M.",IF(ABS(L261/K261)&gt;=10,"N.M.",L261/(-K261)))),IF(L261=0,0,IF(OR(K261=0,F261=0),"N.M.",IF(ABS(L261/K261)&gt;=10,"N.M.",L261/K261))))</f>
        <v>0</v>
      </c>
    </row>
    <row r="262" spans="3:13" s="13" customFormat="1" ht="12.75">
      <c r="C262" s="110" t="s">
        <v>179</v>
      </c>
      <c r="D262" s="33"/>
      <c r="F262" s="33">
        <f>+F261+F259</f>
        <v>0</v>
      </c>
      <c r="G262" s="33"/>
      <c r="H262" s="74">
        <f>+F262-G262</f>
        <v>0</v>
      </c>
      <c r="I262" s="137">
        <f>IF(G262&lt;0,IF(H262=0,0,IF(OR(G262=0,F262=0),"N.M.",IF(ABS(H262/G262)&gt;=10,"N.M.",H262/(-G262)))),IF(H262=0,0,IF(OR(G262=0,F262=0),"N.M.",IF(ABS(H262/G262)&gt;=10,"N.M.",H262/G262))))</f>
        <v>0</v>
      </c>
      <c r="J262" s="168"/>
      <c r="K262" s="33">
        <f>+K261+K259</f>
        <v>0</v>
      </c>
      <c r="L262" s="74">
        <f>+F262-K262</f>
        <v>0</v>
      </c>
      <c r="M262" s="137">
        <f>IF(K262&lt;0,IF(L262=0,0,IF(OR(K262=0,F262=0),"N.M.",IF(ABS(L262/K262)&gt;=10,"N.M.",L262/(-K262)))),IF(L262=0,0,IF(OR(K262=0,F262=0),"N.M.",IF(ABS(L262/K262)&gt;=10,"N.M.",L262/K262))))</f>
        <v>0</v>
      </c>
    </row>
    <row r="263" spans="3:13" ht="12.75">
      <c r="C263" s="105"/>
      <c r="D263" s="108"/>
      <c r="E263" s="107"/>
      <c r="F263" s="108"/>
      <c r="G263" s="108"/>
      <c r="H263" s="108"/>
      <c r="I263" s="141"/>
      <c r="J263" s="166"/>
      <c r="K263" s="108"/>
      <c r="L263" s="108"/>
      <c r="M263" s="141"/>
    </row>
    <row r="264" spans="1:13" s="14" customFormat="1" ht="12.75">
      <c r="A264" s="14" t="s">
        <v>256</v>
      </c>
      <c r="C264" s="109" t="s">
        <v>180</v>
      </c>
      <c r="D264" s="31"/>
      <c r="F264" s="31">
        <v>0</v>
      </c>
      <c r="G264" s="31">
        <v>0</v>
      </c>
      <c r="H264" s="74">
        <f>+F264-G264</f>
        <v>0</v>
      </c>
      <c r="I264" s="137">
        <f>IF(G264&lt;0,IF(H264=0,0,IF(OR(G264=0,F264=0),"N.M.",IF(ABS(H264/G264)&gt;=10,"N.M.",H264/(-G264)))),IF(H264=0,0,IF(OR(G264=0,F264=0),"N.M.",IF(ABS(H264/G264)&gt;=10,"N.M.",H264/G264))))</f>
        <v>0</v>
      </c>
      <c r="J264" s="170"/>
      <c r="K264" s="31">
        <v>0</v>
      </c>
      <c r="L264" s="74">
        <f>+F264-K264</f>
        <v>0</v>
      </c>
      <c r="M264" s="137">
        <f>IF(K264&lt;0,IF(L264=0,0,IF(OR(K264=0,F264=0),"N.M.",IF(ABS(L264/K264)&gt;=10,"N.M.",L264/(-K264)))),IF(L264=0,0,IF(OR(K264=0,F264=0),"N.M.",IF(ABS(L264/K264)&gt;=10,"N.M.",L264/K264))))</f>
        <v>0</v>
      </c>
    </row>
    <row r="265" spans="3:13" ht="12.75">
      <c r="C265" s="105"/>
      <c r="D265" s="108"/>
      <c r="E265" s="107"/>
      <c r="F265" s="108"/>
      <c r="G265" s="108"/>
      <c r="H265" s="108"/>
      <c r="I265" s="141"/>
      <c r="J265" s="166"/>
      <c r="K265" s="108"/>
      <c r="L265" s="108"/>
      <c r="M265" s="141"/>
    </row>
    <row r="266" spans="3:13" ht="0.75" customHeight="1" hidden="1" outlineLevel="1">
      <c r="C266" s="105"/>
      <c r="D266" s="108"/>
      <c r="E266" s="107"/>
      <c r="F266" s="108"/>
      <c r="G266" s="108"/>
      <c r="H266" s="108"/>
      <c r="I266" s="141"/>
      <c r="J266" s="166"/>
      <c r="K266" s="108"/>
      <c r="L266" s="108"/>
      <c r="M266" s="141"/>
    </row>
    <row r="267" spans="1:13" s="15" customFormat="1" ht="12.75" hidden="1" outlineLevel="2">
      <c r="A267" s="15" t="s">
        <v>799</v>
      </c>
      <c r="B267" s="15" t="s">
        <v>800</v>
      </c>
      <c r="C267" s="134" t="s">
        <v>801</v>
      </c>
      <c r="D267" s="16"/>
      <c r="E267" s="16"/>
      <c r="F267" s="16">
        <v>20000000</v>
      </c>
      <c r="G267" s="16">
        <v>20000000</v>
      </c>
      <c r="H267" s="16">
        <f>+F267-G267</f>
        <v>0</v>
      </c>
      <c r="I267" s="53">
        <f>IF(G267&lt;0,IF(H267=0,0,IF(OR(G267=0,F267=0),"N.M.",IF(ABS(H267/G267)&gt;=10,"N.M.",H267/(-G267)))),IF(H267=0,0,IF(OR(G267=0,F267=0),"N.M.",IF(ABS(H267/G267)&gt;=10,"N.M.",H267/G267))))</f>
        <v>0</v>
      </c>
      <c r="J267" s="174"/>
      <c r="K267" s="257">
        <v>20000000</v>
      </c>
      <c r="L267" s="16">
        <f>+F267-K267</f>
        <v>0</v>
      </c>
      <c r="M267" s="53">
        <f>IF(K267&lt;0,IF(L267=0,0,IF(OR(K267=0,F267=0),"N.M.",IF(ABS(L267/K267)&gt;=10,"N.M.",L267/(-K267)))),IF(L267=0,0,IF(OR(K267=0,F267=0),"N.M.",IF(ABS(L267/K267)&gt;=10,"N.M.",L267/K267))))</f>
        <v>0</v>
      </c>
    </row>
    <row r="268" spans="1:13" s="15" customFormat="1" ht="12.75" hidden="1" outlineLevel="2">
      <c r="A268" s="15" t="s">
        <v>802</v>
      </c>
      <c r="B268" s="15" t="s">
        <v>803</v>
      </c>
      <c r="C268" s="134" t="s">
        <v>804</v>
      </c>
      <c r="D268" s="16"/>
      <c r="E268" s="16"/>
      <c r="F268" s="16">
        <v>530000000</v>
      </c>
      <c r="G268" s="16">
        <v>530000000</v>
      </c>
      <c r="H268" s="16">
        <f>+F268-G268</f>
        <v>0</v>
      </c>
      <c r="I268" s="53">
        <f>IF(G268&lt;0,IF(H268=0,0,IF(OR(G268=0,F268=0),"N.M.",IF(ABS(H268/G268)&gt;=10,"N.M.",H268/(-G268)))),IF(H268=0,0,IF(OR(G268=0,F268=0),"N.M.",IF(ABS(H268/G268)&gt;=10,"N.M.",H268/G268))))</f>
        <v>0</v>
      </c>
      <c r="J268" s="174"/>
      <c r="K268" s="257">
        <v>530000000</v>
      </c>
      <c r="L268" s="16">
        <f>+F268-K268</f>
        <v>0</v>
      </c>
      <c r="M268" s="53">
        <f>IF(K268&lt;0,IF(L268=0,0,IF(OR(K268=0,F268=0),"N.M.",IF(ABS(L268/K268)&gt;=10,"N.M.",L268/(-K268)))),IF(L268=0,0,IF(OR(K268=0,F268=0),"N.M.",IF(ABS(L268/K268)&gt;=10,"N.M.",L268/K268))))</f>
        <v>0</v>
      </c>
    </row>
    <row r="269" spans="1:13" s="15" customFormat="1" ht="12.75" hidden="1" outlineLevel="2">
      <c r="A269" s="15" t="s">
        <v>805</v>
      </c>
      <c r="B269" s="15" t="s">
        <v>806</v>
      </c>
      <c r="C269" s="134" t="s">
        <v>807</v>
      </c>
      <c r="D269" s="16"/>
      <c r="E269" s="16"/>
      <c r="F269" s="16">
        <v>-1153181.25</v>
      </c>
      <c r="G269" s="16">
        <v>-1319906.25</v>
      </c>
      <c r="H269" s="16">
        <f>+F269-G269</f>
        <v>166725</v>
      </c>
      <c r="I269" s="53">
        <f>IF(G269&lt;0,IF(H269=0,0,IF(OR(G269=0,F269=0),"N.M.",IF(ABS(H269/G269)&gt;=10,"N.M.",H269/(-G269)))),IF(H269=0,0,IF(OR(G269=0,F269=0),"N.M.",IF(ABS(H269/G269)&gt;=10,"N.M.",H269/G269))))</f>
        <v>0.12631578947368421</v>
      </c>
      <c r="J269" s="174"/>
      <c r="K269" s="257">
        <v>-1278225</v>
      </c>
      <c r="L269" s="16">
        <f>+F269-K269</f>
        <v>125043.75</v>
      </c>
      <c r="M269" s="53">
        <f>IF(K269&lt;0,IF(L269=0,0,IF(OR(K269=0,F269=0),"N.M.",IF(ABS(L269/K269)&gt;=10,"N.M.",L269/(-K269)))),IF(L269=0,0,IF(OR(K269=0,F269=0),"N.M.",IF(ABS(L269/K269)&gt;=10,"N.M.",L269/K269))))</f>
        <v>0.09782608695652174</v>
      </c>
    </row>
    <row r="270" spans="1:13" s="13" customFormat="1" ht="12.75" collapsed="1">
      <c r="A270" s="13" t="s">
        <v>257</v>
      </c>
      <c r="C270" s="109" t="s">
        <v>187</v>
      </c>
      <c r="D270" s="33"/>
      <c r="F270" s="33">
        <v>548846818.75</v>
      </c>
      <c r="G270" s="33">
        <v>548680093.75</v>
      </c>
      <c r="H270" s="74">
        <f>+F270-G270</f>
        <v>166725</v>
      </c>
      <c r="I270" s="137">
        <f>IF(G270&lt;0,IF(H270=0,0,IF(OR(G270=0,F270=0),"N.M.",IF(ABS(H270/G270)&gt;=10,"N.M.",H270/(-G270)))),IF(H270=0,0,IF(OR(G270=0,F270=0),"N.M.",IF(ABS(H270/G270)&gt;=10,"N.M.",H270/G270))))</f>
        <v>0.00030386558925530547</v>
      </c>
      <c r="J270" s="168"/>
      <c r="K270" s="33">
        <v>548721775</v>
      </c>
      <c r="L270" s="74">
        <f>+F270-K270</f>
        <v>125043.75</v>
      </c>
      <c r="M270" s="137">
        <f>IF(K270&lt;0,IF(L270=0,0,IF(OR(K270=0,F270=0),"N.M.",IF(ABS(L270/K270)&gt;=10,"N.M.",L270/(-K270)))),IF(L270=0,0,IF(OR(K270=0,F270=0),"N.M.",IF(ABS(L270/K270)&gt;=10,"N.M.",L270/K270))))</f>
        <v>0.00022788188057599866</v>
      </c>
    </row>
    <row r="271" spans="1:13" ht="12.75">
      <c r="A271" s="11" t="s">
        <v>181</v>
      </c>
      <c r="C271" s="113"/>
      <c r="D271" s="103"/>
      <c r="E271" s="104"/>
      <c r="F271" s="235"/>
      <c r="G271" s="235"/>
      <c r="H271" s="235"/>
      <c r="I271" s="144"/>
      <c r="J271" s="166"/>
      <c r="K271" s="235"/>
      <c r="L271" s="235"/>
      <c r="M271" s="144"/>
    </row>
    <row r="272" spans="1:13" s="13" customFormat="1" ht="12.75">
      <c r="A272" s="13" t="s">
        <v>258</v>
      </c>
      <c r="C272" s="13" t="s">
        <v>176</v>
      </c>
      <c r="D272" s="33"/>
      <c r="F272" s="33">
        <v>983765820.0770006</v>
      </c>
      <c r="G272" s="33">
        <v>979722184.1369998</v>
      </c>
      <c r="H272" s="74">
        <f>+F272-G272</f>
        <v>4043635.9400007725</v>
      </c>
      <c r="I272" s="137">
        <f>IF(G272&lt;0,IF(H272=0,0,IF(OR(G272=0,F272=0),"N.M.",IF(ABS(H272/G272)&gt;=10,"N.M.",H272/(-G272)))),IF(H272=0,0,IF(OR(G272=0,F272=0),"N.M.",IF(ABS(H272/G272)&gt;=10,"N.M.",H272/G272))))</f>
        <v>0.004127329160728006</v>
      </c>
      <c r="J272" s="168"/>
      <c r="K272" s="33">
        <v>980505472.2719994</v>
      </c>
      <c r="L272" s="74">
        <f>+F272-K272</f>
        <v>3260347.805001259</v>
      </c>
      <c r="M272" s="137">
        <f>IF(K272&lt;0,IF(L272=0,0,IF(OR(K272=0,F272=0),"N.M.",IF(ABS(L272/K272)&gt;=10,"N.M.",L272/(-K272)))),IF(L272=0,0,IF(OR(K272=0,F272=0),"N.M.",IF(ABS(L272/K272)&gt;=10,"N.M.",L272/K272))))</f>
        <v>0.003325170432191953</v>
      </c>
    </row>
    <row r="273" spans="4:13" ht="12.75">
      <c r="D273" s="106"/>
      <c r="E273" s="11"/>
      <c r="F273" s="234" t="str">
        <f>IF(ABS(+F256+F259+F261+F264+F270-F272)&gt;$C$573,$N$183," ")</f>
        <v> </v>
      </c>
      <c r="G273" s="234" t="str">
        <f>IF(ABS(+G256+G259+G261+G264+G270-G272)&gt;$C$573,$N$183," ")</f>
        <v> </v>
      </c>
      <c r="H273" s="234" t="str">
        <f>IF(ABS(+H256+H259+H261+H264+H270-H272)&gt;$C$573,$N$183," ")</f>
        <v> </v>
      </c>
      <c r="I273" s="141"/>
      <c r="J273" s="166"/>
      <c r="K273" s="234" t="str">
        <f>IF(ABS(+K256+K259+K261+K264+K270-K272)&gt;$C$573,$N$183," ")</f>
        <v> </v>
      </c>
      <c r="L273" s="234" t="str">
        <f>IF(ABS(+L256+L259+L261+L264+L270-L272)&gt;$C$573,$N$183," ")</f>
        <v> </v>
      </c>
      <c r="M273" s="141"/>
    </row>
    <row r="274" spans="3:13" ht="0.75" customHeight="1" hidden="1" outlineLevel="1">
      <c r="C274" s="119"/>
      <c r="D274" s="108"/>
      <c r="E274" s="107"/>
      <c r="F274" s="108"/>
      <c r="G274" s="108"/>
      <c r="H274" s="108"/>
      <c r="I274" s="141"/>
      <c r="J274" s="166"/>
      <c r="K274" s="108"/>
      <c r="L274" s="108"/>
      <c r="M274" s="141"/>
    </row>
    <row r="275" spans="1:13" s="15" customFormat="1" ht="12.75" hidden="1" outlineLevel="2">
      <c r="A275" s="15" t="s">
        <v>808</v>
      </c>
      <c r="B275" s="15" t="s">
        <v>809</v>
      </c>
      <c r="C275" s="134" t="s">
        <v>810</v>
      </c>
      <c r="D275" s="16"/>
      <c r="E275" s="16"/>
      <c r="F275" s="16">
        <v>2918171.12</v>
      </c>
      <c r="G275" s="16">
        <v>1178616.1</v>
      </c>
      <c r="H275" s="16">
        <f>+F275-G275</f>
        <v>1739555.02</v>
      </c>
      <c r="I275" s="53">
        <f>IF(G275&lt;0,IF(H275=0,0,IF(OR(G275=0,F275=0),"N.M.",IF(ABS(H275/G275)&gt;=10,"N.M.",H275/(-G275)))),IF(H275=0,0,IF(OR(G275=0,F275=0),"N.M.",IF(ABS(H275/G275)&gt;=10,"N.M.",H275/G275))))</f>
        <v>1.475930135351112</v>
      </c>
      <c r="J275" s="174"/>
      <c r="K275" s="257">
        <v>1111891.07</v>
      </c>
      <c r="L275" s="16">
        <f>+F275-K275</f>
        <v>1806280.05</v>
      </c>
      <c r="M275" s="53">
        <f>IF(K275&lt;0,IF(L275=0,0,IF(OR(K275=0,F275=0),"N.M.",IF(ABS(L275/K275)&gt;=10,"N.M.",L275/(-K275)))),IF(L275=0,0,IF(OR(K275=0,F275=0),"N.M.",IF(ABS(L275/K275)&gt;=10,"N.M.",L275/K275))))</f>
        <v>1.6245116978950105</v>
      </c>
    </row>
    <row r="276" spans="1:13" s="15" customFormat="1" ht="12.75" hidden="1" outlineLevel="2">
      <c r="A276" s="15" t="s">
        <v>811</v>
      </c>
      <c r="B276" s="15" t="s">
        <v>812</v>
      </c>
      <c r="C276" s="134" t="s">
        <v>813</v>
      </c>
      <c r="D276" s="16"/>
      <c r="E276" s="16"/>
      <c r="F276" s="16">
        <v>4904.5</v>
      </c>
      <c r="G276" s="16">
        <v>21327</v>
      </c>
      <c r="H276" s="16">
        <f>+F276-G276</f>
        <v>-16422.5</v>
      </c>
      <c r="I276" s="53">
        <f>IF(G276&lt;0,IF(H276=0,0,IF(OR(G276=0,F276=0),"N.M.",IF(ABS(H276/G276)&gt;=10,"N.M.",H276/(-G276)))),IF(H276=0,0,IF(OR(G276=0,F276=0),"N.M.",IF(ABS(H276/G276)&gt;=10,"N.M.",H276/G276))))</f>
        <v>-0.7700332911333052</v>
      </c>
      <c r="J276" s="174"/>
      <c r="K276" s="257">
        <v>1210.88</v>
      </c>
      <c r="L276" s="16">
        <f>+F276-K276</f>
        <v>3693.62</v>
      </c>
      <c r="M276" s="53">
        <f>IF(K276&lt;0,IF(L276=0,0,IF(OR(K276=0,F276=0),"N.M.",IF(ABS(L276/K276)&gt;=10,"N.M.",L276/(-K276)))),IF(L276=0,0,IF(OR(K276=0,F276=0),"N.M.",IF(ABS(L276/K276)&gt;=10,"N.M.",L276/K276))))</f>
        <v>3.050360068710359</v>
      </c>
    </row>
    <row r="277" spans="1:13" ht="12.75" collapsed="1">
      <c r="A277" s="11" t="s">
        <v>259</v>
      </c>
      <c r="C277" s="120" t="s">
        <v>190</v>
      </c>
      <c r="D277" s="103"/>
      <c r="E277" s="104"/>
      <c r="F277" s="103">
        <v>2923075.62</v>
      </c>
      <c r="G277" s="103">
        <v>1199943.1</v>
      </c>
      <c r="H277" s="51">
        <f>+F277-G277</f>
        <v>1723132.52</v>
      </c>
      <c r="I277" s="136">
        <f>IF(G277&lt;0,IF(H277=0,0,IF(OR(G277=0,F277=0),"N.M.",IF(ABS(H277/G277)&gt;=10,"N.M.",H277/(-G277)))),IF(H277=0,0,IF(OR(G277=0,F277=0),"N.M.",IF(ABS(H277/G277)&gt;=10,"N.M.",H277/G277))))</f>
        <v>1.436011857562246</v>
      </c>
      <c r="J277" s="166"/>
      <c r="K277" s="103">
        <v>1113101.95</v>
      </c>
      <c r="L277" s="51">
        <f>+F277-K277</f>
        <v>1809973.6700000002</v>
      </c>
      <c r="M277" s="136">
        <f>IF(K277&lt;0,IF(L277=0,0,IF(OR(K277=0,F277=0),"N.M.",IF(ABS(L277/K277)&gt;=10,"N.M.",L277/(-K277)))),IF(L277=0,0,IF(OR(K277=0,F277=0),"N.M.",IF(ABS(L277/K277)&gt;=10,"N.M.",L277/K277))))</f>
        <v>1.626062796853424</v>
      </c>
    </row>
    <row r="278" spans="3:13" ht="0.75" customHeight="1" hidden="1" outlineLevel="1">
      <c r="C278" s="120"/>
      <c r="D278" s="103"/>
      <c r="E278" s="104"/>
      <c r="F278" s="103"/>
      <c r="G278" s="103"/>
      <c r="H278" s="51"/>
      <c r="I278" s="136"/>
      <c r="J278" s="166"/>
      <c r="K278" s="103"/>
      <c r="L278" s="51"/>
      <c r="M278" s="136"/>
    </row>
    <row r="279" spans="1:13" ht="12.75" collapsed="1">
      <c r="A279" s="11" t="s">
        <v>260</v>
      </c>
      <c r="C279" s="120" t="s">
        <v>191</v>
      </c>
      <c r="E279" s="11"/>
      <c r="F279" s="18">
        <v>0</v>
      </c>
      <c r="G279" s="18">
        <v>0</v>
      </c>
      <c r="H279" s="51">
        <f>+F279-G279</f>
        <v>0</v>
      </c>
      <c r="I279" s="136">
        <f>IF(G279&lt;0,IF(H279=0,0,IF(OR(G279=0,F279=0),"N.M.",IF(ABS(H279/G279)&gt;=10,"N.M.",H279/(-G279)))),IF(H279=0,0,IF(OR(G279=0,F279=0),"N.M.",IF(ABS(H279/G279)&gt;=10,"N.M.",H279/G279))))</f>
        <v>0</v>
      </c>
      <c r="J279" s="166"/>
      <c r="K279" s="18">
        <v>0</v>
      </c>
      <c r="L279" s="51">
        <f>+F279-K279</f>
        <v>0</v>
      </c>
      <c r="M279" s="136">
        <f>IF(K279&lt;0,IF(L279=0,0,IF(OR(K279=0,F279=0),"N.M.",IF(ABS(L279/K279)&gt;=10,"N.M.",L279/(-K279)))),IF(L279=0,0,IF(OR(K279=0,F279=0),"N.M.",IF(ABS(L279/K279)&gt;=10,"N.M.",L279/K279))))</f>
        <v>0</v>
      </c>
    </row>
    <row r="280" spans="3:13" ht="0.75" customHeight="1" hidden="1" outlineLevel="1">
      <c r="C280" s="120"/>
      <c r="E280" s="11"/>
      <c r="H280" s="51"/>
      <c r="I280" s="136"/>
      <c r="J280" s="166"/>
      <c r="K280" s="18"/>
      <c r="L280" s="51"/>
      <c r="M280" s="136"/>
    </row>
    <row r="281" spans="1:13" s="15" customFormat="1" ht="12.75" hidden="1" outlineLevel="2">
      <c r="A281" s="15" t="s">
        <v>814</v>
      </c>
      <c r="B281" s="15" t="s">
        <v>815</v>
      </c>
      <c r="C281" s="134" t="s">
        <v>816</v>
      </c>
      <c r="D281" s="16"/>
      <c r="E281" s="16"/>
      <c r="F281" s="16">
        <v>58844.64</v>
      </c>
      <c r="G281" s="16">
        <v>69928.91</v>
      </c>
      <c r="H281" s="16">
        <f aca="true" t="shared" si="53" ref="H281:H293">+F281-G281</f>
        <v>-11084.270000000004</v>
      </c>
      <c r="I281" s="53">
        <f aca="true" t="shared" si="54" ref="I281:I293">IF(G281&lt;0,IF(H281=0,0,IF(OR(G281=0,F281=0),"N.M.",IF(ABS(H281/G281)&gt;=10,"N.M.",H281/(-G281)))),IF(H281=0,0,IF(OR(G281=0,F281=0),"N.M.",IF(ABS(H281/G281)&gt;=10,"N.M.",H281/G281))))</f>
        <v>-0.15850769016705685</v>
      </c>
      <c r="J281" s="174"/>
      <c r="K281" s="257">
        <v>61505.76</v>
      </c>
      <c r="L281" s="16">
        <f aca="true" t="shared" si="55" ref="L281:L293">+F281-K281</f>
        <v>-2661.1200000000026</v>
      </c>
      <c r="M281" s="53">
        <f aca="true" t="shared" si="56" ref="M281:M293">IF(K281&lt;0,IF(L281=0,0,IF(OR(K281=0,F281=0),"N.M.",IF(ABS(L281/K281)&gt;=10,"N.M.",L281/(-K281)))),IF(L281=0,0,IF(OR(K281=0,F281=0),"N.M.",IF(ABS(L281/K281)&gt;=10,"N.M.",L281/K281))))</f>
        <v>-0.043266191654245105</v>
      </c>
    </row>
    <row r="282" spans="1:13" s="15" customFormat="1" ht="12.75" hidden="1" outlineLevel="2">
      <c r="A282" s="15" t="s">
        <v>817</v>
      </c>
      <c r="B282" s="15" t="s">
        <v>818</v>
      </c>
      <c r="C282" s="134" t="s">
        <v>819</v>
      </c>
      <c r="D282" s="16"/>
      <c r="E282" s="16"/>
      <c r="F282" s="16">
        <v>129247.96</v>
      </c>
      <c r="G282" s="16">
        <v>127772.83</v>
      </c>
      <c r="H282" s="16">
        <f t="shared" si="53"/>
        <v>1475.1300000000047</v>
      </c>
      <c r="I282" s="53">
        <f t="shared" si="54"/>
        <v>0.011544942692433162</v>
      </c>
      <c r="J282" s="174"/>
      <c r="K282" s="257">
        <v>128472.79000000001</v>
      </c>
      <c r="L282" s="16">
        <f t="shared" si="55"/>
        <v>775.1699999999983</v>
      </c>
      <c r="M282" s="53">
        <f t="shared" si="56"/>
        <v>0.006033729009854914</v>
      </c>
    </row>
    <row r="283" spans="1:13" s="15" customFormat="1" ht="12.75" hidden="1" outlineLevel="2">
      <c r="A283" s="15" t="s">
        <v>820</v>
      </c>
      <c r="B283" s="15" t="s">
        <v>821</v>
      </c>
      <c r="C283" s="134" t="s">
        <v>822</v>
      </c>
      <c r="D283" s="16"/>
      <c r="E283" s="16"/>
      <c r="F283" s="16">
        <v>662005.27</v>
      </c>
      <c r="G283" s="16">
        <v>590271</v>
      </c>
      <c r="H283" s="16">
        <f t="shared" si="53"/>
        <v>71734.27000000002</v>
      </c>
      <c r="I283" s="53">
        <f t="shared" si="54"/>
        <v>0.12152768812968961</v>
      </c>
      <c r="J283" s="174"/>
      <c r="K283" s="257">
        <v>638495.23</v>
      </c>
      <c r="L283" s="16">
        <f t="shared" si="55"/>
        <v>23510.040000000037</v>
      </c>
      <c r="M283" s="53">
        <f t="shared" si="56"/>
        <v>0.03682101117654401</v>
      </c>
    </row>
    <row r="284" spans="1:13" s="15" customFormat="1" ht="12.75" hidden="1" outlineLevel="2">
      <c r="A284" s="15" t="s">
        <v>823</v>
      </c>
      <c r="B284" s="15" t="s">
        <v>824</v>
      </c>
      <c r="C284" s="134" t="s">
        <v>825</v>
      </c>
      <c r="D284" s="16"/>
      <c r="E284" s="16"/>
      <c r="F284" s="16">
        <v>5341247.09</v>
      </c>
      <c r="G284" s="16">
        <v>4799537.51</v>
      </c>
      <c r="H284" s="16">
        <f t="shared" si="53"/>
        <v>541709.5800000001</v>
      </c>
      <c r="I284" s="53">
        <f t="shared" si="54"/>
        <v>0.11286703747420032</v>
      </c>
      <c r="J284" s="174"/>
      <c r="K284" s="257">
        <v>5007379.01</v>
      </c>
      <c r="L284" s="16">
        <f t="shared" si="55"/>
        <v>333868.0800000001</v>
      </c>
      <c r="M284" s="53">
        <f t="shared" si="56"/>
        <v>0.06667521658201785</v>
      </c>
    </row>
    <row r="285" spans="1:13" s="15" customFormat="1" ht="12.75" hidden="1" outlineLevel="2">
      <c r="A285" s="15" t="s">
        <v>826</v>
      </c>
      <c r="B285" s="15" t="s">
        <v>827</v>
      </c>
      <c r="C285" s="134" t="s">
        <v>671</v>
      </c>
      <c r="D285" s="16"/>
      <c r="E285" s="16"/>
      <c r="F285" s="16">
        <v>5182903.62</v>
      </c>
      <c r="G285" s="16">
        <v>5663168.3100000005</v>
      </c>
      <c r="H285" s="16">
        <f t="shared" si="53"/>
        <v>-480264.6900000004</v>
      </c>
      <c r="I285" s="53">
        <f t="shared" si="54"/>
        <v>-0.08480494728577127</v>
      </c>
      <c r="J285" s="174"/>
      <c r="K285" s="257">
        <v>6098839.39</v>
      </c>
      <c r="L285" s="16">
        <f t="shared" si="55"/>
        <v>-915935.7699999996</v>
      </c>
      <c r="M285" s="53">
        <f t="shared" si="56"/>
        <v>-0.15018197913226233</v>
      </c>
    </row>
    <row r="286" spans="1:13" s="15" customFormat="1" ht="12.75" hidden="1" outlineLevel="2">
      <c r="A286" s="15" t="s">
        <v>828</v>
      </c>
      <c r="B286" s="15" t="s">
        <v>829</v>
      </c>
      <c r="C286" s="134" t="s">
        <v>830</v>
      </c>
      <c r="D286" s="16"/>
      <c r="E286" s="16"/>
      <c r="F286" s="16">
        <v>-3044980.6</v>
      </c>
      <c r="G286" s="16">
        <v>1661562.1800000002</v>
      </c>
      <c r="H286" s="16">
        <f t="shared" si="53"/>
        <v>-4706542.78</v>
      </c>
      <c r="I286" s="53">
        <f t="shared" si="54"/>
        <v>-2.832601052582937</v>
      </c>
      <c r="J286" s="174"/>
      <c r="K286" s="257">
        <v>0</v>
      </c>
      <c r="L286" s="16">
        <f t="shared" si="55"/>
        <v>-3044980.6</v>
      </c>
      <c r="M286" s="53" t="str">
        <f t="shared" si="56"/>
        <v>N.M.</v>
      </c>
    </row>
    <row r="287" spans="1:13" s="15" customFormat="1" ht="12.75" hidden="1" outlineLevel="2">
      <c r="A287" s="15" t="s">
        <v>831</v>
      </c>
      <c r="B287" s="15" t="s">
        <v>832</v>
      </c>
      <c r="C287" s="134" t="s">
        <v>833</v>
      </c>
      <c r="D287" s="16"/>
      <c r="E287" s="16"/>
      <c r="F287" s="16">
        <v>621298.48</v>
      </c>
      <c r="G287" s="16">
        <v>533576.95</v>
      </c>
      <c r="H287" s="16">
        <f t="shared" si="53"/>
        <v>87721.53000000003</v>
      </c>
      <c r="I287" s="53">
        <f t="shared" si="54"/>
        <v>0.16440277264600736</v>
      </c>
      <c r="J287" s="174"/>
      <c r="K287" s="257">
        <v>674441.3</v>
      </c>
      <c r="L287" s="16">
        <f t="shared" si="55"/>
        <v>-53142.820000000065</v>
      </c>
      <c r="M287" s="53">
        <f t="shared" si="56"/>
        <v>-0.07879532288428966</v>
      </c>
    </row>
    <row r="288" spans="1:13" s="15" customFormat="1" ht="12.75" hidden="1" outlineLevel="2">
      <c r="A288" s="15" t="s">
        <v>834</v>
      </c>
      <c r="B288" s="15" t="s">
        <v>835</v>
      </c>
      <c r="C288" s="134" t="s">
        <v>836</v>
      </c>
      <c r="D288" s="16"/>
      <c r="E288" s="16"/>
      <c r="F288" s="16">
        <v>320334.93</v>
      </c>
      <c r="G288" s="16">
        <v>221797.69</v>
      </c>
      <c r="H288" s="16">
        <f t="shared" si="53"/>
        <v>98537.23999999999</v>
      </c>
      <c r="I288" s="53">
        <f t="shared" si="54"/>
        <v>0.4442663041260709</v>
      </c>
      <c r="J288" s="174"/>
      <c r="K288" s="257">
        <v>222622.74</v>
      </c>
      <c r="L288" s="16">
        <f t="shared" si="55"/>
        <v>97712.19</v>
      </c>
      <c r="M288" s="53">
        <f t="shared" si="56"/>
        <v>0.4389137875133511</v>
      </c>
    </row>
    <row r="289" spans="1:13" s="15" customFormat="1" ht="12.75" hidden="1" outlineLevel="2">
      <c r="A289" s="15" t="s">
        <v>837</v>
      </c>
      <c r="B289" s="15" t="s">
        <v>838</v>
      </c>
      <c r="C289" s="134" t="s">
        <v>839</v>
      </c>
      <c r="D289" s="16"/>
      <c r="E289" s="16"/>
      <c r="F289" s="16">
        <v>-122588</v>
      </c>
      <c r="G289" s="16">
        <v>-115830</v>
      </c>
      <c r="H289" s="16">
        <f t="shared" si="53"/>
        <v>-6758</v>
      </c>
      <c r="I289" s="53">
        <f t="shared" si="54"/>
        <v>-0.05834412501079168</v>
      </c>
      <c r="J289" s="174"/>
      <c r="K289" s="257">
        <v>-121511</v>
      </c>
      <c r="L289" s="16">
        <f t="shared" si="55"/>
        <v>-1077</v>
      </c>
      <c r="M289" s="53">
        <f t="shared" si="56"/>
        <v>-0.008863395083572681</v>
      </c>
    </row>
    <row r="290" spans="1:13" s="15" customFormat="1" ht="12.75" hidden="1" outlineLevel="2">
      <c r="A290" s="15" t="s">
        <v>840</v>
      </c>
      <c r="B290" s="15" t="s">
        <v>841</v>
      </c>
      <c r="C290" s="134" t="s">
        <v>842</v>
      </c>
      <c r="D290" s="16"/>
      <c r="E290" s="16"/>
      <c r="F290" s="16">
        <v>25216637.84</v>
      </c>
      <c r="G290" s="16">
        <v>22697475.6</v>
      </c>
      <c r="H290" s="16">
        <f t="shared" si="53"/>
        <v>2519162.2399999984</v>
      </c>
      <c r="I290" s="53">
        <f t="shared" si="54"/>
        <v>0.1109886528526546</v>
      </c>
      <c r="J290" s="174"/>
      <c r="K290" s="257">
        <v>26866928.84</v>
      </c>
      <c r="L290" s="16">
        <f t="shared" si="55"/>
        <v>-1650291</v>
      </c>
      <c r="M290" s="53">
        <f t="shared" si="56"/>
        <v>-0.06142462392437706</v>
      </c>
    </row>
    <row r="291" spans="1:13" s="15" customFormat="1" ht="12.75" hidden="1" outlineLevel="2">
      <c r="A291" s="15" t="s">
        <v>843</v>
      </c>
      <c r="B291" s="15" t="s">
        <v>844</v>
      </c>
      <c r="C291" s="134" t="s">
        <v>845</v>
      </c>
      <c r="D291" s="16"/>
      <c r="E291" s="16"/>
      <c r="F291" s="16">
        <v>14351208</v>
      </c>
      <c r="G291" s="16">
        <v>19517241</v>
      </c>
      <c r="H291" s="16">
        <f t="shared" si="53"/>
        <v>-5166033</v>
      </c>
      <c r="I291" s="53">
        <f t="shared" si="54"/>
        <v>-0.26469074189328295</v>
      </c>
      <c r="J291" s="174"/>
      <c r="K291" s="257">
        <v>15266079</v>
      </c>
      <c r="L291" s="16">
        <f t="shared" si="55"/>
        <v>-914871</v>
      </c>
      <c r="M291" s="53">
        <f t="shared" si="56"/>
        <v>-0.05992835488405372</v>
      </c>
    </row>
    <row r="292" spans="1:13" s="15" customFormat="1" ht="12.75" hidden="1" outlineLevel="2">
      <c r="A292" s="15" t="s">
        <v>846</v>
      </c>
      <c r="B292" s="15" t="s">
        <v>847</v>
      </c>
      <c r="C292" s="134" t="s">
        <v>848</v>
      </c>
      <c r="D292" s="16"/>
      <c r="E292" s="16"/>
      <c r="F292" s="16">
        <v>-5362765.93</v>
      </c>
      <c r="G292" s="16">
        <v>-4783225.54</v>
      </c>
      <c r="H292" s="16">
        <f t="shared" si="53"/>
        <v>-579540.3899999997</v>
      </c>
      <c r="I292" s="53">
        <f t="shared" si="54"/>
        <v>-0.12116100007276673</v>
      </c>
      <c r="J292" s="174"/>
      <c r="K292" s="257">
        <v>-5000070.7</v>
      </c>
      <c r="L292" s="16">
        <f t="shared" si="55"/>
        <v>-362695.2299999995</v>
      </c>
      <c r="M292" s="53">
        <f t="shared" si="56"/>
        <v>-0.07253802031239269</v>
      </c>
    </row>
    <row r="293" spans="1:13" s="15" customFormat="1" ht="12.75" hidden="1" outlineLevel="2">
      <c r="A293" s="15" t="s">
        <v>849</v>
      </c>
      <c r="B293" s="15" t="s">
        <v>850</v>
      </c>
      <c r="C293" s="134" t="s">
        <v>851</v>
      </c>
      <c r="D293" s="16"/>
      <c r="E293" s="16"/>
      <c r="F293" s="16">
        <v>3302606.38</v>
      </c>
      <c r="G293" s="16">
        <v>3455005.55</v>
      </c>
      <c r="H293" s="16">
        <f t="shared" si="53"/>
        <v>-152399.16999999993</v>
      </c>
      <c r="I293" s="53">
        <f t="shared" si="54"/>
        <v>-0.044109674440320344</v>
      </c>
      <c r="J293" s="174"/>
      <c r="K293" s="257">
        <v>3505419.4</v>
      </c>
      <c r="L293" s="16">
        <f t="shared" si="55"/>
        <v>-202813.02000000002</v>
      </c>
      <c r="M293" s="53">
        <f t="shared" si="56"/>
        <v>-0.05785699137740837</v>
      </c>
    </row>
    <row r="294" spans="1:13" ht="12.75" collapsed="1">
      <c r="A294" s="11" t="s">
        <v>261</v>
      </c>
      <c r="C294" s="121" t="s">
        <v>192</v>
      </c>
      <c r="D294" s="103"/>
      <c r="E294" s="104"/>
      <c r="F294" s="235">
        <v>46655999.68000001</v>
      </c>
      <c r="G294" s="235">
        <v>54438281.99</v>
      </c>
      <c r="H294" s="197">
        <f>+F294-G294</f>
        <v>-7782282.309999995</v>
      </c>
      <c r="I294" s="138">
        <f>IF(G294&lt;0,IF(H294=0,0,IF(OR(G294=0,F294=0),"N.M.",IF(ABS(H294/G294)&gt;=10,"N.M.",H294/(-G294)))),IF(H294=0,0,IF(OR(G294=0,F294=0),"N.M.",IF(ABS(H294/G294)&gt;=10,"N.M.",H294/G294))))</f>
        <v>-0.14295606006503944</v>
      </c>
      <c r="J294" s="166"/>
      <c r="K294" s="235">
        <v>53348601.76</v>
      </c>
      <c r="L294" s="197">
        <f>+F294-K294</f>
        <v>-6692602.079999991</v>
      </c>
      <c r="M294" s="138">
        <f>IF(K294&lt;0,IF(L294=0,0,IF(OR(K294=0,F294=0),"N.M.",IF(ABS(L294/K294)&gt;=10,"N.M.",L294/(-K294)))),IF(L294=0,0,IF(OR(K294=0,F294=0),"N.M.",IF(ABS(L294/K294)&gt;=10,"N.M.",L294/K294))))</f>
        <v>-0.12545037469038234</v>
      </c>
    </row>
    <row r="295" spans="1:13" s="13" customFormat="1" ht="12.75">
      <c r="A295" s="13" t="s">
        <v>262</v>
      </c>
      <c r="C295" s="110" t="s">
        <v>189</v>
      </c>
      <c r="D295" s="33"/>
      <c r="F295" s="33">
        <v>49579075.3</v>
      </c>
      <c r="G295" s="33">
        <v>55638225.09</v>
      </c>
      <c r="H295" s="74">
        <f>+F295-G295</f>
        <v>-6059149.790000007</v>
      </c>
      <c r="I295" s="137">
        <f>IF(G295&lt;0,IF(H295=0,0,IF(OR(G295=0,F295=0),"N.M.",IF(ABS(H295/G295)&gt;=10,"N.M.",H295/(-G295)))),IF(H295=0,0,IF(OR(G295=0,F295=0),"N.M.",IF(ABS(H295/G295)&gt;=10,"N.M.",H295/G295))))</f>
        <v>-0.10890264346496978</v>
      </c>
      <c r="J295" s="168"/>
      <c r="K295" s="33">
        <v>54461703.71</v>
      </c>
      <c r="L295" s="74">
        <f>+F295-K295</f>
        <v>-4882628.410000004</v>
      </c>
      <c r="M295" s="137">
        <f>IF(K295&lt;0,IF(L295=0,0,IF(OR(K295=0,F295=0),"N.M.",IF(ABS(L295/K295)&gt;=10,"N.M.",L295/(-K295)))),IF(L295=0,0,IF(OR(K295=0,F295=0),"N.M.",IF(ABS(L295/K295)&gt;=10,"N.M.",L295/K295))))</f>
        <v>-0.08965250951382703</v>
      </c>
    </row>
    <row r="296" spans="3:13" ht="12.75">
      <c r="C296" s="122"/>
      <c r="D296" s="106"/>
      <c r="E296" s="11"/>
      <c r="F296" s="234" t="str">
        <f>IF(ABS(+F277+F279+F294-F295)&gt;$C$573,$N$183," ")</f>
        <v> </v>
      </c>
      <c r="G296" s="234" t="str">
        <f>IF(ABS(+G277+G279+G294-G295)&gt;$C$573,$N$183," ")</f>
        <v> </v>
      </c>
      <c r="H296" s="234" t="str">
        <f>IF(ABS(+H277+H279+H294-H295)&gt;$C$573,$N$183," ")</f>
        <v> </v>
      </c>
      <c r="I296" s="141"/>
      <c r="J296" s="166"/>
      <c r="K296" s="234" t="str">
        <f>IF(ABS(+K277+K279+K294-K295)&gt;$C$573,$N$183," ")</f>
        <v> </v>
      </c>
      <c r="L296" s="234" t="str">
        <f>IF(ABS(+L277+L279+L294-L295)&gt;$C$573,$N$183," ")</f>
        <v> </v>
      </c>
      <c r="M296" s="141"/>
    </row>
    <row r="297" spans="3:13" ht="0.75" customHeight="1" hidden="1" outlineLevel="1">
      <c r="C297" s="122"/>
      <c r="D297" s="106"/>
      <c r="E297" s="11"/>
      <c r="F297" s="106"/>
      <c r="G297" s="106"/>
      <c r="H297" s="106"/>
      <c r="I297" s="141"/>
      <c r="J297" s="166"/>
      <c r="K297" s="106"/>
      <c r="L297" s="106"/>
      <c r="M297" s="141"/>
    </row>
    <row r="298" spans="1:13" s="228" customFormat="1" ht="12.75" collapsed="1">
      <c r="A298" s="228" t="s">
        <v>263</v>
      </c>
      <c r="C298" s="229" t="s">
        <v>193</v>
      </c>
      <c r="D298" s="18"/>
      <c r="E298" s="11"/>
      <c r="F298" s="18">
        <v>0</v>
      </c>
      <c r="G298" s="18">
        <v>0</v>
      </c>
      <c r="H298" s="51">
        <f>+F298-G298</f>
        <v>0</v>
      </c>
      <c r="I298" s="136">
        <f>IF(G298&lt;0,IF(H298=0,0,IF(OR(G298=0,F298=0),"N.M.",IF(ABS(H298/G298)&gt;=10,"N.M.",H298/(-G298)))),IF(H298=0,0,IF(OR(G298=0,F298=0),"N.M.",IF(ABS(H298/G298)&gt;=10,"N.M.",H298/G298))))</f>
        <v>0</v>
      </c>
      <c r="J298" s="230"/>
      <c r="K298" s="18">
        <v>0</v>
      </c>
      <c r="L298" s="51">
        <f>+F298-K298</f>
        <v>0</v>
      </c>
      <c r="M298" s="136">
        <f>IF(K298&lt;0,IF(L298=0,0,IF(OR(K298=0,F298=0),"N.M.",IF(ABS(L298/K298)&gt;=10,"N.M.",L298/(-K298)))),IF(L298=0,0,IF(OR(K298=0,F298=0),"N.M.",IF(ABS(L298/K298)&gt;=10,"N.M.",L298/K298))))</f>
        <v>0</v>
      </c>
    </row>
    <row r="299" spans="3:13" s="228" customFormat="1" ht="0.75" customHeight="1" hidden="1" outlineLevel="1">
      <c r="C299" s="229"/>
      <c r="D299" s="18"/>
      <c r="E299" s="11"/>
      <c r="F299" s="18"/>
      <c r="G299" s="18"/>
      <c r="H299" s="51"/>
      <c r="I299" s="136"/>
      <c r="J299" s="230"/>
      <c r="K299" s="18"/>
      <c r="L299" s="51"/>
      <c r="M299" s="136"/>
    </row>
    <row r="300" spans="1:13" ht="12.75" collapsed="1">
      <c r="A300" s="11" t="s">
        <v>264</v>
      </c>
      <c r="C300" s="229" t="s">
        <v>194</v>
      </c>
      <c r="E300" s="11"/>
      <c r="F300" s="18">
        <v>0</v>
      </c>
      <c r="G300" s="18">
        <v>0</v>
      </c>
      <c r="H300" s="51">
        <f>+F300-G300</f>
        <v>0</v>
      </c>
      <c r="I300" s="136">
        <f>IF(G300&lt;0,IF(H300=0,0,IF(OR(G300=0,F300=0),"N.M.",IF(ABS(H300/G300)&gt;=10,"N.M.",H300/(-G300)))),IF(H300=0,0,IF(OR(G300=0,F300=0),"N.M.",IF(ABS(H300/G300)&gt;=10,"N.M.",H300/G300))))</f>
        <v>0</v>
      </c>
      <c r="J300" s="166"/>
      <c r="K300" s="18">
        <v>0</v>
      </c>
      <c r="L300" s="51">
        <f>+F300-K300</f>
        <v>0</v>
      </c>
      <c r="M300" s="136">
        <f>IF(K300&lt;0,IF(L300=0,0,IF(OR(K300=0,F300=0),"N.M.",IF(ABS(L300/K300)&gt;=10,"N.M.",L300/(-K300)))),IF(L300=0,0,IF(OR(K300=0,F300=0),"N.M.",IF(ABS(L300/K300)&gt;=10,"N.M.",L300/K300))))</f>
        <v>0</v>
      </c>
    </row>
    <row r="301" spans="3:13" ht="0.75" customHeight="1" hidden="1" outlineLevel="1">
      <c r="C301" s="229"/>
      <c r="E301" s="11"/>
      <c r="H301" s="51"/>
      <c r="I301" s="136"/>
      <c r="J301" s="166"/>
      <c r="K301" s="18"/>
      <c r="L301" s="51"/>
      <c r="M301" s="136"/>
    </row>
    <row r="302" spans="1:13" ht="12.75" collapsed="1">
      <c r="A302" s="11" t="s">
        <v>265</v>
      </c>
      <c r="C302" s="229" t="s">
        <v>195</v>
      </c>
      <c r="E302" s="11"/>
      <c r="F302" s="18">
        <v>0</v>
      </c>
      <c r="G302" s="18">
        <v>0</v>
      </c>
      <c r="H302" s="51">
        <f>+F302-G302</f>
        <v>0</v>
      </c>
      <c r="I302" s="136">
        <f>IF(G302&lt;0,IF(H302=0,0,IF(OR(G302=0,F302=0),"N.M.",IF(ABS(H302/G302)&gt;=10,"N.M.",H302/(-G302)))),IF(H302=0,0,IF(OR(G302=0,F302=0),"N.M.",IF(ABS(H302/G302)&gt;=10,"N.M.",H302/G302))))</f>
        <v>0</v>
      </c>
      <c r="J302" s="166"/>
      <c r="K302" s="18">
        <v>0</v>
      </c>
      <c r="L302" s="51">
        <f>+F302-K302</f>
        <v>0</v>
      </c>
      <c r="M302" s="136">
        <f>IF(K302&lt;0,IF(L302=0,0,IF(OR(K302=0,F302=0),"N.M.",IF(ABS(L302/K302)&gt;=10,"N.M.",L302/(-K302)))),IF(L302=0,0,IF(OR(K302=0,F302=0),"N.M.",IF(ABS(L302/K302)&gt;=10,"N.M.",L302/K302))))</f>
        <v>0</v>
      </c>
    </row>
    <row r="303" spans="3:13" ht="0.75" customHeight="1" hidden="1" outlineLevel="1">
      <c r="C303" s="229"/>
      <c r="E303" s="11"/>
      <c r="H303" s="51"/>
      <c r="I303" s="136"/>
      <c r="J303" s="166"/>
      <c r="K303" s="18"/>
      <c r="L303" s="51"/>
      <c r="M303" s="136"/>
    </row>
    <row r="304" spans="1:13" ht="12.75" collapsed="1">
      <c r="A304" s="11" t="s">
        <v>266</v>
      </c>
      <c r="C304" s="229" t="s">
        <v>196</v>
      </c>
      <c r="E304" s="11"/>
      <c r="F304" s="18">
        <v>0</v>
      </c>
      <c r="G304" s="18">
        <v>0</v>
      </c>
      <c r="H304" s="51">
        <f>+F304-G304</f>
        <v>0</v>
      </c>
      <c r="I304" s="136">
        <f>IF(G304&lt;0,IF(H304=0,0,IF(OR(G304=0,F304=0),"N.M.",IF(ABS(H304/G304)&gt;=10,"N.M.",H304/(-G304)))),IF(H304=0,0,IF(OR(G304=0,F304=0),"N.M.",IF(ABS(H304/G304)&gt;=10,"N.M.",H304/G304))))</f>
        <v>0</v>
      </c>
      <c r="J304" s="166"/>
      <c r="K304" s="18">
        <v>0</v>
      </c>
      <c r="L304" s="51">
        <f>+F304-K304</f>
        <v>0</v>
      </c>
      <c r="M304" s="136">
        <f>IF(K304&lt;0,IF(L304=0,0,IF(OR(K304=0,F304=0),"N.M.",IF(ABS(L304/K304)&gt;=10,"N.M.",L304/(-K304)))),IF(L304=0,0,IF(OR(K304=0,F304=0),"N.M.",IF(ABS(L304/K304)&gt;=10,"N.M.",L304/K304))))</f>
        <v>0</v>
      </c>
    </row>
    <row r="305" spans="3:13" ht="0.75" customHeight="1" hidden="1" outlineLevel="1">
      <c r="C305" s="229"/>
      <c r="E305" s="11"/>
      <c r="H305" s="51"/>
      <c r="I305" s="136"/>
      <c r="J305" s="166"/>
      <c r="K305" s="18"/>
      <c r="L305" s="51"/>
      <c r="M305" s="136"/>
    </row>
    <row r="306" spans="1:13" s="15" customFormat="1" ht="12.75" hidden="1" outlineLevel="2">
      <c r="A306" s="15" t="s">
        <v>852</v>
      </c>
      <c r="B306" s="15" t="s">
        <v>853</v>
      </c>
      <c r="C306" s="134" t="s">
        <v>854</v>
      </c>
      <c r="D306" s="16"/>
      <c r="E306" s="16"/>
      <c r="F306" s="16">
        <v>0</v>
      </c>
      <c r="G306" s="16">
        <v>0</v>
      </c>
      <c r="H306" s="16">
        <f>+F306-G306</f>
        <v>0</v>
      </c>
      <c r="I306" s="53">
        <f>IF(G306&lt;0,IF(H306=0,0,IF(OR(G306=0,F306=0),"N.M.",IF(ABS(H306/G306)&gt;=10,"N.M.",H306/(-G306)))),IF(H306=0,0,IF(OR(G306=0,F306=0),"N.M.",IF(ABS(H306/G306)&gt;=10,"N.M.",H306/G306))))</f>
        <v>0</v>
      </c>
      <c r="J306" s="174"/>
      <c r="K306" s="257">
        <v>485336.84</v>
      </c>
      <c r="L306" s="16">
        <f>+F306-K306</f>
        <v>-485336.84</v>
      </c>
      <c r="M306" s="53" t="str">
        <f>IF(K306&lt;0,IF(L306=0,0,IF(OR(K306=0,F306=0),"N.M.",IF(ABS(L306/K306)&gt;=10,"N.M.",L306/(-K306)))),IF(L306=0,0,IF(OR(K306=0,F306=0),"N.M.",IF(ABS(L306/K306)&gt;=10,"N.M.",L306/K306))))</f>
        <v>N.M.</v>
      </c>
    </row>
    <row r="307" spans="1:13" ht="12.75" collapsed="1">
      <c r="A307" s="11" t="s">
        <v>267</v>
      </c>
      <c r="C307" s="229" t="s">
        <v>197</v>
      </c>
      <c r="E307" s="11"/>
      <c r="F307" s="18">
        <v>0</v>
      </c>
      <c r="G307" s="18">
        <v>0</v>
      </c>
      <c r="H307" s="51">
        <f>+F307-G307</f>
        <v>0</v>
      </c>
      <c r="I307" s="136">
        <f>IF(G307&lt;0,IF(H307=0,0,IF(OR(G307=0,F307=0),"N.M.",IF(ABS(H307/G307)&gt;=10,"N.M.",H307/(-G307)))),IF(H307=0,0,IF(OR(G307=0,F307=0),"N.M.",IF(ABS(H307/G307)&gt;=10,"N.M.",H307/G307))))</f>
        <v>0</v>
      </c>
      <c r="J307" s="166"/>
      <c r="K307" s="18">
        <v>485336.84</v>
      </c>
      <c r="L307" s="51">
        <f>+F307-K307</f>
        <v>-485336.84</v>
      </c>
      <c r="M307" s="136" t="str">
        <f>IF(K307&lt;0,IF(L307=0,0,IF(OR(K307=0,F307=0),"N.M.",IF(ABS(L307/K307)&gt;=10,"N.M.",L307/(-K307)))),IF(L307=0,0,IF(OR(K307=0,F307=0),"N.M.",IF(ABS(L307/K307)&gt;=10,"N.M.",L307/K307))))</f>
        <v>N.M.</v>
      </c>
    </row>
    <row r="308" spans="3:13" ht="0.75" customHeight="1" hidden="1" outlineLevel="1">
      <c r="C308" s="229"/>
      <c r="E308" s="11"/>
      <c r="H308" s="51"/>
      <c r="I308" s="136"/>
      <c r="J308" s="166"/>
      <c r="K308" s="18"/>
      <c r="L308" s="51"/>
      <c r="M308" s="136"/>
    </row>
    <row r="309" spans="1:13" s="15" customFormat="1" ht="12.75" hidden="1" outlineLevel="2">
      <c r="A309" s="15" t="s">
        <v>855</v>
      </c>
      <c r="B309" s="15" t="s">
        <v>856</v>
      </c>
      <c r="C309" s="134" t="s">
        <v>857</v>
      </c>
      <c r="D309" s="16"/>
      <c r="E309" s="16"/>
      <c r="F309" s="16">
        <v>2499568.342</v>
      </c>
      <c r="G309" s="16">
        <v>6805941.102</v>
      </c>
      <c r="H309" s="16">
        <f aca="true" t="shared" si="57" ref="H309:H328">+F309-G309</f>
        <v>-4306372.76</v>
      </c>
      <c r="I309" s="53">
        <f aca="true" t="shared" si="58" ref="I309:I328">IF(G309&lt;0,IF(H309=0,0,IF(OR(G309=0,F309=0),"N.M.",IF(ABS(H309/G309)&gt;=10,"N.M.",H309/(-G309)))),IF(H309=0,0,IF(OR(G309=0,F309=0),"N.M.",IF(ABS(H309/G309)&gt;=10,"N.M.",H309/G309))))</f>
        <v>-0.6327372945873019</v>
      </c>
      <c r="J309" s="174"/>
      <c r="K309" s="257">
        <v>7623949.072</v>
      </c>
      <c r="L309" s="16">
        <f aca="true" t="shared" si="59" ref="L309:L328">+F309-K309</f>
        <v>-5124380.7299999995</v>
      </c>
      <c r="M309" s="53">
        <f aca="true" t="shared" si="60" ref="M309:M328">IF(K309&lt;0,IF(L309=0,0,IF(OR(K309=0,F309=0),"N.M.",IF(ABS(L309/K309)&gt;=10,"N.M.",L309/(-K309)))),IF(L309=0,0,IF(OR(K309=0,F309=0),"N.M.",IF(ABS(L309/K309)&gt;=10,"N.M.",L309/K309))))</f>
        <v>-0.6721425709439733</v>
      </c>
    </row>
    <row r="310" spans="1:13" s="15" customFormat="1" ht="12.75" hidden="1" outlineLevel="2">
      <c r="A310" s="15" t="s">
        <v>858</v>
      </c>
      <c r="B310" s="15" t="s">
        <v>859</v>
      </c>
      <c r="C310" s="134" t="s">
        <v>860</v>
      </c>
      <c r="D310" s="16"/>
      <c r="E310" s="16"/>
      <c r="F310" s="16">
        <v>3161651.21</v>
      </c>
      <c r="G310" s="16">
        <v>2087745.2</v>
      </c>
      <c r="H310" s="16">
        <f t="shared" si="57"/>
        <v>1073906.01</v>
      </c>
      <c r="I310" s="53">
        <f t="shared" si="58"/>
        <v>0.5143855725305942</v>
      </c>
      <c r="J310" s="174"/>
      <c r="K310" s="257">
        <v>19565726.5</v>
      </c>
      <c r="L310" s="16">
        <f t="shared" si="59"/>
        <v>-16404075.29</v>
      </c>
      <c r="M310" s="53">
        <f t="shared" si="60"/>
        <v>-0.838408698496322</v>
      </c>
    </row>
    <row r="311" spans="1:13" s="15" customFormat="1" ht="12.75" hidden="1" outlineLevel="2">
      <c r="A311" s="15" t="s">
        <v>861</v>
      </c>
      <c r="B311" s="15" t="s">
        <v>862</v>
      </c>
      <c r="C311" s="134" t="s">
        <v>863</v>
      </c>
      <c r="D311" s="16"/>
      <c r="E311" s="16"/>
      <c r="F311" s="16">
        <v>120925.24</v>
      </c>
      <c r="G311" s="16">
        <v>171486.23</v>
      </c>
      <c r="H311" s="16">
        <f t="shared" si="57"/>
        <v>-50560.990000000005</v>
      </c>
      <c r="I311" s="53">
        <f t="shared" si="58"/>
        <v>-0.294839941376051</v>
      </c>
      <c r="J311" s="174"/>
      <c r="K311" s="257">
        <v>191541.57</v>
      </c>
      <c r="L311" s="16">
        <f t="shared" si="59"/>
        <v>-70616.33</v>
      </c>
      <c r="M311" s="53">
        <f t="shared" si="60"/>
        <v>-0.36867365136455754</v>
      </c>
    </row>
    <row r="312" spans="1:13" s="15" customFormat="1" ht="12.75" hidden="1" outlineLevel="2">
      <c r="A312" s="15" t="s">
        <v>864</v>
      </c>
      <c r="B312" s="15" t="s">
        <v>865</v>
      </c>
      <c r="C312" s="134" t="s">
        <v>866</v>
      </c>
      <c r="D312" s="16"/>
      <c r="E312" s="16"/>
      <c r="F312" s="16">
        <v>0</v>
      </c>
      <c r="G312" s="16">
        <v>0</v>
      </c>
      <c r="H312" s="16">
        <f t="shared" si="57"/>
        <v>0</v>
      </c>
      <c r="I312" s="53">
        <f t="shared" si="58"/>
        <v>0</v>
      </c>
      <c r="J312" s="174"/>
      <c r="K312" s="257">
        <v>441600</v>
      </c>
      <c r="L312" s="16">
        <f t="shared" si="59"/>
        <v>-441600</v>
      </c>
      <c r="M312" s="53" t="str">
        <f t="shared" si="60"/>
        <v>N.M.</v>
      </c>
    </row>
    <row r="313" spans="1:13" s="15" customFormat="1" ht="12.75" hidden="1" outlineLevel="2">
      <c r="A313" s="15" t="s">
        <v>867</v>
      </c>
      <c r="B313" s="15" t="s">
        <v>868</v>
      </c>
      <c r="C313" s="134" t="s">
        <v>869</v>
      </c>
      <c r="D313" s="16"/>
      <c r="E313" s="16"/>
      <c r="F313" s="16">
        <v>15443665.28</v>
      </c>
      <c r="G313" s="16">
        <v>8088346.85</v>
      </c>
      <c r="H313" s="16">
        <f t="shared" si="57"/>
        <v>7355318.43</v>
      </c>
      <c r="I313" s="53">
        <f t="shared" si="58"/>
        <v>0.9093722816795375</v>
      </c>
      <c r="J313" s="174"/>
      <c r="K313" s="257">
        <v>8293879.38</v>
      </c>
      <c r="L313" s="16">
        <f t="shared" si="59"/>
        <v>7149785.899999999</v>
      </c>
      <c r="M313" s="53">
        <f t="shared" si="60"/>
        <v>0.862055688588999</v>
      </c>
    </row>
    <row r="314" spans="1:13" s="15" customFormat="1" ht="12.75" hidden="1" outlineLevel="2">
      <c r="A314" s="15" t="s">
        <v>870</v>
      </c>
      <c r="B314" s="15" t="s">
        <v>871</v>
      </c>
      <c r="C314" s="134" t="s">
        <v>473</v>
      </c>
      <c r="D314" s="16"/>
      <c r="E314" s="16"/>
      <c r="F314" s="16">
        <v>363467.72000000003</v>
      </c>
      <c r="G314" s="16">
        <v>302617.2</v>
      </c>
      <c r="H314" s="16">
        <f t="shared" si="57"/>
        <v>60850.52000000002</v>
      </c>
      <c r="I314" s="53">
        <f t="shared" si="58"/>
        <v>0.20108083744083288</v>
      </c>
      <c r="J314" s="174"/>
      <c r="K314" s="257">
        <v>284612.5</v>
      </c>
      <c r="L314" s="16">
        <f t="shared" si="59"/>
        <v>78855.22000000003</v>
      </c>
      <c r="M314" s="53">
        <f t="shared" si="60"/>
        <v>0.27706168913874135</v>
      </c>
    </row>
    <row r="315" spans="1:13" s="15" customFormat="1" ht="12.75" hidden="1" outlineLevel="2">
      <c r="A315" s="15" t="s">
        <v>872</v>
      </c>
      <c r="B315" s="15" t="s">
        <v>873</v>
      </c>
      <c r="C315" s="134" t="s">
        <v>874</v>
      </c>
      <c r="D315" s="16"/>
      <c r="E315" s="16"/>
      <c r="F315" s="16">
        <v>2605397.949</v>
      </c>
      <c r="G315" s="16">
        <v>2534373.828</v>
      </c>
      <c r="H315" s="16">
        <f t="shared" si="57"/>
        <v>71024.12099999981</v>
      </c>
      <c r="I315" s="53">
        <f t="shared" si="58"/>
        <v>0.028024327040990813</v>
      </c>
      <c r="J315" s="174"/>
      <c r="K315" s="257">
        <v>3256899.271</v>
      </c>
      <c r="L315" s="16">
        <f t="shared" si="59"/>
        <v>-651501.3220000002</v>
      </c>
      <c r="M315" s="53">
        <f t="shared" si="60"/>
        <v>-0.20003729553476882</v>
      </c>
    </row>
    <row r="316" spans="1:13" s="15" customFormat="1" ht="12.75" hidden="1" outlineLevel="2">
      <c r="A316" s="15" t="s">
        <v>875</v>
      </c>
      <c r="B316" s="15" t="s">
        <v>876</v>
      </c>
      <c r="C316" s="134" t="s">
        <v>877</v>
      </c>
      <c r="D316" s="16"/>
      <c r="E316" s="16"/>
      <c r="F316" s="16">
        <v>890521.63</v>
      </c>
      <c r="G316" s="16">
        <v>1096951.92</v>
      </c>
      <c r="H316" s="16">
        <f t="shared" si="57"/>
        <v>-206430.28999999992</v>
      </c>
      <c r="I316" s="53">
        <f t="shared" si="58"/>
        <v>-0.1881853582060369</v>
      </c>
      <c r="J316" s="174"/>
      <c r="K316" s="257">
        <v>732586.47</v>
      </c>
      <c r="L316" s="16">
        <f t="shared" si="59"/>
        <v>157935.16000000003</v>
      </c>
      <c r="M316" s="53">
        <f t="shared" si="60"/>
        <v>0.21558569051923665</v>
      </c>
    </row>
    <row r="317" spans="1:13" s="15" customFormat="1" ht="12.75" hidden="1" outlineLevel="2">
      <c r="A317" s="15" t="s">
        <v>878</v>
      </c>
      <c r="B317" s="15" t="s">
        <v>879</v>
      </c>
      <c r="C317" s="134" t="s">
        <v>880</v>
      </c>
      <c r="D317" s="16"/>
      <c r="E317" s="16"/>
      <c r="F317" s="16">
        <v>2769.58</v>
      </c>
      <c r="G317" s="16">
        <v>2409.4900000000002</v>
      </c>
      <c r="H317" s="16">
        <f t="shared" si="57"/>
        <v>360.0899999999997</v>
      </c>
      <c r="I317" s="53">
        <f t="shared" si="58"/>
        <v>0.14944656338063228</v>
      </c>
      <c r="J317" s="174"/>
      <c r="K317" s="257">
        <v>2257.34</v>
      </c>
      <c r="L317" s="16">
        <f t="shared" si="59"/>
        <v>512.2399999999998</v>
      </c>
      <c r="M317" s="53">
        <f t="shared" si="60"/>
        <v>0.22692195238643703</v>
      </c>
    </row>
    <row r="318" spans="1:13" s="15" customFormat="1" ht="12.75" hidden="1" outlineLevel="2">
      <c r="A318" s="15" t="s">
        <v>881</v>
      </c>
      <c r="B318" s="15" t="s">
        <v>882</v>
      </c>
      <c r="C318" s="134" t="s">
        <v>883</v>
      </c>
      <c r="D318" s="16"/>
      <c r="E318" s="16"/>
      <c r="F318" s="16">
        <v>0.002</v>
      </c>
      <c r="G318" s="16">
        <v>358008.392</v>
      </c>
      <c r="H318" s="16">
        <f t="shared" si="57"/>
        <v>-358008.39</v>
      </c>
      <c r="I318" s="53">
        <f t="shared" si="58"/>
        <v>-0.9999999944135388</v>
      </c>
      <c r="J318" s="174"/>
      <c r="K318" s="257">
        <v>156.722</v>
      </c>
      <c r="L318" s="16">
        <f t="shared" si="59"/>
        <v>-156.72</v>
      </c>
      <c r="M318" s="53">
        <f t="shared" si="60"/>
        <v>-0.9999872385497888</v>
      </c>
    </row>
    <row r="319" spans="1:13" s="15" customFormat="1" ht="12.75" hidden="1" outlineLevel="2">
      <c r="A319" s="15" t="s">
        <v>884</v>
      </c>
      <c r="B319" s="15" t="s">
        <v>885</v>
      </c>
      <c r="C319" s="134" t="s">
        <v>886</v>
      </c>
      <c r="D319" s="16"/>
      <c r="E319" s="16"/>
      <c r="F319" s="16">
        <v>10798.661</v>
      </c>
      <c r="G319" s="16">
        <v>9839.48</v>
      </c>
      <c r="H319" s="16">
        <f t="shared" si="57"/>
        <v>959.1810000000005</v>
      </c>
      <c r="I319" s="53">
        <f t="shared" si="58"/>
        <v>0.09748289543756383</v>
      </c>
      <c r="J319" s="174"/>
      <c r="K319" s="257">
        <v>11607.94</v>
      </c>
      <c r="L319" s="16">
        <f t="shared" si="59"/>
        <v>-809.2790000000005</v>
      </c>
      <c r="M319" s="53">
        <f t="shared" si="60"/>
        <v>-0.06971771046369989</v>
      </c>
    </row>
    <row r="320" spans="1:13" s="15" customFormat="1" ht="12.75" hidden="1" outlineLevel="2">
      <c r="A320" s="15" t="s">
        <v>887</v>
      </c>
      <c r="B320" s="15" t="s">
        <v>888</v>
      </c>
      <c r="C320" s="134" t="s">
        <v>889</v>
      </c>
      <c r="D320" s="16"/>
      <c r="E320" s="16"/>
      <c r="F320" s="16">
        <v>821.63</v>
      </c>
      <c r="G320" s="16">
        <v>0</v>
      </c>
      <c r="H320" s="16">
        <f t="shared" si="57"/>
        <v>821.63</v>
      </c>
      <c r="I320" s="53" t="str">
        <f t="shared" si="58"/>
        <v>N.M.</v>
      </c>
      <c r="J320" s="174"/>
      <c r="K320" s="257">
        <v>1348.53</v>
      </c>
      <c r="L320" s="16">
        <f t="shared" si="59"/>
        <v>-526.9</v>
      </c>
      <c r="M320" s="53">
        <f t="shared" si="60"/>
        <v>-0.3907217488672851</v>
      </c>
    </row>
    <row r="321" spans="1:13" s="15" customFormat="1" ht="12.75" hidden="1" outlineLevel="2">
      <c r="A321" s="15" t="s">
        <v>890</v>
      </c>
      <c r="B321" s="15" t="s">
        <v>891</v>
      </c>
      <c r="C321" s="134" t="s">
        <v>892</v>
      </c>
      <c r="D321" s="16"/>
      <c r="E321" s="16"/>
      <c r="F321" s="16">
        <v>8730</v>
      </c>
      <c r="G321" s="16">
        <v>7665</v>
      </c>
      <c r="H321" s="16">
        <f t="shared" si="57"/>
        <v>1065</v>
      </c>
      <c r="I321" s="53">
        <f t="shared" si="58"/>
        <v>0.13894324853228962</v>
      </c>
      <c r="J321" s="174"/>
      <c r="K321" s="257">
        <v>11272.5</v>
      </c>
      <c r="L321" s="16">
        <f t="shared" si="59"/>
        <v>-2542.5</v>
      </c>
      <c r="M321" s="53">
        <f t="shared" si="60"/>
        <v>-0.22554890219560877</v>
      </c>
    </row>
    <row r="322" spans="1:13" s="15" customFormat="1" ht="12.75" hidden="1" outlineLevel="2">
      <c r="A322" s="15" t="s">
        <v>893</v>
      </c>
      <c r="B322" s="15" t="s">
        <v>894</v>
      </c>
      <c r="C322" s="134" t="s">
        <v>895</v>
      </c>
      <c r="D322" s="16"/>
      <c r="E322" s="16"/>
      <c r="F322" s="16">
        <v>146578.9</v>
      </c>
      <c r="G322" s="16">
        <v>139886.76</v>
      </c>
      <c r="H322" s="16">
        <f t="shared" si="57"/>
        <v>6692.139999999985</v>
      </c>
      <c r="I322" s="53">
        <f t="shared" si="58"/>
        <v>0.047839695479400514</v>
      </c>
      <c r="J322" s="174"/>
      <c r="K322" s="257">
        <v>483880.39</v>
      </c>
      <c r="L322" s="16">
        <f t="shared" si="59"/>
        <v>-337301.49</v>
      </c>
      <c r="M322" s="53">
        <f t="shared" si="60"/>
        <v>-0.69707617206806</v>
      </c>
    </row>
    <row r="323" spans="1:13" s="15" customFormat="1" ht="12.75" hidden="1" outlineLevel="2">
      <c r="A323" s="15" t="s">
        <v>896</v>
      </c>
      <c r="B323" s="15" t="s">
        <v>897</v>
      </c>
      <c r="C323" s="134" t="s">
        <v>898</v>
      </c>
      <c r="D323" s="16"/>
      <c r="E323" s="16"/>
      <c r="F323" s="16">
        <v>995340.264</v>
      </c>
      <c r="G323" s="16">
        <v>327049.004</v>
      </c>
      <c r="H323" s="16">
        <f t="shared" si="57"/>
        <v>668291.26</v>
      </c>
      <c r="I323" s="53">
        <f t="shared" si="58"/>
        <v>2.0433979367813637</v>
      </c>
      <c r="J323" s="174"/>
      <c r="K323" s="257">
        <v>911849.894</v>
      </c>
      <c r="L323" s="16">
        <f t="shared" si="59"/>
        <v>83490.37</v>
      </c>
      <c r="M323" s="53">
        <f t="shared" si="60"/>
        <v>0.09156152843726711</v>
      </c>
    </row>
    <row r="324" spans="1:13" s="15" customFormat="1" ht="12.75" hidden="1" outlineLevel="2">
      <c r="A324" s="15" t="s">
        <v>899</v>
      </c>
      <c r="B324" s="15" t="s">
        <v>900</v>
      </c>
      <c r="C324" s="134" t="s">
        <v>901</v>
      </c>
      <c r="D324" s="16"/>
      <c r="E324" s="16"/>
      <c r="F324" s="16">
        <v>-0.002</v>
      </c>
      <c r="G324" s="16">
        <v>71.638</v>
      </c>
      <c r="H324" s="16">
        <f t="shared" si="57"/>
        <v>-71.64</v>
      </c>
      <c r="I324" s="53">
        <f t="shared" si="58"/>
        <v>-1.0000279181440017</v>
      </c>
      <c r="J324" s="174"/>
      <c r="K324" s="257">
        <v>39.228</v>
      </c>
      <c r="L324" s="16">
        <f t="shared" si="59"/>
        <v>-39.230000000000004</v>
      </c>
      <c r="M324" s="53">
        <f t="shared" si="60"/>
        <v>-1.000050983991027</v>
      </c>
    </row>
    <row r="325" spans="1:13" s="15" customFormat="1" ht="12.75" hidden="1" outlineLevel="2">
      <c r="A325" s="15" t="s">
        <v>902</v>
      </c>
      <c r="B325" s="15" t="s">
        <v>903</v>
      </c>
      <c r="C325" s="134" t="s">
        <v>904</v>
      </c>
      <c r="D325" s="16"/>
      <c r="E325" s="16"/>
      <c r="F325" s="16">
        <v>0</v>
      </c>
      <c r="G325" s="16">
        <v>0</v>
      </c>
      <c r="H325" s="16">
        <f t="shared" si="57"/>
        <v>0</v>
      </c>
      <c r="I325" s="53">
        <f t="shared" si="58"/>
        <v>0</v>
      </c>
      <c r="J325" s="174"/>
      <c r="K325" s="257">
        <v>9389.47</v>
      </c>
      <c r="L325" s="16">
        <f t="shared" si="59"/>
        <v>-9389.47</v>
      </c>
      <c r="M325" s="53" t="str">
        <f t="shared" si="60"/>
        <v>N.M.</v>
      </c>
    </row>
    <row r="326" spans="1:13" s="15" customFormat="1" ht="12.75" hidden="1" outlineLevel="2">
      <c r="A326" s="15" t="s">
        <v>905</v>
      </c>
      <c r="B326" s="15" t="s">
        <v>906</v>
      </c>
      <c r="C326" s="134" t="s">
        <v>907</v>
      </c>
      <c r="D326" s="16"/>
      <c r="E326" s="16"/>
      <c r="F326" s="16">
        <v>909781.76</v>
      </c>
      <c r="G326" s="16">
        <v>230791.54</v>
      </c>
      <c r="H326" s="16">
        <f t="shared" si="57"/>
        <v>678990.22</v>
      </c>
      <c r="I326" s="53">
        <f t="shared" si="58"/>
        <v>2.9420065397544466</v>
      </c>
      <c r="J326" s="174"/>
      <c r="K326" s="257">
        <v>0</v>
      </c>
      <c r="L326" s="16">
        <f t="shared" si="59"/>
        <v>909781.76</v>
      </c>
      <c r="M326" s="53" t="str">
        <f t="shared" si="60"/>
        <v>N.M.</v>
      </c>
    </row>
    <row r="327" spans="1:13" s="15" customFormat="1" ht="12.75" hidden="1" outlineLevel="2">
      <c r="A327" s="15" t="s">
        <v>908</v>
      </c>
      <c r="B327" s="15" t="s">
        <v>909</v>
      </c>
      <c r="C327" s="134" t="s">
        <v>499</v>
      </c>
      <c r="D327" s="16"/>
      <c r="E327" s="16"/>
      <c r="F327" s="16">
        <v>670296.48</v>
      </c>
      <c r="G327" s="16">
        <v>377961.86</v>
      </c>
      <c r="H327" s="16">
        <f t="shared" si="57"/>
        <v>292334.62</v>
      </c>
      <c r="I327" s="53">
        <f t="shared" si="58"/>
        <v>0.7734500512829522</v>
      </c>
      <c r="J327" s="174"/>
      <c r="K327" s="257">
        <v>298002.44</v>
      </c>
      <c r="L327" s="16">
        <f t="shared" si="59"/>
        <v>372294.04</v>
      </c>
      <c r="M327" s="53">
        <f t="shared" si="60"/>
        <v>1.2492986299038356</v>
      </c>
    </row>
    <row r="328" spans="1:13" s="15" customFormat="1" ht="12.75" hidden="1" outlineLevel="2">
      <c r="A328" s="15" t="s">
        <v>910</v>
      </c>
      <c r="B328" s="15" t="s">
        <v>911</v>
      </c>
      <c r="C328" s="134" t="s">
        <v>912</v>
      </c>
      <c r="D328" s="16"/>
      <c r="E328" s="16"/>
      <c r="F328" s="16">
        <v>486496.89</v>
      </c>
      <c r="G328" s="16">
        <v>322958.42</v>
      </c>
      <c r="H328" s="16">
        <f t="shared" si="57"/>
        <v>163538.47000000003</v>
      </c>
      <c r="I328" s="53">
        <f t="shared" si="58"/>
        <v>0.5063762387740194</v>
      </c>
      <c r="J328" s="174"/>
      <c r="K328" s="257">
        <v>474031.38</v>
      </c>
      <c r="L328" s="16">
        <f t="shared" si="59"/>
        <v>12465.51000000001</v>
      </c>
      <c r="M328" s="53">
        <f t="shared" si="60"/>
        <v>0.02629680338883896</v>
      </c>
    </row>
    <row r="329" spans="1:13" ht="12.75" collapsed="1">
      <c r="A329" s="11" t="s">
        <v>268</v>
      </c>
      <c r="C329" s="229" t="s">
        <v>198</v>
      </c>
      <c r="E329" s="11"/>
      <c r="F329" s="18">
        <v>28316811.535999995</v>
      </c>
      <c r="G329" s="18">
        <v>22864103.914</v>
      </c>
      <c r="H329" s="51">
        <f>+F329-G329</f>
        <v>5452707.621999994</v>
      </c>
      <c r="I329" s="136">
        <f>IF(G329&lt;0,IF(H329=0,0,IF(OR(G329=0,F329=0),"N.M.",IF(ABS(H329/G329)&gt;=10,"N.M.",H329/(-G329)))),IF(H329=0,0,IF(OR(G329=0,F329=0),"N.M.",IF(ABS(H329/G329)&gt;=10,"N.M.",H329/G329))))</f>
        <v>0.23848332926186655</v>
      </c>
      <c r="J329" s="166"/>
      <c r="K329" s="18">
        <v>42594630.597</v>
      </c>
      <c r="L329" s="51">
        <f>+F329-K329</f>
        <v>-14277819.061000008</v>
      </c>
      <c r="M329" s="136">
        <f>IF(K329&lt;0,IF(L329=0,0,IF(OR(K329=0,F329=0),"N.M.",IF(ABS(L329/K329)&gt;=10,"N.M.",L329/(-K329)))),IF(L329=0,0,IF(OR(K329=0,F329=0),"N.M.",IF(ABS(L329/K329)&gt;=10,"N.M.",L329/K329))))</f>
        <v>-0.3352023215340577</v>
      </c>
    </row>
    <row r="330" spans="3:13" ht="0.75" customHeight="1" hidden="1" outlineLevel="1">
      <c r="C330" s="229"/>
      <c r="E330" s="11"/>
      <c r="H330" s="51"/>
      <c r="I330" s="136"/>
      <c r="J330" s="166"/>
      <c r="K330" s="18"/>
      <c r="L330" s="51"/>
      <c r="M330" s="136"/>
    </row>
    <row r="331" spans="1:13" s="15" customFormat="1" ht="12.75" hidden="1" outlineLevel="2">
      <c r="A331" s="15" t="s">
        <v>913</v>
      </c>
      <c r="B331" s="15" t="s">
        <v>914</v>
      </c>
      <c r="C331" s="134" t="s">
        <v>915</v>
      </c>
      <c r="D331" s="16"/>
      <c r="E331" s="16"/>
      <c r="F331" s="16">
        <v>13036233.465</v>
      </c>
      <c r="G331" s="16">
        <v>11702114.86</v>
      </c>
      <c r="H331" s="16">
        <f aca="true" t="shared" si="61" ref="H331:H342">+F331-G331</f>
        <v>1334118.6050000004</v>
      </c>
      <c r="I331" s="53">
        <f aca="true" t="shared" si="62" ref="I331:I342">IF(G331&lt;0,IF(H331=0,0,IF(OR(G331=0,F331=0),"N.M.",IF(ABS(H331/G331)&gt;=10,"N.M.",H331/(-G331)))),IF(H331=0,0,IF(OR(G331=0,F331=0),"N.M.",IF(ABS(H331/G331)&gt;=10,"N.M.",H331/G331))))</f>
        <v>0.11400662367109944</v>
      </c>
      <c r="J331" s="174"/>
      <c r="K331" s="257">
        <v>12478213.72</v>
      </c>
      <c r="L331" s="16">
        <f aca="true" t="shared" si="63" ref="L331:L342">+F331-K331</f>
        <v>558019.7449999992</v>
      </c>
      <c r="M331" s="53">
        <f aca="true" t="shared" si="64" ref="M331:M342">IF(K331&lt;0,IF(L331=0,0,IF(OR(K331=0,F331=0),"N.M.",IF(ABS(L331/K331)&gt;=10,"N.M.",L331/(-K331)))),IF(L331=0,0,IF(OR(K331=0,F331=0),"N.M.",IF(ABS(L331/K331)&gt;=10,"N.M.",L331/K331))))</f>
        <v>0.04471952136110706</v>
      </c>
    </row>
    <row r="332" spans="1:13" s="15" customFormat="1" ht="12.75" hidden="1" outlineLevel="2">
      <c r="A332" s="15" t="s">
        <v>916</v>
      </c>
      <c r="B332" s="15" t="s">
        <v>917</v>
      </c>
      <c r="C332" s="134" t="s">
        <v>918</v>
      </c>
      <c r="D332" s="16"/>
      <c r="E332" s="16"/>
      <c r="F332" s="16">
        <v>0</v>
      </c>
      <c r="G332" s="16">
        <v>0</v>
      </c>
      <c r="H332" s="16">
        <f t="shared" si="61"/>
        <v>0</v>
      </c>
      <c r="I332" s="53">
        <f t="shared" si="62"/>
        <v>0</v>
      </c>
      <c r="J332" s="174"/>
      <c r="K332" s="257">
        <v>6338684.45</v>
      </c>
      <c r="L332" s="16">
        <f t="shared" si="63"/>
        <v>-6338684.45</v>
      </c>
      <c r="M332" s="53" t="str">
        <f t="shared" si="64"/>
        <v>N.M.</v>
      </c>
    </row>
    <row r="333" spans="1:13" s="15" customFormat="1" ht="12.75" hidden="1" outlineLevel="2">
      <c r="A333" s="15" t="s">
        <v>919</v>
      </c>
      <c r="B333" s="15" t="s">
        <v>920</v>
      </c>
      <c r="C333" s="134" t="s">
        <v>921</v>
      </c>
      <c r="D333" s="16"/>
      <c r="E333" s="16"/>
      <c r="F333" s="16">
        <v>188111</v>
      </c>
      <c r="G333" s="16">
        <v>5947382.21</v>
      </c>
      <c r="H333" s="16">
        <f t="shared" si="61"/>
        <v>-5759271.21</v>
      </c>
      <c r="I333" s="53">
        <f t="shared" si="62"/>
        <v>-0.9683707901463424</v>
      </c>
      <c r="J333" s="174"/>
      <c r="K333" s="257">
        <v>4464362</v>
      </c>
      <c r="L333" s="16">
        <f t="shared" si="63"/>
        <v>-4276251</v>
      </c>
      <c r="M333" s="53">
        <f t="shared" si="64"/>
        <v>-0.9578638560224283</v>
      </c>
    </row>
    <row r="334" spans="1:13" s="15" customFormat="1" ht="12.75" hidden="1" outlineLevel="2">
      <c r="A334" s="15" t="s">
        <v>922</v>
      </c>
      <c r="B334" s="15" t="s">
        <v>923</v>
      </c>
      <c r="C334" s="134" t="s">
        <v>924</v>
      </c>
      <c r="D334" s="16"/>
      <c r="E334" s="16"/>
      <c r="F334" s="16">
        <v>16973.15</v>
      </c>
      <c r="G334" s="16">
        <v>28485.29</v>
      </c>
      <c r="H334" s="16">
        <f t="shared" si="61"/>
        <v>-11512.14</v>
      </c>
      <c r="I334" s="53">
        <f t="shared" si="62"/>
        <v>-0.4041433315230422</v>
      </c>
      <c r="J334" s="174"/>
      <c r="K334" s="257">
        <v>39405.61</v>
      </c>
      <c r="L334" s="16">
        <f t="shared" si="63"/>
        <v>-22432.46</v>
      </c>
      <c r="M334" s="53">
        <f t="shared" si="64"/>
        <v>-0.5692707205902916</v>
      </c>
    </row>
    <row r="335" spans="1:13" s="15" customFormat="1" ht="12.75" hidden="1" outlineLevel="2">
      <c r="A335" s="15" t="s">
        <v>925</v>
      </c>
      <c r="B335" s="15" t="s">
        <v>926</v>
      </c>
      <c r="C335" s="134" t="s">
        <v>927</v>
      </c>
      <c r="D335" s="16"/>
      <c r="E335" s="16"/>
      <c r="F335" s="16">
        <v>188833.01</v>
      </c>
      <c r="G335" s="16">
        <v>652085.42</v>
      </c>
      <c r="H335" s="16">
        <f t="shared" si="61"/>
        <v>-463252.41000000003</v>
      </c>
      <c r="I335" s="53">
        <f t="shared" si="62"/>
        <v>-0.7104167579762787</v>
      </c>
      <c r="J335" s="174"/>
      <c r="K335" s="257">
        <v>586843.51</v>
      </c>
      <c r="L335" s="16">
        <f t="shared" si="63"/>
        <v>-398010.5</v>
      </c>
      <c r="M335" s="53">
        <f t="shared" si="64"/>
        <v>-0.6782225469273742</v>
      </c>
    </row>
    <row r="336" spans="1:13" s="15" customFormat="1" ht="12.75" hidden="1" outlineLevel="2">
      <c r="A336" s="15" t="s">
        <v>928</v>
      </c>
      <c r="B336" s="15" t="s">
        <v>929</v>
      </c>
      <c r="C336" s="134" t="s">
        <v>930</v>
      </c>
      <c r="D336" s="16"/>
      <c r="E336" s="16"/>
      <c r="F336" s="16">
        <v>2657455</v>
      </c>
      <c r="G336" s="16">
        <v>3283250.45</v>
      </c>
      <c r="H336" s="16">
        <f t="shared" si="61"/>
        <v>-625795.4500000002</v>
      </c>
      <c r="I336" s="53">
        <f t="shared" si="62"/>
        <v>-0.19060241048623025</v>
      </c>
      <c r="J336" s="174"/>
      <c r="K336" s="257">
        <v>3389351.642</v>
      </c>
      <c r="L336" s="16">
        <f t="shared" si="63"/>
        <v>-731896.642</v>
      </c>
      <c r="M336" s="53">
        <f t="shared" si="64"/>
        <v>-0.2159400142878418</v>
      </c>
    </row>
    <row r="337" spans="1:13" s="15" customFormat="1" ht="12.75" hidden="1" outlineLevel="2">
      <c r="A337" s="15" t="s">
        <v>931</v>
      </c>
      <c r="B337" s="15" t="s">
        <v>932</v>
      </c>
      <c r="C337" s="134" t="s">
        <v>933</v>
      </c>
      <c r="D337" s="16"/>
      <c r="E337" s="16"/>
      <c r="F337" s="16">
        <v>89867.14</v>
      </c>
      <c r="G337" s="16">
        <v>18220.27</v>
      </c>
      <c r="H337" s="16">
        <f t="shared" si="61"/>
        <v>71646.87</v>
      </c>
      <c r="I337" s="53">
        <f t="shared" si="62"/>
        <v>3.932261706330367</v>
      </c>
      <c r="J337" s="174"/>
      <c r="K337" s="257">
        <v>29898.81</v>
      </c>
      <c r="L337" s="16">
        <f t="shared" si="63"/>
        <v>59968.33</v>
      </c>
      <c r="M337" s="53">
        <f t="shared" si="64"/>
        <v>2.0057095917864287</v>
      </c>
    </row>
    <row r="338" spans="1:13" s="15" customFormat="1" ht="12.75" hidden="1" outlineLevel="2">
      <c r="A338" s="15" t="s">
        <v>934</v>
      </c>
      <c r="B338" s="15" t="s">
        <v>935</v>
      </c>
      <c r="C338" s="134" t="s">
        <v>936</v>
      </c>
      <c r="D338" s="16"/>
      <c r="E338" s="16"/>
      <c r="F338" s="16">
        <v>520.97</v>
      </c>
      <c r="G338" s="16">
        <v>533.45</v>
      </c>
      <c r="H338" s="16">
        <f t="shared" si="61"/>
        <v>-12.480000000000018</v>
      </c>
      <c r="I338" s="53">
        <f t="shared" si="62"/>
        <v>-0.023394882369481708</v>
      </c>
      <c r="J338" s="174"/>
      <c r="K338" s="257">
        <v>383.29</v>
      </c>
      <c r="L338" s="16">
        <f t="shared" si="63"/>
        <v>137.68</v>
      </c>
      <c r="M338" s="53">
        <f t="shared" si="64"/>
        <v>0.35920582326697803</v>
      </c>
    </row>
    <row r="339" spans="1:13" s="15" customFormat="1" ht="12.75" hidden="1" outlineLevel="2">
      <c r="A339" s="15" t="s">
        <v>937</v>
      </c>
      <c r="B339" s="15" t="s">
        <v>938</v>
      </c>
      <c r="C339" s="134" t="s">
        <v>939</v>
      </c>
      <c r="D339" s="16"/>
      <c r="E339" s="16"/>
      <c r="F339" s="16">
        <v>8015.64</v>
      </c>
      <c r="G339" s="16">
        <v>1815.3400000000001</v>
      </c>
      <c r="H339" s="16">
        <f t="shared" si="61"/>
        <v>6200.3</v>
      </c>
      <c r="I339" s="53">
        <f t="shared" si="62"/>
        <v>3.4155034318640034</v>
      </c>
      <c r="J339" s="174"/>
      <c r="K339" s="257">
        <v>742.42</v>
      </c>
      <c r="L339" s="16">
        <f t="shared" si="63"/>
        <v>7273.22</v>
      </c>
      <c r="M339" s="53">
        <f t="shared" si="64"/>
        <v>9.796638021605022</v>
      </c>
    </row>
    <row r="340" spans="1:13" s="15" customFormat="1" ht="12.75" hidden="1" outlineLevel="2">
      <c r="A340" s="15" t="s">
        <v>940</v>
      </c>
      <c r="B340" s="15" t="s">
        <v>941</v>
      </c>
      <c r="C340" s="134" t="s">
        <v>942</v>
      </c>
      <c r="D340" s="16"/>
      <c r="E340" s="16"/>
      <c r="F340" s="16">
        <v>2183.13</v>
      </c>
      <c r="G340" s="16">
        <v>9396.74</v>
      </c>
      <c r="H340" s="16">
        <f t="shared" si="61"/>
        <v>-7213.61</v>
      </c>
      <c r="I340" s="53">
        <f t="shared" si="62"/>
        <v>-0.7676715541772998</v>
      </c>
      <c r="J340" s="174"/>
      <c r="K340" s="257">
        <v>12713.64</v>
      </c>
      <c r="L340" s="16">
        <f t="shared" si="63"/>
        <v>-10530.509999999998</v>
      </c>
      <c r="M340" s="53">
        <f t="shared" si="64"/>
        <v>-0.8282844252314836</v>
      </c>
    </row>
    <row r="341" spans="1:13" s="15" customFormat="1" ht="12.75" hidden="1" outlineLevel="2">
      <c r="A341" s="15" t="s">
        <v>943</v>
      </c>
      <c r="B341" s="15" t="s">
        <v>944</v>
      </c>
      <c r="C341" s="134" t="s">
        <v>945</v>
      </c>
      <c r="D341" s="16"/>
      <c r="E341" s="16"/>
      <c r="F341" s="16">
        <v>350000</v>
      </c>
      <c r="G341" s="16">
        <v>350000</v>
      </c>
      <c r="H341" s="16">
        <f t="shared" si="61"/>
        <v>0</v>
      </c>
      <c r="I341" s="53">
        <f t="shared" si="62"/>
        <v>0</v>
      </c>
      <c r="J341" s="174"/>
      <c r="K341" s="257">
        <v>87500</v>
      </c>
      <c r="L341" s="16">
        <f t="shared" si="63"/>
        <v>262500</v>
      </c>
      <c r="M341" s="53">
        <f t="shared" si="64"/>
        <v>3</v>
      </c>
    </row>
    <row r="342" spans="1:13" s="15" customFormat="1" ht="12.75" hidden="1" outlineLevel="2">
      <c r="A342" s="15" t="s">
        <v>946</v>
      </c>
      <c r="B342" s="15" t="s">
        <v>947</v>
      </c>
      <c r="C342" s="134" t="s">
        <v>948</v>
      </c>
      <c r="D342" s="16"/>
      <c r="E342" s="16"/>
      <c r="F342" s="16">
        <v>589</v>
      </c>
      <c r="G342" s="16">
        <v>0</v>
      </c>
      <c r="H342" s="16">
        <f t="shared" si="61"/>
        <v>589</v>
      </c>
      <c r="I342" s="53" t="str">
        <f t="shared" si="62"/>
        <v>N.M.</v>
      </c>
      <c r="J342" s="174"/>
      <c r="K342" s="257">
        <v>0</v>
      </c>
      <c r="L342" s="16">
        <f t="shared" si="63"/>
        <v>589</v>
      </c>
      <c r="M342" s="53" t="str">
        <f t="shared" si="64"/>
        <v>N.M.</v>
      </c>
    </row>
    <row r="343" spans="1:13" ht="12.75" collapsed="1">
      <c r="A343" s="11" t="s">
        <v>269</v>
      </c>
      <c r="C343" s="229" t="s">
        <v>199</v>
      </c>
      <c r="E343" s="11"/>
      <c r="F343" s="18">
        <v>16538781.505000003</v>
      </c>
      <c r="G343" s="18">
        <v>21993284.029999997</v>
      </c>
      <c r="H343" s="51">
        <f>+F343-G343</f>
        <v>-5454502.524999995</v>
      </c>
      <c r="I343" s="136">
        <f>IF(G343&lt;0,IF(H343=0,0,IF(OR(G343=0,F343=0),"N.M.",IF(ABS(H343/G343)&gt;=10,"N.M.",H343/(-G343)))),IF(H343=0,0,IF(OR(G343=0,F343=0),"N.M.",IF(ABS(H343/G343)&gt;=10,"N.M.",H343/G343))))</f>
        <v>-0.24800764258578964</v>
      </c>
      <c r="J343" s="166"/>
      <c r="K343" s="18">
        <v>27428099.092000004</v>
      </c>
      <c r="L343" s="51">
        <f>+F343-K343</f>
        <v>-10889317.587000001</v>
      </c>
      <c r="M343" s="136">
        <f>IF(K343&lt;0,IF(L343=0,0,IF(OR(K343=0,F343=0),"N.M.",IF(ABS(L343/K343)&gt;=10,"N.M.",L343/(-K343)))),IF(L343=0,0,IF(OR(K343=0,F343=0),"N.M.",IF(ABS(L343/K343)&gt;=10,"N.M.",L343/K343))))</f>
        <v>-0.39701320716666455</v>
      </c>
    </row>
    <row r="344" spans="3:13" ht="0.75" customHeight="1" hidden="1" outlineLevel="1">
      <c r="C344" s="229"/>
      <c r="E344" s="11"/>
      <c r="H344" s="51"/>
      <c r="I344" s="136"/>
      <c r="J344" s="166"/>
      <c r="K344" s="18"/>
      <c r="L344" s="51"/>
      <c r="M344" s="136"/>
    </row>
    <row r="345" spans="1:13" s="15" customFormat="1" ht="12.75" hidden="1" outlineLevel="2">
      <c r="A345" s="15" t="s">
        <v>949</v>
      </c>
      <c r="B345" s="15" t="s">
        <v>950</v>
      </c>
      <c r="C345" s="134" t="s">
        <v>951</v>
      </c>
      <c r="D345" s="16"/>
      <c r="E345" s="16"/>
      <c r="F345" s="16">
        <v>18828968.23</v>
      </c>
      <c r="G345" s="16">
        <v>17319382.12</v>
      </c>
      <c r="H345" s="16">
        <f>+F345-G345</f>
        <v>1509586.1099999994</v>
      </c>
      <c r="I345" s="53">
        <f>IF(G345&lt;0,IF(H345=0,0,IF(OR(G345=0,F345=0),"N.M.",IF(ABS(H345/G345)&gt;=10,"N.M.",H345/(-G345)))),IF(H345=0,0,IF(OR(G345=0,F345=0),"N.M.",IF(ABS(H345/G345)&gt;=10,"N.M.",H345/G345))))</f>
        <v>0.08716166082257439</v>
      </c>
      <c r="J345" s="174"/>
      <c r="K345" s="257">
        <v>18049036.2</v>
      </c>
      <c r="L345" s="16">
        <f>+F345-K345</f>
        <v>779932.0300000012</v>
      </c>
      <c r="M345" s="53">
        <f>IF(K345&lt;0,IF(L345=0,0,IF(OR(K345=0,F345=0),"N.M.",IF(ABS(L345/K345)&gt;=10,"N.M.",L345/(-K345)))),IF(L345=0,0,IF(OR(K345=0,F345=0),"N.M.",IF(ABS(L345/K345)&gt;=10,"N.M.",L345/K345))))</f>
        <v>0.04321183809249611</v>
      </c>
    </row>
    <row r="346" spans="1:13" s="15" customFormat="1" ht="12.75" hidden="1" outlineLevel="2">
      <c r="A346" s="15" t="s">
        <v>952</v>
      </c>
      <c r="B346" s="15" t="s">
        <v>953</v>
      </c>
      <c r="C346" s="134" t="s">
        <v>954</v>
      </c>
      <c r="D346" s="16"/>
      <c r="E346" s="16"/>
      <c r="F346" s="16">
        <v>1616880.46</v>
      </c>
      <c r="G346" s="16">
        <v>2391655.853</v>
      </c>
      <c r="H346" s="16">
        <f>+F346-G346</f>
        <v>-774775.3930000002</v>
      </c>
      <c r="I346" s="53">
        <f>IF(G346&lt;0,IF(H346=0,0,IF(OR(G346=0,F346=0),"N.M.",IF(ABS(H346/G346)&gt;=10,"N.M.",H346/(-G346)))),IF(H346=0,0,IF(OR(G346=0,F346=0),"N.M.",IF(ABS(H346/G346)&gt;=10,"N.M.",H346/G346))))</f>
        <v>-0.3239493642148188</v>
      </c>
      <c r="J346" s="174"/>
      <c r="K346" s="257">
        <v>972831.178</v>
      </c>
      <c r="L346" s="16">
        <f>+F346-K346</f>
        <v>644049.282</v>
      </c>
      <c r="M346" s="53">
        <f>IF(K346&lt;0,IF(L346=0,0,IF(OR(K346=0,F346=0),"N.M.",IF(ABS(L346/K346)&gt;=10,"N.M.",L346/(-K346)))),IF(L346=0,0,IF(OR(K346=0,F346=0),"N.M.",IF(ABS(L346/K346)&gt;=10,"N.M.",L346/K346))))</f>
        <v>0.6620360208068907</v>
      </c>
    </row>
    <row r="347" spans="1:13" s="15" customFormat="1" ht="12.75" hidden="1" outlineLevel="2">
      <c r="A347" s="15" t="s">
        <v>955</v>
      </c>
      <c r="B347" s="15" t="s">
        <v>956</v>
      </c>
      <c r="C347" s="134" t="s">
        <v>957</v>
      </c>
      <c r="D347" s="16"/>
      <c r="E347" s="16"/>
      <c r="F347" s="16">
        <v>-1307921</v>
      </c>
      <c r="G347" s="16">
        <v>-1950169</v>
      </c>
      <c r="H347" s="16">
        <f>+F347-G347</f>
        <v>642248</v>
      </c>
      <c r="I347" s="53">
        <f>IF(G347&lt;0,IF(H347=0,0,IF(OR(G347=0,F347=0),"N.M.",IF(ABS(H347/G347)&gt;=10,"N.M.",H347/(-G347)))),IF(H347=0,0,IF(OR(G347=0,F347=0),"N.M.",IF(ABS(H347/G347)&gt;=10,"N.M.",H347/G347))))</f>
        <v>0.3293294068360229</v>
      </c>
      <c r="J347" s="174"/>
      <c r="K347" s="257">
        <v>-763538</v>
      </c>
      <c r="L347" s="16">
        <f>+F347-K347</f>
        <v>-544383</v>
      </c>
      <c r="M347" s="53">
        <f>IF(K347&lt;0,IF(L347=0,0,IF(OR(K347=0,F347=0),"N.M.",IF(ABS(L347/K347)&gt;=10,"N.M.",L347/(-K347)))),IF(L347=0,0,IF(OR(K347=0,F347=0),"N.M.",IF(ABS(L347/K347)&gt;=10,"N.M.",L347/K347))))</f>
        <v>-0.7129743378849513</v>
      </c>
    </row>
    <row r="348" spans="1:13" ht="12.75" collapsed="1">
      <c r="A348" s="11" t="s">
        <v>270</v>
      </c>
      <c r="C348" s="229" t="s">
        <v>200</v>
      </c>
      <c r="E348" s="11"/>
      <c r="F348" s="18">
        <v>19137927.69</v>
      </c>
      <c r="G348" s="18">
        <v>17760868.973</v>
      </c>
      <c r="H348" s="51">
        <f>+F348-G348</f>
        <v>1377058.7170000002</v>
      </c>
      <c r="I348" s="136">
        <f>IF(G348&lt;0,IF(H348=0,0,IF(OR(G348=0,F348=0),"N.M.",IF(ABS(H348/G348)&gt;=10,"N.M.",H348/(-G348)))),IF(H348=0,0,IF(OR(G348=0,F348=0),"N.M.",IF(ABS(H348/G348)&gt;=10,"N.M.",H348/G348))))</f>
        <v>0.0775332963208838</v>
      </c>
      <c r="J348" s="166"/>
      <c r="K348" s="18">
        <v>18258329.378</v>
      </c>
      <c r="L348" s="51">
        <f>+F348-K348</f>
        <v>879598.3120000027</v>
      </c>
      <c r="M348" s="136">
        <f>IF(K348&lt;0,IF(L348=0,0,IF(OR(K348=0,F348=0),"N.M.",IF(ABS(L348/K348)&gt;=10,"N.M.",L348/(-K348)))),IF(L348=0,0,IF(OR(K348=0,F348=0),"N.M.",IF(ABS(L348/K348)&gt;=10,"N.M.",L348/K348))))</f>
        <v>0.048175180422577804</v>
      </c>
    </row>
    <row r="349" spans="3:13" ht="0.75" customHeight="1" hidden="1" outlineLevel="1">
      <c r="C349" s="229"/>
      <c r="E349" s="11"/>
      <c r="H349" s="51"/>
      <c r="I349" s="136"/>
      <c r="J349" s="166"/>
      <c r="K349" s="18"/>
      <c r="L349" s="51"/>
      <c r="M349" s="136"/>
    </row>
    <row r="350" spans="1:13" s="15" customFormat="1" ht="12.75" hidden="1" outlineLevel="2">
      <c r="A350" s="15" t="s">
        <v>958</v>
      </c>
      <c r="B350" s="15" t="s">
        <v>959</v>
      </c>
      <c r="C350" s="134" t="s">
        <v>960</v>
      </c>
      <c r="D350" s="16"/>
      <c r="E350" s="16"/>
      <c r="F350" s="16">
        <v>-3382423.42</v>
      </c>
      <c r="G350" s="16">
        <v>-1423542.78</v>
      </c>
      <c r="H350" s="16">
        <f aca="true" t="shared" si="65" ref="H350:H378">+F350-G350</f>
        <v>-1958880.64</v>
      </c>
      <c r="I350" s="53">
        <f aca="true" t="shared" si="66" ref="I350:I378">IF(G350&lt;0,IF(H350=0,0,IF(OR(G350=0,F350=0),"N.M.",IF(ABS(H350/G350)&gt;=10,"N.M.",H350/(-G350)))),IF(H350=0,0,IF(OR(G350=0,F350=0),"N.M.",IF(ABS(H350/G350)&gt;=10,"N.M.",H350/G350))))</f>
        <v>-1.3760602544027514</v>
      </c>
      <c r="J350" s="174"/>
      <c r="K350" s="257">
        <v>-24771724.67</v>
      </c>
      <c r="L350" s="16">
        <f aca="true" t="shared" si="67" ref="L350:L378">+F350-K350</f>
        <v>21389301.25</v>
      </c>
      <c r="M350" s="53">
        <f aca="true" t="shared" si="68" ref="M350:M378">IF(K350&lt;0,IF(L350=0,0,IF(OR(K350=0,F350=0),"N.M.",IF(ABS(L350/K350)&gt;=10,"N.M.",L350/(-K350)))),IF(L350=0,0,IF(OR(K350=0,F350=0),"N.M.",IF(ABS(L350/K350)&gt;=10,"N.M.",L350/K350))))</f>
        <v>0.8634562806966641</v>
      </c>
    </row>
    <row r="351" spans="1:13" s="15" customFormat="1" ht="12.75" hidden="1" outlineLevel="2">
      <c r="A351" s="15" t="s">
        <v>961</v>
      </c>
      <c r="B351" s="15" t="s">
        <v>962</v>
      </c>
      <c r="C351" s="134" t="s">
        <v>963</v>
      </c>
      <c r="D351" s="16"/>
      <c r="E351" s="16"/>
      <c r="F351" s="16">
        <v>0</v>
      </c>
      <c r="G351" s="16">
        <v>-207108.06</v>
      </c>
      <c r="H351" s="16">
        <f t="shared" si="65"/>
        <v>207108.06</v>
      </c>
      <c r="I351" s="53" t="str">
        <f t="shared" si="66"/>
        <v>N.M.</v>
      </c>
      <c r="J351" s="174"/>
      <c r="K351" s="257">
        <v>0</v>
      </c>
      <c r="L351" s="16">
        <f t="shared" si="67"/>
        <v>0</v>
      </c>
      <c r="M351" s="53">
        <f t="shared" si="68"/>
        <v>0</v>
      </c>
    </row>
    <row r="352" spans="1:13" s="15" customFormat="1" ht="12.75" hidden="1" outlineLevel="2">
      <c r="A352" s="15" t="s">
        <v>964</v>
      </c>
      <c r="B352" s="15" t="s">
        <v>965</v>
      </c>
      <c r="C352" s="134" t="s">
        <v>963</v>
      </c>
      <c r="D352" s="16"/>
      <c r="E352" s="16"/>
      <c r="F352" s="16">
        <v>-4725396.5600000005</v>
      </c>
      <c r="G352" s="16">
        <v>-1842419.8</v>
      </c>
      <c r="H352" s="16">
        <f t="shared" si="65"/>
        <v>-2882976.7600000007</v>
      </c>
      <c r="I352" s="53">
        <f t="shared" si="66"/>
        <v>-1.5647773433611605</v>
      </c>
      <c r="J352" s="174"/>
      <c r="K352" s="257">
        <v>-4725396.5600000005</v>
      </c>
      <c r="L352" s="16">
        <f t="shared" si="67"/>
        <v>0</v>
      </c>
      <c r="M352" s="53">
        <f t="shared" si="68"/>
        <v>0</v>
      </c>
    </row>
    <row r="353" spans="1:13" s="15" customFormat="1" ht="12.75" hidden="1" outlineLevel="2">
      <c r="A353" s="15" t="s">
        <v>966</v>
      </c>
      <c r="B353" s="15" t="s">
        <v>967</v>
      </c>
      <c r="C353" s="134" t="s">
        <v>963</v>
      </c>
      <c r="D353" s="16"/>
      <c r="E353" s="16"/>
      <c r="F353" s="16">
        <v>517122.58</v>
      </c>
      <c r="G353" s="16">
        <v>0</v>
      </c>
      <c r="H353" s="16">
        <f t="shared" si="65"/>
        <v>517122.58</v>
      </c>
      <c r="I353" s="53" t="str">
        <f t="shared" si="66"/>
        <v>N.M.</v>
      </c>
      <c r="J353" s="174"/>
      <c r="K353" s="257">
        <v>0</v>
      </c>
      <c r="L353" s="16">
        <f t="shared" si="67"/>
        <v>517122.58</v>
      </c>
      <c r="M353" s="53" t="str">
        <f t="shared" si="68"/>
        <v>N.M.</v>
      </c>
    </row>
    <row r="354" spans="1:13" s="15" customFormat="1" ht="12.75" hidden="1" outlineLevel="2">
      <c r="A354" s="15" t="s">
        <v>968</v>
      </c>
      <c r="B354" s="15" t="s">
        <v>969</v>
      </c>
      <c r="C354" s="134" t="s">
        <v>970</v>
      </c>
      <c r="D354" s="16"/>
      <c r="E354" s="16"/>
      <c r="F354" s="16">
        <v>81762.14</v>
      </c>
      <c r="G354" s="16">
        <v>73159.94</v>
      </c>
      <c r="H354" s="16">
        <f t="shared" si="65"/>
        <v>8602.199999999997</v>
      </c>
      <c r="I354" s="53">
        <f t="shared" si="66"/>
        <v>0.1175807415916415</v>
      </c>
      <c r="J354" s="174"/>
      <c r="K354" s="257">
        <v>170270.83000000002</v>
      </c>
      <c r="L354" s="16">
        <f t="shared" si="67"/>
        <v>-88508.69000000002</v>
      </c>
      <c r="M354" s="53">
        <f t="shared" si="68"/>
        <v>-0.5198112324935517</v>
      </c>
    </row>
    <row r="355" spans="1:13" s="15" customFormat="1" ht="12.75" hidden="1" outlineLevel="2">
      <c r="A355" s="15" t="s">
        <v>971</v>
      </c>
      <c r="B355" s="15" t="s">
        <v>972</v>
      </c>
      <c r="C355" s="134" t="s">
        <v>973</v>
      </c>
      <c r="D355" s="16"/>
      <c r="E355" s="16"/>
      <c r="F355" s="16">
        <v>1343.04</v>
      </c>
      <c r="G355" s="16">
        <v>86.31</v>
      </c>
      <c r="H355" s="16">
        <f t="shared" si="65"/>
        <v>1256.73</v>
      </c>
      <c r="I355" s="53" t="str">
        <f t="shared" si="66"/>
        <v>N.M.</v>
      </c>
      <c r="J355" s="174"/>
      <c r="K355" s="257">
        <v>5059.02</v>
      </c>
      <c r="L355" s="16">
        <f t="shared" si="67"/>
        <v>-3715.9800000000005</v>
      </c>
      <c r="M355" s="53">
        <f t="shared" si="68"/>
        <v>-0.7345256591197505</v>
      </c>
    </row>
    <row r="356" spans="1:13" s="15" customFormat="1" ht="12.75" hidden="1" outlineLevel="2">
      <c r="A356" s="15" t="s">
        <v>974</v>
      </c>
      <c r="B356" s="15" t="s">
        <v>975</v>
      </c>
      <c r="C356" s="134" t="s">
        <v>976</v>
      </c>
      <c r="D356" s="16"/>
      <c r="E356" s="16"/>
      <c r="F356" s="16">
        <v>1956.83</v>
      </c>
      <c r="G356" s="16">
        <v>113.77</v>
      </c>
      <c r="H356" s="16">
        <f t="shared" si="65"/>
        <v>1843.06</v>
      </c>
      <c r="I356" s="53" t="str">
        <f t="shared" si="66"/>
        <v>N.M.</v>
      </c>
      <c r="J356" s="174"/>
      <c r="K356" s="257">
        <v>4809.54</v>
      </c>
      <c r="L356" s="16">
        <f t="shared" si="67"/>
        <v>-2852.71</v>
      </c>
      <c r="M356" s="53">
        <f t="shared" si="68"/>
        <v>-0.5931357260777538</v>
      </c>
    </row>
    <row r="357" spans="1:13" s="15" customFormat="1" ht="12.75" hidden="1" outlineLevel="2">
      <c r="A357" s="15" t="s">
        <v>977</v>
      </c>
      <c r="B357" s="15" t="s">
        <v>978</v>
      </c>
      <c r="C357" s="134" t="s">
        <v>979</v>
      </c>
      <c r="D357" s="16"/>
      <c r="E357" s="16"/>
      <c r="F357" s="16">
        <v>0</v>
      </c>
      <c r="G357" s="16">
        <v>20292.44</v>
      </c>
      <c r="H357" s="16">
        <f t="shared" si="65"/>
        <v>-20292.44</v>
      </c>
      <c r="I357" s="53" t="str">
        <f t="shared" si="66"/>
        <v>N.M.</v>
      </c>
      <c r="J357" s="174"/>
      <c r="K357" s="257">
        <v>65729.17</v>
      </c>
      <c r="L357" s="16">
        <f t="shared" si="67"/>
        <v>-65729.17</v>
      </c>
      <c r="M357" s="53" t="str">
        <f t="shared" si="68"/>
        <v>N.M.</v>
      </c>
    </row>
    <row r="358" spans="1:13" s="15" customFormat="1" ht="12.75" hidden="1" outlineLevel="2">
      <c r="A358" s="15" t="s">
        <v>980</v>
      </c>
      <c r="B358" s="15" t="s">
        <v>981</v>
      </c>
      <c r="C358" s="134" t="s">
        <v>979</v>
      </c>
      <c r="D358" s="16"/>
      <c r="E358" s="16"/>
      <c r="F358" s="16">
        <v>21652.87</v>
      </c>
      <c r="G358" s="16">
        <v>0</v>
      </c>
      <c r="H358" s="16">
        <f t="shared" si="65"/>
        <v>21652.87</v>
      </c>
      <c r="I358" s="53" t="str">
        <f t="shared" si="66"/>
        <v>N.M.</v>
      </c>
      <c r="J358" s="174"/>
      <c r="K358" s="257">
        <v>0</v>
      </c>
      <c r="L358" s="16">
        <f t="shared" si="67"/>
        <v>21652.87</v>
      </c>
      <c r="M358" s="53" t="str">
        <f t="shared" si="68"/>
        <v>N.M.</v>
      </c>
    </row>
    <row r="359" spans="1:13" s="15" customFormat="1" ht="12.75" hidden="1" outlineLevel="2">
      <c r="A359" s="15" t="s">
        <v>982</v>
      </c>
      <c r="B359" s="15" t="s">
        <v>983</v>
      </c>
      <c r="C359" s="134" t="s">
        <v>984</v>
      </c>
      <c r="D359" s="16"/>
      <c r="E359" s="16"/>
      <c r="F359" s="16">
        <v>0</v>
      </c>
      <c r="G359" s="16">
        <v>-1051.49</v>
      </c>
      <c r="H359" s="16">
        <f t="shared" si="65"/>
        <v>1051.49</v>
      </c>
      <c r="I359" s="53" t="str">
        <f t="shared" si="66"/>
        <v>N.M.</v>
      </c>
      <c r="J359" s="174"/>
      <c r="K359" s="257">
        <v>0</v>
      </c>
      <c r="L359" s="16">
        <f t="shared" si="67"/>
        <v>0</v>
      </c>
      <c r="M359" s="53">
        <f t="shared" si="68"/>
        <v>0</v>
      </c>
    </row>
    <row r="360" spans="1:13" s="15" customFormat="1" ht="12.75" hidden="1" outlineLevel="2">
      <c r="A360" s="15" t="s">
        <v>985</v>
      </c>
      <c r="B360" s="15" t="s">
        <v>986</v>
      </c>
      <c r="C360" s="134" t="s">
        <v>984</v>
      </c>
      <c r="D360" s="16"/>
      <c r="E360" s="16"/>
      <c r="F360" s="16">
        <v>165000</v>
      </c>
      <c r="G360" s="16">
        <v>9055058.66</v>
      </c>
      <c r="H360" s="16">
        <f t="shared" si="65"/>
        <v>-8890058.66</v>
      </c>
      <c r="I360" s="53">
        <f t="shared" si="66"/>
        <v>-0.9817781412362491</v>
      </c>
      <c r="J360" s="174"/>
      <c r="K360" s="257">
        <v>2477010.54</v>
      </c>
      <c r="L360" s="16">
        <f t="shared" si="67"/>
        <v>-2312010.54</v>
      </c>
      <c r="M360" s="53">
        <f t="shared" si="68"/>
        <v>-0.9333874453356181</v>
      </c>
    </row>
    <row r="361" spans="1:13" s="15" customFormat="1" ht="12.75" hidden="1" outlineLevel="2">
      <c r="A361" s="15" t="s">
        <v>987</v>
      </c>
      <c r="B361" s="15" t="s">
        <v>988</v>
      </c>
      <c r="C361" s="134" t="s">
        <v>984</v>
      </c>
      <c r="D361" s="16"/>
      <c r="E361" s="16"/>
      <c r="F361" s="16">
        <v>9323500</v>
      </c>
      <c r="G361" s="16">
        <v>-0.92</v>
      </c>
      <c r="H361" s="16">
        <f t="shared" si="65"/>
        <v>9323500.92</v>
      </c>
      <c r="I361" s="53" t="str">
        <f t="shared" si="66"/>
        <v>N.M.</v>
      </c>
      <c r="J361" s="174"/>
      <c r="K361" s="257">
        <v>9323500</v>
      </c>
      <c r="L361" s="16">
        <f t="shared" si="67"/>
        <v>0</v>
      </c>
      <c r="M361" s="53">
        <f t="shared" si="68"/>
        <v>0</v>
      </c>
    </row>
    <row r="362" spans="1:13" s="15" customFormat="1" ht="12.75" hidden="1" outlineLevel="2">
      <c r="A362" s="15" t="s">
        <v>989</v>
      </c>
      <c r="B362" s="15" t="s">
        <v>990</v>
      </c>
      <c r="C362" s="134" t="s">
        <v>991</v>
      </c>
      <c r="D362" s="16"/>
      <c r="E362" s="16"/>
      <c r="F362" s="16">
        <v>0</v>
      </c>
      <c r="G362" s="16">
        <v>-41123</v>
      </c>
      <c r="H362" s="16">
        <f t="shared" si="65"/>
        <v>41123</v>
      </c>
      <c r="I362" s="53" t="str">
        <f t="shared" si="66"/>
        <v>N.M.</v>
      </c>
      <c r="J362" s="174"/>
      <c r="K362" s="257">
        <v>0</v>
      </c>
      <c r="L362" s="16">
        <f t="shared" si="67"/>
        <v>0</v>
      </c>
      <c r="M362" s="53">
        <f t="shared" si="68"/>
        <v>0</v>
      </c>
    </row>
    <row r="363" spans="1:13" s="15" customFormat="1" ht="12.75" hidden="1" outlineLevel="2">
      <c r="A363" s="15" t="s">
        <v>992</v>
      </c>
      <c r="B363" s="15" t="s">
        <v>993</v>
      </c>
      <c r="C363" s="134" t="s">
        <v>991</v>
      </c>
      <c r="D363" s="16"/>
      <c r="E363" s="16"/>
      <c r="F363" s="16">
        <v>-25500</v>
      </c>
      <c r="G363" s="16">
        <v>-34200</v>
      </c>
      <c r="H363" s="16">
        <f t="shared" si="65"/>
        <v>8700</v>
      </c>
      <c r="I363" s="53">
        <f t="shared" si="66"/>
        <v>0.2543859649122807</v>
      </c>
      <c r="J363" s="174"/>
      <c r="K363" s="257">
        <v>-25500</v>
      </c>
      <c r="L363" s="16">
        <f t="shared" si="67"/>
        <v>0</v>
      </c>
      <c r="M363" s="53">
        <f t="shared" si="68"/>
        <v>0</v>
      </c>
    </row>
    <row r="364" spans="1:13" s="15" customFormat="1" ht="12.75" hidden="1" outlineLevel="2">
      <c r="A364" s="15" t="s">
        <v>994</v>
      </c>
      <c r="B364" s="15" t="s">
        <v>995</v>
      </c>
      <c r="C364" s="134" t="s">
        <v>991</v>
      </c>
      <c r="D364" s="16"/>
      <c r="E364" s="16"/>
      <c r="F364" s="16">
        <v>80100</v>
      </c>
      <c r="G364" s="16">
        <v>0</v>
      </c>
      <c r="H364" s="16">
        <f t="shared" si="65"/>
        <v>80100</v>
      </c>
      <c r="I364" s="53" t="str">
        <f t="shared" si="66"/>
        <v>N.M.</v>
      </c>
      <c r="J364" s="174"/>
      <c r="K364" s="257">
        <v>0</v>
      </c>
      <c r="L364" s="16">
        <f t="shared" si="67"/>
        <v>80100</v>
      </c>
      <c r="M364" s="53" t="str">
        <f t="shared" si="68"/>
        <v>N.M.</v>
      </c>
    </row>
    <row r="365" spans="1:13" s="15" customFormat="1" ht="12.75" hidden="1" outlineLevel="2">
      <c r="A365" s="15" t="s">
        <v>996</v>
      </c>
      <c r="B365" s="15" t="s">
        <v>997</v>
      </c>
      <c r="C365" s="134" t="s">
        <v>998</v>
      </c>
      <c r="D365" s="16"/>
      <c r="E365" s="16"/>
      <c r="F365" s="16">
        <v>0</v>
      </c>
      <c r="G365" s="16">
        <v>41751</v>
      </c>
      <c r="H365" s="16">
        <f t="shared" si="65"/>
        <v>-41751</v>
      </c>
      <c r="I365" s="53" t="str">
        <f t="shared" si="66"/>
        <v>N.M.</v>
      </c>
      <c r="J365" s="174"/>
      <c r="K365" s="257">
        <v>41747</v>
      </c>
      <c r="L365" s="16">
        <f t="shared" si="67"/>
        <v>-41747</v>
      </c>
      <c r="M365" s="53" t="str">
        <f t="shared" si="68"/>
        <v>N.M.</v>
      </c>
    </row>
    <row r="366" spans="1:13" s="15" customFormat="1" ht="12.75" hidden="1" outlineLevel="2">
      <c r="A366" s="15" t="s">
        <v>999</v>
      </c>
      <c r="B366" s="15" t="s">
        <v>1000</v>
      </c>
      <c r="C366" s="134" t="s">
        <v>998</v>
      </c>
      <c r="D366" s="16"/>
      <c r="E366" s="16"/>
      <c r="F366" s="16">
        <v>64716</v>
      </c>
      <c r="G366" s="16">
        <v>0</v>
      </c>
      <c r="H366" s="16">
        <f t="shared" si="65"/>
        <v>64716</v>
      </c>
      <c r="I366" s="53" t="str">
        <f t="shared" si="66"/>
        <v>N.M.</v>
      </c>
      <c r="J366" s="174"/>
      <c r="K366" s="257">
        <v>0</v>
      </c>
      <c r="L366" s="16">
        <f t="shared" si="67"/>
        <v>64716</v>
      </c>
      <c r="M366" s="53" t="str">
        <f t="shared" si="68"/>
        <v>N.M.</v>
      </c>
    </row>
    <row r="367" spans="1:13" s="15" customFormat="1" ht="12.75" hidden="1" outlineLevel="2">
      <c r="A367" s="15" t="s">
        <v>1001</v>
      </c>
      <c r="B367" s="15" t="s">
        <v>1002</v>
      </c>
      <c r="C367" s="134" t="s">
        <v>1003</v>
      </c>
      <c r="D367" s="16"/>
      <c r="E367" s="16"/>
      <c r="F367" s="16">
        <v>-3339.56</v>
      </c>
      <c r="G367" s="16">
        <v>33000</v>
      </c>
      <c r="H367" s="16">
        <f t="shared" si="65"/>
        <v>-36339.56</v>
      </c>
      <c r="I367" s="53">
        <f t="shared" si="66"/>
        <v>-1.1011987878787879</v>
      </c>
      <c r="J367" s="174"/>
      <c r="K367" s="257">
        <v>-2776.35</v>
      </c>
      <c r="L367" s="16">
        <f t="shared" si="67"/>
        <v>-563.21</v>
      </c>
      <c r="M367" s="53">
        <f t="shared" si="68"/>
        <v>-0.20285986997316624</v>
      </c>
    </row>
    <row r="368" spans="1:13" s="15" customFormat="1" ht="12.75" hidden="1" outlineLevel="2">
      <c r="A368" s="15" t="s">
        <v>1004</v>
      </c>
      <c r="B368" s="15" t="s">
        <v>1005</v>
      </c>
      <c r="C368" s="134" t="s">
        <v>1003</v>
      </c>
      <c r="D368" s="16"/>
      <c r="E368" s="16"/>
      <c r="F368" s="16">
        <v>106300</v>
      </c>
      <c r="G368" s="16">
        <v>0</v>
      </c>
      <c r="H368" s="16">
        <f t="shared" si="65"/>
        <v>106300</v>
      </c>
      <c r="I368" s="53" t="str">
        <f t="shared" si="66"/>
        <v>N.M.</v>
      </c>
      <c r="J368" s="174"/>
      <c r="K368" s="257">
        <v>0</v>
      </c>
      <c r="L368" s="16">
        <f t="shared" si="67"/>
        <v>106300</v>
      </c>
      <c r="M368" s="53" t="str">
        <f t="shared" si="68"/>
        <v>N.M.</v>
      </c>
    </row>
    <row r="369" spans="1:13" s="15" customFormat="1" ht="12.75" hidden="1" outlineLevel="2">
      <c r="A369" s="15" t="s">
        <v>1006</v>
      </c>
      <c r="B369" s="15" t="s">
        <v>1007</v>
      </c>
      <c r="C369" s="134" t="s">
        <v>1008</v>
      </c>
      <c r="D369" s="16"/>
      <c r="E369" s="16"/>
      <c r="F369" s="16">
        <v>-14699.81</v>
      </c>
      <c r="G369" s="16">
        <v>9018</v>
      </c>
      <c r="H369" s="16">
        <f t="shared" si="65"/>
        <v>-23717.809999999998</v>
      </c>
      <c r="I369" s="53">
        <f t="shared" si="66"/>
        <v>-2.6300521179862493</v>
      </c>
      <c r="J369" s="174"/>
      <c r="K369" s="257">
        <v>-14660.81</v>
      </c>
      <c r="L369" s="16">
        <f t="shared" si="67"/>
        <v>-39</v>
      </c>
      <c r="M369" s="53">
        <f t="shared" si="68"/>
        <v>-0.002660153156612766</v>
      </c>
    </row>
    <row r="370" spans="1:13" s="15" customFormat="1" ht="12.75" hidden="1" outlineLevel="2">
      <c r="A370" s="15" t="s">
        <v>1009</v>
      </c>
      <c r="B370" s="15" t="s">
        <v>1010</v>
      </c>
      <c r="C370" s="134" t="s">
        <v>1008</v>
      </c>
      <c r="D370" s="16"/>
      <c r="E370" s="16"/>
      <c r="F370" s="16">
        <v>20025</v>
      </c>
      <c r="G370" s="16">
        <v>0</v>
      </c>
      <c r="H370" s="16">
        <f t="shared" si="65"/>
        <v>20025</v>
      </c>
      <c r="I370" s="53" t="str">
        <f t="shared" si="66"/>
        <v>N.M.</v>
      </c>
      <c r="J370" s="174"/>
      <c r="K370" s="257">
        <v>0</v>
      </c>
      <c r="L370" s="16">
        <f t="shared" si="67"/>
        <v>20025</v>
      </c>
      <c r="M370" s="53" t="str">
        <f t="shared" si="68"/>
        <v>N.M.</v>
      </c>
    </row>
    <row r="371" spans="1:13" s="15" customFormat="1" ht="12.75" hidden="1" outlineLevel="2">
      <c r="A371" s="15" t="s">
        <v>1011</v>
      </c>
      <c r="B371" s="15" t="s">
        <v>1012</v>
      </c>
      <c r="C371" s="134" t="s">
        <v>1013</v>
      </c>
      <c r="D371" s="16"/>
      <c r="E371" s="16"/>
      <c r="F371" s="16">
        <v>90165.99</v>
      </c>
      <c r="G371" s="16">
        <v>40759.340000000004</v>
      </c>
      <c r="H371" s="16">
        <f t="shared" si="65"/>
        <v>49406.65</v>
      </c>
      <c r="I371" s="53">
        <f t="shared" si="66"/>
        <v>1.2121552998650125</v>
      </c>
      <c r="J371" s="174"/>
      <c r="K371" s="257">
        <v>40894.76</v>
      </c>
      <c r="L371" s="16">
        <f t="shared" si="67"/>
        <v>49271.23</v>
      </c>
      <c r="M371" s="53">
        <f t="shared" si="68"/>
        <v>1.2048299097488284</v>
      </c>
    </row>
    <row r="372" spans="1:13" s="15" customFormat="1" ht="12.75" hidden="1" outlineLevel="2">
      <c r="A372" s="15" t="s">
        <v>1014</v>
      </c>
      <c r="B372" s="15" t="s">
        <v>1015</v>
      </c>
      <c r="C372" s="134" t="s">
        <v>1016</v>
      </c>
      <c r="D372" s="16"/>
      <c r="E372" s="16"/>
      <c r="F372" s="16">
        <v>3991.465</v>
      </c>
      <c r="G372" s="16">
        <v>0</v>
      </c>
      <c r="H372" s="16">
        <f t="shared" si="65"/>
        <v>3991.465</v>
      </c>
      <c r="I372" s="53" t="str">
        <f t="shared" si="66"/>
        <v>N.M.</v>
      </c>
      <c r="J372" s="174"/>
      <c r="K372" s="257">
        <v>0</v>
      </c>
      <c r="L372" s="16">
        <f t="shared" si="67"/>
        <v>3991.465</v>
      </c>
      <c r="M372" s="53" t="str">
        <f t="shared" si="68"/>
        <v>N.M.</v>
      </c>
    </row>
    <row r="373" spans="1:13" s="15" customFormat="1" ht="12.75" hidden="1" outlineLevel="2">
      <c r="A373" s="15" t="s">
        <v>1017</v>
      </c>
      <c r="B373" s="15" t="s">
        <v>1018</v>
      </c>
      <c r="C373" s="134" t="s">
        <v>1019</v>
      </c>
      <c r="D373" s="16"/>
      <c r="E373" s="16"/>
      <c r="F373" s="16">
        <v>495839</v>
      </c>
      <c r="G373" s="16">
        <v>0</v>
      </c>
      <c r="H373" s="16">
        <f t="shared" si="65"/>
        <v>495839</v>
      </c>
      <c r="I373" s="53" t="str">
        <f t="shared" si="66"/>
        <v>N.M.</v>
      </c>
      <c r="J373" s="174"/>
      <c r="K373" s="257">
        <v>495839</v>
      </c>
      <c r="L373" s="16">
        <f t="shared" si="67"/>
        <v>0</v>
      </c>
      <c r="M373" s="53">
        <f t="shared" si="68"/>
        <v>0</v>
      </c>
    </row>
    <row r="374" spans="1:13" s="15" customFormat="1" ht="12.75" hidden="1" outlineLevel="2">
      <c r="A374" s="15" t="s">
        <v>1020</v>
      </c>
      <c r="B374" s="15" t="s">
        <v>1021</v>
      </c>
      <c r="C374" s="134" t="s">
        <v>1022</v>
      </c>
      <c r="D374" s="16"/>
      <c r="E374" s="16"/>
      <c r="F374" s="16">
        <v>211473</v>
      </c>
      <c r="G374" s="16">
        <v>0</v>
      </c>
      <c r="H374" s="16">
        <f t="shared" si="65"/>
        <v>211473</v>
      </c>
      <c r="I374" s="53" t="str">
        <f t="shared" si="66"/>
        <v>N.M.</v>
      </c>
      <c r="J374" s="174"/>
      <c r="K374" s="257">
        <v>0</v>
      </c>
      <c r="L374" s="16">
        <f t="shared" si="67"/>
        <v>211473</v>
      </c>
      <c r="M374" s="53" t="str">
        <f t="shared" si="68"/>
        <v>N.M.</v>
      </c>
    </row>
    <row r="375" spans="1:13" s="15" customFormat="1" ht="12.75" hidden="1" outlineLevel="2">
      <c r="A375" s="15" t="s">
        <v>1023</v>
      </c>
      <c r="B375" s="15" t="s">
        <v>1024</v>
      </c>
      <c r="C375" s="134" t="s">
        <v>1025</v>
      </c>
      <c r="D375" s="16"/>
      <c r="E375" s="16"/>
      <c r="F375" s="16">
        <v>1130375.06</v>
      </c>
      <c r="G375" s="16">
        <v>2250946</v>
      </c>
      <c r="H375" s="16">
        <f t="shared" si="65"/>
        <v>-1120570.94</v>
      </c>
      <c r="I375" s="53">
        <f t="shared" si="66"/>
        <v>-0.4978222223012013</v>
      </c>
      <c r="J375" s="174"/>
      <c r="K375" s="257">
        <v>1242187.06</v>
      </c>
      <c r="L375" s="16">
        <f t="shared" si="67"/>
        <v>-111812</v>
      </c>
      <c r="M375" s="53">
        <f t="shared" si="68"/>
        <v>-0.09001220798419844</v>
      </c>
    </row>
    <row r="376" spans="1:13" s="15" customFormat="1" ht="12.75" hidden="1" outlineLevel="2">
      <c r="A376" s="15" t="s">
        <v>1026</v>
      </c>
      <c r="B376" s="15" t="s">
        <v>1027</v>
      </c>
      <c r="C376" s="134" t="s">
        <v>1028</v>
      </c>
      <c r="D376" s="16"/>
      <c r="E376" s="16"/>
      <c r="F376" s="16">
        <v>738115</v>
      </c>
      <c r="G376" s="16">
        <v>1154283</v>
      </c>
      <c r="H376" s="16">
        <f t="shared" si="65"/>
        <v>-416168</v>
      </c>
      <c r="I376" s="53">
        <f t="shared" si="66"/>
        <v>-0.36054243196859004</v>
      </c>
      <c r="J376" s="174"/>
      <c r="K376" s="257">
        <v>965474</v>
      </c>
      <c r="L376" s="16">
        <f t="shared" si="67"/>
        <v>-227359</v>
      </c>
      <c r="M376" s="53">
        <f t="shared" si="68"/>
        <v>-0.23548951085166456</v>
      </c>
    </row>
    <row r="377" spans="1:13" s="15" customFormat="1" ht="12.75" hidden="1" outlineLevel="2">
      <c r="A377" s="15" t="s">
        <v>1029</v>
      </c>
      <c r="B377" s="15" t="s">
        <v>1030</v>
      </c>
      <c r="C377" s="134" t="s">
        <v>1031</v>
      </c>
      <c r="D377" s="16"/>
      <c r="E377" s="16"/>
      <c r="F377" s="16">
        <v>-1697535</v>
      </c>
      <c r="G377" s="16">
        <v>-1840134</v>
      </c>
      <c r="H377" s="16">
        <f t="shared" si="65"/>
        <v>142599</v>
      </c>
      <c r="I377" s="53">
        <f t="shared" si="66"/>
        <v>0.0774938129505786</v>
      </c>
      <c r="J377" s="174"/>
      <c r="K377" s="257">
        <v>-1809347</v>
      </c>
      <c r="L377" s="16">
        <f t="shared" si="67"/>
        <v>111812</v>
      </c>
      <c r="M377" s="53">
        <f t="shared" si="68"/>
        <v>0.06179688031096302</v>
      </c>
    </row>
    <row r="378" spans="1:13" s="15" customFormat="1" ht="12.75" hidden="1" outlineLevel="2">
      <c r="A378" s="15" t="s">
        <v>1032</v>
      </c>
      <c r="B378" s="15" t="s">
        <v>1033</v>
      </c>
      <c r="C378" s="134" t="s">
        <v>1034</v>
      </c>
      <c r="D378" s="16"/>
      <c r="E378" s="16"/>
      <c r="F378" s="16">
        <v>-244199</v>
      </c>
      <c r="G378" s="16">
        <v>-292353</v>
      </c>
      <c r="H378" s="16">
        <f t="shared" si="65"/>
        <v>48154</v>
      </c>
      <c r="I378" s="53">
        <f t="shared" si="66"/>
        <v>0.16471183808614928</v>
      </c>
      <c r="J378" s="174"/>
      <c r="K378" s="257">
        <v>-260095</v>
      </c>
      <c r="L378" s="16">
        <f t="shared" si="67"/>
        <v>15896</v>
      </c>
      <c r="M378" s="53">
        <f t="shared" si="68"/>
        <v>0.06111613064457218</v>
      </c>
    </row>
    <row r="379" spans="1:13" ht="12.75" collapsed="1">
      <c r="A379" s="11" t="s">
        <v>271</v>
      </c>
      <c r="C379" s="229" t="s">
        <v>201</v>
      </c>
      <c r="E379" s="11"/>
      <c r="F379" s="18">
        <v>2960344.625</v>
      </c>
      <c r="G379" s="18">
        <v>6996535.41</v>
      </c>
      <c r="H379" s="51">
        <f>+F379-G379</f>
        <v>-4036190.785</v>
      </c>
      <c r="I379" s="136">
        <f>IF(G379&lt;0,IF(H379=0,0,IF(OR(G379=0,F379=0),"N.M.",IF(ABS(H379/G379)&gt;=10,"N.M.",H379/(-G379)))),IF(H379=0,0,IF(OR(G379=0,F379=0),"N.M.",IF(ABS(H379/G379)&gt;=10,"N.M.",H379/G379))))</f>
        <v>-0.5768842074651916</v>
      </c>
      <c r="J379" s="166"/>
      <c r="K379" s="18">
        <v>-16776979.470000004</v>
      </c>
      <c r="L379" s="51">
        <f>+F379-K379</f>
        <v>19737324.095000006</v>
      </c>
      <c r="M379" s="136">
        <f>IF(K379&lt;0,IF(L379=0,0,IF(OR(K379=0,F379=0),"N.M.",IF(ABS(L379/K379)&gt;=10,"N.M.",L379/(-K379)))),IF(L379=0,0,IF(OR(K379=0,F379=0),"N.M.",IF(ABS(L379/K379)&gt;=10,"N.M.",L379/K379))))</f>
        <v>1.1764527774676952</v>
      </c>
    </row>
    <row r="380" spans="3:13" ht="0.75" customHeight="1" hidden="1" outlineLevel="1">
      <c r="C380" s="229"/>
      <c r="E380" s="11"/>
      <c r="H380" s="51"/>
      <c r="I380" s="136"/>
      <c r="J380" s="166"/>
      <c r="K380" s="18"/>
      <c r="L380" s="51"/>
      <c r="M380" s="136"/>
    </row>
    <row r="381" spans="1:13" s="15" customFormat="1" ht="12.75" hidden="1" outlineLevel="2">
      <c r="A381" s="15" t="s">
        <v>1035</v>
      </c>
      <c r="B381" s="15" t="s">
        <v>1036</v>
      </c>
      <c r="C381" s="134" t="s">
        <v>1037</v>
      </c>
      <c r="D381" s="16"/>
      <c r="E381" s="16"/>
      <c r="F381" s="16">
        <v>5187530.59</v>
      </c>
      <c r="G381" s="16">
        <v>5187530.56</v>
      </c>
      <c r="H381" s="16">
        <f aca="true" t="shared" si="69" ref="H381:H386">+F381-G381</f>
        <v>0.03000000026077032</v>
      </c>
      <c r="I381" s="53">
        <f aca="true" t="shared" si="70" ref="I381:I386">IF(G381&lt;0,IF(H381=0,0,IF(OR(G381=0,F381=0),"N.M.",IF(ABS(H381/G381)&gt;=10,"N.M.",H381/(-G381)))),IF(H381=0,0,IF(OR(G381=0,F381=0),"N.M.",IF(ABS(H381/G381)&gt;=10,"N.M.",H381/G381))))</f>
        <v>5.783098511668396E-09</v>
      </c>
      <c r="J381" s="174"/>
      <c r="K381" s="257">
        <v>6461093.06</v>
      </c>
      <c r="L381" s="16">
        <f aca="true" t="shared" si="71" ref="L381:L386">+F381-K381</f>
        <v>-1273562.4699999997</v>
      </c>
      <c r="M381" s="53">
        <f aca="true" t="shared" si="72" ref="M381:M386">IF(K381&lt;0,IF(L381=0,0,IF(OR(K381=0,F381=0),"N.M.",IF(ABS(L381/K381)&gt;=10,"N.M.",L381/(-K381)))),IF(L381=0,0,IF(OR(K381=0,F381=0),"N.M.",IF(ABS(L381/K381)&gt;=10,"N.M.",L381/K381))))</f>
        <v>-0.19711254089257768</v>
      </c>
    </row>
    <row r="382" spans="1:13" s="15" customFormat="1" ht="12.75" hidden="1" outlineLevel="2">
      <c r="A382" s="15" t="s">
        <v>1038</v>
      </c>
      <c r="B382" s="15" t="s">
        <v>1039</v>
      </c>
      <c r="C382" s="134" t="s">
        <v>1040</v>
      </c>
      <c r="D382" s="16"/>
      <c r="E382" s="16"/>
      <c r="F382" s="16">
        <v>759660.11</v>
      </c>
      <c r="G382" s="16">
        <v>676721.98</v>
      </c>
      <c r="H382" s="16">
        <f t="shared" si="69"/>
        <v>82938.13</v>
      </c>
      <c r="I382" s="53">
        <f t="shared" si="70"/>
        <v>0.12255864660994166</v>
      </c>
      <c r="J382" s="174"/>
      <c r="K382" s="257">
        <v>915060.68</v>
      </c>
      <c r="L382" s="16">
        <f t="shared" si="71"/>
        <v>-155400.57000000007</v>
      </c>
      <c r="M382" s="53">
        <f t="shared" si="72"/>
        <v>-0.16982542622200755</v>
      </c>
    </row>
    <row r="383" spans="1:13" s="15" customFormat="1" ht="12.75" hidden="1" outlineLevel="2">
      <c r="A383" s="15" t="s">
        <v>1041</v>
      </c>
      <c r="B383" s="15" t="s">
        <v>1042</v>
      </c>
      <c r="C383" s="134" t="s">
        <v>1043</v>
      </c>
      <c r="D383" s="16"/>
      <c r="E383" s="16"/>
      <c r="F383" s="16">
        <v>2837.5040000000004</v>
      </c>
      <c r="G383" s="16">
        <v>2483.554</v>
      </c>
      <c r="H383" s="16">
        <f t="shared" si="69"/>
        <v>353.9500000000003</v>
      </c>
      <c r="I383" s="53">
        <f t="shared" si="70"/>
        <v>0.14251753736782058</v>
      </c>
      <c r="J383" s="174"/>
      <c r="K383" s="257">
        <v>2466.694</v>
      </c>
      <c r="L383" s="16">
        <f t="shared" si="71"/>
        <v>370.8100000000004</v>
      </c>
      <c r="M383" s="53">
        <f t="shared" si="72"/>
        <v>0.15032671259588762</v>
      </c>
    </row>
    <row r="384" spans="1:13" s="15" customFormat="1" ht="12.75" hidden="1" outlineLevel="2">
      <c r="A384" s="15" t="s">
        <v>1044</v>
      </c>
      <c r="B384" s="15" t="s">
        <v>1045</v>
      </c>
      <c r="C384" s="134" t="s">
        <v>1046</v>
      </c>
      <c r="D384" s="16"/>
      <c r="E384" s="16"/>
      <c r="F384" s="16">
        <v>727519</v>
      </c>
      <c r="G384" s="16">
        <v>573180</v>
      </c>
      <c r="H384" s="16">
        <f t="shared" si="69"/>
        <v>154339</v>
      </c>
      <c r="I384" s="53">
        <f t="shared" si="70"/>
        <v>0.2692679437523989</v>
      </c>
      <c r="J384" s="174"/>
      <c r="K384" s="257">
        <v>0</v>
      </c>
      <c r="L384" s="16">
        <f t="shared" si="71"/>
        <v>727519</v>
      </c>
      <c r="M384" s="53" t="str">
        <f t="shared" si="72"/>
        <v>N.M.</v>
      </c>
    </row>
    <row r="385" spans="1:13" s="15" customFormat="1" ht="12.75" hidden="1" outlineLevel="2">
      <c r="A385" s="15" t="s">
        <v>1047</v>
      </c>
      <c r="B385" s="15" t="s">
        <v>1048</v>
      </c>
      <c r="C385" s="134" t="s">
        <v>1049</v>
      </c>
      <c r="D385" s="16"/>
      <c r="E385" s="16"/>
      <c r="F385" s="16">
        <v>456864</v>
      </c>
      <c r="G385" s="16">
        <v>143993</v>
      </c>
      <c r="H385" s="16">
        <f t="shared" si="69"/>
        <v>312871</v>
      </c>
      <c r="I385" s="53">
        <f t="shared" si="70"/>
        <v>2.1728209010160215</v>
      </c>
      <c r="J385" s="174"/>
      <c r="K385" s="257">
        <v>388706</v>
      </c>
      <c r="L385" s="16">
        <f t="shared" si="71"/>
        <v>68158</v>
      </c>
      <c r="M385" s="53">
        <f t="shared" si="72"/>
        <v>0.17534589123913705</v>
      </c>
    </row>
    <row r="386" spans="1:13" ht="12.75" collapsed="1">
      <c r="A386" s="11" t="s">
        <v>272</v>
      </c>
      <c r="C386" s="229" t="s">
        <v>202</v>
      </c>
      <c r="E386" s="11"/>
      <c r="F386" s="18">
        <v>7134411.204</v>
      </c>
      <c r="G386" s="18">
        <v>6583909.093999999</v>
      </c>
      <c r="H386" s="51">
        <f t="shared" si="69"/>
        <v>550502.1100000013</v>
      </c>
      <c r="I386" s="136">
        <f t="shared" si="70"/>
        <v>0.08361326107945216</v>
      </c>
      <c r="J386" s="166"/>
      <c r="K386" s="18">
        <v>7767326.433999999</v>
      </c>
      <c r="L386" s="51">
        <f t="shared" si="71"/>
        <v>-632915.2299999995</v>
      </c>
      <c r="M386" s="136">
        <f t="shared" si="72"/>
        <v>-0.0814843093537994</v>
      </c>
    </row>
    <row r="387" spans="3:13" ht="0.75" customHeight="1" hidden="1" outlineLevel="1">
      <c r="C387" s="229"/>
      <c r="E387" s="11"/>
      <c r="H387" s="51"/>
      <c r="I387" s="136"/>
      <c r="J387" s="166"/>
      <c r="K387" s="18"/>
      <c r="L387" s="51"/>
      <c r="M387" s="136"/>
    </row>
    <row r="388" spans="1:13" ht="12.75" collapsed="1">
      <c r="A388" s="11" t="s">
        <v>273</v>
      </c>
      <c r="C388" s="229" t="s">
        <v>203</v>
      </c>
      <c r="E388" s="11"/>
      <c r="F388" s="18">
        <v>0</v>
      </c>
      <c r="G388" s="18">
        <v>0</v>
      </c>
      <c r="H388" s="51">
        <f>+F388-G388</f>
        <v>0</v>
      </c>
      <c r="I388" s="136">
        <f>IF(G388&lt;0,IF(H388=0,0,IF(OR(G388=0,F388=0),"N.M.",IF(ABS(H388/G388)&gt;=10,"N.M.",H388/(-G388)))),IF(H388=0,0,IF(OR(G388=0,F388=0),"N.M.",IF(ABS(H388/G388)&gt;=10,"N.M.",H388/G388))))</f>
        <v>0</v>
      </c>
      <c r="J388" s="166"/>
      <c r="K388" s="18">
        <v>0</v>
      </c>
      <c r="L388" s="51">
        <f>+F388-K388</f>
        <v>0</v>
      </c>
      <c r="M388" s="136">
        <f>IF(K388&lt;0,IF(L388=0,0,IF(OR(K388=0,F388=0),"N.M.",IF(ABS(L388/K388)&gt;=10,"N.M.",L388/(-K388)))),IF(L388=0,0,IF(OR(K388=0,F388=0),"N.M.",IF(ABS(L388/K388)&gt;=10,"N.M.",L388/K388))))</f>
        <v>0</v>
      </c>
    </row>
    <row r="389" spans="3:13" ht="0.75" customHeight="1" hidden="1" outlineLevel="1">
      <c r="C389" s="229"/>
      <c r="E389" s="11"/>
      <c r="H389" s="51"/>
      <c r="I389" s="136"/>
      <c r="J389" s="166"/>
      <c r="K389" s="18"/>
      <c r="L389" s="51"/>
      <c r="M389" s="136"/>
    </row>
    <row r="390" spans="1:13" s="15" customFormat="1" ht="12.75" hidden="1" outlineLevel="2">
      <c r="A390" s="15" t="s">
        <v>1050</v>
      </c>
      <c r="B390" s="15" t="s">
        <v>1051</v>
      </c>
      <c r="C390" s="134" t="s">
        <v>1052</v>
      </c>
      <c r="D390" s="16"/>
      <c r="E390" s="16"/>
      <c r="F390" s="16">
        <v>1733673.83</v>
      </c>
      <c r="G390" s="16">
        <v>780403.3200000001</v>
      </c>
      <c r="H390" s="16">
        <f>+F390-G390</f>
        <v>953270.51</v>
      </c>
      <c r="I390" s="53">
        <f>IF(G390&lt;0,IF(H390=0,0,IF(OR(G390=0,F390=0),"N.M.",IF(ABS(H390/G390)&gt;=10,"N.M.",H390/(-G390)))),IF(H390=0,0,IF(OR(G390=0,F390=0),"N.M.",IF(ABS(H390/G390)&gt;=10,"N.M.",H390/G390))))</f>
        <v>1.2215100648213542</v>
      </c>
      <c r="J390" s="174"/>
      <c r="K390" s="257">
        <v>639400.16</v>
      </c>
      <c r="L390" s="16">
        <f>+F390-K390</f>
        <v>1094273.67</v>
      </c>
      <c r="M390" s="53">
        <f>IF(K390&lt;0,IF(L390=0,0,IF(OR(K390=0,F390=0),"N.M.",IF(ABS(L390/K390)&gt;=10,"N.M.",L390/(-K390)))),IF(L390=0,0,IF(OR(K390=0,F390=0),"N.M.",IF(ABS(L390/K390)&gt;=10,"N.M.",L390/K390))))</f>
        <v>1.7114066252345008</v>
      </c>
    </row>
    <row r="391" spans="1:13" s="15" customFormat="1" ht="12.75" hidden="1" outlineLevel="2">
      <c r="A391" s="15" t="s">
        <v>1053</v>
      </c>
      <c r="B391" s="15" t="s">
        <v>1054</v>
      </c>
      <c r="C391" s="134" t="s">
        <v>1055</v>
      </c>
      <c r="D391" s="16"/>
      <c r="E391" s="16"/>
      <c r="F391" s="16">
        <v>4660.7300000000005</v>
      </c>
      <c r="G391" s="16">
        <v>18556.37</v>
      </c>
      <c r="H391" s="16">
        <f>+F391-G391</f>
        <v>-13895.64</v>
      </c>
      <c r="I391" s="53">
        <f>IF(G391&lt;0,IF(H391=0,0,IF(OR(G391=0,F391=0),"N.M.",IF(ABS(H391/G391)&gt;=10,"N.M.",H391/(-G391)))),IF(H391=0,0,IF(OR(G391=0,F391=0),"N.M.",IF(ABS(H391/G391)&gt;=10,"N.M.",H391/G391))))</f>
        <v>-0.7488339583657795</v>
      </c>
      <c r="J391" s="174"/>
      <c r="K391" s="257">
        <v>302.72</v>
      </c>
      <c r="L391" s="16">
        <f>+F391-K391</f>
        <v>4358.01</v>
      </c>
      <c r="M391" s="53" t="str">
        <f>IF(K391&lt;0,IF(L391=0,0,IF(OR(K391=0,F391=0),"N.M.",IF(ABS(L391/K391)&gt;=10,"N.M.",L391/(-K391)))),IF(L391=0,0,IF(OR(K391=0,F391=0),"N.M.",IF(ABS(L391/K391)&gt;=10,"N.M.",L391/K391))))</f>
        <v>N.M.</v>
      </c>
    </row>
    <row r="392" spans="1:13" ht="12.75" collapsed="1">
      <c r="A392" s="11" t="s">
        <v>274</v>
      </c>
      <c r="C392" s="229" t="s">
        <v>204</v>
      </c>
      <c r="E392" s="11"/>
      <c r="F392" s="18">
        <v>1738334.56</v>
      </c>
      <c r="G392" s="18">
        <v>798959.6900000001</v>
      </c>
      <c r="H392" s="51">
        <f>+F392-G392</f>
        <v>939374.87</v>
      </c>
      <c r="I392" s="136">
        <f>IF(G392&lt;0,IF(H392=0,0,IF(OR(G392=0,F392=0),"N.M.",IF(ABS(H392/G392)&gt;=10,"N.M.",H392/(-G392)))),IF(H392=0,0,IF(OR(G392=0,F392=0),"N.M.",IF(ABS(H392/G392)&gt;=10,"N.M.",H392/G392))))</f>
        <v>1.1757475148714949</v>
      </c>
      <c r="J392" s="166"/>
      <c r="K392" s="18">
        <v>639702.88</v>
      </c>
      <c r="L392" s="51">
        <f>+F392-K392</f>
        <v>1098631.6800000002</v>
      </c>
      <c r="M392" s="136">
        <f>IF(K392&lt;0,IF(L392=0,0,IF(OR(K392=0,F392=0),"N.M.",IF(ABS(L392/K392)&gt;=10,"N.M.",L392/(-K392)))),IF(L392=0,0,IF(OR(K392=0,F392=0),"N.M.",IF(ABS(L392/K392)&gt;=10,"N.M.",L392/K392))))</f>
        <v>1.7174093072709007</v>
      </c>
    </row>
    <row r="393" spans="3:13" ht="0.75" customHeight="1" hidden="1" outlineLevel="1">
      <c r="C393" s="229"/>
      <c r="E393" s="11"/>
      <c r="H393" s="51"/>
      <c r="I393" s="136"/>
      <c r="J393" s="166"/>
      <c r="K393" s="18"/>
      <c r="L393" s="51"/>
      <c r="M393" s="136"/>
    </row>
    <row r="394" spans="1:13" s="15" customFormat="1" ht="12.75" hidden="1" outlineLevel="2">
      <c r="A394" s="15" t="s">
        <v>1056</v>
      </c>
      <c r="B394" s="15" t="s">
        <v>1057</v>
      </c>
      <c r="C394" s="134" t="s">
        <v>1058</v>
      </c>
      <c r="D394" s="16"/>
      <c r="E394" s="16"/>
      <c r="F394" s="16">
        <v>10115181.75</v>
      </c>
      <c r="G394" s="16">
        <v>9010529</v>
      </c>
      <c r="H394" s="16">
        <f aca="true" t="shared" si="73" ref="H394:H399">+F394-G394</f>
        <v>1104652.75</v>
      </c>
      <c r="I394" s="53">
        <f aca="true" t="shared" si="74" ref="I394:I399">IF(G394&lt;0,IF(H394=0,0,IF(OR(G394=0,F394=0),"N.M.",IF(ABS(H394/G394)&gt;=10,"N.M.",H394/(-G394)))),IF(H394=0,0,IF(OR(G394=0,F394=0),"N.M.",IF(ABS(H394/G394)&gt;=10,"N.M.",H394/G394))))</f>
        <v>0.12259577101411027</v>
      </c>
      <c r="J394" s="174"/>
      <c r="K394" s="257">
        <v>8456385.992</v>
      </c>
      <c r="L394" s="16">
        <f aca="true" t="shared" si="75" ref="L394:L399">+F394-K394</f>
        <v>1658795.7579999994</v>
      </c>
      <c r="M394" s="53">
        <f aca="true" t="shared" si="76" ref="M394:M399">IF(K394&lt;0,IF(L394=0,0,IF(OR(K394=0,F394=0),"N.M.",IF(ABS(L394/K394)&gt;=10,"N.M.",L394/(-K394)))),IF(L394=0,0,IF(OR(K394=0,F394=0),"N.M.",IF(ABS(L394/K394)&gt;=10,"N.M.",L394/K394))))</f>
        <v>0.19615894538982384</v>
      </c>
    </row>
    <row r="395" spans="1:13" s="15" customFormat="1" ht="12.75" hidden="1" outlineLevel="2">
      <c r="A395" s="15" t="s">
        <v>1059</v>
      </c>
      <c r="B395" s="15" t="s">
        <v>1060</v>
      </c>
      <c r="C395" s="134" t="s">
        <v>1061</v>
      </c>
      <c r="D395" s="16"/>
      <c r="E395" s="16"/>
      <c r="F395" s="16">
        <v>151940.16</v>
      </c>
      <c r="G395" s="16">
        <v>124224.32</v>
      </c>
      <c r="H395" s="16">
        <f t="shared" si="73"/>
        <v>27715.839999999997</v>
      </c>
      <c r="I395" s="53">
        <f t="shared" si="74"/>
        <v>0.2231112233095741</v>
      </c>
      <c r="J395" s="174"/>
      <c r="K395" s="257">
        <v>108999.26000000001</v>
      </c>
      <c r="L395" s="16">
        <f t="shared" si="75"/>
        <v>42940.899999999994</v>
      </c>
      <c r="M395" s="53">
        <f t="shared" si="76"/>
        <v>0.3939558855720671</v>
      </c>
    </row>
    <row r="396" spans="1:13" s="15" customFormat="1" ht="12.75" hidden="1" outlineLevel="2">
      <c r="A396" s="15" t="s">
        <v>1062</v>
      </c>
      <c r="B396" s="15" t="s">
        <v>1063</v>
      </c>
      <c r="C396" s="134" t="s">
        <v>1064</v>
      </c>
      <c r="D396" s="16"/>
      <c r="E396" s="16"/>
      <c r="F396" s="16">
        <v>43085.87</v>
      </c>
      <c r="G396" s="16">
        <v>16503.77</v>
      </c>
      <c r="H396" s="16">
        <f t="shared" si="73"/>
        <v>26582.100000000002</v>
      </c>
      <c r="I396" s="53">
        <f t="shared" si="74"/>
        <v>1.6106683503223809</v>
      </c>
      <c r="J396" s="174"/>
      <c r="K396" s="257">
        <v>23583.87</v>
      </c>
      <c r="L396" s="16">
        <f t="shared" si="75"/>
        <v>19502.000000000004</v>
      </c>
      <c r="M396" s="53">
        <f t="shared" si="76"/>
        <v>0.8269211117598598</v>
      </c>
    </row>
    <row r="397" spans="1:13" s="15" customFormat="1" ht="12.75" hidden="1" outlineLevel="2">
      <c r="A397" s="15" t="s">
        <v>1065</v>
      </c>
      <c r="B397" s="15" t="s">
        <v>1066</v>
      </c>
      <c r="C397" s="134" t="s">
        <v>1067</v>
      </c>
      <c r="D397" s="16"/>
      <c r="E397" s="16"/>
      <c r="F397" s="16">
        <v>-5394938</v>
      </c>
      <c r="G397" s="16">
        <v>-3260009</v>
      </c>
      <c r="H397" s="16">
        <f t="shared" si="73"/>
        <v>-2134929</v>
      </c>
      <c r="I397" s="53">
        <f t="shared" si="74"/>
        <v>-0.6548843883559831</v>
      </c>
      <c r="J397" s="174"/>
      <c r="K397" s="257">
        <v>-4096078</v>
      </c>
      <c r="L397" s="16">
        <f t="shared" si="75"/>
        <v>-1298860</v>
      </c>
      <c r="M397" s="53">
        <f t="shared" si="76"/>
        <v>-0.3170984536915557</v>
      </c>
    </row>
    <row r="398" spans="1:13" s="15" customFormat="1" ht="12.75" hidden="1" outlineLevel="2">
      <c r="A398" s="15" t="s">
        <v>1068</v>
      </c>
      <c r="B398" s="15" t="s">
        <v>1069</v>
      </c>
      <c r="C398" s="134" t="s">
        <v>1070</v>
      </c>
      <c r="D398" s="16"/>
      <c r="E398" s="16"/>
      <c r="F398" s="16">
        <v>658412</v>
      </c>
      <c r="G398" s="16">
        <v>482867.02</v>
      </c>
      <c r="H398" s="16">
        <f t="shared" si="73"/>
        <v>175544.97999999998</v>
      </c>
      <c r="I398" s="53">
        <f t="shared" si="74"/>
        <v>0.3635472557227039</v>
      </c>
      <c r="J398" s="174"/>
      <c r="K398" s="257">
        <v>697404.62</v>
      </c>
      <c r="L398" s="16">
        <f t="shared" si="75"/>
        <v>-38992.619999999995</v>
      </c>
      <c r="M398" s="53">
        <f t="shared" si="76"/>
        <v>-0.05591104343415448</v>
      </c>
    </row>
    <row r="399" spans="1:13" ht="12.75" collapsed="1">
      <c r="A399" s="11" t="s">
        <v>275</v>
      </c>
      <c r="C399" s="229" t="s">
        <v>205</v>
      </c>
      <c r="E399" s="11"/>
      <c r="F399" s="18">
        <v>5573681.779999999</v>
      </c>
      <c r="G399" s="18">
        <v>6374115.109999999</v>
      </c>
      <c r="H399" s="51">
        <f t="shared" si="73"/>
        <v>-800433.3300000001</v>
      </c>
      <c r="I399" s="136">
        <f t="shared" si="74"/>
        <v>-0.12557560009298296</v>
      </c>
      <c r="J399" s="166"/>
      <c r="K399" s="18">
        <v>5190295.742</v>
      </c>
      <c r="L399" s="51">
        <f t="shared" si="75"/>
        <v>383386.0379999997</v>
      </c>
      <c r="M399" s="136">
        <f t="shared" si="76"/>
        <v>0.07386593309079299</v>
      </c>
    </row>
    <row r="400" spans="3:13" ht="0.75" customHeight="1" hidden="1" outlineLevel="1">
      <c r="C400" s="229"/>
      <c r="E400" s="11"/>
      <c r="H400" s="18"/>
      <c r="I400" s="141"/>
      <c r="J400" s="166"/>
      <c r="K400" s="18"/>
      <c r="L400" s="18"/>
      <c r="M400" s="141"/>
    </row>
    <row r="401" spans="1:13" s="15" customFormat="1" ht="12.75" hidden="1" outlineLevel="2">
      <c r="A401" s="15" t="s">
        <v>1071</v>
      </c>
      <c r="B401" s="15" t="s">
        <v>1072</v>
      </c>
      <c r="C401" s="134" t="s">
        <v>1073</v>
      </c>
      <c r="D401" s="16"/>
      <c r="E401" s="16"/>
      <c r="F401" s="16">
        <v>0</v>
      </c>
      <c r="G401" s="16">
        <v>0</v>
      </c>
      <c r="H401" s="16">
        <f aca="true" t="shared" si="77" ref="H401:H408">+F401-G401</f>
        <v>0</v>
      </c>
      <c r="I401" s="53">
        <f aca="true" t="shared" si="78" ref="I401:I408">IF(G401&lt;0,IF(H401=0,0,IF(OR(G401=0,F401=0),"N.M.",IF(ABS(H401/G401)&gt;=10,"N.M.",H401/(-G401)))),IF(H401=0,0,IF(OR(G401=0,F401=0),"N.M.",IF(ABS(H401/G401)&gt;=10,"N.M.",H401/G401))))</f>
        <v>0</v>
      </c>
      <c r="J401" s="174"/>
      <c r="K401" s="257">
        <v>308741.29</v>
      </c>
      <c r="L401" s="16">
        <f aca="true" t="shared" si="79" ref="L401:L408">+F401-K401</f>
        <v>-308741.29</v>
      </c>
      <c r="M401" s="53" t="str">
        <f aca="true" t="shared" si="80" ref="M401:M408">IF(K401&lt;0,IF(L401=0,0,IF(OR(K401=0,F401=0),"N.M.",IF(ABS(L401/K401)&gt;=10,"N.M.",L401/(-K401)))),IF(L401=0,0,IF(OR(K401=0,F401=0),"N.M.",IF(ABS(L401/K401)&gt;=10,"N.M.",L401/K401))))</f>
        <v>N.M.</v>
      </c>
    </row>
    <row r="402" spans="1:13" s="15" customFormat="1" ht="12.75" hidden="1" outlineLevel="2">
      <c r="A402" s="15" t="s">
        <v>1074</v>
      </c>
      <c r="B402" s="15" t="s">
        <v>1075</v>
      </c>
      <c r="C402" s="134" t="s">
        <v>1076</v>
      </c>
      <c r="D402" s="16"/>
      <c r="E402" s="16"/>
      <c r="F402" s="16">
        <v>128033.42</v>
      </c>
      <c r="G402" s="16">
        <v>68217.78</v>
      </c>
      <c r="H402" s="16">
        <f t="shared" si="77"/>
        <v>59815.64</v>
      </c>
      <c r="I402" s="53">
        <f t="shared" si="78"/>
        <v>0.8768335762318856</v>
      </c>
      <c r="J402" s="174"/>
      <c r="K402" s="257">
        <v>180727.34</v>
      </c>
      <c r="L402" s="16">
        <f t="shared" si="79"/>
        <v>-52693.92</v>
      </c>
      <c r="M402" s="53">
        <f t="shared" si="80"/>
        <v>-0.2915658472038597</v>
      </c>
    </row>
    <row r="403" spans="1:13" s="15" customFormat="1" ht="12.75" hidden="1" outlineLevel="2">
      <c r="A403" s="15" t="s">
        <v>1077</v>
      </c>
      <c r="B403" s="15" t="s">
        <v>1078</v>
      </c>
      <c r="C403" s="134" t="s">
        <v>1079</v>
      </c>
      <c r="D403" s="16"/>
      <c r="E403" s="16"/>
      <c r="F403" s="16">
        <v>43803.63</v>
      </c>
      <c r="G403" s="16">
        <v>22910.760000000002</v>
      </c>
      <c r="H403" s="16">
        <f t="shared" si="77"/>
        <v>20892.869999999995</v>
      </c>
      <c r="I403" s="53">
        <f t="shared" si="78"/>
        <v>0.9119239169717632</v>
      </c>
      <c r="J403" s="174"/>
      <c r="K403" s="257">
        <v>24296.58</v>
      </c>
      <c r="L403" s="16">
        <f t="shared" si="79"/>
        <v>19507.049999999996</v>
      </c>
      <c r="M403" s="53">
        <f t="shared" si="80"/>
        <v>0.8028722560953021</v>
      </c>
    </row>
    <row r="404" spans="1:13" s="15" customFormat="1" ht="12.75" hidden="1" outlineLevel="2">
      <c r="A404" s="15" t="s">
        <v>1080</v>
      </c>
      <c r="B404" s="15" t="s">
        <v>1081</v>
      </c>
      <c r="C404" s="134" t="s">
        <v>1082</v>
      </c>
      <c r="D404" s="16"/>
      <c r="E404" s="16"/>
      <c r="F404" s="16">
        <v>687281.81</v>
      </c>
      <c r="G404" s="16">
        <v>708156.66</v>
      </c>
      <c r="H404" s="16">
        <f t="shared" si="77"/>
        <v>-20874.849999999977</v>
      </c>
      <c r="I404" s="53">
        <f t="shared" si="78"/>
        <v>-0.029477728840395255</v>
      </c>
      <c r="J404" s="174"/>
      <c r="K404" s="257">
        <v>657728.64</v>
      </c>
      <c r="L404" s="16">
        <f t="shared" si="79"/>
        <v>29553.170000000042</v>
      </c>
      <c r="M404" s="53">
        <f t="shared" si="80"/>
        <v>0.04493216229720518</v>
      </c>
    </row>
    <row r="405" spans="1:13" s="15" customFormat="1" ht="12.75" hidden="1" outlineLevel="2">
      <c r="A405" s="15" t="s">
        <v>1083</v>
      </c>
      <c r="B405" s="15" t="s">
        <v>1084</v>
      </c>
      <c r="C405" s="134" t="s">
        <v>1085</v>
      </c>
      <c r="D405" s="16"/>
      <c r="E405" s="16"/>
      <c r="F405" s="16">
        <v>0</v>
      </c>
      <c r="G405" s="16">
        <v>0</v>
      </c>
      <c r="H405" s="16">
        <f t="shared" si="77"/>
        <v>0</v>
      </c>
      <c r="I405" s="53">
        <f t="shared" si="78"/>
        <v>0</v>
      </c>
      <c r="J405" s="174"/>
      <c r="K405" s="257">
        <v>124630.26000000001</v>
      </c>
      <c r="L405" s="16">
        <f t="shared" si="79"/>
        <v>-124630.26000000001</v>
      </c>
      <c r="M405" s="53" t="str">
        <f t="shared" si="80"/>
        <v>N.M.</v>
      </c>
    </row>
    <row r="406" spans="1:13" s="15" customFormat="1" ht="12.75" hidden="1" outlineLevel="2">
      <c r="A406" s="15" t="s">
        <v>1086</v>
      </c>
      <c r="B406" s="15" t="s">
        <v>1087</v>
      </c>
      <c r="C406" s="134" t="s">
        <v>1088</v>
      </c>
      <c r="D406" s="16"/>
      <c r="E406" s="16"/>
      <c r="F406" s="16">
        <v>0</v>
      </c>
      <c r="G406" s="16">
        <v>780429.81</v>
      </c>
      <c r="H406" s="16">
        <f t="shared" si="77"/>
        <v>-780429.81</v>
      </c>
      <c r="I406" s="53" t="str">
        <f t="shared" si="78"/>
        <v>N.M.</v>
      </c>
      <c r="J406" s="174"/>
      <c r="K406" s="257">
        <v>878196.0800000001</v>
      </c>
      <c r="L406" s="16">
        <f t="shared" si="79"/>
        <v>-878196.0800000001</v>
      </c>
      <c r="M406" s="53" t="str">
        <f t="shared" si="80"/>
        <v>N.M.</v>
      </c>
    </row>
    <row r="407" spans="1:13" s="15" customFormat="1" ht="12.75" hidden="1" outlineLevel="2">
      <c r="A407" s="15" t="s">
        <v>1089</v>
      </c>
      <c r="B407" s="15" t="s">
        <v>1090</v>
      </c>
      <c r="C407" s="134" t="s">
        <v>1091</v>
      </c>
      <c r="D407" s="16"/>
      <c r="E407" s="16"/>
      <c r="F407" s="16">
        <v>193226.11000000002</v>
      </c>
      <c r="G407" s="16">
        <v>163980.04</v>
      </c>
      <c r="H407" s="16">
        <f t="shared" si="77"/>
        <v>29246.070000000007</v>
      </c>
      <c r="I407" s="53">
        <f t="shared" si="78"/>
        <v>0.17835140179255968</v>
      </c>
      <c r="J407" s="174"/>
      <c r="K407" s="257">
        <v>137579.28</v>
      </c>
      <c r="L407" s="16">
        <f t="shared" si="79"/>
        <v>55646.830000000016</v>
      </c>
      <c r="M407" s="53">
        <f t="shared" si="80"/>
        <v>0.4044710075528816</v>
      </c>
    </row>
    <row r="408" spans="1:13" s="15" customFormat="1" ht="12.75" hidden="1" outlineLevel="2">
      <c r="A408" s="15" t="s">
        <v>1092</v>
      </c>
      <c r="B408" s="15" t="s">
        <v>1093</v>
      </c>
      <c r="C408" s="134" t="s">
        <v>1094</v>
      </c>
      <c r="D408" s="16"/>
      <c r="E408" s="16"/>
      <c r="F408" s="16">
        <v>874077.7000000001</v>
      </c>
      <c r="G408" s="16">
        <v>0</v>
      </c>
      <c r="H408" s="16">
        <f t="shared" si="77"/>
        <v>874077.7000000001</v>
      </c>
      <c r="I408" s="53" t="str">
        <f t="shared" si="78"/>
        <v>N.M.</v>
      </c>
      <c r="J408" s="174"/>
      <c r="K408" s="257">
        <v>0</v>
      </c>
      <c r="L408" s="16">
        <f t="shared" si="79"/>
        <v>874077.7000000001</v>
      </c>
      <c r="M408" s="53" t="str">
        <f t="shared" si="80"/>
        <v>N.M.</v>
      </c>
    </row>
    <row r="409" spans="1:13" s="1" customFormat="1" ht="12.75" hidden="1" outlineLevel="1">
      <c r="A409" s="1" t="s">
        <v>276</v>
      </c>
      <c r="C409" s="114" t="s">
        <v>207</v>
      </c>
      <c r="D409" s="34"/>
      <c r="F409" s="34">
        <v>1926422.6700000004</v>
      </c>
      <c r="G409" s="34">
        <v>1743695.0500000003</v>
      </c>
      <c r="H409" s="51">
        <f aca="true" t="shared" si="81" ref="H409:H430">+F409-G409</f>
        <v>182727.6200000001</v>
      </c>
      <c r="I409" s="136">
        <f aca="true" t="shared" si="82" ref="I409:I430">IF(G409&lt;0,IF(H409=0,0,IF(OR(G409=0,F409=0),"N.M.",IF(ABS(H409/G409)&gt;=10,"N.M.",H409/(-G409)))),IF(H409=0,0,IF(OR(G409=0,F409=0),"N.M.",IF(ABS(H409/G409)&gt;=10,"N.M.",H409/G409))))</f>
        <v>0.10479333527958348</v>
      </c>
      <c r="J409" s="167"/>
      <c r="K409" s="34">
        <v>2311899.47</v>
      </c>
      <c r="L409" s="51">
        <f aca="true" t="shared" si="83" ref="L409:L430">+F409-K409</f>
        <v>-385476.7999999998</v>
      </c>
      <c r="M409" s="136">
        <f aca="true" t="shared" si="84" ref="M409:M430">IF(K409&lt;0,IF(L409=0,0,IF(OR(K409=0,F409=0),"N.M.",IF(ABS(L409/K409)&gt;=10,"N.M.",L409/(-K409)))),IF(L409=0,0,IF(OR(K409=0,F409=0),"N.M.",IF(ABS(L409/K409)&gt;=10,"N.M.",L409/K409))))</f>
        <v>-0.166735969708925</v>
      </c>
    </row>
    <row r="410" spans="1:13" s="15" customFormat="1" ht="12.75" hidden="1" outlineLevel="2">
      <c r="A410" s="15" t="s">
        <v>1095</v>
      </c>
      <c r="B410" s="15" t="s">
        <v>1096</v>
      </c>
      <c r="C410" s="134" t="s">
        <v>1097</v>
      </c>
      <c r="D410" s="16"/>
      <c r="E410" s="16"/>
      <c r="F410" s="16">
        <v>1978242.55</v>
      </c>
      <c r="G410" s="16">
        <v>2385989.0300000003</v>
      </c>
      <c r="H410" s="16">
        <f t="shared" si="81"/>
        <v>-407746.4800000002</v>
      </c>
      <c r="I410" s="53">
        <f t="shared" si="82"/>
        <v>-0.1708920178899566</v>
      </c>
      <c r="J410" s="174"/>
      <c r="K410" s="257">
        <v>2428009.0300000003</v>
      </c>
      <c r="L410" s="16">
        <f t="shared" si="83"/>
        <v>-449766.4800000002</v>
      </c>
      <c r="M410" s="53">
        <f t="shared" si="84"/>
        <v>-0.1852408596684668</v>
      </c>
    </row>
    <row r="411" spans="1:13" s="1" customFormat="1" ht="12.75" hidden="1" outlineLevel="1">
      <c r="A411" s="1" t="s">
        <v>277</v>
      </c>
      <c r="C411" s="114" t="s">
        <v>208</v>
      </c>
      <c r="D411" s="34"/>
      <c r="F411" s="34">
        <v>1978242.55</v>
      </c>
      <c r="G411" s="34">
        <v>2385989.0300000003</v>
      </c>
      <c r="H411" s="51">
        <f t="shared" si="81"/>
        <v>-407746.4800000002</v>
      </c>
      <c r="I411" s="136">
        <f t="shared" si="82"/>
        <v>-0.1708920178899566</v>
      </c>
      <c r="J411" s="167"/>
      <c r="K411" s="34">
        <v>2428009.0300000003</v>
      </c>
      <c r="L411" s="51">
        <f t="shared" si="83"/>
        <v>-449766.4800000002</v>
      </c>
      <c r="M411" s="136">
        <f t="shared" si="84"/>
        <v>-0.1852408596684668</v>
      </c>
    </row>
    <row r="412" spans="1:13" s="1" customFormat="1" ht="12.75" hidden="1" outlineLevel="1">
      <c r="A412" s="1" t="s">
        <v>278</v>
      </c>
      <c r="C412" s="124" t="s">
        <v>209</v>
      </c>
      <c r="D412" s="34"/>
      <c r="F412" s="34">
        <v>0</v>
      </c>
      <c r="G412" s="34">
        <v>0</v>
      </c>
      <c r="H412" s="51">
        <f t="shared" si="81"/>
        <v>0</v>
      </c>
      <c r="I412" s="136">
        <f t="shared" si="82"/>
        <v>0</v>
      </c>
      <c r="J412" s="167"/>
      <c r="K412" s="34">
        <v>0</v>
      </c>
      <c r="L412" s="51">
        <f t="shared" si="83"/>
        <v>0</v>
      </c>
      <c r="M412" s="136">
        <f t="shared" si="84"/>
        <v>0</v>
      </c>
    </row>
    <row r="413" spans="1:13" s="15" customFormat="1" ht="12.75" hidden="1" outlineLevel="2">
      <c r="A413" s="15" t="s">
        <v>1098</v>
      </c>
      <c r="B413" s="15" t="s">
        <v>1099</v>
      </c>
      <c r="C413" s="134" t="s">
        <v>1100</v>
      </c>
      <c r="D413" s="16"/>
      <c r="E413" s="16"/>
      <c r="F413" s="16">
        <v>0</v>
      </c>
      <c r="G413" s="16">
        <v>3363.61</v>
      </c>
      <c r="H413" s="16">
        <f t="shared" si="81"/>
        <v>-3363.61</v>
      </c>
      <c r="I413" s="53" t="str">
        <f t="shared" si="82"/>
        <v>N.M.</v>
      </c>
      <c r="J413" s="174"/>
      <c r="K413" s="257">
        <v>475</v>
      </c>
      <c r="L413" s="16">
        <f t="shared" si="83"/>
        <v>-475</v>
      </c>
      <c r="M413" s="53" t="str">
        <f t="shared" si="84"/>
        <v>N.M.</v>
      </c>
    </row>
    <row r="414" spans="1:13" s="1" customFormat="1" ht="12.75" hidden="1" outlineLevel="1">
      <c r="A414" s="1" t="s">
        <v>279</v>
      </c>
      <c r="B414" s="86"/>
      <c r="C414" s="125" t="s">
        <v>210</v>
      </c>
      <c r="D414" s="34"/>
      <c r="F414" s="197">
        <v>0</v>
      </c>
      <c r="G414" s="197">
        <v>3363.61</v>
      </c>
      <c r="H414" s="197">
        <f t="shared" si="81"/>
        <v>-3363.61</v>
      </c>
      <c r="I414" s="138" t="str">
        <f t="shared" si="82"/>
        <v>N.M.</v>
      </c>
      <c r="J414" s="167"/>
      <c r="K414" s="197">
        <v>475</v>
      </c>
      <c r="L414" s="197">
        <f t="shared" si="83"/>
        <v>-475</v>
      </c>
      <c r="M414" s="138" t="str">
        <f t="shared" si="84"/>
        <v>N.M.</v>
      </c>
    </row>
    <row r="415" spans="1:13" s="1" customFormat="1" ht="12.75" hidden="1" outlineLevel="1">
      <c r="A415" s="1" t="s">
        <v>280</v>
      </c>
      <c r="B415" s="86"/>
      <c r="C415" s="114" t="s">
        <v>211</v>
      </c>
      <c r="D415" s="34"/>
      <c r="F415" s="34">
        <v>0</v>
      </c>
      <c r="G415" s="34">
        <v>3363.61</v>
      </c>
      <c r="H415" s="51">
        <f t="shared" si="81"/>
        <v>-3363.61</v>
      </c>
      <c r="I415" s="136" t="str">
        <f t="shared" si="82"/>
        <v>N.M.</v>
      </c>
      <c r="J415" s="167"/>
      <c r="K415" s="34">
        <v>475</v>
      </c>
      <c r="L415" s="51">
        <f t="shared" si="83"/>
        <v>-475</v>
      </c>
      <c r="M415" s="136" t="str">
        <f t="shared" si="84"/>
        <v>N.M.</v>
      </c>
    </row>
    <row r="416" spans="1:13" s="15" customFormat="1" ht="12.75" hidden="1" outlineLevel="2">
      <c r="A416" s="15" t="s">
        <v>1101</v>
      </c>
      <c r="B416" s="15" t="s">
        <v>1102</v>
      </c>
      <c r="C416" s="134" t="s">
        <v>1103</v>
      </c>
      <c r="D416" s="16"/>
      <c r="E416" s="16"/>
      <c r="F416" s="16">
        <v>1201453.216</v>
      </c>
      <c r="G416" s="16">
        <v>1472100.342</v>
      </c>
      <c r="H416" s="16">
        <f t="shared" si="81"/>
        <v>-270647.12599999993</v>
      </c>
      <c r="I416" s="53">
        <f t="shared" si="82"/>
        <v>-0.18385100409140448</v>
      </c>
      <c r="J416" s="174"/>
      <c r="K416" s="257">
        <v>0</v>
      </c>
      <c r="L416" s="16">
        <f t="shared" si="83"/>
        <v>1201453.216</v>
      </c>
      <c r="M416" s="53" t="str">
        <f t="shared" si="84"/>
        <v>N.M.</v>
      </c>
    </row>
    <row r="417" spans="1:13" s="15" customFormat="1" ht="12.75" hidden="1" outlineLevel="2">
      <c r="A417" s="15" t="s">
        <v>1104</v>
      </c>
      <c r="B417" s="15" t="s">
        <v>1105</v>
      </c>
      <c r="C417" s="134" t="s">
        <v>1106</v>
      </c>
      <c r="D417" s="16"/>
      <c r="E417" s="16"/>
      <c r="F417" s="16">
        <v>1726004.706</v>
      </c>
      <c r="G417" s="16">
        <v>1935103.391</v>
      </c>
      <c r="H417" s="16">
        <f t="shared" si="81"/>
        <v>-209098.68500000006</v>
      </c>
      <c r="I417" s="53">
        <f t="shared" si="82"/>
        <v>-0.1080555622880411</v>
      </c>
      <c r="J417" s="174"/>
      <c r="K417" s="257">
        <v>3349606.111</v>
      </c>
      <c r="L417" s="16">
        <f t="shared" si="83"/>
        <v>-1623601.405</v>
      </c>
      <c r="M417" s="53">
        <f t="shared" si="84"/>
        <v>-0.4847141279292943</v>
      </c>
    </row>
    <row r="418" spans="1:13" s="1" customFormat="1" ht="12.75" hidden="1" outlineLevel="1">
      <c r="A418" s="1" t="s">
        <v>281</v>
      </c>
      <c r="C418" s="124" t="s">
        <v>212</v>
      </c>
      <c r="D418" s="34"/>
      <c r="F418" s="34">
        <v>2927457.9220000003</v>
      </c>
      <c r="G418" s="34">
        <v>3407203.733</v>
      </c>
      <c r="H418" s="51">
        <f t="shared" si="81"/>
        <v>-479745.81099999975</v>
      </c>
      <c r="I418" s="136">
        <f t="shared" si="82"/>
        <v>-0.14080338265466433</v>
      </c>
      <c r="J418" s="167"/>
      <c r="K418" s="34">
        <v>3349606.111</v>
      </c>
      <c r="L418" s="51">
        <f t="shared" si="83"/>
        <v>-422148.1889999998</v>
      </c>
      <c r="M418" s="136">
        <f t="shared" si="84"/>
        <v>-0.12602920313934182</v>
      </c>
    </row>
    <row r="419" spans="1:13" s="15" customFormat="1" ht="12.75" hidden="1" outlineLevel="2">
      <c r="A419" s="15" t="s">
        <v>1107</v>
      </c>
      <c r="B419" s="15" t="s">
        <v>1108</v>
      </c>
      <c r="C419" s="134" t="s">
        <v>1109</v>
      </c>
      <c r="D419" s="16"/>
      <c r="E419" s="16"/>
      <c r="F419" s="16">
        <v>311303.756</v>
      </c>
      <c r="G419" s="16">
        <v>66223.471</v>
      </c>
      <c r="H419" s="16">
        <f t="shared" si="81"/>
        <v>245080.28499999997</v>
      </c>
      <c r="I419" s="53">
        <f t="shared" si="82"/>
        <v>3.700806999379419</v>
      </c>
      <c r="J419" s="174"/>
      <c r="K419" s="257">
        <v>32059.222999999998</v>
      </c>
      <c r="L419" s="16">
        <f t="shared" si="83"/>
        <v>279244.533</v>
      </c>
      <c r="M419" s="53">
        <f t="shared" si="84"/>
        <v>8.710271393664158</v>
      </c>
    </row>
    <row r="420" spans="1:13" s="15" customFormat="1" ht="12.75" hidden="1" outlineLevel="2">
      <c r="A420" s="15" t="s">
        <v>1110</v>
      </c>
      <c r="B420" s="15" t="s">
        <v>1111</v>
      </c>
      <c r="C420" s="134" t="s">
        <v>833</v>
      </c>
      <c r="D420" s="16"/>
      <c r="E420" s="16"/>
      <c r="F420" s="16">
        <v>108195.06</v>
      </c>
      <c r="G420" s="16">
        <v>41901.69</v>
      </c>
      <c r="H420" s="16">
        <f t="shared" si="81"/>
        <v>66293.37</v>
      </c>
      <c r="I420" s="53">
        <f t="shared" si="82"/>
        <v>1.582116854952628</v>
      </c>
      <c r="J420" s="174"/>
      <c r="K420" s="257">
        <v>62724.11</v>
      </c>
      <c r="L420" s="16">
        <f t="shared" si="83"/>
        <v>45470.95</v>
      </c>
      <c r="M420" s="53">
        <f t="shared" si="84"/>
        <v>0.7249357543694123</v>
      </c>
    </row>
    <row r="421" spans="1:13" s="1" customFormat="1" ht="12.75" hidden="1" outlineLevel="1">
      <c r="A421" s="1" t="s">
        <v>282</v>
      </c>
      <c r="C421" s="125" t="s">
        <v>213</v>
      </c>
      <c r="D421" s="34"/>
      <c r="F421" s="197">
        <v>419498.816</v>
      </c>
      <c r="G421" s="197">
        <v>108125.16100000001</v>
      </c>
      <c r="H421" s="197">
        <f t="shared" si="81"/>
        <v>311373.65499999997</v>
      </c>
      <c r="I421" s="138">
        <f t="shared" si="82"/>
        <v>2.8797520588200554</v>
      </c>
      <c r="J421" s="167"/>
      <c r="K421" s="197">
        <v>94783.333</v>
      </c>
      <c r="L421" s="197">
        <f t="shared" si="83"/>
        <v>324715.483</v>
      </c>
      <c r="M421" s="138">
        <f t="shared" si="84"/>
        <v>3.425871118079378</v>
      </c>
    </row>
    <row r="422" spans="1:13" s="1" customFormat="1" ht="12.75" hidden="1" outlineLevel="1">
      <c r="A422" s="1" t="s">
        <v>283</v>
      </c>
      <c r="C422" s="114" t="s">
        <v>214</v>
      </c>
      <c r="D422" s="34"/>
      <c r="F422" s="34">
        <v>3346956.738</v>
      </c>
      <c r="G422" s="34">
        <v>3515328.894</v>
      </c>
      <c r="H422" s="51">
        <f t="shared" si="81"/>
        <v>-168372.15599999996</v>
      </c>
      <c r="I422" s="136">
        <f t="shared" si="82"/>
        <v>-0.04789655849481945</v>
      </c>
      <c r="J422" s="167"/>
      <c r="K422" s="34">
        <v>3444389.444</v>
      </c>
      <c r="L422" s="51">
        <f t="shared" si="83"/>
        <v>-97432.70600000024</v>
      </c>
      <c r="M422" s="136">
        <f t="shared" si="84"/>
        <v>-0.028287366334177</v>
      </c>
    </row>
    <row r="423" spans="1:13" s="15" customFormat="1" ht="12.75" hidden="1" outlineLevel="2">
      <c r="A423" s="15" t="s">
        <v>1112</v>
      </c>
      <c r="B423" s="15" t="s">
        <v>1113</v>
      </c>
      <c r="C423" s="134" t="s">
        <v>1114</v>
      </c>
      <c r="D423" s="16"/>
      <c r="E423" s="16"/>
      <c r="F423" s="16">
        <v>85610.26</v>
      </c>
      <c r="G423" s="16">
        <v>88174.61</v>
      </c>
      <c r="H423" s="16">
        <f t="shared" si="81"/>
        <v>-2564.350000000006</v>
      </c>
      <c r="I423" s="53">
        <f t="shared" si="82"/>
        <v>-0.029082635012505367</v>
      </c>
      <c r="J423" s="174"/>
      <c r="K423" s="257">
        <v>87634.66</v>
      </c>
      <c r="L423" s="16">
        <f t="shared" si="83"/>
        <v>-2024.4000000000087</v>
      </c>
      <c r="M423" s="53">
        <f t="shared" si="84"/>
        <v>-0.023100449068895898</v>
      </c>
    </row>
    <row r="424" spans="1:13" s="15" customFormat="1" ht="12.75" hidden="1" outlineLevel="2">
      <c r="A424" s="15" t="s">
        <v>1115</v>
      </c>
      <c r="B424" s="15" t="s">
        <v>1116</v>
      </c>
      <c r="C424" s="134" t="s">
        <v>1117</v>
      </c>
      <c r="D424" s="16"/>
      <c r="E424" s="16"/>
      <c r="F424" s="16">
        <v>7511.85</v>
      </c>
      <c r="G424" s="16">
        <v>7345.6900000000005</v>
      </c>
      <c r="H424" s="16">
        <f t="shared" si="81"/>
        <v>166.15999999999985</v>
      </c>
      <c r="I424" s="53">
        <f t="shared" si="82"/>
        <v>0.022620067005277904</v>
      </c>
      <c r="J424" s="174"/>
      <c r="K424" s="257">
        <v>7238.32</v>
      </c>
      <c r="L424" s="16">
        <f t="shared" si="83"/>
        <v>273.53000000000065</v>
      </c>
      <c r="M424" s="53">
        <f t="shared" si="84"/>
        <v>0.03778915549464526</v>
      </c>
    </row>
    <row r="425" spans="1:13" s="15" customFormat="1" ht="12.75" hidden="1" outlineLevel="2">
      <c r="A425" s="15" t="s">
        <v>1118</v>
      </c>
      <c r="B425" s="15" t="s">
        <v>1119</v>
      </c>
      <c r="C425" s="134" t="s">
        <v>1120</v>
      </c>
      <c r="D425" s="16"/>
      <c r="E425" s="16"/>
      <c r="F425" s="16">
        <v>0</v>
      </c>
      <c r="G425" s="16">
        <v>440</v>
      </c>
      <c r="H425" s="16">
        <f t="shared" si="81"/>
        <v>-440</v>
      </c>
      <c r="I425" s="53" t="str">
        <f t="shared" si="82"/>
        <v>N.M.</v>
      </c>
      <c r="J425" s="174"/>
      <c r="K425" s="257">
        <v>0</v>
      </c>
      <c r="L425" s="16">
        <f t="shared" si="83"/>
        <v>0</v>
      </c>
      <c r="M425" s="53">
        <f t="shared" si="84"/>
        <v>0</v>
      </c>
    </row>
    <row r="426" spans="1:13" s="15" customFormat="1" ht="12.75" hidden="1" outlineLevel="2">
      <c r="A426" s="15" t="s">
        <v>1121</v>
      </c>
      <c r="B426" s="15" t="s">
        <v>1122</v>
      </c>
      <c r="C426" s="134" t="s">
        <v>1123</v>
      </c>
      <c r="D426" s="16"/>
      <c r="E426" s="16"/>
      <c r="F426" s="16">
        <v>60317.62</v>
      </c>
      <c r="G426" s="16">
        <v>29255.73</v>
      </c>
      <c r="H426" s="16">
        <f t="shared" si="81"/>
        <v>31061.890000000003</v>
      </c>
      <c r="I426" s="53">
        <f t="shared" si="82"/>
        <v>1.0617369657157762</v>
      </c>
      <c r="J426" s="174"/>
      <c r="K426" s="257">
        <v>27682.89</v>
      </c>
      <c r="L426" s="16">
        <f t="shared" si="83"/>
        <v>32634.730000000003</v>
      </c>
      <c r="M426" s="53">
        <f t="shared" si="84"/>
        <v>1.178877277625277</v>
      </c>
    </row>
    <row r="427" spans="1:13" s="15" customFormat="1" ht="12.75" hidden="1" outlineLevel="2">
      <c r="A427" s="15" t="s">
        <v>1124</v>
      </c>
      <c r="B427" s="15" t="s">
        <v>1125</v>
      </c>
      <c r="C427" s="134" t="s">
        <v>1126</v>
      </c>
      <c r="D427" s="16"/>
      <c r="E427" s="16"/>
      <c r="F427" s="16">
        <v>500</v>
      </c>
      <c r="G427" s="16">
        <v>0</v>
      </c>
      <c r="H427" s="16">
        <f t="shared" si="81"/>
        <v>500</v>
      </c>
      <c r="I427" s="53" t="str">
        <f t="shared" si="82"/>
        <v>N.M.</v>
      </c>
      <c r="J427" s="174"/>
      <c r="K427" s="257">
        <v>0</v>
      </c>
      <c r="L427" s="16">
        <f t="shared" si="83"/>
        <v>500</v>
      </c>
      <c r="M427" s="53" t="str">
        <f t="shared" si="84"/>
        <v>N.M.</v>
      </c>
    </row>
    <row r="428" spans="1:13" s="1" customFormat="1" ht="12.75" hidden="1" outlineLevel="1">
      <c r="A428" s="1" t="s">
        <v>284</v>
      </c>
      <c r="C428" s="114" t="s">
        <v>215</v>
      </c>
      <c r="D428" s="34"/>
      <c r="F428" s="34">
        <v>153939.73</v>
      </c>
      <c r="G428" s="34">
        <v>125216.03</v>
      </c>
      <c r="H428" s="51">
        <f t="shared" si="81"/>
        <v>28723.70000000001</v>
      </c>
      <c r="I428" s="136">
        <f t="shared" si="82"/>
        <v>0.22939315357626344</v>
      </c>
      <c r="J428" s="167"/>
      <c r="K428" s="34">
        <v>122555.87000000001</v>
      </c>
      <c r="L428" s="51">
        <f t="shared" si="83"/>
        <v>31383.86</v>
      </c>
      <c r="M428" s="136">
        <f t="shared" si="84"/>
        <v>0.25607798304561014</v>
      </c>
    </row>
    <row r="429" spans="1:13" s="15" customFormat="1" ht="12.75" hidden="1" outlineLevel="2">
      <c r="A429" s="15" t="s">
        <v>1127</v>
      </c>
      <c r="B429" s="15" t="s">
        <v>1128</v>
      </c>
      <c r="C429" s="134" t="s">
        <v>1129</v>
      </c>
      <c r="D429" s="16"/>
      <c r="E429" s="16"/>
      <c r="F429" s="16">
        <v>602130.89</v>
      </c>
      <c r="G429" s="16">
        <v>1502552.49</v>
      </c>
      <c r="H429" s="16">
        <f t="shared" si="81"/>
        <v>-900421.6</v>
      </c>
      <c r="I429" s="53">
        <f t="shared" si="82"/>
        <v>-0.5992613276358818</v>
      </c>
      <c r="J429" s="174"/>
      <c r="K429" s="257">
        <v>1350278.04</v>
      </c>
      <c r="L429" s="16">
        <f t="shared" si="83"/>
        <v>-748147.15</v>
      </c>
      <c r="M429" s="53">
        <f t="shared" si="84"/>
        <v>-0.5540689604934995</v>
      </c>
    </row>
    <row r="430" spans="1:13" s="1" customFormat="1" ht="12.75" hidden="1" outlineLevel="1">
      <c r="A430" s="1" t="s">
        <v>285</v>
      </c>
      <c r="C430" s="114" t="s">
        <v>216</v>
      </c>
      <c r="D430" s="34"/>
      <c r="F430" s="34">
        <v>602130.89</v>
      </c>
      <c r="G430" s="34">
        <v>1502552.49</v>
      </c>
      <c r="H430" s="51">
        <f t="shared" si="81"/>
        <v>-900421.6</v>
      </c>
      <c r="I430" s="136">
        <f t="shared" si="82"/>
        <v>-0.5992613276358818</v>
      </c>
      <c r="J430" s="167"/>
      <c r="K430" s="34">
        <v>1350278.04</v>
      </c>
      <c r="L430" s="51">
        <f t="shared" si="83"/>
        <v>-748147.15</v>
      </c>
      <c r="M430" s="136">
        <f t="shared" si="84"/>
        <v>-0.5540689604934995</v>
      </c>
    </row>
    <row r="431" spans="1:13" s="15" customFormat="1" ht="12.75" hidden="1" outlineLevel="2">
      <c r="A431" s="15" t="s">
        <v>1130</v>
      </c>
      <c r="B431" s="15" t="s">
        <v>1131</v>
      </c>
      <c r="C431" s="134" t="s">
        <v>1132</v>
      </c>
      <c r="D431" s="16"/>
      <c r="E431" s="16"/>
      <c r="F431" s="16">
        <v>0</v>
      </c>
      <c r="G431" s="16">
        <v>1688.78</v>
      </c>
      <c r="H431" s="16">
        <f aca="true" t="shared" si="85" ref="H431:H456">+F431-G431</f>
        <v>-1688.78</v>
      </c>
      <c r="I431" s="53" t="str">
        <f aca="true" t="shared" si="86" ref="I431:I456">IF(G431&lt;0,IF(H431=0,0,IF(OR(G431=0,F431=0),"N.M.",IF(ABS(H431/G431)&gt;=10,"N.M.",H431/(-G431)))),IF(H431=0,0,IF(OR(G431=0,F431=0),"N.M.",IF(ABS(H431/G431)&gt;=10,"N.M.",H431/G431))))</f>
        <v>N.M.</v>
      </c>
      <c r="J431" s="174"/>
      <c r="K431" s="257">
        <v>0</v>
      </c>
      <c r="L431" s="16">
        <f aca="true" t="shared" si="87" ref="L431:L456">+F431-K431</f>
        <v>0</v>
      </c>
      <c r="M431" s="53">
        <f aca="true" t="shared" si="88" ref="M431:M456">IF(K431&lt;0,IF(L431=0,0,IF(OR(K431=0,F431=0),"N.M.",IF(ABS(L431/K431)&gt;=10,"N.M.",L431/(-K431)))),IF(L431=0,0,IF(OR(K431=0,F431=0),"N.M.",IF(ABS(L431/K431)&gt;=10,"N.M.",L431/K431))))</f>
        <v>0</v>
      </c>
    </row>
    <row r="432" spans="1:13" s="15" customFormat="1" ht="12.75" hidden="1" outlineLevel="2">
      <c r="A432" s="15" t="s">
        <v>1133</v>
      </c>
      <c r="B432" s="15" t="s">
        <v>1134</v>
      </c>
      <c r="C432" s="134" t="s">
        <v>1135</v>
      </c>
      <c r="D432" s="16"/>
      <c r="E432" s="16"/>
      <c r="F432" s="16">
        <v>1273428</v>
      </c>
      <c r="G432" s="16">
        <v>977963</v>
      </c>
      <c r="H432" s="16">
        <f t="shared" si="85"/>
        <v>295465</v>
      </c>
      <c r="I432" s="53">
        <f t="shared" si="86"/>
        <v>0.3021228819495216</v>
      </c>
      <c r="J432" s="174"/>
      <c r="K432" s="257">
        <v>977963</v>
      </c>
      <c r="L432" s="16">
        <f t="shared" si="87"/>
        <v>295465</v>
      </c>
      <c r="M432" s="53">
        <f t="shared" si="88"/>
        <v>0.3021228819495216</v>
      </c>
    </row>
    <row r="433" spans="1:13" s="15" customFormat="1" ht="12.75" hidden="1" outlineLevel="2">
      <c r="A433" s="15" t="s">
        <v>1136</v>
      </c>
      <c r="B433" s="15" t="s">
        <v>1137</v>
      </c>
      <c r="C433" s="134" t="s">
        <v>1138</v>
      </c>
      <c r="D433" s="16"/>
      <c r="E433" s="16"/>
      <c r="F433" s="16">
        <v>194</v>
      </c>
      <c r="G433" s="16">
        <v>123</v>
      </c>
      <c r="H433" s="16">
        <f t="shared" si="85"/>
        <v>71</v>
      </c>
      <c r="I433" s="53">
        <f t="shared" si="86"/>
        <v>0.5772357723577236</v>
      </c>
      <c r="J433" s="174"/>
      <c r="K433" s="257">
        <v>194</v>
      </c>
      <c r="L433" s="16">
        <f t="shared" si="87"/>
        <v>0</v>
      </c>
      <c r="M433" s="53">
        <f t="shared" si="88"/>
        <v>0</v>
      </c>
    </row>
    <row r="434" spans="1:13" s="15" customFormat="1" ht="12.75" hidden="1" outlineLevel="2">
      <c r="A434" s="15" t="s">
        <v>1139</v>
      </c>
      <c r="B434" s="15" t="s">
        <v>1140</v>
      </c>
      <c r="C434" s="134" t="s">
        <v>1141</v>
      </c>
      <c r="D434" s="16"/>
      <c r="E434" s="16"/>
      <c r="F434" s="16">
        <v>3658.2000000000003</v>
      </c>
      <c r="G434" s="16">
        <v>4342.32</v>
      </c>
      <c r="H434" s="16">
        <f t="shared" si="85"/>
        <v>-684.1199999999994</v>
      </c>
      <c r="I434" s="53">
        <f t="shared" si="86"/>
        <v>-0.15754711766981694</v>
      </c>
      <c r="J434" s="174"/>
      <c r="K434" s="257">
        <v>4296.21</v>
      </c>
      <c r="L434" s="16">
        <f t="shared" si="87"/>
        <v>-638.0099999999998</v>
      </c>
      <c r="M434" s="53">
        <f t="shared" si="88"/>
        <v>-0.14850531049459867</v>
      </c>
    </row>
    <row r="435" spans="1:13" s="15" customFormat="1" ht="12.75" hidden="1" outlineLevel="2">
      <c r="A435" s="15" t="s">
        <v>1142</v>
      </c>
      <c r="B435" s="15" t="s">
        <v>1143</v>
      </c>
      <c r="C435" s="134" t="s">
        <v>1144</v>
      </c>
      <c r="D435" s="16"/>
      <c r="E435" s="16"/>
      <c r="F435" s="16">
        <v>5932.27</v>
      </c>
      <c r="G435" s="16">
        <v>0</v>
      </c>
      <c r="H435" s="16">
        <f t="shared" si="85"/>
        <v>5932.27</v>
      </c>
      <c r="I435" s="53" t="str">
        <f t="shared" si="86"/>
        <v>N.M.</v>
      </c>
      <c r="J435" s="174"/>
      <c r="K435" s="257">
        <v>0</v>
      </c>
      <c r="L435" s="16">
        <f t="shared" si="87"/>
        <v>5932.27</v>
      </c>
      <c r="M435" s="53" t="str">
        <f t="shared" si="88"/>
        <v>N.M.</v>
      </c>
    </row>
    <row r="436" spans="1:13" s="15" customFormat="1" ht="12.75" hidden="1" outlineLevel="2">
      <c r="A436" s="15" t="s">
        <v>1145</v>
      </c>
      <c r="B436" s="15" t="s">
        <v>1146</v>
      </c>
      <c r="C436" s="134" t="s">
        <v>1147</v>
      </c>
      <c r="D436" s="16"/>
      <c r="E436" s="16"/>
      <c r="F436" s="16">
        <v>48415.33</v>
      </c>
      <c r="G436" s="16">
        <v>21073.2</v>
      </c>
      <c r="H436" s="16">
        <f t="shared" si="85"/>
        <v>27342.13</v>
      </c>
      <c r="I436" s="53">
        <f t="shared" si="86"/>
        <v>1.2974835335876849</v>
      </c>
      <c r="J436" s="174"/>
      <c r="K436" s="257">
        <v>20801.15</v>
      </c>
      <c r="L436" s="16">
        <f t="shared" si="87"/>
        <v>27614.18</v>
      </c>
      <c r="M436" s="53">
        <f t="shared" si="88"/>
        <v>1.3275314105229759</v>
      </c>
    </row>
    <row r="437" spans="1:13" s="15" customFormat="1" ht="12.75" hidden="1" outlineLevel="2">
      <c r="A437" s="15" t="s">
        <v>1148</v>
      </c>
      <c r="B437" s="15" t="s">
        <v>1149</v>
      </c>
      <c r="C437" s="134" t="s">
        <v>1150</v>
      </c>
      <c r="D437" s="16"/>
      <c r="E437" s="16"/>
      <c r="F437" s="16">
        <v>90325</v>
      </c>
      <c r="G437" s="16">
        <v>466830</v>
      </c>
      <c r="H437" s="16">
        <f t="shared" si="85"/>
        <v>-376505</v>
      </c>
      <c r="I437" s="53">
        <f t="shared" si="86"/>
        <v>-0.8065141486194117</v>
      </c>
      <c r="J437" s="174"/>
      <c r="K437" s="257">
        <v>505228</v>
      </c>
      <c r="L437" s="16">
        <f t="shared" si="87"/>
        <v>-414903</v>
      </c>
      <c r="M437" s="53">
        <f t="shared" si="88"/>
        <v>-0.8212193306784263</v>
      </c>
    </row>
    <row r="438" spans="1:13" s="15" customFormat="1" ht="12.75" hidden="1" outlineLevel="2">
      <c r="A438" s="15" t="s">
        <v>1151</v>
      </c>
      <c r="B438" s="15" t="s">
        <v>1152</v>
      </c>
      <c r="C438" s="134" t="s">
        <v>1153</v>
      </c>
      <c r="D438" s="16"/>
      <c r="E438" s="16"/>
      <c r="F438" s="16">
        <v>932604.772</v>
      </c>
      <c r="G438" s="16">
        <v>524080.822</v>
      </c>
      <c r="H438" s="16">
        <f t="shared" si="85"/>
        <v>408523.95</v>
      </c>
      <c r="I438" s="53">
        <f t="shared" si="86"/>
        <v>0.779505627473619</v>
      </c>
      <c r="J438" s="174"/>
      <c r="K438" s="257">
        <v>1243360.152</v>
      </c>
      <c r="L438" s="16">
        <f t="shared" si="87"/>
        <v>-310755.38</v>
      </c>
      <c r="M438" s="53">
        <f t="shared" si="88"/>
        <v>-0.24993191192442205</v>
      </c>
    </row>
    <row r="439" spans="1:13" s="15" customFormat="1" ht="12.75" hidden="1" outlineLevel="2">
      <c r="A439" s="15" t="s">
        <v>1154</v>
      </c>
      <c r="B439" s="15" t="s">
        <v>1155</v>
      </c>
      <c r="C439" s="134" t="s">
        <v>1156</v>
      </c>
      <c r="D439" s="16"/>
      <c r="E439" s="16"/>
      <c r="F439" s="16">
        <v>27097.744</v>
      </c>
      <c r="G439" s="16">
        <v>32599.114</v>
      </c>
      <c r="H439" s="16">
        <f t="shared" si="85"/>
        <v>-5501.370000000003</v>
      </c>
      <c r="I439" s="53">
        <f t="shared" si="86"/>
        <v>-0.16875826747929415</v>
      </c>
      <c r="J439" s="174"/>
      <c r="K439" s="257">
        <v>513.544</v>
      </c>
      <c r="L439" s="16">
        <f t="shared" si="87"/>
        <v>26584.199999999997</v>
      </c>
      <c r="M439" s="53" t="str">
        <f t="shared" si="88"/>
        <v>N.M.</v>
      </c>
    </row>
    <row r="440" spans="1:13" s="15" customFormat="1" ht="12.75" hidden="1" outlineLevel="2">
      <c r="A440" s="15" t="s">
        <v>1157</v>
      </c>
      <c r="B440" s="15" t="s">
        <v>1158</v>
      </c>
      <c r="C440" s="134" t="s">
        <v>1159</v>
      </c>
      <c r="D440" s="16"/>
      <c r="E440" s="16"/>
      <c r="F440" s="16">
        <v>82916.31</v>
      </c>
      <c r="G440" s="16">
        <v>75819.51</v>
      </c>
      <c r="H440" s="16">
        <f t="shared" si="85"/>
        <v>7096.800000000003</v>
      </c>
      <c r="I440" s="53">
        <f t="shared" si="86"/>
        <v>0.0936012379927014</v>
      </c>
      <c r="J440" s="174"/>
      <c r="K440" s="257">
        <v>81474.54000000001</v>
      </c>
      <c r="L440" s="16">
        <f t="shared" si="87"/>
        <v>1441.7699999999895</v>
      </c>
      <c r="M440" s="53">
        <f t="shared" si="88"/>
        <v>0.017695957534709487</v>
      </c>
    </row>
    <row r="441" spans="1:13" s="15" customFormat="1" ht="12.75" hidden="1" outlineLevel="2">
      <c r="A441" s="15" t="s">
        <v>1160</v>
      </c>
      <c r="B441" s="15" t="s">
        <v>1161</v>
      </c>
      <c r="C441" s="134" t="s">
        <v>1162</v>
      </c>
      <c r="D441" s="16"/>
      <c r="E441" s="16"/>
      <c r="F441" s="16">
        <v>1648033.32</v>
      </c>
      <c r="G441" s="16">
        <v>717432.56</v>
      </c>
      <c r="H441" s="16">
        <f t="shared" si="85"/>
        <v>930600.76</v>
      </c>
      <c r="I441" s="53">
        <f t="shared" si="86"/>
        <v>1.2971264644024518</v>
      </c>
      <c r="J441" s="174"/>
      <c r="K441" s="257">
        <v>1056510.93</v>
      </c>
      <c r="L441" s="16">
        <f t="shared" si="87"/>
        <v>591522.3900000001</v>
      </c>
      <c r="M441" s="53">
        <f t="shared" si="88"/>
        <v>0.5598828873450463</v>
      </c>
    </row>
    <row r="442" spans="1:13" s="15" customFormat="1" ht="12.75" hidden="1" outlineLevel="2">
      <c r="A442" s="15" t="s">
        <v>1163</v>
      </c>
      <c r="B442" s="15" t="s">
        <v>1164</v>
      </c>
      <c r="C442" s="134" t="s">
        <v>1165</v>
      </c>
      <c r="D442" s="16"/>
      <c r="E442" s="16"/>
      <c r="F442" s="16">
        <v>0</v>
      </c>
      <c r="G442" s="16">
        <v>3603.87</v>
      </c>
      <c r="H442" s="16">
        <f t="shared" si="85"/>
        <v>-3603.87</v>
      </c>
      <c r="I442" s="53" t="str">
        <f t="shared" si="86"/>
        <v>N.M.</v>
      </c>
      <c r="J442" s="174"/>
      <c r="K442" s="257">
        <v>3454.5</v>
      </c>
      <c r="L442" s="16">
        <f t="shared" si="87"/>
        <v>-3454.5</v>
      </c>
      <c r="M442" s="53" t="str">
        <f t="shared" si="88"/>
        <v>N.M.</v>
      </c>
    </row>
    <row r="443" spans="1:13" s="15" customFormat="1" ht="12.75" hidden="1" outlineLevel="2">
      <c r="A443" s="15" t="s">
        <v>1166</v>
      </c>
      <c r="B443" s="15" t="s">
        <v>1167</v>
      </c>
      <c r="C443" s="134" t="s">
        <v>1168</v>
      </c>
      <c r="D443" s="16"/>
      <c r="E443" s="16"/>
      <c r="F443" s="16">
        <v>2355.92</v>
      </c>
      <c r="G443" s="16">
        <v>0</v>
      </c>
      <c r="H443" s="16">
        <f t="shared" si="85"/>
        <v>2355.92</v>
      </c>
      <c r="I443" s="53" t="str">
        <f t="shared" si="86"/>
        <v>N.M.</v>
      </c>
      <c r="J443" s="174"/>
      <c r="K443" s="257">
        <v>0</v>
      </c>
      <c r="L443" s="16">
        <f t="shared" si="87"/>
        <v>2355.92</v>
      </c>
      <c r="M443" s="53" t="str">
        <f t="shared" si="88"/>
        <v>N.M.</v>
      </c>
    </row>
    <row r="444" spans="1:13" s="15" customFormat="1" ht="12.75" hidden="1" outlineLevel="2">
      <c r="A444" s="15" t="s">
        <v>1169</v>
      </c>
      <c r="B444" s="15" t="s">
        <v>1170</v>
      </c>
      <c r="C444" s="134" t="s">
        <v>1171</v>
      </c>
      <c r="D444" s="16"/>
      <c r="E444" s="16"/>
      <c r="F444" s="16">
        <v>0</v>
      </c>
      <c r="G444" s="16">
        <v>66763.17</v>
      </c>
      <c r="H444" s="16">
        <f t="shared" si="85"/>
        <v>-66763.17</v>
      </c>
      <c r="I444" s="53" t="str">
        <f t="shared" si="86"/>
        <v>N.M.</v>
      </c>
      <c r="J444" s="174"/>
      <c r="K444" s="257">
        <v>0</v>
      </c>
      <c r="L444" s="16">
        <f t="shared" si="87"/>
        <v>0</v>
      </c>
      <c r="M444" s="53">
        <f t="shared" si="88"/>
        <v>0</v>
      </c>
    </row>
    <row r="445" spans="1:13" s="15" customFormat="1" ht="12.75" hidden="1" outlineLevel="2">
      <c r="A445" s="15" t="s">
        <v>1172</v>
      </c>
      <c r="B445" s="15" t="s">
        <v>1173</v>
      </c>
      <c r="C445" s="134" t="s">
        <v>1174</v>
      </c>
      <c r="D445" s="16"/>
      <c r="E445" s="16"/>
      <c r="F445" s="16">
        <v>920814.9</v>
      </c>
      <c r="G445" s="16">
        <v>922433.73</v>
      </c>
      <c r="H445" s="16">
        <f t="shared" si="85"/>
        <v>-1618.829999999958</v>
      </c>
      <c r="I445" s="53">
        <f t="shared" si="86"/>
        <v>-0.0017549553397185054</v>
      </c>
      <c r="J445" s="174"/>
      <c r="K445" s="257">
        <v>909950.4400000001</v>
      </c>
      <c r="L445" s="16">
        <f t="shared" si="87"/>
        <v>10864.459999999963</v>
      </c>
      <c r="M445" s="53">
        <f t="shared" si="88"/>
        <v>0.01193961728289286</v>
      </c>
    </row>
    <row r="446" spans="1:13" s="15" customFormat="1" ht="12.75" hidden="1" outlineLevel="2">
      <c r="A446" s="15" t="s">
        <v>1175</v>
      </c>
      <c r="B446" s="15" t="s">
        <v>1176</v>
      </c>
      <c r="C446" s="134" t="s">
        <v>1177</v>
      </c>
      <c r="D446" s="16"/>
      <c r="E446" s="16"/>
      <c r="F446" s="16">
        <v>654590.14</v>
      </c>
      <c r="G446" s="16">
        <v>288067.13</v>
      </c>
      <c r="H446" s="16">
        <f t="shared" si="85"/>
        <v>366523.01</v>
      </c>
      <c r="I446" s="53">
        <f t="shared" si="86"/>
        <v>1.2723527672178356</v>
      </c>
      <c r="J446" s="174"/>
      <c r="K446" s="257">
        <v>324067.19</v>
      </c>
      <c r="L446" s="16">
        <f t="shared" si="87"/>
        <v>330522.95</v>
      </c>
      <c r="M446" s="53">
        <f t="shared" si="88"/>
        <v>1.0199210540258643</v>
      </c>
    </row>
    <row r="447" spans="1:13" s="15" customFormat="1" ht="12.75" hidden="1" outlineLevel="2">
      <c r="A447" s="15" t="s">
        <v>1178</v>
      </c>
      <c r="B447" s="15" t="s">
        <v>1179</v>
      </c>
      <c r="C447" s="134" t="s">
        <v>1180</v>
      </c>
      <c r="D447" s="16"/>
      <c r="E447" s="16"/>
      <c r="F447" s="16">
        <v>77530</v>
      </c>
      <c r="G447" s="16">
        <v>34060</v>
      </c>
      <c r="H447" s="16">
        <f t="shared" si="85"/>
        <v>43470</v>
      </c>
      <c r="I447" s="53">
        <f t="shared" si="86"/>
        <v>1.2762771579565473</v>
      </c>
      <c r="J447" s="174"/>
      <c r="K447" s="257">
        <v>38330</v>
      </c>
      <c r="L447" s="16">
        <f t="shared" si="87"/>
        <v>39200</v>
      </c>
      <c r="M447" s="53">
        <f t="shared" si="88"/>
        <v>1.0226976258805114</v>
      </c>
    </row>
    <row r="448" spans="1:13" s="15" customFormat="1" ht="12.75" hidden="1" outlineLevel="2">
      <c r="A448" s="15" t="s">
        <v>1181</v>
      </c>
      <c r="B448" s="15" t="s">
        <v>1182</v>
      </c>
      <c r="C448" s="134" t="s">
        <v>1183</v>
      </c>
      <c r="D448" s="16"/>
      <c r="E448" s="16"/>
      <c r="F448" s="16">
        <v>356640</v>
      </c>
      <c r="G448" s="16">
        <v>170390</v>
      </c>
      <c r="H448" s="16">
        <f t="shared" si="85"/>
        <v>186250</v>
      </c>
      <c r="I448" s="53">
        <f t="shared" si="86"/>
        <v>1.093080579846235</v>
      </c>
      <c r="J448" s="174"/>
      <c r="K448" s="257">
        <v>127820</v>
      </c>
      <c r="L448" s="16">
        <f t="shared" si="87"/>
        <v>228820</v>
      </c>
      <c r="M448" s="53">
        <f t="shared" si="88"/>
        <v>1.7901736817399467</v>
      </c>
    </row>
    <row r="449" spans="1:13" s="15" customFormat="1" ht="12.75" hidden="1" outlineLevel="2">
      <c r="A449" s="15" t="s">
        <v>1184</v>
      </c>
      <c r="B449" s="15" t="s">
        <v>1185</v>
      </c>
      <c r="C449" s="134" t="s">
        <v>1186</v>
      </c>
      <c r="D449" s="16"/>
      <c r="E449" s="16"/>
      <c r="F449" s="16">
        <v>96449.75</v>
      </c>
      <c r="G449" s="16">
        <v>154835.81</v>
      </c>
      <c r="H449" s="16">
        <f t="shared" si="85"/>
        <v>-58386.06</v>
      </c>
      <c r="I449" s="53">
        <f t="shared" si="86"/>
        <v>-0.3770836991778581</v>
      </c>
      <c r="J449" s="174"/>
      <c r="K449" s="257">
        <v>15300.75</v>
      </c>
      <c r="L449" s="16">
        <f t="shared" si="87"/>
        <v>81149</v>
      </c>
      <c r="M449" s="53">
        <f t="shared" si="88"/>
        <v>5.303596228943026</v>
      </c>
    </row>
    <row r="450" spans="1:13" s="15" customFormat="1" ht="12.75" hidden="1" outlineLevel="2">
      <c r="A450" s="15" t="s">
        <v>1187</v>
      </c>
      <c r="B450" s="15" t="s">
        <v>1188</v>
      </c>
      <c r="C450" s="134" t="s">
        <v>1189</v>
      </c>
      <c r="D450" s="16"/>
      <c r="E450" s="16"/>
      <c r="F450" s="16">
        <v>57519.79</v>
      </c>
      <c r="G450" s="16">
        <v>0</v>
      </c>
      <c r="H450" s="16">
        <f t="shared" si="85"/>
        <v>57519.79</v>
      </c>
      <c r="I450" s="53" t="str">
        <f t="shared" si="86"/>
        <v>N.M.</v>
      </c>
      <c r="J450" s="174"/>
      <c r="K450" s="257">
        <v>0</v>
      </c>
      <c r="L450" s="16">
        <f t="shared" si="87"/>
        <v>57519.79</v>
      </c>
      <c r="M450" s="53" t="str">
        <f t="shared" si="88"/>
        <v>N.M.</v>
      </c>
    </row>
    <row r="451" spans="1:13" s="15" customFormat="1" ht="12.75" hidden="1" outlineLevel="2">
      <c r="A451" s="15" t="s">
        <v>1190</v>
      </c>
      <c r="B451" s="15" t="s">
        <v>1191</v>
      </c>
      <c r="C451" s="134" t="s">
        <v>1192</v>
      </c>
      <c r="D451" s="16"/>
      <c r="E451" s="16"/>
      <c r="F451" s="16">
        <v>124937.51000000001</v>
      </c>
      <c r="G451" s="16">
        <v>0</v>
      </c>
      <c r="H451" s="16">
        <f t="shared" si="85"/>
        <v>124937.51000000001</v>
      </c>
      <c r="I451" s="53" t="str">
        <f t="shared" si="86"/>
        <v>N.M.</v>
      </c>
      <c r="J451" s="174"/>
      <c r="K451" s="257">
        <v>0</v>
      </c>
      <c r="L451" s="16">
        <f t="shared" si="87"/>
        <v>124937.51000000001</v>
      </c>
      <c r="M451" s="53" t="str">
        <f t="shared" si="88"/>
        <v>N.M.</v>
      </c>
    </row>
    <row r="452" spans="1:13" s="15" customFormat="1" ht="12.75" hidden="1" outlineLevel="2">
      <c r="A452" s="15" t="s">
        <v>1193</v>
      </c>
      <c r="B452" s="15" t="s">
        <v>1194</v>
      </c>
      <c r="C452" s="134" t="s">
        <v>1195</v>
      </c>
      <c r="D452" s="16"/>
      <c r="E452" s="16"/>
      <c r="F452" s="16">
        <v>293909.31</v>
      </c>
      <c r="G452" s="16">
        <v>255371.9</v>
      </c>
      <c r="H452" s="16">
        <f t="shared" si="85"/>
        <v>38537.41</v>
      </c>
      <c r="I452" s="53">
        <f t="shared" si="86"/>
        <v>0.15090701052073469</v>
      </c>
      <c r="J452" s="174"/>
      <c r="K452" s="257">
        <v>457034.9</v>
      </c>
      <c r="L452" s="16">
        <f t="shared" si="87"/>
        <v>-163125.59000000003</v>
      </c>
      <c r="M452" s="53">
        <f t="shared" si="88"/>
        <v>-0.35692151737208694</v>
      </c>
    </row>
    <row r="453" spans="1:13" s="15" customFormat="1" ht="12.75" hidden="1" outlineLevel="2">
      <c r="A453" s="15" t="s">
        <v>1196</v>
      </c>
      <c r="B453" s="15" t="s">
        <v>1197</v>
      </c>
      <c r="C453" s="134" t="s">
        <v>1198</v>
      </c>
      <c r="D453" s="16"/>
      <c r="E453" s="16"/>
      <c r="F453" s="16">
        <v>42482</v>
      </c>
      <c r="G453" s="16">
        <v>11448.56</v>
      </c>
      <c r="H453" s="16">
        <f t="shared" si="85"/>
        <v>31033.440000000002</v>
      </c>
      <c r="I453" s="53">
        <f t="shared" si="86"/>
        <v>2.7106850119141623</v>
      </c>
      <c r="J453" s="174"/>
      <c r="K453" s="257">
        <v>42482</v>
      </c>
      <c r="L453" s="16">
        <f t="shared" si="87"/>
        <v>0</v>
      </c>
      <c r="M453" s="53">
        <f t="shared" si="88"/>
        <v>0</v>
      </c>
    </row>
    <row r="454" spans="1:13" s="15" customFormat="1" ht="12.75" hidden="1" outlineLevel="2">
      <c r="A454" s="15" t="s">
        <v>1199</v>
      </c>
      <c r="B454" s="15" t="s">
        <v>1200</v>
      </c>
      <c r="C454" s="134" t="s">
        <v>1201</v>
      </c>
      <c r="D454" s="16"/>
      <c r="E454" s="16"/>
      <c r="F454" s="16">
        <v>104590</v>
      </c>
      <c r="G454" s="16">
        <v>50880</v>
      </c>
      <c r="H454" s="16">
        <f t="shared" si="85"/>
        <v>53710</v>
      </c>
      <c r="I454" s="53">
        <f t="shared" si="86"/>
        <v>1.05562106918239</v>
      </c>
      <c r="J454" s="174"/>
      <c r="K454" s="257">
        <v>43030</v>
      </c>
      <c r="L454" s="16">
        <f t="shared" si="87"/>
        <v>61560</v>
      </c>
      <c r="M454" s="53">
        <f t="shared" si="88"/>
        <v>1.4306297931675576</v>
      </c>
    </row>
    <row r="455" spans="1:13" s="15" customFormat="1" ht="12.75" hidden="1" outlineLevel="2">
      <c r="A455" s="15" t="s">
        <v>1202</v>
      </c>
      <c r="B455" s="15" t="s">
        <v>1203</v>
      </c>
      <c r="C455" s="134" t="s">
        <v>1204</v>
      </c>
      <c r="D455" s="16"/>
      <c r="E455" s="16"/>
      <c r="F455" s="16">
        <v>9180</v>
      </c>
      <c r="G455" s="16">
        <v>4650</v>
      </c>
      <c r="H455" s="16">
        <f t="shared" si="85"/>
        <v>4530</v>
      </c>
      <c r="I455" s="53">
        <f t="shared" si="86"/>
        <v>0.9741935483870968</v>
      </c>
      <c r="J455" s="174"/>
      <c r="K455" s="257">
        <v>4230</v>
      </c>
      <c r="L455" s="16">
        <f t="shared" si="87"/>
        <v>4950</v>
      </c>
      <c r="M455" s="53">
        <f t="shared" si="88"/>
        <v>1.1702127659574468</v>
      </c>
    </row>
    <row r="456" spans="1:13" s="15" customFormat="1" ht="12.75" hidden="1" outlineLevel="2">
      <c r="A456" s="15" t="s">
        <v>1205</v>
      </c>
      <c r="B456" s="15" t="s">
        <v>1206</v>
      </c>
      <c r="C456" s="134" t="s">
        <v>1207</v>
      </c>
      <c r="D456" s="16"/>
      <c r="E456" s="16"/>
      <c r="F456" s="16">
        <v>333697.81</v>
      </c>
      <c r="G456" s="16">
        <v>21078.33</v>
      </c>
      <c r="H456" s="16">
        <f t="shared" si="85"/>
        <v>312619.48</v>
      </c>
      <c r="I456" s="53" t="str">
        <f t="shared" si="86"/>
        <v>N.M.</v>
      </c>
      <c r="J456" s="174"/>
      <c r="K456" s="257">
        <v>345407.3</v>
      </c>
      <c r="L456" s="16">
        <f t="shared" si="87"/>
        <v>-11709.48999999999</v>
      </c>
      <c r="M456" s="53">
        <f t="shared" si="88"/>
        <v>-0.03390052844858806</v>
      </c>
    </row>
    <row r="457" spans="1:13" s="1" customFormat="1" ht="12.75" hidden="1" outlineLevel="1">
      <c r="A457" s="1" t="s">
        <v>286</v>
      </c>
      <c r="C457" s="115" t="s">
        <v>217</v>
      </c>
      <c r="D457" s="34"/>
      <c r="F457" s="197">
        <v>7187302.075999999</v>
      </c>
      <c r="G457" s="197">
        <v>4805534.806</v>
      </c>
      <c r="H457" s="197">
        <f>+F457-G457</f>
        <v>2381767.2699999996</v>
      </c>
      <c r="I457" s="138">
        <f>IF(G457&lt;0,IF(H457=0,0,IF(OR(G457=0,F457=0),"N.M.",IF(ABS(H457/G457)&gt;=10,"N.M.",H457/(-G457)))),IF(H457=0,0,IF(OR(G457=0,F457=0),"N.M.",IF(ABS(H457/G457)&gt;=10,"N.M.",H457/G457))))</f>
        <v>0.49563001125831396</v>
      </c>
      <c r="J457" s="167"/>
      <c r="K457" s="197">
        <v>6201448.606000002</v>
      </c>
      <c r="L457" s="197">
        <f>+F457-K457</f>
        <v>985853.4699999979</v>
      </c>
      <c r="M457" s="138">
        <f>IF(K457&lt;0,IF(L457=0,0,IF(OR(K457=0,F457=0),"N.M.",IF(ABS(L457/K457)&gt;=10,"N.M.",L457/(-K457)))),IF(L457=0,0,IF(OR(K457=0,F457=0),"N.M.",IF(ABS(L457/K457)&gt;=10,"N.M.",L457/K457))))</f>
        <v>0.15897148112235723</v>
      </c>
    </row>
    <row r="458" spans="1:13" ht="12.75" collapsed="1">
      <c r="A458" s="11" t="s">
        <v>346</v>
      </c>
      <c r="C458" s="231" t="s">
        <v>206</v>
      </c>
      <c r="D458" s="117"/>
      <c r="E458" s="118"/>
      <c r="F458" s="236">
        <v>15194994.654</v>
      </c>
      <c r="G458" s="236">
        <v>14081679.909999998</v>
      </c>
      <c r="H458" s="197">
        <f>+F458-G458</f>
        <v>1113314.7440000009</v>
      </c>
      <c r="I458" s="138">
        <f>IF(G458&lt;0,IF(H458=0,0,IF(OR(G458=0,F458=0),"N.M.",IF(ABS(H458/G458)&gt;=10,"N.M.",H458/(-G458)))),IF(H458=0,0,IF(OR(G458=0,F458=0),"N.M.",IF(ABS(H458/G458)&gt;=10,"N.M.",H458/G458))))</f>
        <v>0.07906121649657644</v>
      </c>
      <c r="J458" s="166"/>
      <c r="K458" s="236">
        <v>15859055.459999999</v>
      </c>
      <c r="L458" s="197">
        <f>+F458-K458</f>
        <v>-664060.8059999999</v>
      </c>
      <c r="M458" s="138">
        <f>IF(K458&lt;0,IF(L458=0,0,IF(OR(K458=0,F458=0),"N.M.",IF(ABS(L458/K458)&gt;=10,"N.M.",L458/(-K458)))),IF(L458=0,0,IF(OR(K458=0,F458=0),"N.M.",IF(ABS(L458/K458)&gt;=10,"N.M.",L458/K458))))</f>
        <v>-0.04187265803281325</v>
      </c>
    </row>
    <row r="459" spans="1:13" s="13" customFormat="1" ht="12.75">
      <c r="A459" s="13" t="s">
        <v>287</v>
      </c>
      <c r="C459" s="110" t="s">
        <v>227</v>
      </c>
      <c r="D459" s="33"/>
      <c r="F459" s="33">
        <v>96595287.554</v>
      </c>
      <c r="G459" s="33">
        <v>97453456.13100003</v>
      </c>
      <c r="H459" s="74">
        <f>+F459-G459</f>
        <v>-858168.5770000219</v>
      </c>
      <c r="I459" s="137">
        <f>IF(G459&lt;0,IF(H459=0,0,IF(OR(G459=0,F459=0),"N.M.",IF(ABS(H459/G459)&gt;=10,"N.M.",H459/(-G459)))),IF(H459=0,0,IF(OR(G459=0,F459=0),"N.M.",IF(ABS(H459/G459)&gt;=10,"N.M.",H459/G459))))</f>
        <v>-0.008805932709522837</v>
      </c>
      <c r="J459" s="168"/>
      <c r="K459" s="33">
        <v>101445796.95300002</v>
      </c>
      <c r="L459" s="74">
        <f>+F459-K459</f>
        <v>-4850509.399000019</v>
      </c>
      <c r="M459" s="137">
        <f>IF(K459&lt;0,IF(L459=0,0,IF(OR(K459=0,F459=0),"N.M.",IF(ABS(L459/K459)&gt;=10,"N.M.",L459/(-K459)))),IF(L459=0,0,IF(OR(K459=0,F459=0),"N.M.",IF(ABS(L459/K459)&gt;=10,"N.M.",L459/K459))))</f>
        <v>-0.04781380347622747</v>
      </c>
    </row>
    <row r="460" spans="3:13" ht="12.75">
      <c r="C460" s="126"/>
      <c r="D460" s="106"/>
      <c r="E460" s="11"/>
      <c r="F460" s="234" t="str">
        <f>IF(ABS(+F298+F300+F302+F304+F329+F343+F307+F348+F379+F386+F388+F392+F399+F458-F459)&gt;$C$573,$N$183," ")</f>
        <v> </v>
      </c>
      <c r="G460" s="234" t="str">
        <f>IF(ABS(+G298+G300+G302+G304+G329+G343+G307+G348+G379+G386+G388+G392+G399+G458-G459)&gt;$C$573,$N$183," ")</f>
        <v> </v>
      </c>
      <c r="H460" s="234" t="str">
        <f>IF(ABS(+H298+H300+H302+H304+H329+H343+H307+H348+H379+H386+H388+H392+H399+H458-H459)&gt;$C$573,$N$183," ")</f>
        <v> </v>
      </c>
      <c r="I460" s="141"/>
      <c r="J460" s="166"/>
      <c r="K460" s="234" t="str">
        <f>IF(ABS(+K298+K300+K302+K304+K329+K343+K307+K348+K379+K386+K388+K392+K399+K458-K459)&gt;$C$573,$N$183," ")</f>
        <v> </v>
      </c>
      <c r="L460" s="234" t="str">
        <f>IF(ABS(+L298+L300+L302+L304+L329+L343+L307+L348+L379+L386+L388+L392+L399+L458-L459)&gt;$C$573,$N$183," ")</f>
        <v> </v>
      </c>
      <c r="M460" s="141"/>
    </row>
    <row r="461" spans="3:13" ht="12.75">
      <c r="C461" s="127"/>
      <c r="D461" s="103"/>
      <c r="E461" s="104"/>
      <c r="F461" s="103"/>
      <c r="G461" s="103"/>
      <c r="H461" s="103"/>
      <c r="I461" s="141"/>
      <c r="J461" s="166"/>
      <c r="K461" s="103"/>
      <c r="L461" s="103"/>
      <c r="M461" s="141"/>
    </row>
    <row r="462" spans="3:13" ht="0.75" customHeight="1" hidden="1" outlineLevel="1">
      <c r="C462" s="127"/>
      <c r="D462" s="103"/>
      <c r="E462" s="104"/>
      <c r="F462" s="103"/>
      <c r="G462" s="103"/>
      <c r="H462" s="103"/>
      <c r="I462" s="141"/>
      <c r="J462" s="166"/>
      <c r="K462" s="103"/>
      <c r="L462" s="103"/>
      <c r="M462" s="141"/>
    </row>
    <row r="463" spans="1:13" s="15" customFormat="1" ht="12.75" hidden="1" outlineLevel="2">
      <c r="A463" s="15" t="s">
        <v>1208</v>
      </c>
      <c r="B463" s="15" t="s">
        <v>1209</v>
      </c>
      <c r="C463" s="134" t="s">
        <v>1210</v>
      </c>
      <c r="D463" s="16"/>
      <c r="E463" s="16"/>
      <c r="F463" s="16">
        <v>30143138.9</v>
      </c>
      <c r="G463" s="16">
        <v>31617428.85</v>
      </c>
      <c r="H463" s="16">
        <f aca="true" t="shared" si="89" ref="H463:H471">+F463-G463</f>
        <v>-1474289.950000003</v>
      </c>
      <c r="I463" s="53">
        <f aca="true" t="shared" si="90" ref="I463:I471">IF(G463&lt;0,IF(H463=0,0,IF(OR(G463=0,F463=0),"N.M.",IF(ABS(H463/G463)&gt;=10,"N.M.",H463/(-G463)))),IF(H463=0,0,IF(OR(G463=0,F463=0),"N.M.",IF(ABS(H463/G463)&gt;=10,"N.M.",H463/G463))))</f>
        <v>-0.04662902720503799</v>
      </c>
      <c r="J463" s="174"/>
      <c r="K463" s="257">
        <v>31362188.9</v>
      </c>
      <c r="L463" s="16">
        <f aca="true" t="shared" si="91" ref="L463:L471">+F463-K463</f>
        <v>-1219050</v>
      </c>
      <c r="M463" s="53">
        <f aca="true" t="shared" si="92" ref="M463:M471">IF(K463&lt;0,IF(L463=0,0,IF(OR(K463=0,F463=0),"N.M.",IF(ABS(L463/K463)&gt;=10,"N.M.",L463/(-K463)))),IF(L463=0,0,IF(OR(K463=0,F463=0),"N.M.",IF(ABS(L463/K463)&gt;=10,"N.M.",L463/K463))))</f>
        <v>-0.038870054762025874</v>
      </c>
    </row>
    <row r="464" spans="1:13" s="15" customFormat="1" ht="12.75" hidden="1" outlineLevel="2">
      <c r="A464" s="15" t="s">
        <v>1211</v>
      </c>
      <c r="B464" s="15" t="s">
        <v>1212</v>
      </c>
      <c r="C464" s="134" t="s">
        <v>1213</v>
      </c>
      <c r="D464" s="16"/>
      <c r="E464" s="16"/>
      <c r="F464" s="16">
        <v>167934821.67</v>
      </c>
      <c r="G464" s="16">
        <v>150756789.09</v>
      </c>
      <c r="H464" s="16">
        <f t="shared" si="89"/>
        <v>17178032.579999983</v>
      </c>
      <c r="I464" s="53">
        <f t="shared" si="90"/>
        <v>0.1139453332993508</v>
      </c>
      <c r="J464" s="174"/>
      <c r="K464" s="257">
        <v>162185879.69</v>
      </c>
      <c r="L464" s="16">
        <f t="shared" si="91"/>
        <v>5748941.979999989</v>
      </c>
      <c r="M464" s="53">
        <f t="shared" si="92"/>
        <v>0.03544662452112627</v>
      </c>
    </row>
    <row r="465" spans="1:13" s="15" customFormat="1" ht="12.75" hidden="1" outlineLevel="2">
      <c r="A465" s="15" t="s">
        <v>1214</v>
      </c>
      <c r="B465" s="15" t="s">
        <v>1215</v>
      </c>
      <c r="C465" s="134" t="s">
        <v>1216</v>
      </c>
      <c r="D465" s="16"/>
      <c r="E465" s="16"/>
      <c r="F465" s="16">
        <v>50436924.92</v>
      </c>
      <c r="G465" s="16">
        <v>52722937.73</v>
      </c>
      <c r="H465" s="16">
        <f t="shared" si="89"/>
        <v>-2286012.809999995</v>
      </c>
      <c r="I465" s="53">
        <f t="shared" si="90"/>
        <v>-0.043358980140805504</v>
      </c>
      <c r="J465" s="174"/>
      <c r="K465" s="257">
        <v>51641596.78</v>
      </c>
      <c r="L465" s="16">
        <f t="shared" si="91"/>
        <v>-1204671.8599999994</v>
      </c>
      <c r="M465" s="53">
        <f t="shared" si="92"/>
        <v>-0.023327548625811476</v>
      </c>
    </row>
    <row r="466" spans="1:13" s="15" customFormat="1" ht="12.75" hidden="1" outlineLevel="2">
      <c r="A466" s="15" t="s">
        <v>1217</v>
      </c>
      <c r="B466" s="15" t="s">
        <v>1218</v>
      </c>
      <c r="C466" s="134" t="s">
        <v>1219</v>
      </c>
      <c r="D466" s="16"/>
      <c r="E466" s="16"/>
      <c r="F466" s="16">
        <v>-732163</v>
      </c>
      <c r="G466" s="16">
        <v>-835429</v>
      </c>
      <c r="H466" s="16">
        <f t="shared" si="89"/>
        <v>103266</v>
      </c>
      <c r="I466" s="53">
        <f t="shared" si="90"/>
        <v>0.12360834972211882</v>
      </c>
      <c r="J466" s="174"/>
      <c r="K466" s="257">
        <v>-798259</v>
      </c>
      <c r="L466" s="16">
        <f t="shared" si="91"/>
        <v>66096</v>
      </c>
      <c r="M466" s="53">
        <f t="shared" si="92"/>
        <v>0.0828001939220228</v>
      </c>
    </row>
    <row r="467" spans="1:13" s="15" customFormat="1" ht="12.75" hidden="1" outlineLevel="2">
      <c r="A467" s="15" t="s">
        <v>1220</v>
      </c>
      <c r="B467" s="15" t="s">
        <v>1221</v>
      </c>
      <c r="C467" s="134" t="s">
        <v>771</v>
      </c>
      <c r="D467" s="16"/>
      <c r="E467" s="16"/>
      <c r="F467" s="16">
        <v>8095.09</v>
      </c>
      <c r="G467" s="16">
        <v>292913.08</v>
      </c>
      <c r="H467" s="16">
        <f t="shared" si="89"/>
        <v>-284817.99</v>
      </c>
      <c r="I467" s="53">
        <f t="shared" si="90"/>
        <v>-0.9723635079730819</v>
      </c>
      <c r="J467" s="174"/>
      <c r="K467" s="257">
        <v>178797.73</v>
      </c>
      <c r="L467" s="16">
        <f t="shared" si="91"/>
        <v>-170702.64</v>
      </c>
      <c r="M467" s="53">
        <f t="shared" si="92"/>
        <v>-0.95472487262562</v>
      </c>
    </row>
    <row r="468" spans="1:13" s="15" customFormat="1" ht="12.75" hidden="1" outlineLevel="2">
      <c r="A468" s="15" t="s">
        <v>1222</v>
      </c>
      <c r="B468" s="15" t="s">
        <v>1223</v>
      </c>
      <c r="C468" s="134" t="s">
        <v>777</v>
      </c>
      <c r="D468" s="16"/>
      <c r="E468" s="16"/>
      <c r="F468" s="16">
        <v>17197998.08</v>
      </c>
      <c r="G468" s="16">
        <v>20906332.55</v>
      </c>
      <c r="H468" s="16">
        <f t="shared" si="89"/>
        <v>-3708334.4700000025</v>
      </c>
      <c r="I468" s="53">
        <f t="shared" si="90"/>
        <v>-0.17737852687127578</v>
      </c>
      <c r="J468" s="174"/>
      <c r="K468" s="257">
        <v>21654672.13</v>
      </c>
      <c r="L468" s="16">
        <f t="shared" si="91"/>
        <v>-4456674.050000001</v>
      </c>
      <c r="M468" s="53">
        <f t="shared" si="92"/>
        <v>-0.20580658175035602</v>
      </c>
    </row>
    <row r="469" spans="1:13" s="15" customFormat="1" ht="12.75" hidden="1" outlineLevel="2">
      <c r="A469" s="15" t="s">
        <v>1224</v>
      </c>
      <c r="B469" s="15" t="s">
        <v>1225</v>
      </c>
      <c r="C469" s="134" t="s">
        <v>1226</v>
      </c>
      <c r="D469" s="16"/>
      <c r="E469" s="16"/>
      <c r="F469" s="16">
        <v>54934.99</v>
      </c>
      <c r="G469" s="16">
        <v>1681505.17</v>
      </c>
      <c r="H469" s="16">
        <f t="shared" si="89"/>
        <v>-1626570.18</v>
      </c>
      <c r="I469" s="53">
        <f t="shared" si="90"/>
        <v>-0.9673298714865087</v>
      </c>
      <c r="J469" s="174"/>
      <c r="K469" s="257">
        <v>292452.69</v>
      </c>
      <c r="L469" s="16">
        <f t="shared" si="91"/>
        <v>-237517.7</v>
      </c>
      <c r="M469" s="53">
        <f t="shared" si="92"/>
        <v>-0.8121576860859102</v>
      </c>
    </row>
    <row r="470" spans="1:13" s="15" customFormat="1" ht="12.75" hidden="1" outlineLevel="2">
      <c r="A470" s="15" t="s">
        <v>1227</v>
      </c>
      <c r="B470" s="15" t="s">
        <v>1228</v>
      </c>
      <c r="C470" s="134" t="s">
        <v>1229</v>
      </c>
      <c r="D470" s="16"/>
      <c r="E470" s="16"/>
      <c r="F470" s="16">
        <v>41107818.49</v>
      </c>
      <c r="G470" s="16">
        <v>39725001.48</v>
      </c>
      <c r="H470" s="16">
        <f t="shared" si="89"/>
        <v>1382817.0100000054</v>
      </c>
      <c r="I470" s="53">
        <f t="shared" si="90"/>
        <v>0.034809740930939935</v>
      </c>
      <c r="J470" s="174"/>
      <c r="K470" s="257">
        <v>40623807.62</v>
      </c>
      <c r="L470" s="16">
        <f t="shared" si="91"/>
        <v>484010.87000000477</v>
      </c>
      <c r="M470" s="53">
        <f t="shared" si="92"/>
        <v>0.01191446342320988</v>
      </c>
    </row>
    <row r="471" spans="1:13" s="15" customFormat="1" ht="12.75" hidden="1" outlineLevel="2">
      <c r="A471" s="15" t="s">
        <v>1230</v>
      </c>
      <c r="B471" s="15" t="s">
        <v>1231</v>
      </c>
      <c r="C471" s="134" t="s">
        <v>1232</v>
      </c>
      <c r="D471" s="16"/>
      <c r="E471" s="16"/>
      <c r="F471" s="16">
        <v>37640547</v>
      </c>
      <c r="G471" s="16">
        <v>32387792</v>
      </c>
      <c r="H471" s="16">
        <f t="shared" si="89"/>
        <v>5252755</v>
      </c>
      <c r="I471" s="53">
        <f t="shared" si="90"/>
        <v>0.16218317692048906</v>
      </c>
      <c r="J471" s="174"/>
      <c r="K471" s="257">
        <v>36824251</v>
      </c>
      <c r="L471" s="16">
        <f t="shared" si="91"/>
        <v>816296</v>
      </c>
      <c r="M471" s="53">
        <f t="shared" si="92"/>
        <v>0.022167348359644845</v>
      </c>
    </row>
    <row r="472" spans="1:13" s="13" customFormat="1" ht="12.75" collapsed="1">
      <c r="A472" s="13" t="s">
        <v>288</v>
      </c>
      <c r="C472" s="110" t="s">
        <v>218</v>
      </c>
      <c r="D472" s="33"/>
      <c r="F472" s="33">
        <v>343792116.14000005</v>
      </c>
      <c r="G472" s="33">
        <v>329255270.95</v>
      </c>
      <c r="H472" s="74">
        <f>+F472-G472</f>
        <v>14536845.190000057</v>
      </c>
      <c r="I472" s="137">
        <f>IF(G472&lt;0,IF(H472=0,0,IF(OR(G472=0,F472=0),"N.M.",IF(ABS(H472/G472)&gt;=10,"N.M.",H472/(-G472)))),IF(H472=0,0,IF(OR(G472=0,F472=0),"N.M.",IF(ABS(H472/G472)&gt;=10,"N.M.",H472/G472))))</f>
        <v>0.04415068329219729</v>
      </c>
      <c r="J472" s="168"/>
      <c r="K472" s="33">
        <v>343965387.53999996</v>
      </c>
      <c r="L472" s="74">
        <f>+F472-K472</f>
        <v>-173271.39999991655</v>
      </c>
      <c r="M472" s="137">
        <f>IF(K472&lt;0,IF(L472=0,0,IF(OR(K472=0,F472=0),"N.M.",IF(ABS(L472/K472)&gt;=10,"N.M.",L472/(-K472)))),IF(L472=0,0,IF(OR(K472=0,F472=0),"N.M.",IF(ABS(L472/K472)&gt;=10,"N.M.",L472/K472))))</f>
        <v>-0.0005037466160160278</v>
      </c>
    </row>
    <row r="473" spans="3:13" s="13" customFormat="1" ht="0.75" customHeight="1" hidden="1" outlineLevel="1">
      <c r="C473" s="110"/>
      <c r="D473" s="33"/>
      <c r="F473" s="33"/>
      <c r="G473" s="33"/>
      <c r="H473" s="74"/>
      <c r="I473" s="137"/>
      <c r="J473" s="168"/>
      <c r="K473" s="33"/>
      <c r="L473" s="74"/>
      <c r="M473" s="137"/>
    </row>
    <row r="474" spans="1:13" s="15" customFormat="1" ht="12.75" hidden="1" outlineLevel="2">
      <c r="A474" s="15" t="s">
        <v>1233</v>
      </c>
      <c r="B474" s="15" t="s">
        <v>1234</v>
      </c>
      <c r="C474" s="134" t="s">
        <v>1235</v>
      </c>
      <c r="D474" s="16"/>
      <c r="E474" s="16"/>
      <c r="F474" s="16">
        <v>1169181</v>
      </c>
      <c r="G474" s="16">
        <v>1902856</v>
      </c>
      <c r="H474" s="16">
        <f>+F474-G474</f>
        <v>-733675</v>
      </c>
      <c r="I474" s="53">
        <f>IF(G474&lt;0,IF(H474=0,0,IF(OR(G474=0,F474=0),"N.M.",IF(ABS(H474/G474)&gt;=10,"N.M.",H474/(-G474)))),IF(H474=0,0,IF(OR(G474=0,F474=0),"N.M.",IF(ABS(H474/G474)&gt;=10,"N.M.",H474/G474))))</f>
        <v>-0.38556517151061354</v>
      </c>
      <c r="J474" s="174"/>
      <c r="K474" s="257">
        <v>1697364</v>
      </c>
      <c r="L474" s="16">
        <f>+F474-K474</f>
        <v>-528183</v>
      </c>
      <c r="M474" s="53">
        <f>IF(K474&lt;0,IF(L474=0,0,IF(OR(K474=0,F474=0),"N.M.",IF(ABS(L474/K474)&gt;=10,"N.M.",L474/(-K474)))),IF(L474=0,0,IF(OR(K474=0,F474=0),"N.M.",IF(ABS(L474/K474)&gt;=10,"N.M.",L474/K474))))</f>
        <v>-0.31117839190650914</v>
      </c>
    </row>
    <row r="475" spans="1:13" s="13" customFormat="1" ht="12.75" collapsed="1">
      <c r="A475" s="13" t="s">
        <v>289</v>
      </c>
      <c r="C475" s="110" t="s">
        <v>219</v>
      </c>
      <c r="D475" s="33"/>
      <c r="F475" s="33">
        <v>1169181</v>
      </c>
      <c r="G475" s="33">
        <v>1902856</v>
      </c>
      <c r="H475" s="74">
        <f>+F475-G475</f>
        <v>-733675</v>
      </c>
      <c r="I475" s="137">
        <f>IF(G475&lt;0,IF(H475=0,0,IF(OR(G475=0,F475=0),"N.M.",IF(ABS(H475/G475)&gt;=10,"N.M.",H475/(-G475)))),IF(H475=0,0,IF(OR(G475=0,F475=0),"N.M.",IF(ABS(H475/G475)&gt;=10,"N.M.",H475/G475))))</f>
        <v>-0.38556517151061354</v>
      </c>
      <c r="J475" s="168"/>
      <c r="K475" s="33">
        <v>1697364</v>
      </c>
      <c r="L475" s="74">
        <f>+F475-K475</f>
        <v>-528183</v>
      </c>
      <c r="M475" s="137">
        <f>IF(K475&lt;0,IF(L475=0,0,IF(OR(K475=0,F475=0),"N.M.",IF(ABS(L475/K475)&gt;=10,"N.M.",L475/(-K475)))),IF(L475=0,0,IF(OR(K475=0,F475=0),"N.M.",IF(ABS(L475/K475)&gt;=10,"N.M.",L475/K475))))</f>
        <v>-0.31117839190650914</v>
      </c>
    </row>
    <row r="476" spans="3:13" s="13" customFormat="1" ht="0.75" customHeight="1" hidden="1" outlineLevel="1">
      <c r="C476" s="110"/>
      <c r="D476" s="33"/>
      <c r="F476" s="33"/>
      <c r="G476" s="33"/>
      <c r="H476" s="74"/>
      <c r="I476" s="137"/>
      <c r="J476" s="168"/>
      <c r="K476" s="33"/>
      <c r="L476" s="74"/>
      <c r="M476" s="137"/>
    </row>
    <row r="477" spans="1:13" s="15" customFormat="1" ht="12.75" hidden="1" outlineLevel="2">
      <c r="A477" s="15" t="s">
        <v>1236</v>
      </c>
      <c r="B477" s="15" t="s">
        <v>1237</v>
      </c>
      <c r="C477" s="134" t="s">
        <v>1238</v>
      </c>
      <c r="D477" s="16"/>
      <c r="E477" s="16"/>
      <c r="F477" s="16">
        <v>1540844.88</v>
      </c>
      <c r="G477" s="16">
        <v>4820161.88</v>
      </c>
      <c r="H477" s="16">
        <f aca="true" t="shared" si="93" ref="H477:H490">+F477-G477</f>
        <v>-3279317</v>
      </c>
      <c r="I477" s="53">
        <f aca="true" t="shared" si="94" ref="I477:I490">IF(G477&lt;0,IF(H477=0,0,IF(OR(G477=0,F477=0),"N.M.",IF(ABS(H477/G477)&gt;=10,"N.M.",H477/(-G477)))),IF(H477=0,0,IF(OR(G477=0,F477=0),"N.M.",IF(ABS(H477/G477)&gt;=10,"N.M.",H477/G477))))</f>
        <v>-0.6803333750276453</v>
      </c>
      <c r="J477" s="174"/>
      <c r="K477" s="257">
        <v>1786709.88</v>
      </c>
      <c r="L477" s="16">
        <f>+F477-K477</f>
        <v>-245865</v>
      </c>
      <c r="M477" s="53">
        <f>IF(K477&lt;0,IF(L477=0,0,IF(OR(K477=0,F477=0),"N.M.",IF(ABS(L477/K477)&gt;=10,"N.M.",L477/(-K477)))),IF(L477=0,0,IF(OR(K477=0,F477=0),"N.M.",IF(ABS(L477/K477)&gt;=10,"N.M.",L477/K477))))</f>
        <v>-0.13760767920531117</v>
      </c>
    </row>
    <row r="478" spans="1:13" s="13" customFormat="1" ht="12.75" hidden="1" outlineLevel="1">
      <c r="A478" s="11" t="s">
        <v>290</v>
      </c>
      <c r="B478" s="11"/>
      <c r="C478" s="123" t="s">
        <v>230</v>
      </c>
      <c r="D478" s="18"/>
      <c r="E478" s="11"/>
      <c r="F478" s="18">
        <v>1540844.88</v>
      </c>
      <c r="G478" s="18">
        <v>4820161.88</v>
      </c>
      <c r="H478" s="51">
        <f t="shared" si="93"/>
        <v>-3279317</v>
      </c>
      <c r="I478" s="136">
        <f t="shared" si="94"/>
        <v>-0.6803333750276453</v>
      </c>
      <c r="J478" s="168"/>
      <c r="K478" s="18">
        <v>1786709.88</v>
      </c>
      <c r="L478" s="51">
        <f aca="true" t="shared" si="95" ref="L478:L490">+F478-K478</f>
        <v>-245865</v>
      </c>
      <c r="M478" s="136">
        <f aca="true" t="shared" si="96" ref="M478:M490">IF(K478&lt;0,IF(L478=0,0,IF(OR(K478=0,F478=0),"N.M.",IF(ABS(L478/K478)&gt;=10,"N.M.",L478/(-K478)))),IF(L478=0,0,IF(OR(K478=0,F478=0),"N.M.",IF(ABS(L478/K478)&gt;=10,"N.M.",L478/K478))))</f>
        <v>-0.13760767920531117</v>
      </c>
    </row>
    <row r="479" spans="1:13" s="13" customFormat="1" ht="12.75" hidden="1" outlineLevel="1">
      <c r="A479" s="11" t="s">
        <v>291</v>
      </c>
      <c r="B479" s="11"/>
      <c r="C479" s="123" t="s">
        <v>231</v>
      </c>
      <c r="D479" s="18"/>
      <c r="E479" s="11"/>
      <c r="F479" s="18">
        <v>0</v>
      </c>
      <c r="G479" s="18">
        <v>0</v>
      </c>
      <c r="H479" s="51">
        <f t="shared" si="93"/>
        <v>0</v>
      </c>
      <c r="I479" s="136">
        <f t="shared" si="94"/>
        <v>0</v>
      </c>
      <c r="J479" s="168"/>
      <c r="K479" s="18">
        <v>0</v>
      </c>
      <c r="L479" s="51">
        <f t="shared" si="95"/>
        <v>0</v>
      </c>
      <c r="M479" s="136">
        <f t="shared" si="96"/>
        <v>0</v>
      </c>
    </row>
    <row r="480" spans="1:13" s="13" customFormat="1" ht="12.75" hidden="1" outlineLevel="1">
      <c r="A480" s="11" t="s">
        <v>292</v>
      </c>
      <c r="B480" s="11"/>
      <c r="C480" s="123" t="s">
        <v>232</v>
      </c>
      <c r="D480" s="18"/>
      <c r="E480" s="11"/>
      <c r="F480" s="18">
        <v>0</v>
      </c>
      <c r="G480" s="18">
        <v>0</v>
      </c>
      <c r="H480" s="51">
        <f t="shared" si="93"/>
        <v>0</v>
      </c>
      <c r="I480" s="136">
        <f t="shared" si="94"/>
        <v>0</v>
      </c>
      <c r="J480" s="168"/>
      <c r="K480" s="18">
        <v>0</v>
      </c>
      <c r="L480" s="51">
        <f t="shared" si="95"/>
        <v>0</v>
      </c>
      <c r="M480" s="136">
        <f t="shared" si="96"/>
        <v>0</v>
      </c>
    </row>
    <row r="481" spans="1:13" s="15" customFormat="1" ht="12.75" hidden="1" outlineLevel="2">
      <c r="A481" s="15" t="s">
        <v>1239</v>
      </c>
      <c r="B481" s="15" t="s">
        <v>1240</v>
      </c>
      <c r="C481" s="134" t="s">
        <v>1241</v>
      </c>
      <c r="D481" s="16"/>
      <c r="E481" s="16"/>
      <c r="F481" s="16">
        <v>6981446.9</v>
      </c>
      <c r="G481" s="16">
        <v>13544318.92</v>
      </c>
      <c r="H481" s="16">
        <f t="shared" si="93"/>
        <v>-6562872.02</v>
      </c>
      <c r="I481" s="53">
        <f t="shared" si="94"/>
        <v>-0.4845479539254676</v>
      </c>
      <c r="J481" s="174"/>
      <c r="K481" s="257">
        <v>8977202.37</v>
      </c>
      <c r="L481" s="16">
        <f>+F481-K481</f>
        <v>-1995755.4699999988</v>
      </c>
      <c r="M481" s="53">
        <f>IF(K481&lt;0,IF(L481=0,0,IF(OR(K481=0,F481=0),"N.M.",IF(ABS(L481/K481)&gt;=10,"N.M.",L481/(-K481)))),IF(L481=0,0,IF(OR(K481=0,F481=0),"N.M.",IF(ABS(L481/K481)&gt;=10,"N.M.",L481/K481))))</f>
        <v>-0.22231374405342708</v>
      </c>
    </row>
    <row r="482" spans="1:13" s="15" customFormat="1" ht="12.75" hidden="1" outlineLevel="2">
      <c r="A482" s="15" t="s">
        <v>1242</v>
      </c>
      <c r="B482" s="15" t="s">
        <v>1243</v>
      </c>
      <c r="C482" s="134" t="s">
        <v>1244</v>
      </c>
      <c r="D482" s="16"/>
      <c r="E482" s="16"/>
      <c r="F482" s="16">
        <v>914288</v>
      </c>
      <c r="G482" s="16">
        <v>0</v>
      </c>
      <c r="H482" s="16">
        <f t="shared" si="93"/>
        <v>914288</v>
      </c>
      <c r="I482" s="53" t="str">
        <f t="shared" si="94"/>
        <v>N.M.</v>
      </c>
      <c r="J482" s="174"/>
      <c r="K482" s="257">
        <v>0</v>
      </c>
      <c r="L482" s="16">
        <f>+F482-K482</f>
        <v>914288</v>
      </c>
      <c r="M482" s="53" t="str">
        <f>IF(K482&lt;0,IF(L482=0,0,IF(OR(K482=0,F482=0),"N.M.",IF(ABS(L482/K482)&gt;=10,"N.M.",L482/(-K482)))),IF(L482=0,0,IF(OR(K482=0,F482=0),"N.M.",IF(ABS(L482/K482)&gt;=10,"N.M.",L482/K482))))</f>
        <v>N.M.</v>
      </c>
    </row>
    <row r="483" spans="1:13" s="15" customFormat="1" ht="12.75" hidden="1" outlineLevel="2">
      <c r="A483" s="15" t="s">
        <v>1245</v>
      </c>
      <c r="B483" s="15" t="s">
        <v>1246</v>
      </c>
      <c r="C483" s="134" t="s">
        <v>1247</v>
      </c>
      <c r="D483" s="16"/>
      <c r="E483" s="16"/>
      <c r="F483" s="16">
        <v>90749.26</v>
      </c>
      <c r="G483" s="16">
        <v>0</v>
      </c>
      <c r="H483" s="16">
        <f t="shared" si="93"/>
        <v>90749.26</v>
      </c>
      <c r="I483" s="53" t="str">
        <f t="shared" si="94"/>
        <v>N.M.</v>
      </c>
      <c r="J483" s="174"/>
      <c r="K483" s="257">
        <v>23529.72</v>
      </c>
      <c r="L483" s="16">
        <f>+F483-K483</f>
        <v>67219.54</v>
      </c>
      <c r="M483" s="53">
        <f>IF(K483&lt;0,IF(L483=0,0,IF(OR(K483=0,F483=0),"N.M.",IF(ABS(L483/K483)&gt;=10,"N.M.",L483/(-K483)))),IF(L483=0,0,IF(OR(K483=0,F483=0),"N.M.",IF(ABS(L483/K483)&gt;=10,"N.M.",L483/K483))))</f>
        <v>2.856793026011359</v>
      </c>
    </row>
    <row r="484" spans="1:13" s="15" customFormat="1" ht="12.75" hidden="1" outlineLevel="2">
      <c r="A484" s="15" t="s">
        <v>1248</v>
      </c>
      <c r="B484" s="15" t="s">
        <v>1249</v>
      </c>
      <c r="C484" s="134" t="s">
        <v>1250</v>
      </c>
      <c r="D484" s="16"/>
      <c r="E484" s="16"/>
      <c r="F484" s="16">
        <v>560</v>
      </c>
      <c r="G484" s="16">
        <v>436</v>
      </c>
      <c r="H484" s="16">
        <f t="shared" si="93"/>
        <v>124</v>
      </c>
      <c r="I484" s="53">
        <f t="shared" si="94"/>
        <v>0.28440366972477066</v>
      </c>
      <c r="J484" s="174"/>
      <c r="K484" s="257">
        <v>520</v>
      </c>
      <c r="L484" s="16">
        <f>+F484-K484</f>
        <v>40</v>
      </c>
      <c r="M484" s="53">
        <f>IF(K484&lt;0,IF(L484=0,0,IF(OR(K484=0,F484=0),"N.M.",IF(ABS(L484/K484)&gt;=10,"N.M.",L484/(-K484)))),IF(L484=0,0,IF(OR(K484=0,F484=0),"N.M.",IF(ABS(L484/K484)&gt;=10,"N.M.",L484/K484))))</f>
        <v>0.07692307692307693</v>
      </c>
    </row>
    <row r="485" spans="1:13" s="13" customFormat="1" ht="12.75" hidden="1" outlineLevel="1">
      <c r="A485" s="11" t="s">
        <v>293</v>
      </c>
      <c r="B485" s="11"/>
      <c r="C485" s="123" t="s">
        <v>233</v>
      </c>
      <c r="D485" s="18"/>
      <c r="E485" s="11"/>
      <c r="F485" s="18">
        <v>7987044.16</v>
      </c>
      <c r="G485" s="18">
        <v>13544754.92</v>
      </c>
      <c r="H485" s="51">
        <f t="shared" si="93"/>
        <v>-5557710.76</v>
      </c>
      <c r="I485" s="136">
        <f t="shared" si="94"/>
        <v>-0.41032198757568955</v>
      </c>
      <c r="J485" s="168"/>
      <c r="K485" s="18">
        <v>9001252.09</v>
      </c>
      <c r="L485" s="51">
        <f t="shared" si="95"/>
        <v>-1014207.9299999997</v>
      </c>
      <c r="M485" s="136">
        <f t="shared" si="96"/>
        <v>-0.11267409465475817</v>
      </c>
    </row>
    <row r="486" spans="1:13" s="15" customFormat="1" ht="12.75" hidden="1" outlineLevel="2">
      <c r="A486" s="15" t="s">
        <v>1251</v>
      </c>
      <c r="B486" s="15" t="s">
        <v>1252</v>
      </c>
      <c r="C486" s="134" t="s">
        <v>1253</v>
      </c>
      <c r="D486" s="16"/>
      <c r="E486" s="16"/>
      <c r="F486" s="16">
        <v>629559</v>
      </c>
      <c r="G486" s="16">
        <v>1024614.78</v>
      </c>
      <c r="H486" s="16">
        <f t="shared" si="93"/>
        <v>-395055.78</v>
      </c>
      <c r="I486" s="53">
        <f t="shared" si="94"/>
        <v>-0.3855651779686411</v>
      </c>
      <c r="J486" s="174"/>
      <c r="K486" s="257">
        <v>913965.23</v>
      </c>
      <c r="L486" s="16">
        <f>+F486-K486</f>
        <v>-284406.23</v>
      </c>
      <c r="M486" s="53">
        <f>IF(K486&lt;0,IF(L486=0,0,IF(OR(K486=0,F486=0),"N.M.",IF(ABS(L486/K486)&gt;=10,"N.M.",L486/(-K486)))),IF(L486=0,0,IF(OR(K486=0,F486=0),"N.M.",IF(ABS(L486/K486)&gt;=10,"N.M.",L486/K486))))</f>
        <v>-0.3111783913267685</v>
      </c>
    </row>
    <row r="487" spans="1:13" s="15" customFormat="1" ht="12.75" hidden="1" outlineLevel="2">
      <c r="A487" s="15" t="s">
        <v>1254</v>
      </c>
      <c r="B487" s="15" t="s">
        <v>1255</v>
      </c>
      <c r="C487" s="134" t="s">
        <v>1256</v>
      </c>
      <c r="D487" s="16"/>
      <c r="E487" s="16"/>
      <c r="F487" s="16">
        <v>1126404.6</v>
      </c>
      <c r="G487" s="16">
        <v>1285275.3900000001</v>
      </c>
      <c r="H487" s="16">
        <f t="shared" si="93"/>
        <v>-158870.79000000004</v>
      </c>
      <c r="I487" s="53">
        <f t="shared" si="94"/>
        <v>-0.12360836536362843</v>
      </c>
      <c r="J487" s="174"/>
      <c r="K487" s="257">
        <v>1228090.75</v>
      </c>
      <c r="L487" s="16">
        <f>+F487-K487</f>
        <v>-101686.1499999999</v>
      </c>
      <c r="M487" s="53">
        <f>IF(K487&lt;0,IF(L487=0,0,IF(OR(K487=0,F487=0),"N.M.",IF(ABS(L487/K487)&gt;=10,"N.M.",L487/(-K487)))),IF(L487=0,0,IF(OR(K487=0,F487=0),"N.M.",IF(ABS(L487/K487)&gt;=10,"N.M.",L487/K487))))</f>
        <v>-0.08280019208678178</v>
      </c>
    </row>
    <row r="488" spans="1:13" s="13" customFormat="1" ht="12.75" hidden="1" outlineLevel="1">
      <c r="A488" s="11" t="s">
        <v>294</v>
      </c>
      <c r="B488" s="11"/>
      <c r="C488" s="123" t="s">
        <v>234</v>
      </c>
      <c r="D488" s="18"/>
      <c r="E488" s="11"/>
      <c r="F488" s="18">
        <v>1755963.6</v>
      </c>
      <c r="G488" s="18">
        <v>2309890.17</v>
      </c>
      <c r="H488" s="51">
        <f t="shared" si="93"/>
        <v>-553926.5699999998</v>
      </c>
      <c r="I488" s="136">
        <f t="shared" si="94"/>
        <v>-0.23980645365489384</v>
      </c>
      <c r="J488" s="168"/>
      <c r="K488" s="18">
        <v>2142055.98</v>
      </c>
      <c r="L488" s="51">
        <f t="shared" si="95"/>
        <v>-386092.3799999999</v>
      </c>
      <c r="M488" s="136">
        <f t="shared" si="96"/>
        <v>-0.18024383284324805</v>
      </c>
    </row>
    <row r="489" spans="1:13" s="13" customFormat="1" ht="12.75" hidden="1" outlineLevel="1">
      <c r="A489" s="11" t="s">
        <v>295</v>
      </c>
      <c r="B489" s="11"/>
      <c r="C489" s="123" t="s">
        <v>235</v>
      </c>
      <c r="D489" s="18"/>
      <c r="E489" s="11"/>
      <c r="F489" s="18">
        <v>0</v>
      </c>
      <c r="G489" s="18">
        <v>0</v>
      </c>
      <c r="H489" s="51">
        <f t="shared" si="93"/>
        <v>0</v>
      </c>
      <c r="I489" s="136">
        <f t="shared" si="94"/>
        <v>0</v>
      </c>
      <c r="J489" s="168"/>
      <c r="K489" s="18">
        <v>0</v>
      </c>
      <c r="L489" s="51">
        <f t="shared" si="95"/>
        <v>0</v>
      </c>
      <c r="M489" s="136">
        <f t="shared" si="96"/>
        <v>0</v>
      </c>
    </row>
    <row r="490" spans="1:13" s="13" customFormat="1" ht="12.75" collapsed="1">
      <c r="A490" s="13" t="s">
        <v>347</v>
      </c>
      <c r="C490" s="110" t="s">
        <v>220</v>
      </c>
      <c r="D490" s="33"/>
      <c r="F490" s="33">
        <v>11283852.639999999</v>
      </c>
      <c r="G490" s="33">
        <v>20674806.97</v>
      </c>
      <c r="H490" s="74">
        <f t="shared" si="93"/>
        <v>-9390954.33</v>
      </c>
      <c r="I490" s="137">
        <f t="shared" si="94"/>
        <v>-0.45422210440110344</v>
      </c>
      <c r="J490" s="168"/>
      <c r="K490" s="33">
        <v>12930017.95</v>
      </c>
      <c r="L490" s="74">
        <f t="shared" si="95"/>
        <v>-1646165.3100000005</v>
      </c>
      <c r="M490" s="137">
        <f t="shared" si="96"/>
        <v>-0.12731345898866295</v>
      </c>
    </row>
    <row r="491" spans="3:13" ht="12.75">
      <c r="C491" s="126"/>
      <c r="E491" s="11"/>
      <c r="H491" s="18"/>
      <c r="I491" s="141"/>
      <c r="J491" s="166"/>
      <c r="K491" s="18"/>
      <c r="L491" s="18"/>
      <c r="M491" s="141"/>
    </row>
    <row r="492" spans="3:13" ht="0.75" customHeight="1" hidden="1" outlineLevel="1">
      <c r="C492" s="126"/>
      <c r="E492" s="11"/>
      <c r="H492" s="18"/>
      <c r="I492" s="141"/>
      <c r="J492" s="166"/>
      <c r="K492" s="18"/>
      <c r="L492" s="18"/>
      <c r="M492" s="141"/>
    </row>
    <row r="493" spans="1:13" s="15" customFormat="1" ht="12.75" hidden="1" outlineLevel="2">
      <c r="A493" s="15" t="s">
        <v>1257</v>
      </c>
      <c r="B493" s="15" t="s">
        <v>1258</v>
      </c>
      <c r="C493" s="134" t="s">
        <v>1259</v>
      </c>
      <c r="D493" s="16"/>
      <c r="E493" s="16"/>
      <c r="F493" s="16">
        <v>7625544.14</v>
      </c>
      <c r="G493" s="16">
        <v>7802697.71</v>
      </c>
      <c r="H493" s="16">
        <f aca="true" t="shared" si="97" ref="H493:H498">+F493-G493</f>
        <v>-177153.5700000003</v>
      </c>
      <c r="I493" s="53">
        <f aca="true" t="shared" si="98" ref="I493:I498">IF(G493&lt;0,IF(H493=0,0,IF(OR(G493=0,F493=0),"N.M.",IF(ABS(H493/G493)&gt;=10,"N.M.",H493/(-G493)))),IF(H493=0,0,IF(OR(G493=0,F493=0),"N.M.",IF(ABS(H493/G493)&gt;=10,"N.M.",H493/G493))))</f>
        <v>-0.022704143692886994</v>
      </c>
      <c r="J493" s="174"/>
      <c r="K493" s="257">
        <v>6097603.01</v>
      </c>
      <c r="L493" s="16">
        <f aca="true" t="shared" si="99" ref="L493:L498">+F493-K493</f>
        <v>1527941.13</v>
      </c>
      <c r="M493" s="53">
        <f aca="true" t="shared" si="100" ref="M493:M498">IF(K493&lt;0,IF(L493=0,0,IF(OR(K493=0,F493=0),"N.M.",IF(ABS(L493/K493)&gt;=10,"N.M.",L493/(-K493)))),IF(L493=0,0,IF(OR(K493=0,F493=0),"N.M.",IF(ABS(L493/K493)&gt;=10,"N.M.",L493/K493))))</f>
        <v>0.25058061790742914</v>
      </c>
    </row>
    <row r="494" spans="1:13" s="15" customFormat="1" ht="12.75" hidden="1" outlineLevel="2">
      <c r="A494" s="15" t="s">
        <v>1260</v>
      </c>
      <c r="B494" s="15" t="s">
        <v>1261</v>
      </c>
      <c r="C494" s="134" t="s">
        <v>1262</v>
      </c>
      <c r="D494" s="16"/>
      <c r="E494" s="16"/>
      <c r="F494" s="16">
        <v>24454</v>
      </c>
      <c r="G494" s="16">
        <v>129448.42</v>
      </c>
      <c r="H494" s="16">
        <f t="shared" si="97"/>
        <v>-104994.42</v>
      </c>
      <c r="I494" s="53">
        <f t="shared" si="98"/>
        <v>-0.8110907804050447</v>
      </c>
      <c r="J494" s="174"/>
      <c r="K494" s="257">
        <v>297632</v>
      </c>
      <c r="L494" s="16">
        <f t="shared" si="99"/>
        <v>-273178</v>
      </c>
      <c r="M494" s="53">
        <f t="shared" si="100"/>
        <v>-0.917838135684335</v>
      </c>
    </row>
    <row r="495" spans="1:13" s="15" customFormat="1" ht="12.75" hidden="1" outlineLevel="2">
      <c r="A495" s="15" t="s">
        <v>1263</v>
      </c>
      <c r="B495" s="15" t="s">
        <v>1264</v>
      </c>
      <c r="C495" s="134" t="s">
        <v>1265</v>
      </c>
      <c r="D495" s="16"/>
      <c r="E495" s="16"/>
      <c r="F495" s="16">
        <v>6905.37</v>
      </c>
      <c r="G495" s="16">
        <v>7348.76</v>
      </c>
      <c r="H495" s="16">
        <f t="shared" si="97"/>
        <v>-443.3900000000003</v>
      </c>
      <c r="I495" s="53">
        <f t="shared" si="98"/>
        <v>-0.06033534909290823</v>
      </c>
      <c r="J495" s="174"/>
      <c r="K495" s="257">
        <v>0</v>
      </c>
      <c r="L495" s="16">
        <f t="shared" si="99"/>
        <v>6905.37</v>
      </c>
      <c r="M495" s="53" t="str">
        <f t="shared" si="100"/>
        <v>N.M.</v>
      </c>
    </row>
    <row r="496" spans="1:13" s="15" customFormat="1" ht="12.75" hidden="1" outlineLevel="2">
      <c r="A496" s="15" t="s">
        <v>1266</v>
      </c>
      <c r="B496" s="15" t="s">
        <v>1267</v>
      </c>
      <c r="C496" s="134" t="s">
        <v>1268</v>
      </c>
      <c r="D496" s="16"/>
      <c r="E496" s="16"/>
      <c r="F496" s="16">
        <v>-4321309</v>
      </c>
      <c r="G496" s="16">
        <v>-3351824</v>
      </c>
      <c r="H496" s="16">
        <f t="shared" si="97"/>
        <v>-969485</v>
      </c>
      <c r="I496" s="53">
        <f t="shared" si="98"/>
        <v>-0.28924102220164305</v>
      </c>
      <c r="J496" s="174"/>
      <c r="K496" s="257">
        <v>-2310049</v>
      </c>
      <c r="L496" s="16">
        <f t="shared" si="99"/>
        <v>-2011260</v>
      </c>
      <c r="M496" s="53">
        <f t="shared" si="100"/>
        <v>-0.8706568561965569</v>
      </c>
    </row>
    <row r="497" spans="1:13" s="15" customFormat="1" ht="12.75" hidden="1" outlineLevel="2">
      <c r="A497" s="15" t="s">
        <v>1269</v>
      </c>
      <c r="B497" s="15" t="s">
        <v>1270</v>
      </c>
      <c r="C497" s="134" t="s">
        <v>1271</v>
      </c>
      <c r="D497" s="16"/>
      <c r="E497" s="16"/>
      <c r="F497" s="16">
        <v>40523</v>
      </c>
      <c r="G497" s="16">
        <v>200833</v>
      </c>
      <c r="H497" s="16">
        <f t="shared" si="97"/>
        <v>-160310</v>
      </c>
      <c r="I497" s="53">
        <f t="shared" si="98"/>
        <v>-0.7982253912454627</v>
      </c>
      <c r="J497" s="174"/>
      <c r="K497" s="257">
        <v>16187</v>
      </c>
      <c r="L497" s="16">
        <f t="shared" si="99"/>
        <v>24336</v>
      </c>
      <c r="M497" s="53">
        <f t="shared" si="100"/>
        <v>1.503428677333663</v>
      </c>
    </row>
    <row r="498" spans="1:13" ht="12.75" collapsed="1">
      <c r="A498" s="11" t="s">
        <v>296</v>
      </c>
      <c r="C498" s="128" t="s">
        <v>221</v>
      </c>
      <c r="E498" s="11"/>
      <c r="F498" s="18">
        <v>3376117.51</v>
      </c>
      <c r="G498" s="18">
        <v>4788503.89</v>
      </c>
      <c r="H498" s="51">
        <f t="shared" si="97"/>
        <v>-1412386.38</v>
      </c>
      <c r="I498" s="136">
        <f t="shared" si="98"/>
        <v>-0.29495358309085556</v>
      </c>
      <c r="J498" s="166"/>
      <c r="K498" s="18">
        <v>4101373.01</v>
      </c>
      <c r="L498" s="51">
        <f t="shared" si="99"/>
        <v>-725255.5</v>
      </c>
      <c r="M498" s="136">
        <f t="shared" si="100"/>
        <v>-0.17683236765631324</v>
      </c>
    </row>
    <row r="499" spans="3:13" ht="0.75" customHeight="1" hidden="1" outlineLevel="1">
      <c r="C499" s="128"/>
      <c r="E499" s="11"/>
      <c r="H499" s="51"/>
      <c r="I499" s="136"/>
      <c r="J499" s="166"/>
      <c r="K499" s="18"/>
      <c r="L499" s="51"/>
      <c r="M499" s="136"/>
    </row>
    <row r="500" spans="1:13" s="15" customFormat="1" ht="12.75" hidden="1" outlineLevel="2">
      <c r="A500" s="15" t="s">
        <v>1272</v>
      </c>
      <c r="B500" s="15" t="s">
        <v>1273</v>
      </c>
      <c r="C500" s="134" t="s">
        <v>1274</v>
      </c>
      <c r="D500" s="16"/>
      <c r="E500" s="16"/>
      <c r="F500" s="16">
        <v>50431.270000000004</v>
      </c>
      <c r="G500" s="16">
        <v>59441.61</v>
      </c>
      <c r="H500" s="16">
        <f>+F500-G500</f>
        <v>-9010.339999999997</v>
      </c>
      <c r="I500" s="53">
        <f>IF(G500&lt;0,IF(H500=0,0,IF(OR(G500=0,F500=0),"N.M.",IF(ABS(H500/G500)&gt;=10,"N.M.",H500/(-G500)))),IF(H500=0,0,IF(OR(G500=0,F500=0),"N.M.",IF(ABS(H500/G500)&gt;=10,"N.M.",H500/G500))))</f>
        <v>-0.15158304090350172</v>
      </c>
      <c r="J500" s="174"/>
      <c r="K500" s="257">
        <v>55422.520000000004</v>
      </c>
      <c r="L500" s="16">
        <f>+F500-K500</f>
        <v>-4991.25</v>
      </c>
      <c r="M500" s="53">
        <f>IF(K500&lt;0,IF(L500=0,0,IF(OR(K500=0,F500=0),"N.M.",IF(ABS(L500/K500)&gt;=10,"N.M.",L500/(-K500)))),IF(L500=0,0,IF(OR(K500=0,F500=0),"N.M.",IF(ABS(L500/K500)&gt;=10,"N.M.",L500/K500))))</f>
        <v>-0.09005815686475462</v>
      </c>
    </row>
    <row r="501" spans="1:13" ht="12.75" collapsed="1">
      <c r="A501" s="11" t="s">
        <v>297</v>
      </c>
      <c r="C501" s="128" t="s">
        <v>222</v>
      </c>
      <c r="E501" s="11"/>
      <c r="F501" s="18">
        <v>50431.270000000004</v>
      </c>
      <c r="G501" s="18">
        <v>59441.61</v>
      </c>
      <c r="H501" s="51">
        <f>+F501-G501</f>
        <v>-9010.339999999997</v>
      </c>
      <c r="I501" s="136">
        <f>IF(G501&lt;0,IF(H501=0,0,IF(OR(G501=0,F501=0),"N.M.",IF(ABS(H501/G501)&gt;=10,"N.M.",H501/(-G501)))),IF(H501=0,0,IF(OR(G501=0,F501=0),"N.M.",IF(ABS(H501/G501)&gt;=10,"N.M.",H501/G501))))</f>
        <v>-0.15158304090350172</v>
      </c>
      <c r="J501" s="166"/>
      <c r="K501" s="18">
        <v>55422.520000000004</v>
      </c>
      <c r="L501" s="51">
        <f>+F501-K501</f>
        <v>-4991.25</v>
      </c>
      <c r="M501" s="136">
        <f>IF(K501&lt;0,IF(L501=0,0,IF(OR(K501=0,F501=0),"N.M.",IF(ABS(L501/K501)&gt;=10,"N.M.",L501/(-K501)))),IF(L501=0,0,IF(OR(K501=0,F501=0),"N.M.",IF(ABS(L501/K501)&gt;=10,"N.M.",L501/K501))))</f>
        <v>-0.09005815686475462</v>
      </c>
    </row>
    <row r="502" spans="3:13" ht="0.75" customHeight="1" hidden="1" outlineLevel="1">
      <c r="C502" s="128"/>
      <c r="E502" s="11"/>
      <c r="H502" s="51"/>
      <c r="I502" s="136"/>
      <c r="J502" s="166"/>
      <c r="K502" s="18"/>
      <c r="L502" s="51"/>
      <c r="M502" s="136"/>
    </row>
    <row r="503" spans="1:13" ht="12.75" collapsed="1">
      <c r="A503" s="11" t="s">
        <v>298</v>
      </c>
      <c r="C503" s="128" t="s">
        <v>223</v>
      </c>
      <c r="E503" s="11"/>
      <c r="F503" s="18">
        <v>0</v>
      </c>
      <c r="G503" s="18">
        <v>0</v>
      </c>
      <c r="H503" s="51">
        <f>+F503-G503</f>
        <v>0</v>
      </c>
      <c r="I503" s="136">
        <f>IF(G503&lt;0,IF(H503=0,0,IF(OR(G503=0,F503=0),"N.M.",IF(ABS(H503/G503)&gt;=10,"N.M.",H503/(-G503)))),IF(H503=0,0,IF(OR(G503=0,F503=0),"N.M.",IF(ABS(H503/G503)&gt;=10,"N.M.",H503/G503))))</f>
        <v>0</v>
      </c>
      <c r="J503" s="166"/>
      <c r="K503" s="18">
        <v>0</v>
      </c>
      <c r="L503" s="51">
        <f>+F503-K503</f>
        <v>0</v>
      </c>
      <c r="M503" s="136">
        <f>IF(K503&lt;0,IF(L503=0,0,IF(OR(K503=0,F503=0),"N.M.",IF(ABS(L503/K503)&gt;=10,"N.M.",L503/(-K503)))),IF(L503=0,0,IF(OR(K503=0,F503=0),"N.M.",IF(ABS(L503/K503)&gt;=10,"N.M.",L503/K503))))</f>
        <v>0</v>
      </c>
    </row>
    <row r="504" spans="3:13" ht="0.75" customHeight="1" hidden="1" outlineLevel="1">
      <c r="C504" s="128"/>
      <c r="E504" s="11"/>
      <c r="H504" s="51"/>
      <c r="I504" s="136"/>
      <c r="J504" s="166"/>
      <c r="K504" s="18"/>
      <c r="L504" s="51"/>
      <c r="M504" s="136"/>
    </row>
    <row r="505" spans="1:13" ht="12.75" collapsed="1">
      <c r="A505" s="11" t="s">
        <v>299</v>
      </c>
      <c r="C505" s="128" t="s">
        <v>224</v>
      </c>
      <c r="E505" s="11"/>
      <c r="F505" s="18">
        <v>0</v>
      </c>
      <c r="G505" s="18">
        <v>0</v>
      </c>
      <c r="H505" s="51">
        <f>+F505-G505</f>
        <v>0</v>
      </c>
      <c r="I505" s="136">
        <f>IF(G505&lt;0,IF(H505=0,0,IF(OR(G505=0,F505=0),"N.M.",IF(ABS(H505/G505)&gt;=10,"N.M.",H505/(-G505)))),IF(H505=0,0,IF(OR(G505=0,F505=0),"N.M.",IF(ABS(H505/G505)&gt;=10,"N.M.",H505/G505))))</f>
        <v>0</v>
      </c>
      <c r="J505" s="166"/>
      <c r="K505" s="18">
        <v>0</v>
      </c>
      <c r="L505" s="51">
        <f>+F505-K505</f>
        <v>0</v>
      </c>
      <c r="M505" s="136">
        <f>IF(K505&lt;0,IF(L505=0,0,IF(OR(K505=0,F505=0),"N.M.",IF(ABS(L505/K505)&gt;=10,"N.M.",L505/(-K505)))),IF(L505=0,0,IF(OR(K505=0,F505=0),"N.M.",IF(ABS(L505/K505)&gt;=10,"N.M.",L505/K505))))</f>
        <v>0</v>
      </c>
    </row>
    <row r="506" spans="3:13" ht="0.75" customHeight="1" hidden="1" outlineLevel="1">
      <c r="C506" s="128"/>
      <c r="E506" s="11"/>
      <c r="H506" s="51"/>
      <c r="I506" s="136"/>
      <c r="J506" s="166"/>
      <c r="K506" s="18"/>
      <c r="L506" s="51"/>
      <c r="M506" s="136"/>
    </row>
    <row r="507" spans="1:13" s="15" customFormat="1" ht="12.75" hidden="1" outlineLevel="2">
      <c r="A507" s="15" t="s">
        <v>1275</v>
      </c>
      <c r="B507" s="15" t="s">
        <v>1276</v>
      </c>
      <c r="C507" s="134" t="s">
        <v>225</v>
      </c>
      <c r="D507" s="16"/>
      <c r="E507" s="16"/>
      <c r="F507" s="16">
        <v>295032.14</v>
      </c>
      <c r="G507" s="16">
        <v>292995.3</v>
      </c>
      <c r="H507" s="16">
        <f aca="true" t="shared" si="101" ref="H507:H517">+F507-G507</f>
        <v>2036.8400000000256</v>
      </c>
      <c r="I507" s="53">
        <f aca="true" t="shared" si="102" ref="I507:I517">IF(G507&lt;0,IF(H507=0,0,IF(OR(G507=0,F507=0),"N.M.",IF(ABS(H507/G507)&gt;=10,"N.M.",H507/(-G507)))),IF(H507=0,0,IF(OR(G507=0,F507=0),"N.M.",IF(ABS(H507/G507)&gt;=10,"N.M.",H507/G507))))</f>
        <v>0.006951783868205482</v>
      </c>
      <c r="J507" s="174"/>
      <c r="K507" s="257">
        <v>295032.14</v>
      </c>
      <c r="L507" s="16">
        <f aca="true" t="shared" si="103" ref="L507:L517">+F507-K507</f>
        <v>0</v>
      </c>
      <c r="M507" s="53">
        <f aca="true" t="shared" si="104" ref="M507:M517">IF(K507&lt;0,IF(L507=0,0,IF(OR(K507=0,F507=0),"N.M.",IF(ABS(L507/K507)&gt;=10,"N.M.",L507/(-K507)))),IF(L507=0,0,IF(OR(K507=0,F507=0),"N.M.",IF(ABS(L507/K507)&gt;=10,"N.M.",L507/K507))))</f>
        <v>0</v>
      </c>
    </row>
    <row r="508" spans="1:13" s="15" customFormat="1" ht="12.75" hidden="1" outlineLevel="2">
      <c r="A508" s="15" t="s">
        <v>1277</v>
      </c>
      <c r="B508" s="15" t="s">
        <v>1278</v>
      </c>
      <c r="C508" s="134" t="s">
        <v>1279</v>
      </c>
      <c r="D508" s="16"/>
      <c r="E508" s="16"/>
      <c r="F508" s="16">
        <v>854587.9</v>
      </c>
      <c r="G508" s="16">
        <v>1072926.02</v>
      </c>
      <c r="H508" s="16">
        <f t="shared" si="101"/>
        <v>-218338.12</v>
      </c>
      <c r="I508" s="53">
        <f t="shared" si="102"/>
        <v>-0.20349783296335752</v>
      </c>
      <c r="J508" s="174"/>
      <c r="K508" s="257">
        <v>1816076.08</v>
      </c>
      <c r="L508" s="16">
        <f t="shared" si="103"/>
        <v>-961488.18</v>
      </c>
      <c r="M508" s="53">
        <f t="shared" si="104"/>
        <v>-0.5294316634576234</v>
      </c>
    </row>
    <row r="509" spans="1:13" s="15" customFormat="1" ht="12.75" hidden="1" outlineLevel="2">
      <c r="A509" s="15" t="s">
        <v>1280</v>
      </c>
      <c r="B509" s="15" t="s">
        <v>1281</v>
      </c>
      <c r="C509" s="134" t="s">
        <v>1282</v>
      </c>
      <c r="D509" s="16"/>
      <c r="E509" s="16"/>
      <c r="F509" s="16">
        <v>106240.69</v>
      </c>
      <c r="G509" s="16">
        <v>196206.11000000002</v>
      </c>
      <c r="H509" s="16">
        <f t="shared" si="101"/>
        <v>-89965.42000000001</v>
      </c>
      <c r="I509" s="53">
        <f t="shared" si="102"/>
        <v>-0.458525068357963</v>
      </c>
      <c r="J509" s="174"/>
      <c r="K509" s="257">
        <v>49051.520000000004</v>
      </c>
      <c r="L509" s="16">
        <f t="shared" si="103"/>
        <v>57189.17</v>
      </c>
      <c r="M509" s="53">
        <f t="shared" si="104"/>
        <v>1.1659000577352139</v>
      </c>
    </row>
    <row r="510" spans="1:13" s="15" customFormat="1" ht="12.75" hidden="1" outlineLevel="2">
      <c r="A510" s="15" t="s">
        <v>1283</v>
      </c>
      <c r="B510" s="15" t="s">
        <v>1284</v>
      </c>
      <c r="C510" s="134" t="s">
        <v>1285</v>
      </c>
      <c r="D510" s="16"/>
      <c r="E510" s="16"/>
      <c r="F510" s="16">
        <v>241981.46</v>
      </c>
      <c r="G510" s="16">
        <v>234274.25</v>
      </c>
      <c r="H510" s="16">
        <f t="shared" si="101"/>
        <v>7707.209999999992</v>
      </c>
      <c r="I510" s="53">
        <f t="shared" si="102"/>
        <v>0.032898237855846266</v>
      </c>
      <c r="J510" s="174"/>
      <c r="K510" s="257">
        <v>236193.37</v>
      </c>
      <c r="L510" s="16">
        <f t="shared" si="103"/>
        <v>5788.0899999999965</v>
      </c>
      <c r="M510" s="53">
        <f t="shared" si="104"/>
        <v>0.024505725965127626</v>
      </c>
    </row>
    <row r="511" spans="1:13" s="15" customFormat="1" ht="12.75" hidden="1" outlineLevel="2">
      <c r="A511" s="15" t="s">
        <v>1286</v>
      </c>
      <c r="B511" s="15" t="s">
        <v>1287</v>
      </c>
      <c r="C511" s="134" t="s">
        <v>1288</v>
      </c>
      <c r="D511" s="16"/>
      <c r="E511" s="16"/>
      <c r="F511" s="16">
        <v>172972</v>
      </c>
      <c r="G511" s="16">
        <v>177028.21</v>
      </c>
      <c r="H511" s="16">
        <f t="shared" si="101"/>
        <v>-4056.209999999992</v>
      </c>
      <c r="I511" s="53">
        <f t="shared" si="102"/>
        <v>-0.022912788871332947</v>
      </c>
      <c r="J511" s="174"/>
      <c r="K511" s="257">
        <v>176281.21</v>
      </c>
      <c r="L511" s="16">
        <f t="shared" si="103"/>
        <v>-3309.209999999992</v>
      </c>
      <c r="M511" s="53">
        <f t="shared" si="104"/>
        <v>-0.018772335406592636</v>
      </c>
    </row>
    <row r="512" spans="1:13" s="15" customFormat="1" ht="12.75" hidden="1" outlineLevel="2">
      <c r="A512" s="15" t="s">
        <v>1289</v>
      </c>
      <c r="B512" s="15" t="s">
        <v>1290</v>
      </c>
      <c r="C512" s="134" t="s">
        <v>1291</v>
      </c>
      <c r="D512" s="16"/>
      <c r="E512" s="16"/>
      <c r="F512" s="16">
        <v>0</v>
      </c>
      <c r="G512" s="16">
        <v>72.66</v>
      </c>
      <c r="H512" s="16">
        <f t="shared" si="101"/>
        <v>-72.66</v>
      </c>
      <c r="I512" s="53" t="str">
        <f t="shared" si="102"/>
        <v>N.M.</v>
      </c>
      <c r="J512" s="174"/>
      <c r="K512" s="257">
        <v>170</v>
      </c>
      <c r="L512" s="16">
        <f t="shared" si="103"/>
        <v>-170</v>
      </c>
      <c r="M512" s="53" t="str">
        <f t="shared" si="104"/>
        <v>N.M.</v>
      </c>
    </row>
    <row r="513" spans="1:13" s="15" customFormat="1" ht="12.75" hidden="1" outlineLevel="2">
      <c r="A513" s="15" t="s">
        <v>1292</v>
      </c>
      <c r="B513" s="15" t="s">
        <v>1293</v>
      </c>
      <c r="C513" s="134" t="s">
        <v>1294</v>
      </c>
      <c r="D513" s="16"/>
      <c r="E513" s="16"/>
      <c r="F513" s="16">
        <v>3445</v>
      </c>
      <c r="G513" s="16">
        <v>16223.74</v>
      </c>
      <c r="H513" s="16">
        <f t="shared" si="101"/>
        <v>-12778.74</v>
      </c>
      <c r="I513" s="53">
        <f t="shared" si="102"/>
        <v>-0.787656853475216</v>
      </c>
      <c r="J513" s="174"/>
      <c r="K513" s="257">
        <v>30689</v>
      </c>
      <c r="L513" s="16">
        <f t="shared" si="103"/>
        <v>-27244</v>
      </c>
      <c r="M513" s="53">
        <f t="shared" si="104"/>
        <v>-0.8877447945517938</v>
      </c>
    </row>
    <row r="514" spans="1:13" s="15" customFormat="1" ht="12.75" hidden="1" outlineLevel="2">
      <c r="A514" s="15" t="s">
        <v>1295</v>
      </c>
      <c r="B514" s="15" t="s">
        <v>1296</v>
      </c>
      <c r="C514" s="134" t="s">
        <v>1297</v>
      </c>
      <c r="D514" s="16"/>
      <c r="E514" s="16"/>
      <c r="F514" s="16">
        <v>468849.52</v>
      </c>
      <c r="G514" s="16">
        <v>977760</v>
      </c>
      <c r="H514" s="16">
        <f t="shared" si="101"/>
        <v>-508910.48</v>
      </c>
      <c r="I514" s="53">
        <f t="shared" si="102"/>
        <v>-0.5204860906561938</v>
      </c>
      <c r="J514" s="174"/>
      <c r="K514" s="257">
        <v>651840</v>
      </c>
      <c r="L514" s="16">
        <f t="shared" si="103"/>
        <v>-182990.47999999998</v>
      </c>
      <c r="M514" s="53">
        <f t="shared" si="104"/>
        <v>-0.2807291359842906</v>
      </c>
    </row>
    <row r="515" spans="1:13" s="15" customFormat="1" ht="12.75" hidden="1" outlineLevel="2">
      <c r="A515" s="15" t="s">
        <v>1298</v>
      </c>
      <c r="B515" s="15" t="s">
        <v>1299</v>
      </c>
      <c r="C515" s="134" t="s">
        <v>1300</v>
      </c>
      <c r="D515" s="16"/>
      <c r="E515" s="16"/>
      <c r="F515" s="16">
        <v>1425492.6</v>
      </c>
      <c r="G515" s="16">
        <v>1627155.6</v>
      </c>
      <c r="H515" s="16">
        <f t="shared" si="101"/>
        <v>-201663</v>
      </c>
      <c r="I515" s="53">
        <f t="shared" si="102"/>
        <v>-0.12393590385578367</v>
      </c>
      <c r="J515" s="174"/>
      <c r="K515" s="257">
        <v>1425492.6</v>
      </c>
      <c r="L515" s="16">
        <f t="shared" si="103"/>
        <v>0</v>
      </c>
      <c r="M515" s="53">
        <f t="shared" si="104"/>
        <v>0</v>
      </c>
    </row>
    <row r="516" spans="1:13" s="15" customFormat="1" ht="12.75" hidden="1" outlineLevel="2">
      <c r="A516" s="15" t="s">
        <v>1301</v>
      </c>
      <c r="B516" s="15" t="s">
        <v>1302</v>
      </c>
      <c r="C516" s="134" t="s">
        <v>1303</v>
      </c>
      <c r="D516" s="16"/>
      <c r="E516" s="16"/>
      <c r="F516" s="16">
        <v>147229.97</v>
      </c>
      <c r="G516" s="16">
        <v>160785.77</v>
      </c>
      <c r="H516" s="16">
        <f t="shared" si="101"/>
        <v>-13555.799999999988</v>
      </c>
      <c r="I516" s="53">
        <f t="shared" si="102"/>
        <v>-0.08430969979495069</v>
      </c>
      <c r="J516" s="174"/>
      <c r="K516" s="257">
        <v>157396.82</v>
      </c>
      <c r="L516" s="16">
        <f t="shared" si="103"/>
        <v>-10166.850000000006</v>
      </c>
      <c r="M516" s="53">
        <f t="shared" si="104"/>
        <v>-0.06459374465125792</v>
      </c>
    </row>
    <row r="517" spans="1:13" s="15" customFormat="1" ht="12.75" hidden="1" outlineLevel="2">
      <c r="A517" s="15" t="s">
        <v>1304</v>
      </c>
      <c r="B517" s="15" t="s">
        <v>1305</v>
      </c>
      <c r="C517" s="134" t="s">
        <v>1306</v>
      </c>
      <c r="D517" s="16"/>
      <c r="E517" s="16"/>
      <c r="F517" s="16">
        <v>333340</v>
      </c>
      <c r="G517" s="16">
        <v>333340</v>
      </c>
      <c r="H517" s="16">
        <f t="shared" si="101"/>
        <v>0</v>
      </c>
      <c r="I517" s="53">
        <f t="shared" si="102"/>
        <v>0</v>
      </c>
      <c r="J517" s="174"/>
      <c r="K517" s="257">
        <v>333340</v>
      </c>
      <c r="L517" s="16">
        <f t="shared" si="103"/>
        <v>0</v>
      </c>
      <c r="M517" s="53">
        <f t="shared" si="104"/>
        <v>0</v>
      </c>
    </row>
    <row r="518" spans="1:13" ht="12.75" collapsed="1">
      <c r="A518" s="11" t="s">
        <v>300</v>
      </c>
      <c r="C518" s="129" t="s">
        <v>225</v>
      </c>
      <c r="E518" s="11"/>
      <c r="F518" s="236">
        <v>4049171.2800000003</v>
      </c>
      <c r="G518" s="236">
        <v>5088767.66</v>
      </c>
      <c r="H518" s="197">
        <f>+F518-G518</f>
        <v>-1039596.3799999999</v>
      </c>
      <c r="I518" s="138">
        <f>IF(G518&lt;0,IF(H518=0,0,IF(OR(G518=0,F518=0),"N.M.",IF(ABS(H518/G518)&gt;=10,"N.M.",H518/(-G518)))),IF(H518=0,0,IF(OR(G518=0,F518=0),"N.M.",IF(ABS(H518/G518)&gt;=10,"N.M.",H518/G518))))</f>
        <v>-0.2042923649613038</v>
      </c>
      <c r="J518" s="166"/>
      <c r="K518" s="236">
        <v>5171562.74</v>
      </c>
      <c r="L518" s="197">
        <f>+F518-K518</f>
        <v>-1122391.46</v>
      </c>
      <c r="M518" s="138">
        <f>IF(K518&lt;0,IF(L518=0,0,IF(OR(K518=0,F518=0),"N.M.",IF(ABS(L518/K518)&gt;=10,"N.M.",L518/(-K518)))),IF(L518=0,0,IF(OR(K518=0,F518=0),"N.M.",IF(ABS(L518/K518)&gt;=10,"N.M.",L518/K518))))</f>
        <v>-0.21703139194633456</v>
      </c>
    </row>
    <row r="519" spans="1:13" s="13" customFormat="1" ht="12.75">
      <c r="A519" s="13" t="s">
        <v>301</v>
      </c>
      <c r="C519" s="130" t="s">
        <v>226</v>
      </c>
      <c r="D519" s="33"/>
      <c r="F519" s="237">
        <v>7475720.06</v>
      </c>
      <c r="G519" s="237">
        <v>9936713.16</v>
      </c>
      <c r="H519" s="246">
        <f>+F519-G519</f>
        <v>-2460993.1000000006</v>
      </c>
      <c r="I519" s="145">
        <f>IF(G519&lt;0,IF(H519=0,0,IF(OR(G519=0,F519=0),"N.M.",IF(ABS(H519/G519)&gt;=10,"N.M.",H519/(-G519)))),IF(H519=0,0,IF(OR(G519=0,F519=0),"N.M.",IF(ABS(H519/G519)&gt;=10,"N.M.",H519/G519))))</f>
        <v>-0.2476667143725824</v>
      </c>
      <c r="J519" s="168"/>
      <c r="K519" s="237">
        <v>9328358.27</v>
      </c>
      <c r="L519" s="246">
        <f>+F519-K519</f>
        <v>-1852638.21</v>
      </c>
      <c r="M519" s="145">
        <f>IF(K519&lt;0,IF(L519=0,0,IF(OR(K519=0,F519=0),"N.M.",IF(ABS(L519/K519)&gt;=10,"N.M.",L519/(-K519)))),IF(L519=0,0,IF(OR(K519=0,F519=0),"N.M.",IF(ABS(L519/K519)&gt;=10,"N.M.",L519/K519))))</f>
        <v>-0.19860281481234318</v>
      </c>
    </row>
    <row r="520" spans="1:13" s="107" customFormat="1" ht="12" customHeight="1">
      <c r="A520" s="107" t="s">
        <v>302</v>
      </c>
      <c r="C520" s="119" t="s">
        <v>228</v>
      </c>
      <c r="D520" s="108"/>
      <c r="F520" s="108">
        <v>363720869.84</v>
      </c>
      <c r="G520" s="108">
        <v>361769647.08000004</v>
      </c>
      <c r="H520" s="51">
        <f>+F520-G520</f>
        <v>1951222.7599999309</v>
      </c>
      <c r="I520" s="136">
        <f>IF(G520&lt;0,IF(H520=0,0,IF(OR(G520=0,F520=0),"N.M.",IF(ABS(H520/G520)&gt;=10,"N.M.",H520/(-G520)))),IF(H520=0,0,IF(OR(G520=0,F520=0),"N.M.",IF(ABS(H520/G520)&gt;=10,"N.M.",H520/G520))))</f>
        <v>0.0053935502211119625</v>
      </c>
      <c r="J520" s="171"/>
      <c r="K520" s="108">
        <v>367921127.76</v>
      </c>
      <c r="L520" s="51">
        <f>+F520-K520</f>
        <v>-4200257.920000017</v>
      </c>
      <c r="M520" s="136">
        <f>IF(K520&lt;0,IF(L520=0,0,IF(OR(K520=0,F520=0),"N.M.",IF(ABS(L520/K520)&gt;=10,"N.M.",L520/(-K520)))),IF(L520=0,0,IF(OR(K520=0,F520=0),"N.M.",IF(ABS(L520/K520)&gt;=10,"N.M.",L520/K520))))</f>
        <v>-0.011416191142847068</v>
      </c>
    </row>
    <row r="521" spans="3:13" ht="12" customHeight="1">
      <c r="C521" s="127"/>
      <c r="D521" s="106"/>
      <c r="E521" s="104"/>
      <c r="F521" s="234" t="str">
        <f>IF(ABS(+F472+F475+F490+F498+F501+F503+F505+F518-F520)&gt;$C$573,$N$183," ")</f>
        <v> </v>
      </c>
      <c r="G521" s="234" t="str">
        <f>IF(ABS(+G472+G475+G490+G498+G501+G503+G505+G518-G520)&gt;$C$573,$N$183," ")</f>
        <v> </v>
      </c>
      <c r="H521" s="234" t="str">
        <f>IF(ABS(+H472+H475+H490+H498+H501+H503+H505+H518-H520)&gt;$C$573,$N$183," ")</f>
        <v> </v>
      </c>
      <c r="I521" s="141"/>
      <c r="J521" s="166"/>
      <c r="K521" s="234" t="str">
        <f>IF(ABS(+K472+K475+K490+K498+K501+K503+K505+K518-K520)&gt;$C$573,$N$183," ")</f>
        <v> </v>
      </c>
      <c r="L521" s="234" t="str">
        <f>IF(ABS(+L472+L475+L490+L498+L501+L503+L505+L518-L520)&gt;$C$573,$N$183," ")</f>
        <v> </v>
      </c>
      <c r="M521" s="141"/>
    </row>
    <row r="522" spans="1:13" s="107" customFormat="1" ht="13.5" thickBot="1">
      <c r="A522" s="107" t="s">
        <v>303</v>
      </c>
      <c r="C522" s="116" t="s">
        <v>229</v>
      </c>
      <c r="D522" s="108"/>
      <c r="F522" s="238">
        <v>1493661052.7710006</v>
      </c>
      <c r="G522" s="238">
        <v>1494583512.4380007</v>
      </c>
      <c r="H522" s="247">
        <f>+F522-G522</f>
        <v>-922459.6670000553</v>
      </c>
      <c r="I522" s="146">
        <f>IF(G522&lt;0,IF(H522=0,0,IF(OR(G522=0,F522=0),"N.M.",IF(ABS(H522/G522)&gt;=10,"N.M.",H522/(-G522)))),IF(H522=0,0,IF(OR(G522=0,F522=0),"N.M.",IF(ABS(H522/G522)&gt;=10,"N.M.",H522/G522))))</f>
        <v>-0.0006172018219947555</v>
      </c>
      <c r="J522" s="171"/>
      <c r="K522" s="238">
        <v>1504334100.6950006</v>
      </c>
      <c r="L522" s="247">
        <f>+F522-K522</f>
        <v>-10673047.924000025</v>
      </c>
      <c r="M522" s="146">
        <f>IF(K522&lt;0,IF(L522=0,0,IF(OR(K522=0,F522=0),"N.M.",IF(ABS(L522/K522)&gt;=10,"N.M.",L522/(-K522)))),IF(L522=0,0,IF(OR(K522=0,F522=0),"N.M.",IF(ABS(L522/K522)&gt;=10,"N.M.",L522/K522))))</f>
        <v>-0.007094865375363816</v>
      </c>
    </row>
    <row r="523" spans="4:13" ht="12" customHeight="1" thickTop="1">
      <c r="D523" s="106"/>
      <c r="E523" s="107"/>
      <c r="F523" s="234" t="str">
        <f>IF(ABS(+F272+F295+F459+F520-F522)&gt;$C$573,$N$183," ")</f>
        <v> </v>
      </c>
      <c r="G523" s="234" t="str">
        <f>IF(ABS(+G272+G295+G459+G520-G522)&gt;$C$573,$N$183," ")</f>
        <v> </v>
      </c>
      <c r="H523" s="234" t="str">
        <f>IF(ABS(+H272+H295+H459+H520-H522)&gt;$C$573,$N$183," ")</f>
        <v> </v>
      </c>
      <c r="I523" s="141"/>
      <c r="J523" s="175"/>
      <c r="K523" s="234" t="str">
        <f>IF(ABS(+K272+K295+K459+K520-K522)&gt;$C$573,$N$183," ")</f>
        <v> </v>
      </c>
      <c r="L523" s="234" t="str">
        <f>IF(ABS(+L272+L295+L459+L520-L522)&gt;$C$573,$N$183," ")</f>
        <v> </v>
      </c>
      <c r="M523" s="141"/>
    </row>
    <row r="524" spans="4:13" ht="12" customHeight="1">
      <c r="D524" s="106"/>
      <c r="E524" s="107"/>
      <c r="F524" s="234"/>
      <c r="G524" s="234"/>
      <c r="H524" s="234"/>
      <c r="I524" s="141"/>
      <c r="J524" s="175"/>
      <c r="K524" s="234"/>
      <c r="L524" s="234"/>
      <c r="M524" s="141"/>
    </row>
    <row r="525" spans="3:13" s="63" customFormat="1" ht="12.75">
      <c r="C525" s="62" t="s">
        <v>313</v>
      </c>
      <c r="D525" s="64"/>
      <c r="E525" s="64"/>
      <c r="F525" s="232"/>
      <c r="G525" s="232"/>
      <c r="H525" s="245"/>
      <c r="I525" s="65"/>
      <c r="J525" s="158"/>
      <c r="K525" s="232"/>
      <c r="L525" s="245"/>
      <c r="M525" s="65"/>
    </row>
    <row r="526" spans="4:13" ht="12" customHeight="1">
      <c r="D526" s="106"/>
      <c r="E526" s="107"/>
      <c r="F526" s="234"/>
      <c r="G526" s="234"/>
      <c r="H526" s="234"/>
      <c r="I526" s="141"/>
      <c r="J526" s="175"/>
      <c r="K526" s="234"/>
      <c r="L526" s="234"/>
      <c r="M526" s="141"/>
    </row>
    <row r="527" spans="1:13" ht="12" customHeight="1">
      <c r="A527" s="11" t="s">
        <v>348</v>
      </c>
      <c r="B527" s="178"/>
      <c r="C527" s="13" t="s">
        <v>304</v>
      </c>
      <c r="D527" s="11"/>
      <c r="E527" s="179"/>
      <c r="F527" s="179">
        <v>143184638.96199968</v>
      </c>
      <c r="G527" s="179">
        <v>138749088.787</v>
      </c>
      <c r="H527" s="248">
        <f>+F527-G527</f>
        <v>4435550.174999684</v>
      </c>
      <c r="I527" s="141"/>
      <c r="J527" s="175"/>
      <c r="K527" s="179">
        <v>138749088.787</v>
      </c>
      <c r="L527" s="248">
        <f>+F527-K527</f>
        <v>4435550.174999684</v>
      </c>
      <c r="M527" s="141"/>
    </row>
    <row r="528" spans="1:13" ht="12" customHeight="1">
      <c r="A528" s="11" t="s">
        <v>327</v>
      </c>
      <c r="B528" s="178"/>
      <c r="C528" s="126" t="s">
        <v>316</v>
      </c>
      <c r="D528" s="11"/>
      <c r="E528" s="180"/>
      <c r="F528" s="18">
        <v>18391223.914999913</v>
      </c>
      <c r="G528" s="18">
        <v>16971119.350000113</v>
      </c>
      <c r="H528" s="51">
        <f>+F528-G528</f>
        <v>1420104.5649998002</v>
      </c>
      <c r="I528" s="141"/>
      <c r="J528" s="175"/>
      <c r="K528" s="18">
        <v>23935550.174999937</v>
      </c>
      <c r="L528" s="51">
        <f>+F528-K528</f>
        <v>-5544326.260000024</v>
      </c>
      <c r="M528" s="141"/>
    </row>
    <row r="529" spans="1:13" ht="12" customHeight="1">
      <c r="A529" s="107"/>
      <c r="B529" s="97"/>
      <c r="C529" s="107" t="s">
        <v>312</v>
      </c>
      <c r="D529" s="107"/>
      <c r="E529" s="179"/>
      <c r="F529" s="179">
        <f>SUM(F527:F528)</f>
        <v>161575862.8769996</v>
      </c>
      <c r="G529" s="179">
        <f>SUM(G527:G528)</f>
        <v>155720208.1370001</v>
      </c>
      <c r="H529" s="51">
        <f>+F529-G529</f>
        <v>5855654.739999473</v>
      </c>
      <c r="I529" s="141"/>
      <c r="J529" s="175"/>
      <c r="K529" s="179">
        <f>SUM(K526:K528)</f>
        <v>162684638.96199995</v>
      </c>
      <c r="L529" s="51">
        <f>+F529-K529</f>
        <v>-1108776.085000366</v>
      </c>
      <c r="M529" s="141"/>
    </row>
    <row r="530" spans="2:13" ht="12" customHeight="1">
      <c r="B530" s="178"/>
      <c r="D530" s="11"/>
      <c r="E530" s="180"/>
      <c r="H530" s="234"/>
      <c r="I530" s="141"/>
      <c r="J530" s="175"/>
      <c r="K530" s="18"/>
      <c r="L530" s="234"/>
      <c r="M530" s="141"/>
    </row>
    <row r="531" spans="2:13" ht="12" customHeight="1">
      <c r="B531" s="178"/>
      <c r="C531" s="187" t="s">
        <v>332</v>
      </c>
      <c r="D531" s="11"/>
      <c r="E531" s="180"/>
      <c r="H531" s="234"/>
      <c r="I531" s="141"/>
      <c r="J531" s="175"/>
      <c r="K531" s="18"/>
      <c r="L531" s="234"/>
      <c r="M531" s="141"/>
    </row>
    <row r="532" spans="2:13" ht="12" customHeight="1" hidden="1" outlineLevel="1">
      <c r="B532" s="178"/>
      <c r="C532" s="187"/>
      <c r="D532" s="11"/>
      <c r="E532" s="180"/>
      <c r="H532" s="249"/>
      <c r="I532" s="199"/>
      <c r="J532" s="204"/>
      <c r="K532" s="18"/>
      <c r="L532" s="249"/>
      <c r="M532" s="199"/>
    </row>
    <row r="533" spans="1:13" s="15" customFormat="1" ht="12.75" hidden="1" outlineLevel="2">
      <c r="A533" s="15" t="s">
        <v>1307</v>
      </c>
      <c r="B533" s="15" t="s">
        <v>1308</v>
      </c>
      <c r="C533" s="134" t="s">
        <v>1309</v>
      </c>
      <c r="D533" s="16"/>
      <c r="E533" s="16"/>
      <c r="F533" s="16">
        <v>-15000000</v>
      </c>
      <c r="G533" s="16">
        <v>-13500000</v>
      </c>
      <c r="H533" s="16">
        <f>+F533-G533</f>
        <v>-1500000</v>
      </c>
      <c r="I533" s="53"/>
      <c r="J533" s="174"/>
      <c r="K533" s="257">
        <v>-19500000</v>
      </c>
      <c r="L533" s="16">
        <f>+F533-K533</f>
        <v>4500000</v>
      </c>
      <c r="M533" s="53"/>
    </row>
    <row r="534" spans="1:13" ht="12" customHeight="1" collapsed="1">
      <c r="A534" s="11" t="s">
        <v>328</v>
      </c>
      <c r="B534" s="178"/>
      <c r="C534" s="202" t="s">
        <v>315</v>
      </c>
      <c r="D534" s="11"/>
      <c r="E534" s="180"/>
      <c r="F534" s="18">
        <v>-15000000</v>
      </c>
      <c r="G534" s="18">
        <v>-13500000</v>
      </c>
      <c r="H534" s="248">
        <f>+F534-G534</f>
        <v>-1500000</v>
      </c>
      <c r="I534" s="199"/>
      <c r="J534" s="200"/>
      <c r="K534" s="18">
        <v>-19500000</v>
      </c>
      <c r="L534" s="248">
        <f>+F534-K534</f>
        <v>4500000</v>
      </c>
      <c r="M534" s="199"/>
    </row>
    <row r="535" spans="2:13" ht="0.75" customHeight="1" hidden="1" outlineLevel="1">
      <c r="B535" s="178"/>
      <c r="C535" s="202"/>
      <c r="D535" s="11"/>
      <c r="E535" s="180"/>
      <c r="H535" s="248"/>
      <c r="I535" s="199"/>
      <c r="J535" s="200"/>
      <c r="K535" s="18"/>
      <c r="L535" s="248"/>
      <c r="M535" s="199"/>
    </row>
    <row r="536" spans="1:13" ht="12" customHeight="1" collapsed="1">
      <c r="A536" s="11" t="s">
        <v>329</v>
      </c>
      <c r="B536" s="178"/>
      <c r="C536" s="202" t="s">
        <v>314</v>
      </c>
      <c r="D536" s="11"/>
      <c r="E536" s="180"/>
      <c r="F536" s="180">
        <v>0</v>
      </c>
      <c r="G536" s="180">
        <v>0</v>
      </c>
      <c r="H536" s="248">
        <f>+F536-G536</f>
        <v>0</v>
      </c>
      <c r="I536" s="199"/>
      <c r="J536" s="200"/>
      <c r="K536" s="180">
        <v>0</v>
      </c>
      <c r="L536" s="248">
        <f>+F536-K536</f>
        <v>0</v>
      </c>
      <c r="M536" s="199"/>
    </row>
    <row r="537" spans="2:13" ht="3" customHeight="1" hidden="1" outlineLevel="2">
      <c r="B537" s="178"/>
      <c r="C537" s="126"/>
      <c r="D537" s="11"/>
      <c r="E537" s="180"/>
      <c r="F537" s="180"/>
      <c r="G537" s="180"/>
      <c r="H537" s="250"/>
      <c r="I537" s="199"/>
      <c r="J537" s="200"/>
      <c r="K537" s="180"/>
      <c r="L537" s="250"/>
      <c r="M537" s="199"/>
    </row>
    <row r="538" spans="1:13" ht="12" customHeight="1" collapsed="1">
      <c r="A538" s="1" t="s">
        <v>349</v>
      </c>
      <c r="B538" s="102"/>
      <c r="C538" s="203" t="s">
        <v>334</v>
      </c>
      <c r="D538" s="1"/>
      <c r="E538" s="181"/>
      <c r="F538" s="213">
        <v>0</v>
      </c>
      <c r="G538" s="213">
        <v>0</v>
      </c>
      <c r="H538" s="248">
        <f>+F538-G538</f>
        <v>0</v>
      </c>
      <c r="I538" s="199"/>
      <c r="J538" s="225"/>
      <c r="K538" s="213">
        <v>0</v>
      </c>
      <c r="L538" s="248">
        <f>+F538-K538</f>
        <v>0</v>
      </c>
      <c r="M538" s="199"/>
    </row>
    <row r="539" spans="1:13" ht="6" customHeight="1">
      <c r="A539" s="1"/>
      <c r="B539" s="102"/>
      <c r="C539" s="96"/>
      <c r="D539" s="196"/>
      <c r="E539" s="205"/>
      <c r="F539" s="214"/>
      <c r="G539" s="214"/>
      <c r="H539" s="251"/>
      <c r="I539" s="206"/>
      <c r="J539" s="132"/>
      <c r="K539" s="214"/>
      <c r="L539" s="251"/>
      <c r="M539" s="206"/>
    </row>
    <row r="540" spans="1:13" ht="12" customHeight="1">
      <c r="A540" s="217" t="s">
        <v>336</v>
      </c>
      <c r="B540" s="102"/>
      <c r="C540" s="188" t="s">
        <v>333</v>
      </c>
      <c r="D540" s="1"/>
      <c r="E540" s="182"/>
      <c r="F540" s="239">
        <f>+F538+F536+F534</f>
        <v>-15000000</v>
      </c>
      <c r="G540" s="239">
        <f>+G538+G536+G534</f>
        <v>-13500000</v>
      </c>
      <c r="H540" s="248">
        <f>+F540-G540</f>
        <v>-1500000</v>
      </c>
      <c r="I540" s="199"/>
      <c r="J540" s="204"/>
      <c r="K540" s="239">
        <f>+K538+K536+K534</f>
        <v>-19500000</v>
      </c>
      <c r="L540" s="248">
        <f>+F540-K540</f>
        <v>4500000</v>
      </c>
      <c r="M540" s="199"/>
    </row>
    <row r="541" spans="1:13" ht="12" customHeight="1">
      <c r="A541" s="1"/>
      <c r="B541" s="102"/>
      <c r="C541" s="1"/>
      <c r="D541" s="1"/>
      <c r="E541" s="181"/>
      <c r="F541" s="240"/>
      <c r="G541" s="240"/>
      <c r="H541" s="249"/>
      <c r="I541" s="199"/>
      <c r="J541" s="204"/>
      <c r="K541" s="240"/>
      <c r="L541" s="249"/>
      <c r="M541" s="199"/>
    </row>
    <row r="542" spans="1:13" ht="12" customHeight="1">
      <c r="A542" s="1" t="s">
        <v>252</v>
      </c>
      <c r="B542" s="183"/>
      <c r="C542" s="183" t="s">
        <v>305</v>
      </c>
      <c r="D542" s="32"/>
      <c r="E542" s="182"/>
      <c r="F542" s="212">
        <v>146575862.87700003</v>
      </c>
      <c r="G542" s="212">
        <v>142220208.13699982</v>
      </c>
      <c r="H542" s="248">
        <f>+F542-G542</f>
        <v>4355654.740000218</v>
      </c>
      <c r="I542" s="199"/>
      <c r="J542" s="204"/>
      <c r="K542" s="212">
        <v>143184638.96199968</v>
      </c>
      <c r="L542" s="248">
        <f>+F542-K542</f>
        <v>3391223.9150003493</v>
      </c>
      <c r="M542" s="199"/>
    </row>
    <row r="543" spans="1:13" ht="12" customHeight="1">
      <c r="A543" s="1"/>
      <c r="B543" s="102"/>
      <c r="C543" s="184"/>
      <c r="D543" s="1"/>
      <c r="E543" s="106"/>
      <c r="F543" s="106" t="str">
        <f>IF(ABS(+F529+F540-F542)&gt;$C573,$C$574," ")</f>
        <v> </v>
      </c>
      <c r="G543" s="106" t="str">
        <f>IF(ABS(+G529+G540-G542)&gt;$C573,$C$574," ")</f>
        <v> </v>
      </c>
      <c r="H543" s="106" t="str">
        <f>IF(ABS(+H529+H540-H542)&gt;$C573,$C$574," ")</f>
        <v> </v>
      </c>
      <c r="I543" s="226"/>
      <c r="J543" s="227"/>
      <c r="K543" s="106" t="str">
        <f>IF(ABS(+K529+K540-K542)&gt;$C573,$C$574," ")</f>
        <v> </v>
      </c>
      <c r="L543" s="106" t="str">
        <f>IF(ABS(+L529+L540-L542)&gt;$C573,$C$574," ")</f>
        <v> </v>
      </c>
      <c r="M543" s="226"/>
    </row>
    <row r="544" spans="1:13" ht="12" customHeight="1">
      <c r="A544" s="1"/>
      <c r="B544" s="102"/>
      <c r="C544" s="184"/>
      <c r="D544" s="1"/>
      <c r="E544" s="106"/>
      <c r="F544" s="106"/>
      <c r="G544" s="106"/>
      <c r="H544" s="249"/>
      <c r="I544" s="141"/>
      <c r="J544" s="175"/>
      <c r="K544" s="106"/>
      <c r="L544" s="249"/>
      <c r="M544" s="141"/>
    </row>
    <row r="545" spans="1:13" ht="12" customHeight="1">
      <c r="A545" s="1"/>
      <c r="B545" s="102"/>
      <c r="C545" s="184"/>
      <c r="D545" s="1"/>
      <c r="E545" s="106"/>
      <c r="F545" s="106"/>
      <c r="G545" s="106"/>
      <c r="H545" s="249"/>
      <c r="I545" s="141"/>
      <c r="J545" s="175"/>
      <c r="K545" s="106"/>
      <c r="L545" s="249"/>
      <c r="M545" s="141"/>
    </row>
    <row r="546" spans="1:13" ht="12" customHeight="1">
      <c r="A546" s="1"/>
      <c r="B546" s="102"/>
      <c r="C546" s="1"/>
      <c r="D546" s="1"/>
      <c r="E546" s="181"/>
      <c r="F546" s="34"/>
      <c r="G546" s="34"/>
      <c r="H546" s="249"/>
      <c r="I546" s="141"/>
      <c r="J546" s="175"/>
      <c r="K546" s="34"/>
      <c r="L546" s="249"/>
      <c r="M546" s="141"/>
    </row>
    <row r="547" spans="1:13" ht="12" customHeight="1">
      <c r="A547" s="1"/>
      <c r="B547" s="102"/>
      <c r="C547" s="208"/>
      <c r="D547" s="208"/>
      <c r="E547" s="209"/>
      <c r="F547" s="241"/>
      <c r="G547" s="241"/>
      <c r="H547" s="249"/>
      <c r="I547" s="141"/>
      <c r="J547" s="175"/>
      <c r="K547" s="241"/>
      <c r="L547" s="249"/>
      <c r="M547" s="141"/>
    </row>
    <row r="548" spans="1:13" ht="12" customHeight="1">
      <c r="A548" s="1"/>
      <c r="B548" s="102"/>
      <c r="C548" s="207" t="s">
        <v>322</v>
      </c>
      <c r="D548" s="1"/>
      <c r="E548" s="181"/>
      <c r="F548" s="34"/>
      <c r="G548" s="34"/>
      <c r="H548" s="249"/>
      <c r="I548" s="141"/>
      <c r="J548" s="175"/>
      <c r="K548" s="34"/>
      <c r="L548" s="249"/>
      <c r="M548" s="141"/>
    </row>
    <row r="549" spans="1:13" ht="12" customHeight="1">
      <c r="A549" s="32"/>
      <c r="B549" s="183"/>
      <c r="C549" s="32"/>
      <c r="D549" s="32"/>
      <c r="E549" s="185"/>
      <c r="F549" s="242"/>
      <c r="G549" s="242"/>
      <c r="H549" s="252"/>
      <c r="I549" s="141"/>
      <c r="J549" s="175"/>
      <c r="K549" s="242"/>
      <c r="L549" s="252"/>
      <c r="M549" s="141"/>
    </row>
    <row r="550" spans="2:13" s="1" customFormat="1" ht="12" customHeight="1">
      <c r="B550" s="193" t="s">
        <v>337</v>
      </c>
      <c r="C550" s="194" t="s">
        <v>306</v>
      </c>
      <c r="E550" s="181"/>
      <c r="F550" s="213">
        <v>0</v>
      </c>
      <c r="G550" s="213">
        <v>0</v>
      </c>
      <c r="H550" s="240">
        <f>+F550-G550</f>
        <v>0</v>
      </c>
      <c r="I550" s="131"/>
      <c r="J550" s="210"/>
      <c r="K550" s="213">
        <v>0</v>
      </c>
      <c r="L550" s="240">
        <f>+F550-K550</f>
        <v>0</v>
      </c>
      <c r="M550" s="131"/>
    </row>
    <row r="551" spans="2:13" s="1" customFormat="1" ht="12" customHeight="1">
      <c r="B551" s="193" t="s">
        <v>338</v>
      </c>
      <c r="C551" s="52" t="s">
        <v>307</v>
      </c>
      <c r="D551" s="196"/>
      <c r="E551" s="197"/>
      <c r="F551" s="214">
        <v>0</v>
      </c>
      <c r="G551" s="214">
        <v>0</v>
      </c>
      <c r="H551" s="214">
        <f>+F551-G551</f>
        <v>0</v>
      </c>
      <c r="I551" s="198"/>
      <c r="J551" s="198"/>
      <c r="K551" s="214">
        <v>0</v>
      </c>
      <c r="L551" s="214">
        <f>+F551-K551</f>
        <v>0</v>
      </c>
      <c r="M551" s="198"/>
    </row>
    <row r="552" spans="2:13" s="1" customFormat="1" ht="12" customHeight="1">
      <c r="B552" s="102"/>
      <c r="C552" s="195" t="s">
        <v>317</v>
      </c>
      <c r="E552" s="34"/>
      <c r="F552" s="240">
        <f>SUM(F550:F551)</f>
        <v>0</v>
      </c>
      <c r="G552" s="240">
        <f>SUM(G550:G551)</f>
        <v>0</v>
      </c>
      <c r="H552" s="240">
        <f>+F552-G552</f>
        <v>0</v>
      </c>
      <c r="I552" s="131"/>
      <c r="J552" s="210"/>
      <c r="K552" s="240">
        <f>SUM(K550:K551)</f>
        <v>0</v>
      </c>
      <c r="L552" s="240">
        <f>+F552-K552</f>
        <v>0</v>
      </c>
      <c r="M552" s="131"/>
    </row>
    <row r="553" spans="2:13" s="1" customFormat="1" ht="12" customHeight="1">
      <c r="B553" s="102"/>
      <c r="C553" s="195"/>
      <c r="E553" s="86"/>
      <c r="F553" s="240"/>
      <c r="G553" s="240"/>
      <c r="H553" s="240"/>
      <c r="I553" s="131"/>
      <c r="J553" s="210"/>
      <c r="K553" s="240"/>
      <c r="L553" s="240"/>
      <c r="M553" s="131"/>
    </row>
    <row r="554" spans="2:13" s="1" customFormat="1" ht="12" customHeight="1">
      <c r="B554" s="193" t="s">
        <v>340</v>
      </c>
      <c r="C554" s="194" t="s">
        <v>308</v>
      </c>
      <c r="E554" s="34"/>
      <c r="F554" s="213">
        <v>143184638.962</v>
      </c>
      <c r="G554" s="213">
        <v>138749088.787</v>
      </c>
      <c r="H554" s="213">
        <f aca="true" t="shared" si="105" ref="H554:H560">+F554-G554</f>
        <v>4435550.175000012</v>
      </c>
      <c r="I554" s="211"/>
      <c r="J554" s="219"/>
      <c r="K554" s="213">
        <v>138749088.787</v>
      </c>
      <c r="L554" s="213">
        <f aca="true" t="shared" si="106" ref="L554:L560">+F554-K554</f>
        <v>4435550.175000012</v>
      </c>
      <c r="M554" s="211"/>
    </row>
    <row r="555" spans="2:13" s="1" customFormat="1" ht="12" customHeight="1">
      <c r="B555" s="193" t="s">
        <v>339</v>
      </c>
      <c r="C555" s="194" t="s">
        <v>309</v>
      </c>
      <c r="E555" s="34"/>
      <c r="F555" s="213">
        <v>0</v>
      </c>
      <c r="G555" s="213">
        <v>0</v>
      </c>
      <c r="H555" s="213">
        <f t="shared" si="105"/>
        <v>0</v>
      </c>
      <c r="I555" s="211"/>
      <c r="J555" s="219"/>
      <c r="K555" s="213">
        <v>0</v>
      </c>
      <c r="L555" s="213">
        <f t="shared" si="106"/>
        <v>0</v>
      </c>
      <c r="M555" s="211"/>
    </row>
    <row r="556" spans="2:13" s="1" customFormat="1" ht="1.5" customHeight="1" hidden="1" outlineLevel="1">
      <c r="B556" s="193"/>
      <c r="C556" s="194"/>
      <c r="E556" s="34"/>
      <c r="F556" s="213"/>
      <c r="G556" s="213"/>
      <c r="H556" s="213"/>
      <c r="I556" s="211"/>
      <c r="J556" s="219"/>
      <c r="K556" s="213"/>
      <c r="L556" s="213"/>
      <c r="M556" s="211"/>
    </row>
    <row r="557" spans="2:13" s="1" customFormat="1" ht="12" customHeight="1" hidden="1" outlineLevel="1">
      <c r="B557" s="193"/>
      <c r="C557" s="218" t="s">
        <v>342</v>
      </c>
      <c r="E557" s="34"/>
      <c r="F557" s="213">
        <v>3391223.914999923</v>
      </c>
      <c r="G557" s="213">
        <v>3471119.350000156</v>
      </c>
      <c r="H557" s="213">
        <f t="shared" si="105"/>
        <v>-79895.43500023289</v>
      </c>
      <c r="I557" s="211"/>
      <c r="J557" s="219"/>
      <c r="K557" s="213">
        <v>4435550.174999886</v>
      </c>
      <c r="L557" s="213">
        <f t="shared" si="106"/>
        <v>-1044326.259999963</v>
      </c>
      <c r="M557" s="211"/>
    </row>
    <row r="558" spans="2:13" s="1" customFormat="1" ht="12" customHeight="1" hidden="1" outlineLevel="1">
      <c r="B558" s="193"/>
      <c r="C558" s="218" t="s">
        <v>341</v>
      </c>
      <c r="E558" s="34"/>
      <c r="F558" s="243">
        <v>0</v>
      </c>
      <c r="G558" s="243">
        <v>0</v>
      </c>
      <c r="H558" s="243">
        <f t="shared" si="105"/>
        <v>0</v>
      </c>
      <c r="I558" s="220"/>
      <c r="J558" s="220"/>
      <c r="K558" s="243">
        <v>0</v>
      </c>
      <c r="L558" s="243">
        <f t="shared" si="106"/>
        <v>0</v>
      </c>
      <c r="M558" s="220"/>
    </row>
    <row r="559" spans="2:13" s="1" customFormat="1" ht="12" customHeight="1" collapsed="1">
      <c r="B559" s="102"/>
      <c r="C559" s="52" t="s">
        <v>310</v>
      </c>
      <c r="D559" s="196"/>
      <c r="E559" s="197"/>
      <c r="F559" s="243">
        <f>+F557-F558</f>
        <v>3391223.914999923</v>
      </c>
      <c r="G559" s="243">
        <f>+G557-G558</f>
        <v>3471119.350000156</v>
      </c>
      <c r="H559" s="243">
        <f t="shared" si="105"/>
        <v>-79895.43500023289</v>
      </c>
      <c r="I559" s="220"/>
      <c r="J559" s="220"/>
      <c r="K559" s="243">
        <f>+K557-K558</f>
        <v>4435550.174999886</v>
      </c>
      <c r="L559" s="243">
        <f t="shared" si="106"/>
        <v>-1044326.259999963</v>
      </c>
      <c r="M559" s="220"/>
    </row>
    <row r="560" spans="1:13" ht="12" customHeight="1">
      <c r="A560" s="1"/>
      <c r="B560" s="102"/>
      <c r="C560" s="126" t="s">
        <v>323</v>
      </c>
      <c r="D560" s="1"/>
      <c r="E560" s="181"/>
      <c r="F560" s="213">
        <f>F559+F554+F555</f>
        <v>146575862.87699994</v>
      </c>
      <c r="G560" s="213">
        <f>G559+G554+G555</f>
        <v>142220208.13700014</v>
      </c>
      <c r="H560" s="253">
        <f t="shared" si="105"/>
        <v>4355654.739999801</v>
      </c>
      <c r="I560" s="221"/>
      <c r="J560" s="222"/>
      <c r="K560" s="213">
        <f>K559+K554+K555</f>
        <v>143184638.9619999</v>
      </c>
      <c r="L560" s="253">
        <f t="shared" si="106"/>
        <v>3391223.9150000513</v>
      </c>
      <c r="M560" s="221"/>
    </row>
    <row r="561" spans="1:13" ht="12" customHeight="1">
      <c r="A561" s="1"/>
      <c r="B561" s="102"/>
      <c r="C561" s="195"/>
      <c r="D561" s="1"/>
      <c r="E561" s="181"/>
      <c r="F561" s="240"/>
      <c r="G561" s="240"/>
      <c r="H561" s="254"/>
      <c r="I561" s="199"/>
      <c r="J561" s="215"/>
      <c r="K561" s="240"/>
      <c r="L561" s="254"/>
      <c r="M561" s="199"/>
    </row>
    <row r="562" spans="1:13" ht="12" customHeight="1">
      <c r="A562" s="1"/>
      <c r="B562" s="193" t="s">
        <v>311</v>
      </c>
      <c r="C562" s="194" t="s">
        <v>326</v>
      </c>
      <c r="D562" s="1"/>
      <c r="E562" s="181"/>
      <c r="F562" s="213">
        <v>0</v>
      </c>
      <c r="G562" s="213">
        <v>0</v>
      </c>
      <c r="H562" s="254">
        <f>+F562-G562</f>
        <v>0</v>
      </c>
      <c r="I562" s="199"/>
      <c r="J562" s="215"/>
      <c r="K562" s="213">
        <v>0</v>
      </c>
      <c r="L562" s="254">
        <f>+F562-K562</f>
        <v>0</v>
      </c>
      <c r="M562" s="199"/>
    </row>
    <row r="563" spans="1:13" s="1" customFormat="1" ht="12" customHeight="1">
      <c r="A563" s="1" t="s">
        <v>330</v>
      </c>
      <c r="B563" s="193" t="s">
        <v>335</v>
      </c>
      <c r="C563" s="52" t="s">
        <v>325</v>
      </c>
      <c r="D563" s="196"/>
      <c r="E563" s="197"/>
      <c r="F563" s="214">
        <v>0</v>
      </c>
      <c r="G563" s="214">
        <v>0</v>
      </c>
      <c r="H563" s="214">
        <f>+F563-G563</f>
        <v>0</v>
      </c>
      <c r="I563" s="198"/>
      <c r="J563" s="198"/>
      <c r="K563" s="214">
        <v>0</v>
      </c>
      <c r="L563" s="214">
        <f>+F563-K563</f>
        <v>0</v>
      </c>
      <c r="M563" s="198"/>
    </row>
    <row r="564" spans="1:13" ht="12" customHeight="1">
      <c r="A564" s="1"/>
      <c r="B564" s="102"/>
      <c r="C564" s="126" t="s">
        <v>324</v>
      </c>
      <c r="D564" s="1"/>
      <c r="E564" s="181"/>
      <c r="F564" s="213">
        <f>F562+F563</f>
        <v>0</v>
      </c>
      <c r="G564" s="213">
        <f>G562+G563</f>
        <v>0</v>
      </c>
      <c r="H564" s="213">
        <f>H562+H563</f>
        <v>0</v>
      </c>
      <c r="I564" s="199"/>
      <c r="J564" s="215"/>
      <c r="K564" s="213">
        <f>K562+K563</f>
        <v>0</v>
      </c>
      <c r="L564" s="213">
        <f>+F564-K564</f>
        <v>0</v>
      </c>
      <c r="M564" s="199"/>
    </row>
    <row r="565" spans="1:13" ht="12" customHeight="1">
      <c r="A565" s="1"/>
      <c r="B565" s="102"/>
      <c r="C565" s="126"/>
      <c r="D565" s="1"/>
      <c r="E565" s="181"/>
      <c r="F565" s="213"/>
      <c r="G565" s="213"/>
      <c r="H565" s="213"/>
      <c r="I565" s="199"/>
      <c r="J565" s="215"/>
      <c r="K565" s="213"/>
      <c r="L565" s="213"/>
      <c r="M565" s="199"/>
    </row>
    <row r="566" spans="1:13" ht="12" customHeight="1">
      <c r="A566" s="1"/>
      <c r="B566" s="102"/>
      <c r="C566" s="126" t="s">
        <v>345</v>
      </c>
      <c r="D566" s="1"/>
      <c r="E566" s="181"/>
      <c r="F566" s="213">
        <f>+F568-F564-F560-F552</f>
        <v>8.940696716308594E-08</v>
      </c>
      <c r="G566" s="213">
        <f>+G568-G564-G560-G552</f>
        <v>-3.2782554626464844E-07</v>
      </c>
      <c r="H566" s="254">
        <f>+F566-G566</f>
        <v>4.172325134277344E-07</v>
      </c>
      <c r="I566" s="199"/>
      <c r="J566" s="215"/>
      <c r="K566" s="213">
        <f>+K568-K564-K560-K552</f>
        <v>-2.086162567138672E-07</v>
      </c>
      <c r="L566" s="254">
        <f>+F566-K566</f>
        <v>2.980232238769531E-07</v>
      </c>
      <c r="M566" s="199"/>
    </row>
    <row r="567" spans="1:13" s="1" customFormat="1" ht="12.75" customHeight="1">
      <c r="A567" s="32"/>
      <c r="B567" s="186"/>
      <c r="C567" s="32"/>
      <c r="D567" s="32"/>
      <c r="E567" s="182"/>
      <c r="F567" s="212"/>
      <c r="G567" s="212"/>
      <c r="H567" s="255"/>
      <c r="I567" s="131"/>
      <c r="J567" s="216"/>
      <c r="K567" s="212"/>
      <c r="L567" s="255"/>
      <c r="M567" s="131"/>
    </row>
    <row r="568" spans="1:14" s="1" customFormat="1" ht="13.5" thickBot="1">
      <c r="A568" s="32"/>
      <c r="B568" s="186"/>
      <c r="C568" s="189" t="s">
        <v>312</v>
      </c>
      <c r="D568" s="189"/>
      <c r="E568" s="190"/>
      <c r="F568" s="244">
        <f>+F542</f>
        <v>146575862.87700003</v>
      </c>
      <c r="G568" s="244">
        <f>+G542</f>
        <v>142220208.13699982</v>
      </c>
      <c r="H568" s="256">
        <f>+F568-G568</f>
        <v>4355654.740000218</v>
      </c>
      <c r="I568" s="201"/>
      <c r="J568" s="201"/>
      <c r="K568" s="244">
        <f>+K542</f>
        <v>143184638.96199968</v>
      </c>
      <c r="L568" s="256">
        <f>+F568-K568</f>
        <v>3391223.9150003493</v>
      </c>
      <c r="M568" s="201"/>
      <c r="N568" s="86"/>
    </row>
    <row r="569" spans="1:14" s="1" customFormat="1" ht="13.5" thickTop="1">
      <c r="A569" s="32"/>
      <c r="B569" s="186"/>
      <c r="C569" s="32"/>
      <c r="D569" s="32"/>
      <c r="E569" s="192"/>
      <c r="F569" s="192"/>
      <c r="G569" s="192"/>
      <c r="H569" s="34"/>
      <c r="I569" s="191"/>
      <c r="J569" s="87"/>
      <c r="K569" s="192"/>
      <c r="L569" s="34"/>
      <c r="M569" s="191"/>
      <c r="N569" s="86"/>
    </row>
    <row r="570" spans="1:14" s="1" customFormat="1" ht="12.75">
      <c r="A570" s="32"/>
      <c r="B570" s="186"/>
      <c r="C570" s="32"/>
      <c r="D570" s="32"/>
      <c r="E570" s="192"/>
      <c r="F570" s="192"/>
      <c r="G570" s="192"/>
      <c r="H570" s="86"/>
      <c r="I570" s="191"/>
      <c r="J570" s="87"/>
      <c r="K570" s="192"/>
      <c r="L570" s="86"/>
      <c r="M570" s="191"/>
      <c r="N570" s="86"/>
    </row>
    <row r="571" spans="1:14" s="1" customFormat="1" ht="12.75">
      <c r="A571" s="32"/>
      <c r="B571" s="186"/>
      <c r="C571" s="32"/>
      <c r="D571" s="32"/>
      <c r="E571" s="192"/>
      <c r="F571" s="192"/>
      <c r="G571" s="192"/>
      <c r="H571" s="86"/>
      <c r="I571" s="191"/>
      <c r="J571" s="87"/>
      <c r="K571" s="192"/>
      <c r="L571" s="86"/>
      <c r="M571" s="191"/>
      <c r="N571" s="86"/>
    </row>
    <row r="572" spans="2:13" s="35" customFormat="1" ht="12.75" hidden="1" outlineLevel="1">
      <c r="B572" s="35" t="s">
        <v>56</v>
      </c>
      <c r="C572" s="258" t="s">
        <v>1310</v>
      </c>
      <c r="G572" s="37"/>
      <c r="H572" s="37"/>
      <c r="I572" s="147"/>
      <c r="J572" s="176"/>
      <c r="K572" s="37"/>
      <c r="L572" s="37"/>
      <c r="M572" s="147"/>
    </row>
    <row r="573" spans="1:13" s="35" customFormat="1" ht="12.75" hidden="1" outlineLevel="1">
      <c r="A573" s="36"/>
      <c r="B573" s="35" t="s">
        <v>57</v>
      </c>
      <c r="C573" s="35">
        <v>0.001</v>
      </c>
      <c r="G573" s="37"/>
      <c r="H573" s="37"/>
      <c r="I573" s="147"/>
      <c r="J573" s="176"/>
      <c r="K573" s="37"/>
      <c r="L573" s="37"/>
      <c r="M573" s="147"/>
    </row>
    <row r="574" spans="1:13" s="35" customFormat="1" ht="12.75" hidden="1" outlineLevel="1">
      <c r="A574" s="36"/>
      <c r="B574" s="35" t="s">
        <v>173</v>
      </c>
      <c r="C574" s="133" t="s">
        <v>172</v>
      </c>
      <c r="G574" s="37"/>
      <c r="H574" s="37"/>
      <c r="I574" s="147"/>
      <c r="J574" s="176"/>
      <c r="K574" s="37"/>
      <c r="L574" s="37"/>
      <c r="M574" s="147"/>
    </row>
    <row r="575" spans="1:13" s="35" customFormat="1" ht="12.75" hidden="1" outlineLevel="1">
      <c r="A575" s="36"/>
      <c r="B575" s="35" t="s">
        <v>174</v>
      </c>
      <c r="C575" s="35" t="s">
        <v>175</v>
      </c>
      <c r="G575" s="37"/>
      <c r="H575" s="37"/>
      <c r="I575" s="147"/>
      <c r="J575" s="176"/>
      <c r="K575" s="151"/>
      <c r="L575" s="37"/>
      <c r="M575" s="147"/>
    </row>
    <row r="576" spans="1:13" s="35" customFormat="1" ht="12.75" hidden="1" outlineLevel="1">
      <c r="A576" s="36"/>
      <c r="B576" s="35" t="s">
        <v>58</v>
      </c>
      <c r="C576" s="35">
        <f>COUNTIF($F$10:$M$523,+C574)</f>
        <v>0</v>
      </c>
      <c r="G576" s="37"/>
      <c r="H576" s="37"/>
      <c r="I576" s="147"/>
      <c r="J576" s="176"/>
      <c r="K576" s="151"/>
      <c r="L576" s="37"/>
      <c r="M576" s="147"/>
    </row>
    <row r="577" spans="1:13" s="35" customFormat="1" ht="12.75" hidden="1" outlineLevel="1">
      <c r="A577" s="36"/>
      <c r="B577" s="35" t="s">
        <v>58</v>
      </c>
      <c r="C577" s="45">
        <f>COUNTIF($F$10:$M$523,+C575)</f>
        <v>0</v>
      </c>
      <c r="F577" s="36"/>
      <c r="G577" s="37"/>
      <c r="H577" s="37"/>
      <c r="I577" s="147"/>
      <c r="J577" s="176"/>
      <c r="K577" s="151"/>
      <c r="L577" s="37"/>
      <c r="M577" s="147"/>
    </row>
    <row r="578" spans="1:13" s="35" customFormat="1" ht="12.75" hidden="1" outlineLevel="1">
      <c r="A578" s="36"/>
      <c r="B578" s="35" t="s">
        <v>59</v>
      </c>
      <c r="C578" s="45">
        <f>SUM(C576:C577)</f>
        <v>0</v>
      </c>
      <c r="F578" s="36"/>
      <c r="G578" s="37"/>
      <c r="H578" s="37"/>
      <c r="I578" s="147"/>
      <c r="J578" s="176"/>
      <c r="K578" s="151"/>
      <c r="L578" s="37"/>
      <c r="M578" s="147"/>
    </row>
    <row r="579" spans="1:13" s="35" customFormat="1" ht="12.75" hidden="1" outlineLevel="1">
      <c r="A579" s="36"/>
      <c r="B579" s="38"/>
      <c r="C579" s="46"/>
      <c r="D579" s="39"/>
      <c r="E579" s="39"/>
      <c r="F579" s="40"/>
      <c r="G579" s="37"/>
      <c r="H579" s="37"/>
      <c r="I579" s="147"/>
      <c r="J579" s="176"/>
      <c r="K579" s="152"/>
      <c r="L579" s="37"/>
      <c r="M579" s="147"/>
    </row>
    <row r="580" spans="1:13" s="35" customFormat="1" ht="12.75" hidden="1" outlineLevel="1">
      <c r="A580" s="36"/>
      <c r="B580" s="38" t="s">
        <v>60</v>
      </c>
      <c r="C580" s="259" t="s">
        <v>1311</v>
      </c>
      <c r="D580" s="39"/>
      <c r="E580" s="39"/>
      <c r="F580" s="40"/>
      <c r="G580" s="37"/>
      <c r="H580" s="37"/>
      <c r="I580" s="147"/>
      <c r="J580" s="176"/>
      <c r="K580" s="152"/>
      <c r="L580" s="37"/>
      <c r="M580" s="147"/>
    </row>
    <row r="581" spans="1:13" s="35" customFormat="1" ht="12.75" hidden="1" outlineLevel="1">
      <c r="A581" s="36"/>
      <c r="B581" s="38" t="s">
        <v>61</v>
      </c>
      <c r="C581" s="259" t="s">
        <v>1311</v>
      </c>
      <c r="D581" s="39"/>
      <c r="E581" s="39"/>
      <c r="F581" s="40"/>
      <c r="G581" s="37"/>
      <c r="H581" s="37"/>
      <c r="I581" s="147"/>
      <c r="J581" s="176"/>
      <c r="K581" s="152"/>
      <c r="L581" s="37"/>
      <c r="M581" s="147"/>
    </row>
    <row r="582" spans="1:13" s="35" customFormat="1" ht="12.75" hidden="1" outlineLevel="1">
      <c r="A582" s="36"/>
      <c r="B582" s="41" t="s">
        <v>70</v>
      </c>
      <c r="C582" s="259" t="s">
        <v>1312</v>
      </c>
      <c r="D582" s="41"/>
      <c r="E582" s="41"/>
      <c r="G582" s="37"/>
      <c r="H582" s="37"/>
      <c r="I582" s="147"/>
      <c r="J582" s="176"/>
      <c r="K582" s="153"/>
      <c r="L582" s="37"/>
      <c r="M582" s="147"/>
    </row>
    <row r="583" spans="1:13" s="35" customFormat="1" ht="12.75" hidden="1" outlineLevel="1">
      <c r="A583" s="36"/>
      <c r="B583" s="41" t="s">
        <v>62</v>
      </c>
      <c r="C583" s="259" t="s">
        <v>1313</v>
      </c>
      <c r="D583" s="41"/>
      <c r="E583" s="41"/>
      <c r="G583" s="37"/>
      <c r="H583" s="37"/>
      <c r="I583" s="147"/>
      <c r="J583" s="176"/>
      <c r="K583" s="153"/>
      <c r="L583" s="37"/>
      <c r="M583" s="147"/>
    </row>
    <row r="584" spans="1:13" s="35" customFormat="1" ht="12.75" hidden="1" outlineLevel="1">
      <c r="A584" s="36"/>
      <c r="B584" s="41" t="s">
        <v>63</v>
      </c>
      <c r="C584" s="259" t="s">
        <v>1314</v>
      </c>
      <c r="D584" s="41"/>
      <c r="E584" s="41"/>
      <c r="G584" s="37"/>
      <c r="H584" s="37"/>
      <c r="I584" s="147"/>
      <c r="J584" s="176"/>
      <c r="K584" s="153"/>
      <c r="L584" s="37"/>
      <c r="M584" s="147"/>
    </row>
    <row r="585" spans="1:13" s="35" customFormat="1" ht="12.75" hidden="1" outlineLevel="1">
      <c r="A585" s="36"/>
      <c r="B585" s="41" t="s">
        <v>64</v>
      </c>
      <c r="C585" s="259" t="s">
        <v>1315</v>
      </c>
      <c r="D585" s="41"/>
      <c r="E585" s="41"/>
      <c r="G585" s="37"/>
      <c r="H585" s="37"/>
      <c r="I585" s="147"/>
      <c r="J585" s="176"/>
      <c r="K585" s="153"/>
      <c r="L585" s="37"/>
      <c r="M585" s="147"/>
    </row>
    <row r="586" spans="1:13" s="35" customFormat="1" ht="12.75" hidden="1" outlineLevel="1">
      <c r="A586" s="36"/>
      <c r="B586" s="41" t="s">
        <v>65</v>
      </c>
      <c r="C586" s="259" t="s">
        <v>1316</v>
      </c>
      <c r="D586" s="41"/>
      <c r="E586" s="41"/>
      <c r="G586" s="37"/>
      <c r="H586" s="37"/>
      <c r="I586" s="147"/>
      <c r="J586" s="176"/>
      <c r="K586" s="153"/>
      <c r="L586" s="37"/>
      <c r="M586" s="147"/>
    </row>
    <row r="587" spans="1:13" s="35" customFormat="1" ht="12.75" hidden="1" outlineLevel="1">
      <c r="A587" s="36"/>
      <c r="B587" s="41" t="s">
        <v>66</v>
      </c>
      <c r="C587" s="259" t="s">
        <v>1317</v>
      </c>
      <c r="D587" s="41"/>
      <c r="E587" s="41"/>
      <c r="G587" s="37"/>
      <c r="H587" s="37"/>
      <c r="I587" s="147"/>
      <c r="J587" s="176"/>
      <c r="K587" s="153"/>
      <c r="L587" s="37"/>
      <c r="M587" s="147"/>
    </row>
    <row r="588" spans="1:13" s="35" customFormat="1" ht="12.75" hidden="1" outlineLevel="1">
      <c r="A588" s="36"/>
      <c r="B588" s="41" t="s">
        <v>67</v>
      </c>
      <c r="C588" s="259" t="s">
        <v>1318</v>
      </c>
      <c r="D588" s="41"/>
      <c r="E588" s="41"/>
      <c r="G588" s="37"/>
      <c r="H588" s="37"/>
      <c r="I588" s="147"/>
      <c r="J588" s="176"/>
      <c r="K588" s="153"/>
      <c r="L588" s="37"/>
      <c r="M588" s="147"/>
    </row>
    <row r="589" spans="1:13" s="35" customFormat="1" ht="12.75" hidden="1" outlineLevel="1">
      <c r="A589" s="36"/>
      <c r="B589" s="41" t="s">
        <v>68</v>
      </c>
      <c r="C589" s="259" t="s">
        <v>1319</v>
      </c>
      <c r="D589" s="41"/>
      <c r="E589" s="41"/>
      <c r="G589" s="37"/>
      <c r="H589" s="37"/>
      <c r="I589" s="147"/>
      <c r="J589" s="176"/>
      <c r="K589" s="153"/>
      <c r="L589" s="37"/>
      <c r="M589" s="147"/>
    </row>
    <row r="590" spans="1:13" s="35" customFormat="1" ht="12.75" hidden="1" outlineLevel="1">
      <c r="A590" s="36"/>
      <c r="B590" s="37" t="s">
        <v>69</v>
      </c>
      <c r="C590" s="47" t="str">
        <f>UPPER(TEXT(NvsElapsedTime,"hh:mm:ss"))</f>
        <v>00:01:12</v>
      </c>
      <c r="D590" s="37"/>
      <c r="E590" s="37"/>
      <c r="F590" s="37"/>
      <c r="G590" s="37"/>
      <c r="H590" s="37"/>
      <c r="I590" s="147"/>
      <c r="J590" s="176"/>
      <c r="K590" s="154"/>
      <c r="L590" s="37"/>
      <c r="M590" s="147"/>
    </row>
    <row r="591" spans="1:13" s="35" customFormat="1" ht="12.75" hidden="1" outlineLevel="1">
      <c r="A591" s="36"/>
      <c r="B591" s="37" t="s">
        <v>242</v>
      </c>
      <c r="C591" s="260" t="s">
        <v>1320</v>
      </c>
      <c r="D591" s="37"/>
      <c r="E591" s="37"/>
      <c r="F591" s="37"/>
      <c r="G591" s="37"/>
      <c r="H591" s="37"/>
      <c r="I591" s="147"/>
      <c r="J591" s="176"/>
      <c r="K591" s="154"/>
      <c r="L591" s="37"/>
      <c r="M591" s="147"/>
    </row>
    <row r="592" spans="3:13" s="35" customFormat="1" ht="12.75" hidden="1" outlineLevel="1">
      <c r="C592" s="35" t="s">
        <v>321</v>
      </c>
      <c r="D592" s="43"/>
      <c r="E592" s="43"/>
      <c r="F592" s="35" t="s">
        <v>318</v>
      </c>
      <c r="G592" s="35" t="s">
        <v>319</v>
      </c>
      <c r="H592" s="35" t="s">
        <v>320</v>
      </c>
      <c r="I592" s="147"/>
      <c r="J592" s="176"/>
      <c r="K592" s="155"/>
      <c r="L592" s="37"/>
      <c r="M592" s="147"/>
    </row>
    <row r="593" spans="3:13" s="35" customFormat="1" ht="12.75" hidden="1" outlineLevel="1">
      <c r="C593" s="35" t="s">
        <v>321</v>
      </c>
      <c r="D593" s="37"/>
      <c r="E593" s="37"/>
      <c r="I593" s="147"/>
      <c r="J593" s="176"/>
      <c r="K593" s="154"/>
      <c r="L593" s="37"/>
      <c r="M593" s="147"/>
    </row>
    <row r="594" spans="3:13" s="35" customFormat="1" ht="12.75" hidden="1" outlineLevel="1">
      <c r="C594" s="223" t="s">
        <v>343</v>
      </c>
      <c r="D594" s="37"/>
      <c r="E594" s="37"/>
      <c r="F594" s="224">
        <v>2000000</v>
      </c>
      <c r="I594" s="147"/>
      <c r="J594" s="176"/>
      <c r="K594" s="154"/>
      <c r="L594" s="37"/>
      <c r="M594" s="147"/>
    </row>
    <row r="595" spans="3:13" s="35" customFormat="1" ht="12.75" hidden="1" outlineLevel="1">
      <c r="C595" s="223" t="s">
        <v>344</v>
      </c>
      <c r="D595" s="37"/>
      <c r="E595" s="37"/>
      <c r="F595" s="224">
        <v>1009000</v>
      </c>
      <c r="I595" s="147"/>
      <c r="J595" s="176"/>
      <c r="K595" s="154"/>
      <c r="L595" s="37"/>
      <c r="M595" s="147"/>
    </row>
    <row r="596" spans="2:13" s="35" customFormat="1" ht="12.75" collapsed="1">
      <c r="B596" s="42" t="s">
        <v>20</v>
      </c>
      <c r="C596" s="48"/>
      <c r="D596" s="37"/>
      <c r="E596" s="37"/>
      <c r="F596" s="37"/>
      <c r="G596" s="37"/>
      <c r="H596" s="37"/>
      <c r="I596" s="147"/>
      <c r="J596" s="176"/>
      <c r="K596" s="154"/>
      <c r="L596" s="37"/>
      <c r="M596" s="147"/>
    </row>
    <row r="824" ht="12.75"/>
    <row r="825" ht="12.75"/>
    <row r="826" ht="12.75"/>
    <row r="827" ht="12.75"/>
    <row r="879" ht="12.75"/>
    <row r="880" ht="12.75"/>
    <row r="884" ht="12.75"/>
    <row r="885" ht="12.75"/>
    <row r="886" ht="12.75"/>
    <row r="887" ht="12.75"/>
    <row r="888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71" ht="12.75"/>
    <row r="994" ht="12.75"/>
    <row r="995" ht="12.75"/>
    <row r="996" ht="12.75"/>
  </sheetData>
  <sheetProtection/>
  <mergeCells count="3">
    <mergeCell ref="F2:L2"/>
    <mergeCell ref="F3:L3"/>
    <mergeCell ref="F4:L4"/>
  </mergeCells>
  <printOptions horizontalCentered="1"/>
  <pageMargins left="0.25" right="0.65" top="0.78" bottom="0.5" header="0.25" footer="0.25"/>
  <pageSetup fitToHeight="0" horizontalDpi="600" verticalDpi="600" orientation="landscape" scale="75" r:id="rId3"/>
  <headerFooter alignWithMargins="0">
    <oddFooter>&amp;L&amp;8&amp;D&amp;C&amp;8Page &amp;P of &amp;N&amp;R&amp;8&amp;Z&amp;F</oddFooter>
  </headerFooter>
  <rowBreaks count="2" manualBreakCount="2">
    <brk id="239" min="1" max="12" man="1"/>
    <brk id="524" min="1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2">
      <selection activeCell="C7" sqref="C7"/>
    </sheetView>
  </sheetViews>
  <sheetFormatPr defaultColWidth="9.140625" defaultRowHeight="12.75"/>
  <cols>
    <col min="1" max="1" width="19.7109375" style="6" bestFit="1" customWidth="1"/>
    <col min="2" max="2" width="2.28125" style="6" customWidth="1"/>
    <col min="3" max="3" width="44.421875" style="6" customWidth="1"/>
    <col min="4" max="4" width="1.7109375" style="6" customWidth="1"/>
    <col min="5" max="5" width="45.7109375" style="2" customWidth="1"/>
    <col min="6" max="16384" width="9.140625" style="6" customWidth="1"/>
  </cols>
  <sheetData>
    <row r="2" spans="1:3" ht="12.75">
      <c r="A2" s="6" t="s">
        <v>2</v>
      </c>
      <c r="C2" s="3" t="s">
        <v>1</v>
      </c>
    </row>
    <row r="3" spans="1:3" ht="12.75">
      <c r="A3" s="6" t="s">
        <v>3</v>
      </c>
      <c r="C3" s="3" t="s">
        <v>16</v>
      </c>
    </row>
    <row r="4" spans="1:3" ht="12.75">
      <c r="A4" s="6" t="s">
        <v>4</v>
      </c>
      <c r="C4" s="3" t="s">
        <v>17</v>
      </c>
    </row>
    <row r="5" spans="1:3" ht="12.75">
      <c r="A5" s="6" t="s">
        <v>5</v>
      </c>
      <c r="C5" s="3" t="s">
        <v>21</v>
      </c>
    </row>
    <row r="6" spans="1:3" ht="12.75">
      <c r="A6" s="6" t="s">
        <v>6</v>
      </c>
      <c r="C6" s="3" t="s">
        <v>32</v>
      </c>
    </row>
    <row r="7" spans="1:3" ht="12.75">
      <c r="A7" s="6" t="s">
        <v>7</v>
      </c>
      <c r="C7" s="4">
        <v>40151</v>
      </c>
    </row>
    <row r="8" spans="1:3" ht="12.75">
      <c r="A8" s="6" t="s">
        <v>8</v>
      </c>
      <c r="C8" s="3" t="s">
        <v>22</v>
      </c>
    </row>
    <row r="9" spans="1:3" ht="12.75">
      <c r="A9" s="6" t="s">
        <v>9</v>
      </c>
      <c r="C9" s="3" t="s">
        <v>23</v>
      </c>
    </row>
    <row r="10" spans="1:3" ht="25.5">
      <c r="A10" s="6" t="s">
        <v>10</v>
      </c>
      <c r="C10" s="3" t="s">
        <v>24</v>
      </c>
    </row>
    <row r="11" spans="1:3" ht="12.75">
      <c r="A11" s="6" t="s">
        <v>11</v>
      </c>
      <c r="C11" s="3" t="s">
        <v>18</v>
      </c>
    </row>
    <row r="12" spans="1:3" ht="25.5">
      <c r="A12" s="6" t="s">
        <v>12</v>
      </c>
      <c r="C12" s="3" t="s">
        <v>48</v>
      </c>
    </row>
    <row r="13" spans="1:3" ht="12.75">
      <c r="A13" s="6" t="s">
        <v>13</v>
      </c>
      <c r="C13" s="3"/>
    </row>
    <row r="14" spans="1:3" ht="12.75">
      <c r="A14" s="6" t="s">
        <v>14</v>
      </c>
      <c r="C14" s="3"/>
    </row>
    <row r="15" spans="1:3" ht="12.75">
      <c r="A15" s="6" t="s">
        <v>15</v>
      </c>
      <c r="C15" s="3"/>
    </row>
    <row r="18" spans="1:5" ht="25.5">
      <c r="A18" s="6" t="s">
        <v>33</v>
      </c>
      <c r="C18" s="6" t="s">
        <v>16</v>
      </c>
      <c r="E18" s="2" t="s">
        <v>34</v>
      </c>
    </row>
    <row r="20" spans="1:5" ht="12.75">
      <c r="A20" s="6" t="s">
        <v>35</v>
      </c>
      <c r="C20" s="6" t="s">
        <v>16</v>
      </c>
      <c r="E20" s="2" t="s">
        <v>36</v>
      </c>
    </row>
    <row r="22" spans="1:5" ht="51">
      <c r="A22" s="6" t="s">
        <v>25</v>
      </c>
      <c r="C22" s="6" t="s">
        <v>16</v>
      </c>
      <c r="E22" s="2" t="s">
        <v>26</v>
      </c>
    </row>
    <row r="24" spans="1:5" ht="25.5">
      <c r="A24" s="6" t="s">
        <v>37</v>
      </c>
      <c r="C24" s="6" t="s">
        <v>16</v>
      </c>
      <c r="E24" s="2" t="s">
        <v>38</v>
      </c>
    </row>
    <row r="26" spans="1:5" ht="38.25">
      <c r="A26" s="6" t="s">
        <v>27</v>
      </c>
      <c r="C26" s="6" t="s">
        <v>16</v>
      </c>
      <c r="E26" s="2" t="s">
        <v>28</v>
      </c>
    </row>
    <row r="28" spans="1:5" ht="38.25">
      <c r="A28" s="6" t="s">
        <v>29</v>
      </c>
      <c r="C28" s="6" t="s">
        <v>16</v>
      </c>
      <c r="E28" s="2" t="s">
        <v>39</v>
      </c>
    </row>
    <row r="30" spans="1:5" ht="12.75">
      <c r="A30" s="7">
        <v>38923</v>
      </c>
      <c r="C30" s="6" t="s">
        <v>16</v>
      </c>
      <c r="E30" s="2" t="s">
        <v>40</v>
      </c>
    </row>
    <row r="32" spans="1:5" ht="25.5">
      <c r="A32" s="6" t="s">
        <v>41</v>
      </c>
      <c r="C32" s="6" t="s">
        <v>16</v>
      </c>
      <c r="E32" s="2" t="s">
        <v>42</v>
      </c>
    </row>
    <row r="34" spans="1:5" ht="76.5">
      <c r="A34" s="6" t="s">
        <v>30</v>
      </c>
      <c r="C34" s="6" t="s">
        <v>16</v>
      </c>
      <c r="E34" s="2" t="s">
        <v>31</v>
      </c>
    </row>
    <row r="36" spans="1:5" ht="12.75">
      <c r="A36" s="7">
        <v>39692</v>
      </c>
      <c r="C36" s="6" t="s">
        <v>16</v>
      </c>
      <c r="E36" s="2" t="s">
        <v>43</v>
      </c>
    </row>
    <row r="38" spans="1:5" ht="25.5">
      <c r="A38" s="6" t="s">
        <v>44</v>
      </c>
      <c r="C38" s="6" t="s">
        <v>16</v>
      </c>
      <c r="E38" s="2" t="s">
        <v>45</v>
      </c>
    </row>
    <row r="40" spans="1:5" ht="12.75">
      <c r="A40" s="6" t="s">
        <v>46</v>
      </c>
      <c r="C40" s="6" t="s">
        <v>16</v>
      </c>
      <c r="E40" s="2" t="s">
        <v>47</v>
      </c>
    </row>
    <row r="42" spans="1:5" ht="25.5">
      <c r="A42" s="6" t="s">
        <v>49</v>
      </c>
      <c r="C42" s="6" t="s">
        <v>16</v>
      </c>
      <c r="E42" s="2" t="s">
        <v>50</v>
      </c>
    </row>
    <row r="44" spans="1:5" ht="38.25">
      <c r="A44" s="6" t="s">
        <v>51</v>
      </c>
      <c r="C44" s="6" t="s">
        <v>16</v>
      </c>
      <c r="E44" s="2" t="s">
        <v>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AEP Consolidated       Family Tree Income Statement</dc:title>
  <dc:subject/>
  <dc:creator>Financial Reporting / Neal Hartley</dc:creator>
  <cp:keywords/>
  <dc:description>Acct:   GL_ACCT_SEC
BU:     Regional_Cons
Sunset: 12/4/2009 1:00:00 AM</dc:description>
  <cp:lastModifiedBy>American Electric Power®</cp:lastModifiedBy>
  <cp:lastPrinted>2012-01-26T00:36:16Z</cp:lastPrinted>
  <dcterms:created xsi:type="dcterms:W3CDTF">1997-11-19T15:48:19Z</dcterms:created>
  <dcterms:modified xsi:type="dcterms:W3CDTF">2012-01-26T00:36:19Z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GL_ACCT_SEC</vt:lpwstr>
  </property>
  <property fmtid="{D5CDD505-2E9C-101B-9397-08002B2CF9AE}" pid="5" name="Business Unit Tree" linkTarget="Business_unit">
    <vt:lpwstr>Regional_Cons</vt:lpwstr>
  </property>
  <property fmtid="{D5CDD505-2E9C-101B-9397-08002B2CF9AE}" pid="6" name="Sunset Date" linkTarget="Sunset_date">
    <vt:filetime>2009-12-04T05:00:00Z</vt:filetime>
  </property>
  <property fmtid="{D5CDD505-2E9C-101B-9397-08002B2CF9AE}" pid="7" name="Report Description" linkTarget="Report_Description">
    <vt:lpwstr>Income Statement used for 10K/Q and Cash Flows</vt:lpwstr>
  </property>
  <property fmtid="{D5CDD505-2E9C-101B-9397-08002B2CF9AE}" pid="8" name="Report BU Name" linkTarget="BU_Name">
    <vt:lpwstr>AEP Consolidated</vt:lpwstr>
  </property>
  <property fmtid="{D5CDD505-2E9C-101B-9397-08002B2CF9AE}" pid="9" name="Report Statment Type" linkTarget="Report_Stmt_type">
    <vt:lpwstr>Family Tree Income Statement</vt:lpwstr>
  </property>
</Properties>
</file>