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15" yWindow="120" windowWidth="12120" windowHeight="906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'Sheet1'!$F$598</definedName>
    <definedName name="CSO">'Sheet1'!$F$597</definedName>
    <definedName name="Department_Owner">'Modification History'!$C$4</definedName>
    <definedName name="Keywords">'Modification History'!$C$15</definedName>
    <definedName name="NvsASD">"V2010-10-31"</definedName>
    <definedName name="NvsAutoDrillOk">"VN"</definedName>
    <definedName name="NvsDrillHyperLink" localSheetId="0">"http://psfinweb.aepsc.com/psp/fcm90prd_newwin/EMPLOYEE/ERP/c/REPORT_BOOKS.IC_RUN_DRILLDOWN.GBL?Action=A&amp;NVS_INSTANCE=2504050_2561240"</definedName>
    <definedName name="NvsElapsedTime">0.000821759262180422</definedName>
    <definedName name="NvsEndTime">40491.6049652778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"VY"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'Sheet1'!$B$2:$Q$571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'Sheet1'!$B$753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6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597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<sst xmlns="http://schemas.openxmlformats.org/spreadsheetml/2006/main" count="1405" uniqueCount="1327">
  <si>
    <t>%,ATT,FDESCR,UDESCR</t>
  </si>
  <si>
    <t>AEP Consolidated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</si>
  <si>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</si>
  <si>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</si>
  <si>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</si>
  <si>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</si>
  <si>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</si>
  <si>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</si>
  <si>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</si>
  <si>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</si>
  <si>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</si>
  <si>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</si>
  <si>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</si>
  <si>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</si>
  <si>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</si>
  <si>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</si>
  <si>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</si>
  <si>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</si>
  <si>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</si>
  <si>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</si>
  <si>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</si>
  <si>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GL_ACCT_SEC</t>
  </si>
  <si>
    <t>Family Tree Income Statement</t>
  </si>
  <si>
    <t>Income Statement used for 10K/Q and Cash Flows</t>
  </si>
  <si>
    <t>AEP Consolidated       Family Tree Income Statement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</si>
  <si>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</si>
  <si>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</si>
  <si>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</si>
  <si>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</si>
  <si>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</si>
  <si>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</si>
  <si>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</si>
  <si>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Regional_Cons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</si>
  <si>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</si>
  <si>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</si>
  <si>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</si>
  <si>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</si>
  <si>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</si>
  <si>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</si>
  <si>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</si>
  <si>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</si>
  <si>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</si>
  <si>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</si>
  <si>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</si>
  <si>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</si>
  <si>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</si>
  <si>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</si>
  <si>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</si>
  <si>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Acct:   GL_ACCT_SEC
BU:     Regional_Cons
Sunset: 12/4/2009 1:00:00 AM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</si>
  <si>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</si>
  <si>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</si>
  <si>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</si>
  <si>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</si>
  <si>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</si>
  <si>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</si>
  <si>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</si>
  <si>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</si>
  <si>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</si>
  <si>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</si>
  <si>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</si>
  <si>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</si>
  <si>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</si>
  <si>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</si>
  <si>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</si>
  <si>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</si>
  <si>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</si>
  <si>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</si>
  <si>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</si>
  <si>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</si>
  <si>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</si>
  <si>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</si>
  <si>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</si>
  <si>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</si>
  <si>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</si>
  <si>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</si>
  <si>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</si>
  <si>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</si>
  <si>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</si>
  <si>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</si>
  <si>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</si>
  <si>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</si>
  <si>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</si>
  <si>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</si>
  <si>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</si>
  <si>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</si>
  <si>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</si>
  <si>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</si>
  <si>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</si>
  <si>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</si>
  <si>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</si>
  <si>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</si>
  <si>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</si>
  <si>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</si>
  <si>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</si>
  <si>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</si>
  <si>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</si>
  <si>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</si>
  <si>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</si>
  <si>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</si>
  <si>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</si>
  <si>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</si>
  <si>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</si>
  <si>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</si>
  <si>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</si>
  <si>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</si>
  <si>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</si>
  <si>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</si>
  <si>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</si>
  <si>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</si>
  <si>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</si>
  <si>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</si>
  <si>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</si>
  <si>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</si>
  <si>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</si>
  <si>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</si>
  <si>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</si>
  <si>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</si>
  <si>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</si>
  <si>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</si>
  <si>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</si>
  <si>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</si>
  <si>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</si>
  <si>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</si>
  <si>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</si>
  <si>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</si>
  <si>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</si>
  <si>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</si>
  <si>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</si>
  <si>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</si>
  <si>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</si>
  <si>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</si>
  <si>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</si>
  <si>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</si>
  <si>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</si>
  <si>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</si>
  <si>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</si>
  <si>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</si>
  <si>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</si>
  <si>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</si>
  <si>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</si>
  <si>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</si>
  <si>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</si>
  <si>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</si>
  <si>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</si>
  <si>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</si>
  <si>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</si>
  <si>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</si>
  <si>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</si>
  <si>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</si>
  <si>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</si>
  <si>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</si>
  <si>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</si>
  <si>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</si>
  <si>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</si>
  <si>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</si>
  <si>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</si>
  <si>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</si>
  <si>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</si>
  <si>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</si>
  <si>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</si>
  <si>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</si>
  <si>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</si>
  <si>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</si>
  <si>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</si>
  <si>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</si>
  <si>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</si>
  <si>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</si>
  <si>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</si>
  <si>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</si>
  <si>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</si>
  <si>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</si>
  <si>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</si>
  <si>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</si>
  <si>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</si>
  <si>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</si>
  <si>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</si>
  <si>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</si>
  <si>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</si>
  <si>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</si>
  <si>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</si>
  <si>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</si>
  <si>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</si>
  <si>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</si>
  <si>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</si>
  <si>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</si>
  <si>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</si>
  <si>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</si>
  <si>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</si>
  <si>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</si>
  <si>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</si>
  <si>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</si>
  <si>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</si>
  <si>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</si>
  <si>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</si>
  <si>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</si>
  <si>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</si>
  <si>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</si>
  <si>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</si>
  <si>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</si>
  <si>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</si>
  <si>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</si>
  <si>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</si>
  <si>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</si>
  <si>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</si>
  <si>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</si>
  <si>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</si>
  <si>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</si>
  <si>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</si>
  <si>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</si>
  <si>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</si>
  <si>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</si>
  <si>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</si>
  <si>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</si>
  <si>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</si>
  <si>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</si>
  <si>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</si>
  <si>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</si>
  <si>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</si>
  <si>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</si>
  <si>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</si>
  <si>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</si>
  <si>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</si>
  <si>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</si>
  <si>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</si>
  <si>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</si>
  <si>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</si>
  <si>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</si>
  <si>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</si>
  <si>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</si>
  <si>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</si>
  <si>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</si>
  <si>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</si>
  <si>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</si>
  <si>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</si>
  <si>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</si>
  <si>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</si>
  <si>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</si>
  <si>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</si>
  <si>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</si>
  <si>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</si>
  <si>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</si>
  <si>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</si>
  <si>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</si>
  <si>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</si>
  <si>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</si>
  <si>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</si>
  <si>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</si>
  <si>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</si>
  <si>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</si>
  <si>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</si>
  <si>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</si>
  <si>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</si>
  <si>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</si>
  <si>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</si>
  <si>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</si>
  <si>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</si>
  <si>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</si>
  <si>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</si>
  <si>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</si>
  <si>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</si>
  <si>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</si>
  <si>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</si>
  <si>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</si>
  <si>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</si>
  <si>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</si>
  <si>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</si>
  <si>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</si>
  <si>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</si>
  <si>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</si>
  <si>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</si>
  <si>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</si>
  <si>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</si>
  <si>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</si>
  <si>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</si>
  <si>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</si>
  <si>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</si>
  <si>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</si>
  <si>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</si>
  <si>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</si>
  <si>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</si>
  <si>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</si>
  <si>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</si>
  <si>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</si>
  <si>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</si>
  <si>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</si>
  <si>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</si>
  <si>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</si>
  <si>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</si>
  <si>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</si>
  <si>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</si>
  <si>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</si>
  <si>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</si>
  <si>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</si>
  <si>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</si>
  <si>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</si>
  <si>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</si>
  <si>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</si>
  <si>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</si>
  <si>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</si>
  <si>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</si>
  <si>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</si>
  <si>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</si>
  <si>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</si>
  <si>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</si>
  <si>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</si>
  <si>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</si>
  <si>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</si>
  <si>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</si>
  <si>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</si>
  <si>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</si>
  <si>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</si>
  <si>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</si>
  <si>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</si>
  <si>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</si>
  <si>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</si>
  <si>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</si>
  <si>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</si>
  <si>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</si>
  <si>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</si>
  <si>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</si>
  <si>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</si>
  <si>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</si>
  <si>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</si>
  <si>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</si>
  <si>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</si>
  <si>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</si>
  <si>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</si>
  <si>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</si>
  <si>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</si>
  <si>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</si>
  <si>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</si>
  <si>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</si>
  <si>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</si>
  <si>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</si>
  <si>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</si>
  <si>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</si>
  <si>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</si>
  <si>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</si>
  <si>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</si>
  <si>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</si>
  <si>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</si>
  <si>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</si>
  <si>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</si>
  <si>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</si>
  <si>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</si>
  <si>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</si>
  <si>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</si>
  <si>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</si>
  <si>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</si>
  <si>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</si>
  <si>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</si>
  <si>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</si>
  <si>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</si>
  <si>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</si>
  <si>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</si>
  <si>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</si>
  <si>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</si>
  <si>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</si>
  <si>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</si>
  <si>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</si>
  <si>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</si>
  <si>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</si>
  <si>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</si>
  <si>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</si>
  <si>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</si>
  <si>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</si>
  <si>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</si>
  <si>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</si>
  <si>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</si>
  <si>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</si>
  <si>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</si>
  <si>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</si>
  <si>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</si>
  <si>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</si>
  <si>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</si>
  <si>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</si>
  <si>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</si>
  <si>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</si>
  <si>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</si>
  <si>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</si>
  <si>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</si>
  <si>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</si>
  <si>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</si>
  <si>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</si>
  <si>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</si>
  <si>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</si>
  <si>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</si>
  <si>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</si>
  <si>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</si>
  <si>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</si>
  <si>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</si>
  <si>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</si>
  <si>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</si>
  <si>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</si>
  <si>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</si>
  <si>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</si>
  <si>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</si>
  <si>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</si>
  <si>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</si>
  <si>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</si>
  <si>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</si>
  <si>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</si>
  <si>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</si>
  <si>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</si>
  <si>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</si>
  <si>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</si>
  <si>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</si>
  <si>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</si>
  <si>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</si>
  <si>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</si>
  <si>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</si>
  <si>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</si>
  <si>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</si>
  <si>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%,V1750010</t>
  </si>
  <si>
    <t>1750010</t>
  </si>
  <si>
    <t>LT Option Premium Purchases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</si>
  <si>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</si>
  <si>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</si>
  <si>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</si>
  <si>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</si>
  <si>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</si>
  <si>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</si>
  <si>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</si>
  <si>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</si>
  <si>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</si>
  <si>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</si>
  <si>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</si>
  <si>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</si>
  <si>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</si>
  <si>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</si>
  <si>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</si>
  <si>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</si>
  <si>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</si>
  <si>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</si>
  <si>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</si>
  <si>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</si>
  <si>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</si>
  <si>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%,V1420005</t>
  </si>
  <si>
    <t>1420005</t>
  </si>
  <si>
    <t>Employee Loans - Current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</si>
  <si>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</si>
  <si>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</si>
  <si>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</si>
  <si>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</si>
  <si>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</si>
  <si>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</si>
  <si>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</si>
  <si>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</si>
  <si>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</si>
  <si>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</si>
  <si>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</si>
  <si>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</si>
  <si>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</si>
  <si>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</si>
  <si>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</si>
  <si>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</si>
  <si>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</si>
  <si>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</si>
  <si>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</si>
  <si>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</si>
  <si>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</si>
  <si>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</si>
  <si>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</si>
  <si>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</si>
  <si>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</si>
  <si>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</si>
  <si>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</si>
  <si>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</si>
  <si>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</si>
  <si>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</si>
  <si>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</si>
  <si>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</si>
  <si>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</si>
  <si>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</si>
  <si>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</si>
  <si>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</si>
  <si>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%,V1420102</t>
  </si>
  <si>
    <t>1420102</t>
  </si>
  <si>
    <t>AR Peoplesoft Billing - Cust</t>
  </si>
  <si>
    <t>%,V1430019</t>
  </si>
  <si>
    <t>1430019</t>
  </si>
  <si>
    <t>Coal Trading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</si>
  <si>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</si>
  <si>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</si>
  <si>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</si>
  <si>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</si>
  <si>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</si>
  <si>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</si>
  <si>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</si>
  <si>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</si>
  <si>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</si>
  <si>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</si>
  <si>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</si>
  <si>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</si>
  <si>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%,V1430086</t>
  </si>
  <si>
    <t>1430086</t>
  </si>
  <si>
    <t>AR Accrual NYMEX OTC Penults</t>
  </si>
  <si>
    <t>%,V1430087</t>
  </si>
  <si>
    <t>1430087</t>
  </si>
  <si>
    <t>%,V1430089</t>
  </si>
  <si>
    <t>1430089</t>
  </si>
  <si>
    <t>A/R - Benefits Billing</t>
  </si>
  <si>
    <t>%,V1430090</t>
  </si>
  <si>
    <t>1430090</t>
  </si>
  <si>
    <t>Accrued Broker - Power</t>
  </si>
  <si>
    <t>%,V1430102</t>
  </si>
  <si>
    <t>1430102</t>
  </si>
  <si>
    <t>AR Peoplesoft Billing - Misc</t>
  </si>
  <si>
    <t>%,V1430123</t>
  </si>
  <si>
    <t>1430123</t>
  </si>
  <si>
    <t>Accounts Receivable - LT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</si>
  <si>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</si>
  <si>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</si>
  <si>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</si>
  <si>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</si>
  <si>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</si>
  <si>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</si>
  <si>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</si>
  <si>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</si>
  <si>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</si>
  <si>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</si>
  <si>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</si>
  <si>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</si>
  <si>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</si>
  <si>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</si>
  <si>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</si>
  <si>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</si>
  <si>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</si>
  <si>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</si>
  <si>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</si>
  <si>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</si>
  <si>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</si>
  <si>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</si>
  <si>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</si>
  <si>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</si>
  <si>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</si>
  <si>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</si>
  <si>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</si>
  <si>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</si>
  <si>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</si>
  <si>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</si>
  <si>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</si>
  <si>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</si>
  <si>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</si>
  <si>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</si>
  <si>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</si>
  <si>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</si>
  <si>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</si>
  <si>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</si>
  <si>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</si>
  <si>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</si>
  <si>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</si>
  <si>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</si>
  <si>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</si>
  <si>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</si>
  <si>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</si>
  <si>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</si>
  <si>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</si>
  <si>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</si>
  <si>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</si>
  <si>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</si>
  <si>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</si>
  <si>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</si>
  <si>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</si>
  <si>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</si>
  <si>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</si>
  <si>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</si>
  <si>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</si>
  <si>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</si>
  <si>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</si>
  <si>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</si>
  <si>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</si>
  <si>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</si>
  <si>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</si>
  <si>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</si>
  <si>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</si>
  <si>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</si>
  <si>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</si>
  <si>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</si>
  <si>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</si>
  <si>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</si>
  <si>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</si>
  <si>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</si>
  <si>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</si>
  <si>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</si>
  <si>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</si>
  <si>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</si>
  <si>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</si>
  <si>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</si>
  <si>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</si>
  <si>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</si>
  <si>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</si>
  <si>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</si>
  <si>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</si>
  <si>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</si>
  <si>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</si>
  <si>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</si>
  <si>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</si>
  <si>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</si>
  <si>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</si>
  <si>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</si>
  <si>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</si>
  <si>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</si>
  <si>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</si>
  <si>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</si>
  <si>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</si>
  <si>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</si>
  <si>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</si>
  <si>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</si>
  <si>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</si>
  <si>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</si>
  <si>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</si>
  <si>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</si>
  <si>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</si>
  <si>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</si>
  <si>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</si>
  <si>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</si>
  <si>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</si>
  <si>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</si>
  <si>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</si>
  <si>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</si>
  <si>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</si>
  <si>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</si>
  <si>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%,V165001209</t>
  </si>
  <si>
    <t>165001209</t>
  </si>
  <si>
    <t>Prepaid Sales/Use Taxes</t>
  </si>
  <si>
    <t>%,V165001210</t>
  </si>
  <si>
    <t>165001210</t>
  </si>
  <si>
    <t>Prepaid Use Taxes</t>
  </si>
  <si>
    <t>%,V1650014</t>
  </si>
  <si>
    <t>1650014</t>
  </si>
  <si>
    <t>FAS 158 Qual Contra Asset</t>
  </si>
  <si>
    <t>%,V1650016</t>
  </si>
  <si>
    <t>1650016</t>
  </si>
  <si>
    <t>FAS 112 ASSETS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</si>
  <si>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</si>
  <si>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</si>
  <si>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</si>
  <si>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</si>
  <si>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</si>
  <si>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</si>
  <si>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</si>
  <si>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</si>
  <si>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</si>
  <si>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</si>
  <si>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</si>
  <si>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</si>
  <si>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</si>
  <si>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</si>
  <si>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</si>
  <si>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</si>
  <si>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</si>
  <si>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</si>
  <si>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</si>
  <si>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</si>
  <si>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</si>
  <si>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</si>
  <si>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</si>
  <si>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</si>
  <si>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</si>
  <si>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</si>
  <si>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</si>
  <si>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%,V174001108</t>
  </si>
  <si>
    <t>174001108</t>
  </si>
  <si>
    <t>Non-Highway Fuel Tx Credt-2008</t>
  </si>
  <si>
    <t>%,V174001109</t>
  </si>
  <si>
    <t>174001109</t>
  </si>
  <si>
    <t>Non-Highway Fuel Tx Credt-2009</t>
  </si>
  <si>
    <t>%,V1860007</t>
  </si>
  <si>
    <t>1860007</t>
  </si>
  <si>
    <t>Billings and Deferred Projects</t>
  </si>
  <si>
    <t>%,V1860136</t>
  </si>
  <si>
    <t>1860136</t>
  </si>
  <si>
    <t>NonTradition Option Premiums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</si>
  <si>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</si>
  <si>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</si>
  <si>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</si>
  <si>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</si>
  <si>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</si>
  <si>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</si>
  <si>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</si>
  <si>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</si>
  <si>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</si>
  <si>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</si>
  <si>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</si>
  <si>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</si>
  <si>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</si>
  <si>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</si>
  <si>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</si>
  <si>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</si>
  <si>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</si>
  <si>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</si>
  <si>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</si>
  <si>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</si>
  <si>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</si>
  <si>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</si>
  <si>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</si>
  <si>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</si>
  <si>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</si>
  <si>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</si>
  <si>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</si>
  <si>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</si>
  <si>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</si>
  <si>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</si>
  <si>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</si>
  <si>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</si>
  <si>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</si>
  <si>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</si>
  <si>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</si>
  <si>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</si>
  <si>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</si>
  <si>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</si>
  <si>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</si>
  <si>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</si>
  <si>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</si>
  <si>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</si>
  <si>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</si>
  <si>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</si>
  <si>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</si>
  <si>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</si>
  <si>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</si>
  <si>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</si>
  <si>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</si>
  <si>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</si>
  <si>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</si>
  <si>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</si>
  <si>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</si>
  <si>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</si>
  <si>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</si>
  <si>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</si>
  <si>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</si>
  <si>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</si>
  <si>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</si>
  <si>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</si>
  <si>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</si>
  <si>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</si>
  <si>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</si>
  <si>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</si>
  <si>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</si>
  <si>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</si>
  <si>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%,V1840002</t>
  </si>
  <si>
    <t>1840002</t>
  </si>
  <si>
    <t>Accounts Pay Adj - Clearing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</si>
  <si>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</si>
  <si>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</si>
  <si>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</si>
  <si>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</si>
  <si>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</si>
  <si>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</si>
  <si>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</si>
  <si>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</si>
  <si>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Allowances</t>
  </si>
  <si>
    <t>%,V186000308</t>
  </si>
  <si>
    <t>186000308</t>
  </si>
  <si>
    <t>Deferred Property Taxes</t>
  </si>
  <si>
    <t>%,V186000309</t>
  </si>
  <si>
    <t>186000309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</si>
  <si>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</si>
  <si>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</si>
  <si>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</si>
  <si>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</si>
  <si>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</si>
  <si>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</si>
  <si>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%,V186008109</t>
  </si>
  <si>
    <t>186008109</t>
  </si>
  <si>
    <t>Defd Property Tax - Cap Leases</t>
  </si>
  <si>
    <t>%,V186008110</t>
  </si>
  <si>
    <t>186008110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</si>
  <si>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</si>
  <si>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</si>
  <si>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</si>
  <si>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</si>
  <si>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</si>
  <si>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</si>
  <si>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</si>
  <si>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</si>
  <si>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</si>
  <si>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</si>
  <si>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</si>
  <si>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</si>
  <si>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</si>
  <si>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</si>
  <si>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</si>
  <si>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</si>
  <si>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</si>
  <si>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</si>
  <si>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</si>
  <si>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</si>
  <si>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</si>
  <si>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</si>
  <si>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</si>
  <si>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</si>
  <si>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</si>
  <si>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</si>
  <si>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</si>
  <si>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</si>
  <si>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</si>
  <si>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</si>
  <si>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</si>
  <si>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</si>
  <si>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</si>
  <si>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</si>
  <si>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</si>
  <si>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</si>
  <si>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</si>
  <si>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</si>
  <si>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</si>
  <si>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</si>
  <si>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</si>
  <si>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</si>
  <si>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</si>
  <si>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</si>
  <si>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</si>
  <si>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</si>
  <si>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</si>
  <si>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</si>
  <si>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</si>
  <si>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</si>
  <si>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</si>
  <si>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</si>
  <si>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</si>
  <si>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</si>
  <si>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</si>
  <si>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</si>
  <si>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</si>
  <si>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</si>
  <si>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</si>
  <si>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</si>
  <si>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</si>
  <si>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</si>
  <si>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</si>
  <si>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</si>
  <si>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</si>
  <si>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</si>
  <si>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</si>
  <si>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</si>
  <si>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</si>
  <si>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</si>
  <si>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</si>
  <si>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</si>
  <si>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</si>
  <si>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</si>
  <si>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</si>
  <si>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</si>
  <si>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</si>
  <si>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</si>
  <si>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</si>
  <si>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</si>
  <si>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</si>
  <si>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</si>
  <si>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</si>
  <si>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</si>
  <si>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</si>
  <si>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</si>
  <si>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</si>
  <si>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</si>
  <si>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</si>
  <si>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</si>
  <si>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</si>
  <si>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</si>
  <si>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</si>
  <si>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</si>
  <si>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</si>
  <si>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</si>
  <si>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</si>
  <si>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</si>
  <si>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</si>
  <si>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</si>
  <si>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</si>
  <si>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</si>
  <si>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</si>
  <si>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</si>
  <si>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</si>
  <si>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</si>
  <si>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</si>
  <si>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</si>
  <si>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</si>
  <si>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</si>
  <si>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</si>
  <si>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</si>
  <si>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</si>
  <si>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</si>
  <si>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</si>
  <si>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</si>
  <si>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</si>
  <si>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</si>
  <si>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</si>
  <si>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</si>
  <si>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</si>
  <si>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</si>
  <si>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</si>
  <si>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</si>
  <si>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</si>
  <si>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</si>
  <si>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</si>
  <si>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</si>
  <si>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</si>
  <si>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</si>
  <si>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</si>
  <si>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</si>
  <si>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</si>
  <si>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</si>
  <si>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</si>
  <si>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</si>
  <si>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</si>
  <si>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</si>
  <si>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</si>
  <si>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</si>
  <si>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</si>
  <si>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</si>
  <si>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</si>
  <si>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</si>
  <si>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</si>
  <si>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</si>
  <si>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</si>
  <si>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</si>
  <si>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%,V2320086</t>
  </si>
  <si>
    <t>2320086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</si>
  <si>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</si>
  <si>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</si>
  <si>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</si>
  <si>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</si>
  <si>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</si>
  <si>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</si>
  <si>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</si>
  <si>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</si>
  <si>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</si>
  <si>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</si>
  <si>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</si>
  <si>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</si>
  <si>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</si>
  <si>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</si>
  <si>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</si>
  <si>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</si>
  <si>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</si>
  <si>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</si>
  <si>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</si>
  <si>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</si>
  <si>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</si>
  <si>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</si>
  <si>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</si>
  <si>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</si>
  <si>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</si>
  <si>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</si>
  <si>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</si>
  <si>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</si>
  <si>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</si>
  <si>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</si>
  <si>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</si>
  <si>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</si>
  <si>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</si>
  <si>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</si>
  <si>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</si>
  <si>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</si>
  <si>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</si>
  <si>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</si>
  <si>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</si>
  <si>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</si>
  <si>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</si>
  <si>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</si>
  <si>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</si>
  <si>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</si>
  <si>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</si>
  <si>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</si>
  <si>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</si>
  <si>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</si>
  <si>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</si>
  <si>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</si>
  <si>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</si>
  <si>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%,V236000208</t>
  </si>
  <si>
    <t>236000208</t>
  </si>
  <si>
    <t>State Income Taxes</t>
  </si>
  <si>
    <t>%,V236000209</t>
  </si>
  <si>
    <t>236000209</t>
  </si>
  <si>
    <t>%,V236000210</t>
  </si>
  <si>
    <t>236000210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</si>
  <si>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</si>
  <si>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</si>
  <si>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</si>
  <si>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</si>
  <si>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</si>
  <si>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</si>
  <si>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</si>
  <si>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</si>
  <si>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</si>
  <si>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%,V236000709</t>
  </si>
  <si>
    <t>236000709</t>
  </si>
  <si>
    <t>State Sales and Use Taxes</t>
  </si>
  <si>
    <t>%,V236000710</t>
  </si>
  <si>
    <t>236000710</t>
  </si>
  <si>
    <t>%,V236000808</t>
  </si>
  <si>
    <t>236000808</t>
  </si>
  <si>
    <t>Real &amp; Personal Property Taxes</t>
  </si>
  <si>
    <t>%,V236000809</t>
  </si>
  <si>
    <t>236000809</t>
  </si>
  <si>
    <t>%,V236000910</t>
  </si>
  <si>
    <t>236000910</t>
  </si>
  <si>
    <t>Federal Excise Taxes</t>
  </si>
  <si>
    <t>%,V236001208</t>
  </si>
  <si>
    <t>236001208</t>
  </si>
  <si>
    <t>State Franchise Taxes</t>
  </si>
  <si>
    <t>%,V236001209</t>
  </si>
  <si>
    <t>236001209</t>
  </si>
  <si>
    <t>%,V236001210</t>
  </si>
  <si>
    <t>236001210</t>
  </si>
  <si>
    <t>%,V236001609</t>
  </si>
  <si>
    <t>236001609</t>
  </si>
  <si>
    <t>State Gross Receipts Tax</t>
  </si>
  <si>
    <t>%,V236001610</t>
  </si>
  <si>
    <t>236001610</t>
  </si>
  <si>
    <t>%,V236003309</t>
  </si>
  <si>
    <t>236003309</t>
  </si>
  <si>
    <t>Pers Prop Tax-Cap Leases</t>
  </si>
  <si>
    <t>%,V236003310</t>
  </si>
  <si>
    <t>236003310</t>
  </si>
  <si>
    <t>%,V236003509</t>
  </si>
  <si>
    <t>236003509</t>
  </si>
  <si>
    <t>Real Prop Tax-Cap Leases</t>
  </si>
  <si>
    <t>%,V236003510</t>
  </si>
  <si>
    <t>236003510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</si>
  <si>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</si>
  <si>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</si>
  <si>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</si>
  <si>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</si>
  <si>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</si>
  <si>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</si>
  <si>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</si>
  <si>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</si>
  <si>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</si>
  <si>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</si>
  <si>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</si>
  <si>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</si>
  <si>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</si>
  <si>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</si>
  <si>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</si>
  <si>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</si>
  <si>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</si>
  <si>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</si>
  <si>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</si>
  <si>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</si>
  <si>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</si>
  <si>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</si>
  <si>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</si>
  <si>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</si>
  <si>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</si>
  <si>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</si>
  <si>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</si>
  <si>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</si>
  <si>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</si>
  <si>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</si>
  <si>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</si>
  <si>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</si>
  <si>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</si>
  <si>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</si>
  <si>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</si>
  <si>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</si>
  <si>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</si>
  <si>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</si>
  <si>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</si>
  <si>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</si>
  <si>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</si>
  <si>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</si>
  <si>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</si>
  <si>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</si>
  <si>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</si>
  <si>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</si>
  <si>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</si>
  <si>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</si>
  <si>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</si>
  <si>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</si>
  <si>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</si>
  <si>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</si>
  <si>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</si>
  <si>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</si>
  <si>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</si>
  <si>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</si>
  <si>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</si>
  <si>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</si>
  <si>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</si>
  <si>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</si>
  <si>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</si>
  <si>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</si>
  <si>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</si>
  <si>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</si>
  <si>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</si>
  <si>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</si>
  <si>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</si>
  <si>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</si>
  <si>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</si>
  <si>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</si>
  <si>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</si>
  <si>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</si>
  <si>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</si>
  <si>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</si>
  <si>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</si>
  <si>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%,V2410006</t>
  </si>
  <si>
    <t>2410006</t>
  </si>
  <si>
    <t>School District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</si>
  <si>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</si>
  <si>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</si>
  <si>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</si>
  <si>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</si>
  <si>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</si>
  <si>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</si>
  <si>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</si>
  <si>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</si>
  <si>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</si>
  <si>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</si>
  <si>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</si>
  <si>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</si>
  <si>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</si>
  <si>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</si>
  <si>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</si>
  <si>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</si>
  <si>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</si>
  <si>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</si>
  <si>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</si>
  <si>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</si>
  <si>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</si>
  <si>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</si>
  <si>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</si>
  <si>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</si>
  <si>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</si>
  <si>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</si>
  <si>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</si>
  <si>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</si>
  <si>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</si>
  <si>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%,V2420009</t>
  </si>
  <si>
    <t>2420009</t>
  </si>
  <si>
    <t>Depend Care/Flex Medical Spend</t>
  </si>
  <si>
    <t>%,V2420044</t>
  </si>
  <si>
    <t>2420044</t>
  </si>
  <si>
    <t>P/R Withholdings</t>
  </si>
  <si>
    <t>%,V2420554</t>
  </si>
  <si>
    <t>2420554</t>
  </si>
  <si>
    <t>P/R Ded - Stock Purchase Plan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</si>
  <si>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</si>
  <si>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</si>
  <si>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</si>
  <si>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</si>
  <si>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</si>
  <si>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</si>
  <si>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</si>
  <si>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</si>
  <si>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</si>
  <si>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</si>
  <si>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</si>
  <si>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</si>
  <si>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</si>
  <si>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</si>
  <si>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</si>
  <si>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</si>
  <si>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</si>
  <si>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</si>
  <si>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</si>
  <si>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</si>
  <si>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</si>
  <si>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</si>
  <si>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</si>
  <si>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</si>
  <si>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</si>
  <si>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</si>
  <si>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</si>
  <si>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</si>
  <si>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</si>
  <si>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</si>
  <si>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</si>
  <si>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</si>
  <si>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</si>
  <si>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%,V242059209</t>
  </si>
  <si>
    <t>242059209</t>
  </si>
  <si>
    <t>Sales &amp; Use Tax - Leased Equ</t>
  </si>
  <si>
    <t>%,V242059210</t>
  </si>
  <si>
    <t>242059210</t>
  </si>
  <si>
    <t>Sales Use Tax - Leased Equip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</si>
  <si>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</si>
  <si>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</si>
  <si>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</si>
  <si>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</si>
  <si>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</si>
  <si>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</si>
  <si>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</si>
  <si>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</si>
  <si>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</si>
  <si>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</si>
  <si>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</si>
  <si>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</si>
  <si>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</si>
  <si>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</si>
  <si>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</si>
  <si>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</si>
  <si>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</si>
  <si>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</si>
  <si>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</si>
  <si>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</si>
  <si>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</si>
  <si>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</si>
  <si>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</si>
  <si>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</si>
  <si>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</si>
  <si>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</si>
  <si>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</si>
  <si>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</si>
  <si>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</si>
  <si>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</si>
  <si>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</si>
  <si>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</si>
  <si>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</si>
  <si>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</si>
  <si>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</si>
  <si>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</si>
  <si>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</si>
  <si>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</si>
  <si>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</si>
  <si>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</si>
  <si>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</si>
  <si>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</si>
  <si>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</si>
  <si>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</si>
  <si>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</si>
  <si>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</si>
  <si>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</si>
  <si>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</si>
  <si>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</si>
  <si>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</si>
  <si>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</si>
  <si>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</si>
  <si>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</si>
  <si>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</si>
  <si>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</si>
  <si>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</si>
  <si>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</si>
  <si>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</si>
  <si>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</si>
  <si>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</si>
  <si>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</si>
  <si>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</si>
  <si>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</si>
  <si>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</si>
  <si>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</si>
  <si>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</si>
  <si>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</si>
  <si>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</si>
  <si>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</si>
  <si>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</si>
  <si>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</si>
  <si>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</si>
  <si>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</si>
  <si>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</si>
  <si>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</si>
  <si>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</si>
  <si>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</si>
  <si>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</si>
  <si>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</si>
  <si>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</si>
  <si>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</si>
  <si>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</si>
  <si>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</si>
  <si>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</si>
  <si>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</si>
  <si>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</si>
  <si>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</si>
  <si>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</si>
  <si>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</si>
  <si>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</si>
  <si>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</si>
  <si>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</si>
  <si>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</si>
  <si>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</si>
  <si>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</si>
  <si>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</si>
  <si>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</si>
  <si>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</si>
  <si>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</si>
  <si>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</si>
  <si>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</si>
  <si>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</si>
  <si>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</si>
  <si>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</si>
  <si>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</si>
  <si>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</si>
  <si>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</si>
  <si>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</si>
  <si>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</si>
  <si>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</si>
  <si>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</si>
  <si>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</si>
  <si>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</si>
  <si>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</si>
  <si>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</si>
  <si>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</si>
  <si>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</si>
  <si>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%,V2530101</t>
  </si>
  <si>
    <t>2530101</t>
  </si>
  <si>
    <t>MACSS Unidentified EDI Cash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</si>
  <si>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</si>
  <si>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</si>
  <si>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</si>
  <si>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</si>
  <si>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</si>
  <si>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</si>
  <si>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</si>
  <si>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</si>
  <si>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</si>
  <si>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</si>
  <si>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</si>
  <si>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</si>
  <si>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</si>
  <si>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</si>
  <si>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</si>
  <si>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</si>
  <si>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</si>
  <si>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</si>
  <si>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</si>
  <si>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</si>
  <si>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</si>
  <si>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2010-10-31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</si>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</sst>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598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92</v>
      </c>
      <c r="B1" s="15" t="s">
        <v>121</v>
      </c>
      <c r="C1" s="134" t="s">
        <v>0</v>
      </c>
      <c r="D1" s="16"/>
      <c r="E1" s="16"/>
      <c r="F1" s="16" t="s">
        <v>92</v>
      </c>
      <c r="G1" s="16" t="s">
        <v>242</v>
      </c>
      <c r="H1" s="16" t="s">
        <v>53</v>
      </c>
      <c r="I1" s="53" t="s">
        <v>53</v>
      </c>
      <c r="J1" s="174"/>
      <c r="K1" s="256" t="s">
        <v>350</v>
      </c>
      <c r="L1" s="16" t="s">
        <v>53</v>
      </c>
      <c r="M1" s="53" t="s">
        <v>53</v>
      </c>
      <c r="N1" s="174"/>
      <c r="O1" s="256" t="s">
        <v>93</v>
      </c>
      <c r="P1" s="16" t="s">
        <v>53</v>
      </c>
      <c r="Q1" s="53" t="s">
        <v>53</v>
      </c>
    </row>
    <row r="2" spans="3:16" ht="12.75">
      <c r="C2" s="17"/>
      <c r="F2" s="257" t="str">
        <f>IF($C$584="Error",$C$589,IF($C$590="Error",$C$586&amp;" - "&amp;$C$585,IF($C$590=$C$589,$C$590&amp;" -"&amp;$C$584,$C$590&amp;" - "&amp;$C$589)))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IF(C580&gt;0,"REPORT HAS "&amp;C580&amp;" DATA ERROR(S)","")</f>
      </c>
      <c r="F3" s="258" t="s">
        <v>330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TEXT(+$C$574,"MMMM dd, YYYY")</f>
        <v>October 31, 2010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11/09/2010  14:31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IF(C587&lt;&gt;"Error",C587,"")</f>
        <v>X_OPR_COS</v>
      </c>
      <c r="C6" s="44" t="str">
        <f>"Rpt ID: "&amp;C582&amp;"      Layout: "&amp;C583</f>
        <v>Rpt ID: GLR2200V      Layout: GLR2200V</v>
      </c>
      <c r="D6" s="19"/>
      <c r="E6" s="19"/>
      <c r="F6" s="8" t="s">
        <v>245</v>
      </c>
      <c r="G6" s="19"/>
      <c r="H6" s="50" t="s">
        <v>71</v>
      </c>
      <c r="I6" s="172"/>
      <c r="J6" s="173"/>
      <c r="K6" s="148" t="s">
        <v>349</v>
      </c>
      <c r="L6" s="50" t="s">
        <v>71</v>
      </c>
      <c r="N6" s="173"/>
      <c r="O6" s="148" t="s">
        <v>243</v>
      </c>
      <c r="P6" s="50" t="s">
        <v>71</v>
      </c>
    </row>
    <row r="7" spans="1:17" s="13" customFormat="1" ht="13.5" thickBot="1">
      <c r="A7" s="11"/>
      <c r="B7" s="21" t="str">
        <f>IF(C584="Error",""&amp;C590,IF(C590="Error",""&amp;C586,""&amp;C590))</f>
        <v>KYP_CORP_CONSOL</v>
      </c>
      <c r="C7" s="9" t="str">
        <f>IF($C$584="Error",NvsTreeASD&amp;" Acct: PRPT_ACCOUNT      BU: "&amp;+$C$591,IF(C590="Error",NvsTreeASD&amp;" Acct: PRPT_ACCOUNT     BU: "&amp;+$C$586,NvsTreeASD&amp;"  Acct: PRPT_ACCOUNT    BU: "&amp;+$C$590))</f>
        <v>V2099-01-01 Acct: PRPT_ACCOUNT      BU: GL_PRPT_CONS</v>
      </c>
      <c r="D7" s="5"/>
      <c r="E7" s="5"/>
      <c r="F7" s="29" t="str">
        <f>TEXT($C$574,"YYYY")</f>
        <v>2010</v>
      </c>
      <c r="G7" s="10">
        <f>+F7-1</f>
        <v>2009</v>
      </c>
      <c r="H7" s="24" t="s">
        <v>54</v>
      </c>
      <c r="I7" s="54" t="s">
        <v>55</v>
      </c>
      <c r="J7" s="24"/>
      <c r="K7" s="149" t="str">
        <f>+F7</f>
        <v>2010</v>
      </c>
      <c r="L7" s="24" t="s">
        <v>54</v>
      </c>
      <c r="M7" s="54" t="s">
        <v>55</v>
      </c>
      <c r="N7" s="24"/>
      <c r="O7" s="149" t="s">
        <v>244</v>
      </c>
      <c r="P7" s="24" t="s">
        <v>54</v>
      </c>
      <c r="Q7" s="54" t="s">
        <v>55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77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1602326156.88</v>
      </c>
      <c r="G11" s="16">
        <v>1524353323.87</v>
      </c>
      <c r="H11" s="16">
        <f>+F11-G11</f>
        <v>77972833.01000023</v>
      </c>
      <c r="I11" s="53">
        <f>IF(G11&lt;0,IF(H11=0,0,IF(OR(G11=0,F11=0),"N.M.",IF(ABS(H11/G11)&gt;=10,"N.M.",H11/(-G11)))),IF(H11=0,0,IF(OR(G11=0,F11=0),"N.M.",IF(ABS(H11/G11)&gt;=10,"N.M.",H11/G11))))</f>
        <v>0.05115141731842343</v>
      </c>
      <c r="J11" s="174"/>
      <c r="K11" s="256">
        <v>1601115292.01</v>
      </c>
      <c r="L11" s="16">
        <f>+F11-K11</f>
        <v>1210864.870000124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1536588920.96</v>
      </c>
      <c r="P11" s="16">
        <f>+F11-O11</f>
        <v>65737235.92000008</v>
      </c>
      <c r="Q11" s="53">
        <f>IF(O11&lt;0,IF(P11=0,0,IF(OR(O11=0,F11=0),"N.M.",IF(ABS(P11/O11)&gt;=10,"N.M.",P11/(-O11)))),IF(P11=0,0,IF(OR(O11=0,F11=0),"N.M.",IF(ABS(P11/O11)&gt;=10,"N.M.",P11/O11))))</f>
        <v>0.04278127677696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6658779.48</v>
      </c>
      <c r="G12" s="16">
        <v>3863525.64</v>
      </c>
      <c r="H12" s="16">
        <f>+F12-G12</f>
        <v>2795253.8400000003</v>
      </c>
      <c r="I12" s="53">
        <f>IF(G12&lt;0,IF(H12=0,0,IF(OR(G12=0,F12=0),"N.M.",IF(ABS(H12/G12)&gt;=10,"N.M.",H12/(-G12)))),IF(H12=0,0,IF(OR(G12=0,F12=0),"N.M.",IF(ABS(H12/G12)&gt;=10,"N.M.",H12/G12))))</f>
        <v>0.7234981983968405</v>
      </c>
      <c r="J12" s="174"/>
      <c r="K12" s="256">
        <v>6742571.91</v>
      </c>
      <c r="L12" s="16">
        <f>+F12-K12</f>
        <v>-83792.4299999997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3378616.12</v>
      </c>
      <c r="P12" s="16">
        <f>+F12-O12</f>
        <v>3280163.3600000003</v>
      </c>
      <c r="Q12" s="53">
        <f>IF(O12&lt;0,IF(P12=0,0,IF(OR(O12=0,F12=0),"N.M.",IF(ABS(P12/O12)&gt;=10,"N.M.",P12/(-O12)))),IF(P12=0,0,IF(OR(O12=0,F12=0),"N.M.",IF(ABS(P12/O12)&gt;=10,"N.M.",P12/O12))))</f>
        <v>0.9708600336637239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26553214.66</v>
      </c>
      <c r="G14" s="16">
        <v>69031068.13</v>
      </c>
      <c r="H14" s="16">
        <f>+F14-G14</f>
        <v>-42477853.47</v>
      </c>
      <c r="I14" s="53">
        <f>IF(G14&lt;0,IF(H14=0,0,IF(OR(G14=0,F14=0),"N.M.",IF(ABS(H14/G14)&gt;=10,"N.M.",H14/(-G14)))),IF(H14=0,0,IF(OR(G14=0,F14=0),"N.M.",IF(ABS(H14/G14)&gt;=10,"N.M.",H14/G14))))</f>
        <v>-0.6153439982995089</v>
      </c>
      <c r="J14" s="174"/>
      <c r="K14" s="256">
        <v>25354302.7</v>
      </c>
      <c r="L14" s="16">
        <f>+F14-K14</f>
        <v>1198911.960000001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61640980.6</v>
      </c>
      <c r="P14" s="16">
        <f>+F14-O14</f>
        <v>-35087765.94</v>
      </c>
      <c r="Q14" s="53">
        <f>IF(O14&lt;0,IF(P14=0,0,IF(OR(O14=0,F14=0),"N.M.",IF(ABS(P14/O14)&gt;=10,"N.M.",P14/(-O14)))),IF(P14=0,0,IF(OR(O14=0,F14=0),"N.M.",IF(ABS(P14/O14)&gt;=10,"N.M.",P14/O14))))</f>
        <v>-0.5692278999857442</v>
      </c>
    </row>
    <row r="15" spans="1:17" s="67" customFormat="1" ht="12.75" collapsed="1">
      <c r="A15" s="67" t="s">
        <v>348</v>
      </c>
      <c r="B15" s="68"/>
      <c r="C15" s="81" t="s">
        <v>80</v>
      </c>
      <c r="D15" s="66"/>
      <c r="E15" s="66"/>
      <c r="F15" s="51">
        <v>1642974701.7500002</v>
      </c>
      <c r="G15" s="51">
        <v>1604684468.37</v>
      </c>
      <c r="H15" s="51">
        <f>+F15-G15</f>
        <v>38290233.38000035</v>
      </c>
      <c r="I15" s="136">
        <f>IF(G15&lt;0,IF(H15=0,0,IF(OR(G15=0,F15=0),"N.M.",IF(ABS(H15/G15)&gt;=10,"N.M.",H15/(-G15)))),IF(H15=0,0,IF(OR(G15=0,F15=0),"N.M.",IF(ABS(H15/G15)&gt;=10,"N.M.",H15/G15))))</f>
        <v>0.023861534236007568</v>
      </c>
      <c r="J15" s="157"/>
      <c r="K15" s="51">
        <v>1640648717.3500001</v>
      </c>
      <c r="L15" s="51">
        <f>+F15-K15</f>
        <v>2325984.4000000954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1609045068.4099998</v>
      </c>
      <c r="P15" s="51">
        <f>+F15-O15</f>
        <v>33929633.34000039</v>
      </c>
      <c r="Q15" s="136">
        <f>IF(O15&lt;0,IF(P15=0,0,IF(OR(O15=0,F15=0),"N.M.",IF(ABS(P15/O15)&gt;=10,"N.M.",P15/(-O15)))),IF(P15=0,0,IF(OR(O15=0,F15=0),"N.M.",IF(ABS(P15/O15)&gt;=10,"N.M.",P15/O15))))</f>
        <v>0.02108681354309636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51.02</v>
      </c>
      <c r="G17" s="16">
        <v>8227.73</v>
      </c>
      <c r="H17" s="16">
        <f>+F17-G17</f>
        <v>-8176.709999999999</v>
      </c>
      <c r="I17" s="53">
        <f>IF(G17&lt;0,IF(H17=0,0,IF(OR(G17=0,F17=0),"N.M.",IF(ABS(H17/G17)&gt;=10,"N.M.",H17/(-G17)))),IF(H17=0,0,IF(OR(G17=0,F17=0),"N.M.",IF(ABS(H17/G17)&gt;=10,"N.M.",H17/G17))))</f>
        <v>-0.9937990186843758</v>
      </c>
      <c r="J17" s="174"/>
      <c r="K17" s="256">
        <v>9565.23</v>
      </c>
      <c r="L17" s="16">
        <f>+F17-K17</f>
        <v>-9514.21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1513.6000000000001</v>
      </c>
      <c r="P17" s="16">
        <f>+F17-O17</f>
        <v>-1462.5800000000002</v>
      </c>
      <c r="Q17" s="53">
        <f>IF(O17&lt;0,IF(P17=0,0,IF(OR(O17=0,F17=0),"N.M.",IF(ABS(P17/O17)&gt;=10,"N.M.",P17/(-O17)))),IF(P17=0,0,IF(OR(O17=0,F17=0),"N.M.",IF(ABS(P17/O17)&gt;=10,"N.M.",P17/O17))))</f>
        <v>-0.9662922832980972</v>
      </c>
    </row>
    <row r="18" spans="1:17" s="67" customFormat="1" ht="12.75" collapsed="1">
      <c r="A18" s="67" t="s">
        <v>169</v>
      </c>
      <c r="B18" s="68"/>
      <c r="C18" s="81" t="s">
        <v>79</v>
      </c>
      <c r="D18" s="66"/>
      <c r="E18" s="66"/>
      <c r="F18" s="51">
        <v>51.02</v>
      </c>
      <c r="G18" s="51">
        <v>8227.73</v>
      </c>
      <c r="H18" s="51">
        <f>+F18-G18</f>
        <v>-8176.709999999999</v>
      </c>
      <c r="I18" s="136">
        <f>IF(G18&lt;0,IF(H18=0,0,IF(OR(G18=0,F18=0),"N.M.",IF(ABS(H18/G18)&gt;=10,"N.M.",H18/(-G18)))),IF(H18=0,0,IF(OR(G18=0,F18=0),"N.M.",IF(ABS(H18/G18)&gt;=10,"N.M.",H18/G18))))</f>
        <v>-0.9937990186843758</v>
      </c>
      <c r="J18" s="157"/>
      <c r="K18" s="51">
        <v>9565.23</v>
      </c>
      <c r="L18" s="51">
        <f>+F18-K18</f>
        <v>-9514.21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1513.6000000000001</v>
      </c>
      <c r="P18" s="51">
        <f>+F18-O18</f>
        <v>-1462.5800000000002</v>
      </c>
      <c r="Q18" s="136">
        <f>IF(O18&lt;0,IF(P18=0,0,IF(OR(O18=0,F18=0),"N.M.",IF(ABS(P18/O18)&gt;=10,"N.M.",P18/(-O18)))),IF(P18=0,0,IF(OR(O18=0,F18=0),"N.M.",IF(ABS(P18/O18)&gt;=10,"N.M.",P18/O18))))</f>
        <v>-0.9662922832980972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26302620.838</v>
      </c>
      <c r="G20" s="16">
        <v>27537947.535</v>
      </c>
      <c r="H20" s="16">
        <f>+F20-G20</f>
        <v>-1235326.6970000006</v>
      </c>
      <c r="I20" s="53">
        <f>IF(G20&lt;0,IF(H20=0,0,IF(OR(G20=0,F20=0),"N.M.",IF(ABS(H20/G20)&gt;=10,"N.M.",H20/(-G20)))),IF(H20=0,0,IF(OR(G20=0,F20=0),"N.M.",IF(ABS(H20/G20)&gt;=10,"N.M.",H20/G20))))</f>
        <v>-0.04485906930536247</v>
      </c>
      <c r="J20" s="174"/>
      <c r="K20" s="256">
        <v>25315678.448</v>
      </c>
      <c r="L20" s="16">
        <f>+F20-K20</f>
        <v>986942.3900000006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28408870.427</v>
      </c>
      <c r="P20" s="16">
        <f>+F20-O20</f>
        <v>-2106249.5890000015</v>
      </c>
      <c r="Q20" s="53">
        <f>IF(O20&lt;0,IF(P20=0,0,IF(OR(O20=0,F20=0),"N.M.",IF(ABS(P20/O20)&gt;=10,"N.M.",P20/(-O20)))),IF(P20=0,0,IF(OR(O20=0,F20=0),"N.M.",IF(ABS(P20/O20)&gt;=10,"N.M.",P20/O20))))</f>
        <v>-0.0741405609354396</v>
      </c>
    </row>
    <row r="21" spans="1:17" s="67" customFormat="1" ht="12.75" collapsed="1">
      <c r="A21" s="67" t="s">
        <v>170</v>
      </c>
      <c r="B21" s="68"/>
      <c r="C21" s="81" t="s">
        <v>78</v>
      </c>
      <c r="D21" s="66"/>
      <c r="E21" s="66"/>
      <c r="F21" s="51">
        <v>26302620.838</v>
      </c>
      <c r="G21" s="51">
        <v>27537947.535</v>
      </c>
      <c r="H21" s="51">
        <f>+F21-G21</f>
        <v>-1235326.6970000006</v>
      </c>
      <c r="I21" s="136">
        <f>IF(G21&lt;0,IF(H21=0,0,IF(OR(G21=0,F21=0),"N.M.",IF(ABS(H21/G21)&gt;=10,"N.M.",H21/(-G21)))),IF(H21=0,0,IF(OR(G21=0,F21=0),"N.M.",IF(ABS(H21/G21)&gt;=10,"N.M.",H21/G21))))</f>
        <v>-0.04485906930536247</v>
      </c>
      <c r="J21" s="157"/>
      <c r="K21" s="51">
        <v>25315678.448</v>
      </c>
      <c r="L21" s="51">
        <f>+F21-K21</f>
        <v>986942.3900000006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28408870.427</v>
      </c>
      <c r="P21" s="51">
        <f>+F21-O21</f>
        <v>-2106249.5890000015</v>
      </c>
      <c r="Q21" s="136">
        <f>IF(O21&lt;0,IF(P21=0,0,IF(OR(O21=0,F21=0),"N.M.",IF(ABS(P21/O21)&gt;=10,"N.M.",P21/(-O21)))),IF(P21=0,0,IF(OR(O21=0,F21=0),"N.M.",IF(ABS(P21/O21)&gt;=10,"N.M.",P21/O21))))</f>
        <v>-0.0741405609354396</v>
      </c>
    </row>
    <row r="22" spans="1:17" s="75" customFormat="1" ht="12.75">
      <c r="A22" s="75" t="s">
        <v>111</v>
      </c>
      <c r="B22" s="93"/>
      <c r="C22" s="75" t="s">
        <v>81</v>
      </c>
      <c r="D22" s="73"/>
      <c r="E22" s="73"/>
      <c r="F22" s="74">
        <f>+F21+F18+F15</f>
        <v>1669277373.6080003</v>
      </c>
      <c r="G22" s="74">
        <f>+G21+G18+G15</f>
        <v>1632230643.635</v>
      </c>
      <c r="H22" s="74">
        <f>+F22-G22</f>
        <v>37046729.97300029</v>
      </c>
      <c r="I22" s="137">
        <f>IF(G22&lt;0,IF(H22=0,0,IF(OR(G22=0,F22=0),"N.M.",IF(ABS(H22/G22)&gt;=10,"N.M.",H22/(-G22)))),IF(H22=0,0,IF(OR(G22=0,F22=0),"N.M.",IF(ABS(H22/G22)&gt;=10,"N.M.",H22/G22))))</f>
        <v>0.022696994519412227</v>
      </c>
      <c r="J22" s="160" t="s">
        <v>72</v>
      </c>
      <c r="K22" s="74">
        <f>+K21+K18+K15</f>
        <v>1665973961.028</v>
      </c>
      <c r="L22" s="74">
        <f>+F22-K22</f>
        <v>3303412.580000162</v>
      </c>
      <c r="M22" s="137">
        <f>IF(K22&lt;0,IF(L22=0,0,IF(OR(K22=0,N22=0),"N.M.",IF(ABS(L22/K22)&gt;=10,"N.M.",L22/(-K22)))),IF(L22=0,0,IF(OR(K22=0,N22=0),"N.M.",IF(ABS(L22/K22)&gt;=10,"N.M.",L22/K22))))</f>
        <v>0.001982871675834459</v>
      </c>
      <c r="N22" s="160" t="s">
        <v>72</v>
      </c>
      <c r="O22" s="74">
        <f>+O21+O18+O15</f>
        <v>1637455452.4369998</v>
      </c>
      <c r="P22" s="74">
        <f>+F22-O22</f>
        <v>31821921.17100048</v>
      </c>
      <c r="Q22" s="137">
        <f>IF(O22&lt;0,IF(P22=0,0,IF(OR(O22=0,F22=0),"N.M.",IF(ABS(P22/O22)&gt;=10,"N.M.",P22/(-O22)))),IF(P22=0,0,IF(OR(O22=0,F22=0),"N.M.",IF(ABS(P22/O22)&gt;=10,"N.M.",P22/O22))))</f>
        <v>0.019433762991011697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-2131945.97</v>
      </c>
      <c r="G24" s="16">
        <v>-1930778.6800000002</v>
      </c>
      <c r="H24" s="16">
        <f aca="true" t="shared" si="0" ref="H24:H29">+F24-G24</f>
        <v>-201167.29000000004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-0.10418971997349796</v>
      </c>
      <c r="J24" s="174"/>
      <c r="K24" s="256">
        <v>-2090726.96</v>
      </c>
      <c r="L24" s="16">
        <f aca="true" t="shared" si="2" ref="L24:L29">+F24-K24</f>
        <v>-41219.01000000024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-1627324.8900000001</v>
      </c>
      <c r="P24" s="16">
        <f aca="true" t="shared" si="4" ref="P24:P29">+F24-O24</f>
        <v>-504621.0800000001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-0.3100923995576569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-517159731.348</v>
      </c>
      <c r="G25" s="16">
        <v>-487602322.088</v>
      </c>
      <c r="H25" s="16">
        <f t="shared" si="0"/>
        <v>-29557409.25999999</v>
      </c>
      <c r="I25" s="53">
        <f t="shared" si="1"/>
        <v>-0.06061785992615847</v>
      </c>
      <c r="J25" s="174"/>
      <c r="K25" s="256">
        <v>-514498803.848</v>
      </c>
      <c r="L25" s="16">
        <f t="shared" si="2"/>
        <v>-2660927.5</v>
      </c>
      <c r="M25" s="53" t="str">
        <f t="shared" si="3"/>
        <v>N.M.</v>
      </c>
      <c r="N25" s="174"/>
      <c r="O25" s="256">
        <v>-493467052.468</v>
      </c>
      <c r="P25" s="16">
        <f t="shared" si="4"/>
        <v>-23692678.879999995</v>
      </c>
      <c r="Q25" s="53">
        <f t="shared" si="5"/>
        <v>-0.048012686483331936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968963.241</v>
      </c>
      <c r="G26" s="16">
        <v>3825586.615</v>
      </c>
      <c r="H26" s="16">
        <f t="shared" si="0"/>
        <v>-2856623.3740000003</v>
      </c>
      <c r="I26" s="53">
        <f t="shared" si="1"/>
        <v>-0.7467151214925505</v>
      </c>
      <c r="J26" s="174"/>
      <c r="K26" s="256">
        <v>829791.721</v>
      </c>
      <c r="L26" s="16">
        <f t="shared" si="2"/>
        <v>139171.52000000002</v>
      </c>
      <c r="M26" s="53" t="str">
        <f t="shared" si="3"/>
        <v>N.M.</v>
      </c>
      <c r="N26" s="174"/>
      <c r="O26" s="256">
        <v>3767366.255</v>
      </c>
      <c r="P26" s="16">
        <f t="shared" si="4"/>
        <v>-2798403.014</v>
      </c>
      <c r="Q26" s="53">
        <f t="shared" si="5"/>
        <v>-0.7428008918129464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-28881577.45</v>
      </c>
      <c r="G27" s="16">
        <v>-26732600.25</v>
      </c>
      <c r="H27" s="16">
        <f t="shared" si="0"/>
        <v>-2148977.1999999993</v>
      </c>
      <c r="I27" s="53">
        <f t="shared" si="1"/>
        <v>-0.08038788520020604</v>
      </c>
      <c r="J27" s="174"/>
      <c r="K27" s="256">
        <v>-28659930.64</v>
      </c>
      <c r="L27" s="16">
        <f t="shared" si="2"/>
        <v>-221646.80999999866</v>
      </c>
      <c r="M27" s="53" t="str">
        <f t="shared" si="3"/>
        <v>N.M.</v>
      </c>
      <c r="N27" s="174"/>
      <c r="O27" s="256">
        <v>-26544599.6</v>
      </c>
      <c r="P27" s="16">
        <f t="shared" si="4"/>
        <v>-2336977.8499999978</v>
      </c>
      <c r="Q27" s="53">
        <f t="shared" si="5"/>
        <v>-0.08803967229552777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1958262.63</v>
      </c>
      <c r="G28" s="16">
        <v>1484769.34</v>
      </c>
      <c r="H28" s="16">
        <f t="shared" si="0"/>
        <v>473493.2899999998</v>
      </c>
      <c r="I28" s="53">
        <f t="shared" si="1"/>
        <v>0.3189002340255758</v>
      </c>
      <c r="J28" s="174"/>
      <c r="K28" s="256">
        <v>1919304.7000000002</v>
      </c>
      <c r="L28" s="16">
        <f t="shared" si="2"/>
        <v>38957.9299999997</v>
      </c>
      <c r="M28" s="53" t="str">
        <f t="shared" si="3"/>
        <v>N.M.</v>
      </c>
      <c r="N28" s="174"/>
      <c r="O28" s="256">
        <v>1565334.08</v>
      </c>
      <c r="P28" s="16">
        <f t="shared" si="4"/>
        <v>392928.5499999998</v>
      </c>
      <c r="Q28" s="53">
        <f t="shared" si="5"/>
        <v>0.25101897097902565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-20435849.69</v>
      </c>
      <c r="G29" s="16">
        <v>-21232913.88</v>
      </c>
      <c r="H29" s="16">
        <f t="shared" si="0"/>
        <v>797064.1899999976</v>
      </c>
      <c r="I29" s="53">
        <f t="shared" si="1"/>
        <v>0.03753908646287024</v>
      </c>
      <c r="J29" s="174"/>
      <c r="K29" s="256">
        <v>-20102364.8</v>
      </c>
      <c r="L29" s="16">
        <f t="shared" si="2"/>
        <v>-333484.8900000006</v>
      </c>
      <c r="M29" s="53" t="str">
        <f t="shared" si="3"/>
        <v>N.M.</v>
      </c>
      <c r="N29" s="174"/>
      <c r="O29" s="256">
        <v>-17291094.09</v>
      </c>
      <c r="P29" s="16">
        <f t="shared" si="4"/>
        <v>-3144755.6000000015</v>
      </c>
      <c r="Q29" s="53">
        <f t="shared" si="5"/>
        <v>-0.18187140638016167</v>
      </c>
    </row>
    <row r="30" spans="1:17" s="67" customFormat="1" ht="12.75" collapsed="1">
      <c r="A30" s="67" t="s">
        <v>168</v>
      </c>
      <c r="B30" s="68"/>
      <c r="C30" s="85" t="s">
        <v>82</v>
      </c>
      <c r="D30" s="66"/>
      <c r="E30" s="66"/>
      <c r="F30" s="197">
        <v>-565681878.5870001</v>
      </c>
      <c r="G30" s="197">
        <v>-532188258.943</v>
      </c>
      <c r="H30" s="197">
        <f>+F30-G30</f>
        <v>-33493619.644000113</v>
      </c>
      <c r="I30" s="138">
        <f>IF(G30&lt;0,IF(H30=0,0,IF(OR(G30=0,F30=0),"N.M.",IF(ABS(H30/G30)&gt;=10,"N.M.",H30/(-G30)))),IF(H30=0,0,IF(OR(G30=0,F30=0),"N.M.",IF(ABS(H30/G30)&gt;=10,"N.M.",H30/G30))))</f>
        <v>-0.06293566060725035</v>
      </c>
      <c r="J30" s="157"/>
      <c r="K30" s="197">
        <v>-562602729.8269999</v>
      </c>
      <c r="L30" s="197">
        <f>+F30-K30</f>
        <v>-3079148.760000229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-533597370.713</v>
      </c>
      <c r="P30" s="197">
        <f>+F30-O30</f>
        <v>-32084507.874000132</v>
      </c>
      <c r="Q30" s="138">
        <f>IF(O30&lt;0,IF(P30=0,0,IF(OR(O30=0,F30=0),"N.M.",IF(ABS(P30/O30)&gt;=10,"N.M.",P30/(-O30)))),IF(P30=0,0,IF(OR(O30=0,F30=0),"N.M.",IF(ABS(P30/O30)&gt;=10,"N.M.",P30/O30))))</f>
        <v>-0.06012868435076504</v>
      </c>
    </row>
    <row r="31" spans="1:17" s="67" customFormat="1" ht="12.75">
      <c r="A31" s="71" t="s">
        <v>112</v>
      </c>
      <c r="B31" s="72"/>
      <c r="C31" s="71" t="s">
        <v>73</v>
      </c>
      <c r="D31" s="66"/>
      <c r="E31" s="66"/>
      <c r="F31" s="74">
        <f>+F22+F30</f>
        <v>1103595495.0210001</v>
      </c>
      <c r="G31" s="74">
        <f>+G22+G30</f>
        <v>1100042384.692</v>
      </c>
      <c r="H31" s="74">
        <f>+F31-G31</f>
        <v>3553110.3290002346</v>
      </c>
      <c r="I31" s="137">
        <f>IF(G31&lt;0,IF(H31=0,0,IF(OR(G31=0,F31=0),"N.M.",IF(ABS(H31/G31)&gt;=10,"N.M.",H31/(-G31)))),IF(H31=0,0,IF(OR(G31=0,F31=0),"N.M.",IF(ABS(H31/G31)&gt;=10,"N.M.",H31/G31))))</f>
        <v>0.003229975843153596</v>
      </c>
      <c r="J31" s="157"/>
      <c r="K31" s="74">
        <f>+K22+K30</f>
        <v>1103371231.2010002</v>
      </c>
      <c r="L31" s="74">
        <f>+F31-K31</f>
        <v>224263.81999993324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1103858081.7239997</v>
      </c>
      <c r="P31" s="74">
        <f>+F31-O31</f>
        <v>-262586.7029995918</v>
      </c>
      <c r="Q31" s="137">
        <f>IF(O31&lt;0,IF(P31=0,0,IF(OR(O31=0,F31=0),"N.M.",IF(ABS(P31/O31)&gt;=10,"N.M.",P31/(-O31)))),IF(P31=0,0,IF(OR(O31=0,F31=0),"N.M.",IF(ABS(P31/O31)&gt;=10,"N.M.",P31/O31))))</f>
        <v>-0.00023788085384081738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161</v>
      </c>
      <c r="B35" s="72"/>
      <c r="C35" s="83" t="s">
        <v>89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-193834.97</v>
      </c>
      <c r="G36" s="16">
        <v>-187165.25</v>
      </c>
      <c r="H36" s="16">
        <f t="shared" si="6"/>
        <v>-6669.720000000001</v>
      </c>
      <c r="I36" s="53">
        <f t="shared" si="7"/>
        <v>-0.03563546117668745</v>
      </c>
      <c r="J36" s="174"/>
      <c r="K36" s="256">
        <v>-193279.16</v>
      </c>
      <c r="L36" s="16">
        <f t="shared" si="8"/>
        <v>-555.8099999999977</v>
      </c>
      <c r="M36" s="53" t="str">
        <f t="shared" si="9"/>
        <v>N.M.</v>
      </c>
      <c r="N36" s="174"/>
      <c r="O36" s="256">
        <v>-188276.87</v>
      </c>
      <c r="P36" s="16">
        <f t="shared" si="10"/>
        <v>-5558.100000000006</v>
      </c>
      <c r="Q36" s="53">
        <f t="shared" si="11"/>
        <v>-0.029520885916575975</v>
      </c>
    </row>
    <row r="37" spans="1:17" s="67" customFormat="1" ht="12.75" hidden="1" outlineLevel="1">
      <c r="A37" s="11" t="s">
        <v>162</v>
      </c>
      <c r="B37" s="72"/>
      <c r="C37" s="83" t="s">
        <v>90</v>
      </c>
      <c r="D37" s="66"/>
      <c r="E37" s="66"/>
      <c r="F37" s="51">
        <v>-193834.97</v>
      </c>
      <c r="G37" s="51">
        <v>-187165.25</v>
      </c>
      <c r="H37" s="51">
        <f t="shared" si="6"/>
        <v>-6669.720000000001</v>
      </c>
      <c r="I37" s="136">
        <f t="shared" si="7"/>
        <v>-0.03563546117668745</v>
      </c>
      <c r="J37" s="157"/>
      <c r="K37" s="51">
        <v>-193279.16</v>
      </c>
      <c r="L37" s="51">
        <f t="shared" si="8"/>
        <v>-555.8099999999977</v>
      </c>
      <c r="M37" s="136" t="str">
        <f t="shared" si="9"/>
        <v>N.M.</v>
      </c>
      <c r="N37" s="157"/>
      <c r="O37" s="51">
        <v>-188276.87</v>
      </c>
      <c r="P37" s="51">
        <f t="shared" si="10"/>
        <v>-5558.100000000006</v>
      </c>
      <c r="Q37" s="136">
        <f t="shared" si="11"/>
        <v>-0.029520885916575975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4533569.9</v>
      </c>
      <c r="P38" s="16">
        <f t="shared" si="10"/>
        <v>201405.72999999952</v>
      </c>
      <c r="Q38" s="53">
        <f t="shared" si="11"/>
        <v>0.04442541627074052</v>
      </c>
    </row>
    <row r="39" spans="1:17" s="67" customFormat="1" ht="12.75" hidden="1" outlineLevel="1">
      <c r="A39" s="11" t="s">
        <v>163</v>
      </c>
      <c r="B39" s="72"/>
      <c r="C39" s="84" t="s">
        <v>91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4533569.9</v>
      </c>
      <c r="P39" s="197">
        <f t="shared" si="10"/>
        <v>201405.72999999952</v>
      </c>
      <c r="Q39" s="138">
        <f t="shared" si="11"/>
        <v>0.04442541627074052</v>
      </c>
    </row>
    <row r="40" spans="1:17" s="67" customFormat="1" ht="12.75" collapsed="1">
      <c r="A40" s="69" t="s">
        <v>236</v>
      </c>
      <c r="B40" s="72"/>
      <c r="C40" s="81" t="s">
        <v>83</v>
      </c>
      <c r="D40" s="66"/>
      <c r="E40" s="66"/>
      <c r="F40" s="51">
        <f>+F35+F37+F39</f>
        <v>5505668.66</v>
      </c>
      <c r="G40" s="51">
        <f>+G35+G37+G39</f>
        <v>5310932.65</v>
      </c>
      <c r="H40" s="51">
        <f t="shared" si="6"/>
        <v>194736.00999999978</v>
      </c>
      <c r="I40" s="136">
        <f t="shared" si="7"/>
        <v>0.03666700800658802</v>
      </c>
      <c r="J40" s="157" t="s">
        <v>72</v>
      </c>
      <c r="K40" s="51">
        <f>+K35+K37+K39</f>
        <v>5506224.47</v>
      </c>
      <c r="L40" s="51">
        <f>+L35+L37+L39</f>
        <v>-555.8099999999977</v>
      </c>
      <c r="M40" s="136">
        <f t="shared" si="9"/>
        <v>-0.00010094212523086581</v>
      </c>
      <c r="N40" s="157" t="s">
        <v>72</v>
      </c>
      <c r="O40" s="51">
        <f>+O35+O37+O39</f>
        <v>5309821.03</v>
      </c>
      <c r="P40" s="51">
        <f>+P35+P37+P39</f>
        <v>195847.6299999995</v>
      </c>
      <c r="Q40" s="136">
        <f t="shared" si="11"/>
        <v>0.03688403599546546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115</v>
      </c>
      <c r="B42" s="78"/>
      <c r="C42" s="80" t="s">
        <v>116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119</v>
      </c>
      <c r="B43" s="78"/>
      <c r="C43" s="80" t="s">
        <v>117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120</v>
      </c>
      <c r="B44" s="78"/>
      <c r="C44" s="80" t="s">
        <v>118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237</v>
      </c>
      <c r="B45" s="68"/>
      <c r="C45" s="81" t="s">
        <v>84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72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72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129390.01000000001</v>
      </c>
      <c r="G48" s="16">
        <v>135823.58000000002</v>
      </c>
      <c r="H48" s="16">
        <f>+F48-G48</f>
        <v>-6433.570000000007</v>
      </c>
      <c r="I48" s="53">
        <f>IF(G48&lt;0,IF(H48=0,0,IF(OR(G48=0,F48=0),"N.M.",IF(ABS(H48/G48)&gt;=10,"N.M.",H48/(-G48)))),IF(H48=0,0,IF(OR(G48=0,F48=0),"N.M.",IF(ABS(H48/G48)&gt;=10,"N.M.",H48/G48))))</f>
        <v>-0.04736710665408765</v>
      </c>
      <c r="J48" s="174"/>
      <c r="K48" s="256">
        <v>129390.01000000001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129390.01000000001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172650</v>
      </c>
      <c r="G49" s="16">
        <v>176779.21</v>
      </c>
      <c r="H49" s="16">
        <f>+F49-G49</f>
        <v>-4129.209999999992</v>
      </c>
      <c r="I49" s="53">
        <f>IF(G49&lt;0,IF(H49=0,0,IF(OR(G49=0,F49=0),"N.M.",IF(ABS(H49/G49)&gt;=10,"N.M.",H49/(-G49)))),IF(H49=0,0,IF(OR(G49=0,F49=0),"N.M.",IF(ABS(H49/G49)&gt;=10,"N.M.",H49/G49))))</f>
        <v>-0.02335800686064833</v>
      </c>
      <c r="J49" s="174"/>
      <c r="K49" s="256">
        <v>172972</v>
      </c>
      <c r="L49" s="16">
        <f>+F49-K49</f>
        <v>-322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176281.21</v>
      </c>
      <c r="P49" s="16">
        <f>+F49-O49</f>
        <v>-3631.209999999992</v>
      </c>
      <c r="Q49" s="53">
        <f>IF(O49&lt;0,IF(P49=0,0,IF(OR(O49=0,F49=0),"N.M.",IF(ABS(P49/O49)&gt;=10,"N.M.",P49/(-O49)))),IF(P49=0,0,IF(OR(O49=0,F49=0),"N.M.",IF(ABS(P49/O49)&gt;=10,"N.M.",P49/O49))))</f>
        <v>-0.02059896230573861</v>
      </c>
    </row>
    <row r="50" spans="1:17" s="67" customFormat="1" ht="12.75" collapsed="1">
      <c r="A50" s="67" t="s">
        <v>164</v>
      </c>
      <c r="B50" s="68"/>
      <c r="C50" s="81" t="s">
        <v>85</v>
      </c>
      <c r="D50" s="66"/>
      <c r="E50" s="66"/>
      <c r="F50" s="51">
        <v>302846.01</v>
      </c>
      <c r="G50" s="51">
        <v>313408.79000000004</v>
      </c>
      <c r="H50" s="51">
        <f>+F50-G50</f>
        <v>-10562.780000000028</v>
      </c>
      <c r="I50" s="136">
        <f>IF(G50&lt;0,IF(H50=0,0,IF(OR(G50=0,F50=0),"N.M.",IF(ABS(H50/G50)&gt;=10,"N.M.",H50/(-G50)))),IF(H50=0,0,IF(OR(G50=0,F50=0),"N.M.",IF(ABS(H50/G50)&gt;=10,"N.M.",H50/G50))))</f>
        <v>-0.0337028837002307</v>
      </c>
      <c r="J50" s="157"/>
      <c r="K50" s="51">
        <v>303168.01</v>
      </c>
      <c r="L50" s="51">
        <f t="shared" si="12"/>
        <v>-322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306477.22</v>
      </c>
      <c r="P50" s="51">
        <f t="shared" si="13"/>
        <v>-3631.2099999999627</v>
      </c>
      <c r="Q50" s="136">
        <f>IF(O50&lt;0,IF(P50=0,0,IF(OR(O50=0,F50=0),"N.M.",IF(ABS(P50/O50)&gt;=10,"N.M.",P50/(-O50)))),IF(P50=0,0,IF(OR(O50=0,F50=0),"N.M.",IF(ABS(P50/O50)&gt;=10,"N.M.",P50/O50))))</f>
        <v>-0.011848221541555235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165</v>
      </c>
      <c r="B52" s="68"/>
      <c r="C52" s="81" t="s">
        <v>86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5997049.57</v>
      </c>
      <c r="G54" s="16">
        <v>6698929.08</v>
      </c>
      <c r="H54" s="16">
        <f>+F54-G54</f>
        <v>-701879.5099999998</v>
      </c>
      <c r="I54" s="53">
        <f>IF(G54&lt;0,IF(H54=0,0,IF(OR(G54=0,F54=0),"N.M.",IF(ABS(H54/G54)&gt;=10,"N.M.",H54/(-G54)))),IF(H54=0,0,IF(OR(G54=0,F54=0),"N.M.",IF(ABS(H54/G54)&gt;=10,"N.M.",H54/G54))))</f>
        <v>-0.10477488291307598</v>
      </c>
      <c r="J54" s="174"/>
      <c r="K54" s="256">
        <v>5997049.57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5997049.57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166</v>
      </c>
      <c r="B55" s="68"/>
      <c r="C55" s="81" t="s">
        <v>87</v>
      </c>
      <c r="D55" s="66"/>
      <c r="E55" s="66"/>
      <c r="F55" s="51">
        <v>5997049.57</v>
      </c>
      <c r="G55" s="51">
        <v>6698929.08</v>
      </c>
      <c r="H55" s="51">
        <f>+F55-G55</f>
        <v>-701879.5099999998</v>
      </c>
      <c r="I55" s="136">
        <f>IF(G55&lt;0,IF(H55=0,0,IF(OR(G55=0,F55=0),"N.M.",IF(ABS(H55/G55)&gt;=10,"N.M.",H55/(-G55)))),IF(H55=0,0,IF(OR(G55=0,F55=0),"N.M.",IF(ABS(H55/G55)&gt;=10,"N.M.",H55/G55))))</f>
        <v>-0.10477488291307598</v>
      </c>
      <c r="J55" s="157"/>
      <c r="K55" s="51">
        <v>5997049.57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5997049.57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10663885.39</v>
      </c>
      <c r="G57" s="16">
        <v>11576397.26</v>
      </c>
      <c r="H57" s="16">
        <f aca="true" t="shared" si="14" ref="H57:H62">+F57-G57</f>
        <v>-912511.8699999992</v>
      </c>
      <c r="I57" s="53">
        <f aca="true" t="shared" si="15" ref="I57:I62">IF(G57&lt;0,IF(H57=0,0,IF(OR(G57=0,F57=0),"N.M.",IF(ABS(H57/G57)&gt;=10,"N.M.",H57/(-G57)))),IF(H57=0,0,IF(OR(G57=0,F57=0),"N.M.",IF(ABS(H57/G57)&gt;=10,"N.M.",H57/G57))))</f>
        <v>-0.07882520351586476</v>
      </c>
      <c r="J57" s="174"/>
      <c r="K57" s="256">
        <v>11156485.51</v>
      </c>
      <c r="L57" s="16">
        <f aca="true" t="shared" si="16" ref="L57:L62">+F57-K57</f>
        <v>-492600.1199999992</v>
      </c>
      <c r="M57" s="53" t="str">
        <f aca="true" t="shared" si="17" ref="M57:M62">IF(K57&lt;0,IF(L57=0,0,IF(OR(K57=0,N57=0),"N.M.",IF(ABS(L57/K57)&gt;=10,"N.M.",L57/(-K57)))),IF(L57=0,0,IF(OR(K57=0,N57=0),"N.M.",IF(ABS(L57/K57)&gt;=10,"N.M.",L57/K57))))</f>
        <v>N.M.</v>
      </c>
      <c r="N57" s="174"/>
      <c r="O57" s="256">
        <v>9834007.87</v>
      </c>
      <c r="P57" s="16">
        <f aca="true" t="shared" si="18" ref="P57:P62">+F57-O57</f>
        <v>829877.5200000014</v>
      </c>
      <c r="Q57" s="53">
        <f aca="true" t="shared" si="19" ref="Q57:Q62">IF(O57&lt;0,IF(P57=0,0,IF(OR(O57=0,F57=0),"N.M.",IF(ABS(P57/O57)&gt;=10,"N.M.",P57/(-O57)))),IF(P57=0,0,IF(OR(O57=0,F57=0),"N.M.",IF(ABS(P57/O57)&gt;=10,"N.M.",P57/O57))))</f>
        <v>0.08438853527173366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0</v>
      </c>
      <c r="G58" s="16">
        <v>940.4200000000001</v>
      </c>
      <c r="H58" s="16">
        <f t="shared" si="14"/>
        <v>-940.4200000000001</v>
      </c>
      <c r="I58" s="53" t="str">
        <f t="shared" si="15"/>
        <v>N.M.</v>
      </c>
      <c r="J58" s="174"/>
      <c r="K58" s="256">
        <v>0</v>
      </c>
      <c r="L58" s="16">
        <f t="shared" si="16"/>
        <v>0</v>
      </c>
      <c r="M58" s="53">
        <f t="shared" si="17"/>
        <v>0</v>
      </c>
      <c r="N58" s="174"/>
      <c r="O58" s="256">
        <v>0</v>
      </c>
      <c r="P58" s="16">
        <f t="shared" si="18"/>
        <v>0</v>
      </c>
      <c r="Q58" s="53">
        <f t="shared" si="19"/>
        <v>0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-254848</v>
      </c>
      <c r="G59" s="16">
        <v>-674876</v>
      </c>
      <c r="H59" s="16">
        <f t="shared" si="14"/>
        <v>420028</v>
      </c>
      <c r="I59" s="53">
        <f t="shared" si="15"/>
        <v>0.6223780368541777</v>
      </c>
      <c r="J59" s="174"/>
      <c r="K59" s="256">
        <v>-408012</v>
      </c>
      <c r="L59" s="16">
        <f t="shared" si="16"/>
        <v>153164</v>
      </c>
      <c r="M59" s="53" t="str">
        <f t="shared" si="17"/>
        <v>N.M.</v>
      </c>
      <c r="N59" s="174"/>
      <c r="O59" s="256">
        <v>-336181</v>
      </c>
      <c r="P59" s="16">
        <f t="shared" si="18"/>
        <v>81333</v>
      </c>
      <c r="Q59" s="53">
        <f t="shared" si="19"/>
        <v>0.24193217344228257</v>
      </c>
    </row>
    <row r="60" spans="1:17" s="15" customFormat="1" ht="12.75" hidden="1" outlineLevel="2">
      <c r="A60" s="15" t="s">
        <v>419</v>
      </c>
      <c r="B60" s="15" t="s">
        <v>420</v>
      </c>
      <c r="C60" s="134" t="s">
        <v>421</v>
      </c>
      <c r="D60" s="16"/>
      <c r="E60" s="16"/>
      <c r="F60" s="16">
        <v>395</v>
      </c>
      <c r="G60" s="16">
        <v>73850</v>
      </c>
      <c r="H60" s="16">
        <f t="shared" si="14"/>
        <v>-73455</v>
      </c>
      <c r="I60" s="53">
        <f t="shared" si="15"/>
        <v>-0.9946513202437373</v>
      </c>
      <c r="J60" s="174"/>
      <c r="K60" s="256">
        <v>1199</v>
      </c>
      <c r="L60" s="16">
        <f t="shared" si="16"/>
        <v>-804</v>
      </c>
      <c r="M60" s="53" t="str">
        <f t="shared" si="17"/>
        <v>N.M.</v>
      </c>
      <c r="N60" s="174"/>
      <c r="O60" s="256">
        <v>0</v>
      </c>
      <c r="P60" s="16">
        <f t="shared" si="18"/>
        <v>395</v>
      </c>
      <c r="Q60" s="53" t="str">
        <f t="shared" si="19"/>
        <v>N.M.</v>
      </c>
    </row>
    <row r="61" spans="1:17" s="67" customFormat="1" ht="12.75" collapsed="1">
      <c r="A61" s="67" t="s">
        <v>167</v>
      </c>
      <c r="B61" s="68"/>
      <c r="C61" s="81" t="s">
        <v>88</v>
      </c>
      <c r="D61" s="66"/>
      <c r="E61" s="66"/>
      <c r="F61" s="51">
        <v>10409432.39</v>
      </c>
      <c r="G61" s="51">
        <v>10976311.68</v>
      </c>
      <c r="H61" s="51">
        <f t="shared" si="14"/>
        <v>-566879.2899999991</v>
      </c>
      <c r="I61" s="136">
        <f t="shared" si="15"/>
        <v>-0.05164569907694158</v>
      </c>
      <c r="J61" s="157"/>
      <c r="K61" s="51">
        <v>10749672.51</v>
      </c>
      <c r="L61" s="51">
        <f t="shared" si="16"/>
        <v>-340240.1199999992</v>
      </c>
      <c r="M61" s="136" t="str">
        <f t="shared" si="17"/>
        <v>N.M.</v>
      </c>
      <c r="N61" s="157"/>
      <c r="O61" s="51">
        <v>9497826.87</v>
      </c>
      <c r="P61" s="51">
        <f t="shared" si="18"/>
        <v>911605.5200000014</v>
      </c>
      <c r="Q61" s="136">
        <f t="shared" si="19"/>
        <v>0.0959804313636643</v>
      </c>
    </row>
    <row r="62" spans="1:17" s="75" customFormat="1" ht="12.75">
      <c r="A62" s="71" t="s">
        <v>114</v>
      </c>
      <c r="B62" s="72"/>
      <c r="C62" s="71" t="s">
        <v>145</v>
      </c>
      <c r="D62" s="73"/>
      <c r="E62" s="73"/>
      <c r="F62" s="74">
        <f>+F61+F55+F52+F50+F45+F40</f>
        <v>22214996.630000003</v>
      </c>
      <c r="G62" s="74">
        <f>+G61+G55+G52+G50+G45+G40</f>
        <v>23299582.199999996</v>
      </c>
      <c r="H62" s="74">
        <f t="shared" si="14"/>
        <v>-1084585.5699999928</v>
      </c>
      <c r="I62" s="137">
        <f t="shared" si="15"/>
        <v>-0.046549571605622744</v>
      </c>
      <c r="J62" s="160" t="s">
        <v>72</v>
      </c>
      <c r="K62" s="74">
        <f>+K61+K55+K52+K50+K45+K40</f>
        <v>22556114.56</v>
      </c>
      <c r="L62" s="74">
        <f t="shared" si="16"/>
        <v>-341117.929999996</v>
      </c>
      <c r="M62" s="137">
        <f t="shared" si="17"/>
        <v>-0.015123080222553898</v>
      </c>
      <c r="N62" s="160" t="s">
        <v>72</v>
      </c>
      <c r="O62" s="74">
        <f>+O61+O55+O52+O50+O45+O40</f>
        <v>21111174.69</v>
      </c>
      <c r="P62" s="74">
        <f t="shared" si="18"/>
        <v>1103821.9400000013</v>
      </c>
      <c r="Q62" s="137">
        <f t="shared" si="19"/>
        <v>0.0522861449544474</v>
      </c>
    </row>
    <row r="63" spans="1:17" s="75" customFormat="1" ht="9" customHeight="1">
      <c r="A63" s="71"/>
      <c r="B63" s="72"/>
      <c r="C63" s="71"/>
      <c r="D63" s="73"/>
      <c r="E63" s="73"/>
      <c r="F63" s="74"/>
      <c r="G63" s="74"/>
      <c r="H63" s="74"/>
      <c r="I63" s="137"/>
      <c r="J63" s="160"/>
      <c r="K63" s="74"/>
      <c r="L63" s="74"/>
      <c r="M63" s="137"/>
      <c r="N63" s="160"/>
      <c r="O63" s="74"/>
      <c r="P63" s="74"/>
      <c r="Q63" s="137"/>
    </row>
    <row r="64" spans="2:17" s="67" customFormat="1" ht="0.75" customHeight="1" hidden="1" outlineLevel="1">
      <c r="B64" s="68"/>
      <c r="C64" s="71"/>
      <c r="D64" s="66"/>
      <c r="E64" s="66"/>
      <c r="F64" s="51"/>
      <c r="G64" s="51"/>
      <c r="H64" s="51"/>
      <c r="I64" s="136"/>
      <c r="J64" s="157"/>
      <c r="K64" s="51"/>
      <c r="L64" s="51"/>
      <c r="M64" s="136"/>
      <c r="N64" s="157"/>
      <c r="O64" s="51"/>
      <c r="P64" s="51"/>
      <c r="Q64" s="136"/>
    </row>
    <row r="65" spans="1:17" s="15" customFormat="1" ht="12.75" hidden="1" outlineLevel="2">
      <c r="A65" s="15" t="s">
        <v>422</v>
      </c>
      <c r="B65" s="15" t="s">
        <v>423</v>
      </c>
      <c r="C65" s="134" t="s">
        <v>424</v>
      </c>
      <c r="D65" s="16"/>
      <c r="E65" s="16"/>
      <c r="F65" s="16">
        <v>643599.42</v>
      </c>
      <c r="G65" s="16">
        <v>511673.16000000003</v>
      </c>
      <c r="H65" s="16">
        <f>+F65-G65</f>
        <v>131926.26</v>
      </c>
      <c r="I65" s="53">
        <f>IF(G65&lt;0,IF(H65=0,0,IF(OR(G65=0,F65=0),"N.M.",IF(ABS(H65/G65)&gt;=10,"N.M.",H65/(-G65)))),IF(H65=0,0,IF(OR(G65=0,F65=0),"N.M.",IF(ABS(H65/G65)&gt;=10,"N.M.",H65/G65))))</f>
        <v>0.2578330667178243</v>
      </c>
      <c r="J65" s="174"/>
      <c r="K65" s="256">
        <v>615789.1</v>
      </c>
      <c r="L65" s="16">
        <f>+F65-K65</f>
        <v>27810.320000000065</v>
      </c>
      <c r="M65" s="53" t="str">
        <f>IF(K65&lt;0,IF(L65=0,0,IF(OR(K65=0,N65=0),"N.M.",IF(ABS(L65/K65)&gt;=10,"N.M.",L65/(-K65)))),IF(L65=0,0,IF(OR(K65=0,N65=0),"N.M.",IF(ABS(L65/K65)&gt;=10,"N.M.",L65/K65))))</f>
        <v>N.M.</v>
      </c>
      <c r="N65" s="174"/>
      <c r="O65" s="256">
        <v>488717.91000000003</v>
      </c>
      <c r="P65" s="16">
        <f>+F65-O65</f>
        <v>154881.51</v>
      </c>
      <c r="Q65" s="53">
        <f>IF(O65&lt;0,IF(P65=0,0,IF(OR(O65=0,F65=0),"N.M.",IF(ABS(P65/O65)&gt;=10,"N.M.",P65/(-O65)))),IF(P65=0,0,IF(OR(O65=0,F65=0),"N.M.",IF(ABS(P65/O65)&gt;=10,"N.M.",P65/O65))))</f>
        <v>0.3169139227985322</v>
      </c>
    </row>
    <row r="66" spans="1:17" s="67" customFormat="1" ht="12.75" hidden="1" outlineLevel="1">
      <c r="A66" s="86" t="s">
        <v>135</v>
      </c>
      <c r="B66" s="87"/>
      <c r="C66" s="83" t="s">
        <v>94</v>
      </c>
      <c r="D66" s="66"/>
      <c r="E66" s="66"/>
      <c r="F66" s="51">
        <v>643599.42</v>
      </c>
      <c r="G66" s="51">
        <v>511673.16000000003</v>
      </c>
      <c r="H66" s="51">
        <f aca="true" t="shared" si="20" ref="H66:H75">+F66-G66</f>
        <v>131926.26</v>
      </c>
      <c r="I66" s="136">
        <f aca="true" t="shared" si="21" ref="I66:I75">IF(G66&lt;0,IF(H66=0,0,IF(OR(G66=0,F66=0),"N.M.",IF(ABS(H66/G66)&gt;=10,"N.M.",H66/(-G66)))),IF(H66=0,0,IF(OR(G66=0,F66=0),"N.M.",IF(ABS(H66/G66)&gt;=10,"N.M.",H66/G66))))</f>
        <v>0.2578330667178243</v>
      </c>
      <c r="J66" s="157"/>
      <c r="K66" s="51">
        <v>615789.1</v>
      </c>
      <c r="L66" s="51">
        <f aca="true" t="shared" si="22" ref="L66:L76">+F66-K66</f>
        <v>27810.320000000065</v>
      </c>
      <c r="M66" s="136" t="str">
        <f aca="true" t="shared" si="23" ref="M66:M76">IF(K66&lt;0,IF(L66=0,0,IF(OR(K66=0,N66=0),"N.M.",IF(ABS(L66/K66)&gt;=10,"N.M.",L66/(-K66)))),IF(L66=0,0,IF(OR(K66=0,N66=0),"N.M.",IF(ABS(L66/K66)&gt;=10,"N.M.",L66/K66))))</f>
        <v>N.M.</v>
      </c>
      <c r="N66" s="157"/>
      <c r="O66" s="51">
        <v>488717.91000000003</v>
      </c>
      <c r="P66" s="51">
        <f aca="true" t="shared" si="24" ref="P66:P76">+F66-O66</f>
        <v>154881.51</v>
      </c>
      <c r="Q66" s="136">
        <f aca="true" t="shared" si="25" ref="Q66:Q76">IF(O66&lt;0,IF(P66=0,0,IF(OR(O66=0,F66=0),"N.M.",IF(ABS(P66/O66)&gt;=10,"N.M.",P66/(-O66)))),IF(P66=0,0,IF(OR(O66=0,F66=0),"N.M.",IF(ABS(P66/O66)&gt;=10,"N.M.",P66/O66))))</f>
        <v>0.3169139227985322</v>
      </c>
    </row>
    <row r="67" spans="1:17" s="67" customFormat="1" ht="0.75" customHeight="1" hidden="1" outlineLevel="1">
      <c r="A67" s="86"/>
      <c r="B67" s="87"/>
      <c r="C67" s="83"/>
      <c r="D67" s="66"/>
      <c r="E67" s="66"/>
      <c r="F67" s="51"/>
      <c r="G67" s="51"/>
      <c r="H67" s="51">
        <f t="shared" si="20"/>
        <v>0</v>
      </c>
      <c r="I67" s="136">
        <f t="shared" si="21"/>
        <v>0</v>
      </c>
      <c r="J67" s="157"/>
      <c r="K67" s="51"/>
      <c r="L67" s="51">
        <f t="shared" si="22"/>
        <v>0</v>
      </c>
      <c r="M67" s="136">
        <f t="shared" si="23"/>
        <v>0</v>
      </c>
      <c r="N67" s="157"/>
      <c r="O67" s="51"/>
      <c r="P67" s="51">
        <f t="shared" si="24"/>
        <v>0</v>
      </c>
      <c r="Q67" s="136">
        <f t="shared" si="25"/>
        <v>0</v>
      </c>
    </row>
    <row r="68" spans="1:17" s="15" customFormat="1" ht="12.75" hidden="1" outlineLevel="2">
      <c r="A68" s="15" t="s">
        <v>425</v>
      </c>
      <c r="B68" s="15" t="s">
        <v>426</v>
      </c>
      <c r="C68" s="134" t="s">
        <v>427</v>
      </c>
      <c r="D68" s="16"/>
      <c r="E68" s="16"/>
      <c r="F68" s="16">
        <v>2394275.69</v>
      </c>
      <c r="G68" s="16">
        <v>105121.6</v>
      </c>
      <c r="H68" s="16">
        <f>+F68-G68</f>
        <v>2289154.09</v>
      </c>
      <c r="I68" s="53" t="str">
        <f>IF(G68&lt;0,IF(H68=0,0,IF(OR(G68=0,F68=0),"N.M.",IF(ABS(H68/G68)&gt;=10,"N.M.",H68/(-G68)))),IF(H68=0,0,IF(OR(G68=0,F68=0),"N.M.",IF(ABS(H68/G68)&gt;=10,"N.M.",H68/G68))))</f>
        <v>N.M.</v>
      </c>
      <c r="J68" s="174"/>
      <c r="K68" s="256">
        <v>2483377.74</v>
      </c>
      <c r="L68" s="16">
        <f>+F68-K68</f>
        <v>-89102.05000000028</v>
      </c>
      <c r="M68" s="53" t="str">
        <f>IF(K68&lt;0,IF(L68=0,0,IF(OR(K68=0,N68=0),"N.M.",IF(ABS(L68/K68)&gt;=10,"N.M.",L68/(-K68)))),IF(L68=0,0,IF(OR(K68=0,N68=0),"N.M.",IF(ABS(L68/K68)&gt;=10,"N.M.",L68/K68))))</f>
        <v>N.M.</v>
      </c>
      <c r="N68" s="174"/>
      <c r="O68" s="256">
        <v>814201.01</v>
      </c>
      <c r="P68" s="16">
        <f>+F68-O68</f>
        <v>1580074.68</v>
      </c>
      <c r="Q68" s="53">
        <f>IF(O68&lt;0,IF(P68=0,0,IF(OR(O68=0,F68=0),"N.M.",IF(ABS(P68/O68)&gt;=10,"N.M.",P68/(-O68)))),IF(P68=0,0,IF(OR(O68=0,F68=0),"N.M.",IF(ABS(P68/O68)&gt;=10,"N.M.",P68/O68))))</f>
        <v>1.9406444607579152</v>
      </c>
    </row>
    <row r="69" spans="1:17" s="67" customFormat="1" ht="12.75" hidden="1" outlineLevel="1">
      <c r="A69" s="86" t="s">
        <v>136</v>
      </c>
      <c r="B69" s="87"/>
      <c r="C69" s="76" t="s">
        <v>95</v>
      </c>
      <c r="D69" s="66"/>
      <c r="E69" s="66"/>
      <c r="F69" s="51">
        <v>2394275.69</v>
      </c>
      <c r="G69" s="51">
        <v>105121.6</v>
      </c>
      <c r="H69" s="51">
        <f t="shared" si="20"/>
        <v>2289154.09</v>
      </c>
      <c r="I69" s="136" t="str">
        <f t="shared" si="21"/>
        <v>N.M.</v>
      </c>
      <c r="J69" s="157"/>
      <c r="K69" s="51">
        <v>2483377.74</v>
      </c>
      <c r="L69" s="51">
        <f t="shared" si="22"/>
        <v>-89102.05000000028</v>
      </c>
      <c r="M69" s="136" t="str">
        <f t="shared" si="23"/>
        <v>N.M.</v>
      </c>
      <c r="N69" s="157"/>
      <c r="O69" s="51">
        <v>814201.01</v>
      </c>
      <c r="P69" s="51">
        <f t="shared" si="24"/>
        <v>1580074.68</v>
      </c>
      <c r="Q69" s="136">
        <f t="shared" si="25"/>
        <v>1.9406444607579152</v>
      </c>
    </row>
    <row r="70" spans="1:17" s="67" customFormat="1" ht="12.75" hidden="1" outlineLevel="1">
      <c r="A70" s="86" t="s">
        <v>137</v>
      </c>
      <c r="B70" s="87"/>
      <c r="C70" s="76" t="s">
        <v>97</v>
      </c>
      <c r="D70" s="66"/>
      <c r="E70" s="66"/>
      <c r="F70" s="51">
        <v>0</v>
      </c>
      <c r="G70" s="51">
        <v>0</v>
      </c>
      <c r="H70" s="51">
        <f t="shared" si="20"/>
        <v>0</v>
      </c>
      <c r="I70" s="136">
        <f t="shared" si="21"/>
        <v>0</v>
      </c>
      <c r="J70" s="157"/>
      <c r="K70" s="51">
        <v>0</v>
      </c>
      <c r="L70" s="51">
        <f t="shared" si="22"/>
        <v>0</v>
      </c>
      <c r="M70" s="136">
        <f t="shared" si="23"/>
        <v>0</v>
      </c>
      <c r="N70" s="157"/>
      <c r="O70" s="51">
        <v>0</v>
      </c>
      <c r="P70" s="51">
        <f t="shared" si="24"/>
        <v>0</v>
      </c>
      <c r="Q70" s="136">
        <f t="shared" si="25"/>
        <v>0</v>
      </c>
    </row>
    <row r="71" spans="1:17" s="15" customFormat="1" ht="12.75" hidden="1" outlineLevel="2">
      <c r="A71" s="15" t="s">
        <v>428</v>
      </c>
      <c r="B71" s="15" t="s">
        <v>429</v>
      </c>
      <c r="C71" s="134" t="s">
        <v>430</v>
      </c>
      <c r="D71" s="16"/>
      <c r="E71" s="16"/>
      <c r="F71" s="16">
        <v>4999.72</v>
      </c>
      <c r="G71" s="16">
        <v>4999.72</v>
      </c>
      <c r="H71" s="16">
        <f>+F71-G71</f>
        <v>0</v>
      </c>
      <c r="I71" s="53">
        <f>IF(G71&lt;0,IF(H71=0,0,IF(OR(G71=0,F71=0),"N.M.",IF(ABS(H71/G71)&gt;=10,"N.M.",H71/(-G71)))),IF(H71=0,0,IF(OR(G71=0,F71=0),"N.M.",IF(ABS(H71/G71)&gt;=10,"N.M.",H71/G71))))</f>
        <v>0</v>
      </c>
      <c r="J71" s="174"/>
      <c r="K71" s="256">
        <v>4999.72</v>
      </c>
      <c r="L71" s="16">
        <f>+F71-K71</f>
        <v>0</v>
      </c>
      <c r="M71" s="53">
        <f>IF(K71&lt;0,IF(L71=0,0,IF(OR(K71=0,N71=0),"N.M.",IF(ABS(L71/K71)&gt;=10,"N.M.",L71/(-K71)))),IF(L71=0,0,IF(OR(K71=0,N71=0),"N.M.",IF(ABS(L71/K71)&gt;=10,"N.M.",L71/K71))))</f>
        <v>0</v>
      </c>
      <c r="N71" s="174"/>
      <c r="O71" s="256">
        <v>4999.72</v>
      </c>
      <c r="P71" s="16">
        <f>+F71-O71</f>
        <v>0</v>
      </c>
      <c r="Q71" s="53">
        <f>IF(O71&lt;0,IF(P71=0,0,IF(OR(O71=0,F71=0),"N.M.",IF(ABS(P71/O71)&gt;=10,"N.M.",P71/(-O71)))),IF(P71=0,0,IF(OR(O71=0,F71=0),"N.M.",IF(ABS(P71/O71)&gt;=10,"N.M.",P71/O71))))</f>
        <v>0</v>
      </c>
    </row>
    <row r="72" spans="1:17" s="67" customFormat="1" ht="12.75" hidden="1" outlineLevel="1">
      <c r="A72" s="86" t="s">
        <v>138</v>
      </c>
      <c r="B72" s="87"/>
      <c r="C72" s="76" t="s">
        <v>96</v>
      </c>
      <c r="D72" s="66"/>
      <c r="E72" s="66"/>
      <c r="F72" s="51">
        <v>4999.72</v>
      </c>
      <c r="G72" s="51">
        <v>4999.72</v>
      </c>
      <c r="H72" s="51">
        <f t="shared" si="20"/>
        <v>0</v>
      </c>
      <c r="I72" s="136">
        <f t="shared" si="21"/>
        <v>0</v>
      </c>
      <c r="J72" s="157"/>
      <c r="K72" s="51">
        <v>4999.72</v>
      </c>
      <c r="L72" s="51">
        <f t="shared" si="22"/>
        <v>0</v>
      </c>
      <c r="M72" s="136">
        <f t="shared" si="23"/>
        <v>0</v>
      </c>
      <c r="N72" s="157"/>
      <c r="O72" s="51">
        <v>4999.72</v>
      </c>
      <c r="P72" s="51">
        <f t="shared" si="24"/>
        <v>0</v>
      </c>
      <c r="Q72" s="136">
        <f t="shared" si="25"/>
        <v>0</v>
      </c>
    </row>
    <row r="73" spans="1:17" s="67" customFormat="1" ht="12.75" hidden="1" outlineLevel="1">
      <c r="A73" s="86" t="s">
        <v>246</v>
      </c>
      <c r="B73" s="87"/>
      <c r="C73" s="52" t="s">
        <v>247</v>
      </c>
      <c r="D73" s="66"/>
      <c r="E73" s="66"/>
      <c r="F73" s="197">
        <v>0</v>
      </c>
      <c r="G73" s="197">
        <v>0</v>
      </c>
      <c r="H73" s="197">
        <f>+F73-G73</f>
        <v>0</v>
      </c>
      <c r="I73" s="138">
        <f>IF(G73&lt;0,IF(H73=0,0,IF(OR(G73=0,F73=0),"N.M.",IF(ABS(H73/G73)&gt;=10,"N.M.",H73/(-G73)))),IF(H73=0,0,IF(OR(G73=0,F73=0),"N.M.",IF(ABS(H73/G73)&gt;=10,"N.M.",H73/G73))))</f>
        <v>0</v>
      </c>
      <c r="J73" s="157"/>
      <c r="K73" s="197">
        <v>0</v>
      </c>
      <c r="L73" s="197">
        <f t="shared" si="22"/>
        <v>0</v>
      </c>
      <c r="M73" s="138">
        <f t="shared" si="23"/>
        <v>0</v>
      </c>
      <c r="N73" s="157"/>
      <c r="O73" s="197">
        <v>0</v>
      </c>
      <c r="P73" s="197">
        <f t="shared" si="24"/>
        <v>0</v>
      </c>
      <c r="Q73" s="138">
        <f>IF(O73&lt;0,IF(P73=0,0,IF(OR(O73=0,F73=0),"N.M.",IF(ABS(P73/O73)&gt;=10,"N.M.",P73/(-O73)))),IF(P73=0,0,IF(OR(O73=0,F73=0),"N.M.",IF(ABS(P73/O73)&gt;=10,"N.M.",P73/O73))))</f>
        <v>0</v>
      </c>
    </row>
    <row r="74" spans="1:17" s="67" customFormat="1" ht="12.75" hidden="1" outlineLevel="1">
      <c r="A74" s="86" t="s">
        <v>238</v>
      </c>
      <c r="B74" s="87"/>
      <c r="C74" s="83" t="s">
        <v>99</v>
      </c>
      <c r="D74" s="66"/>
      <c r="E74" s="66"/>
      <c r="F74" s="51">
        <f>+F72+F70+F69+F73</f>
        <v>2399275.41</v>
      </c>
      <c r="G74" s="51">
        <f>+G72+G70+G69+G73</f>
        <v>110121.32</v>
      </c>
      <c r="H74" s="51">
        <f>+F74-G74</f>
        <v>2289154.0900000003</v>
      </c>
      <c r="I74" s="136" t="str">
        <f t="shared" si="21"/>
        <v>N.M.</v>
      </c>
      <c r="J74" s="157"/>
      <c r="K74" s="51">
        <f>+K72+K70+K69+K73</f>
        <v>2488377.4600000004</v>
      </c>
      <c r="L74" s="51">
        <f t="shared" si="22"/>
        <v>-89102.05000000028</v>
      </c>
      <c r="M74" s="136" t="str">
        <f t="shared" si="23"/>
        <v>N.M.</v>
      </c>
      <c r="N74" s="157"/>
      <c r="O74" s="51">
        <f>+O72+O70+O69+O73</f>
        <v>819200.73</v>
      </c>
      <c r="P74" s="51">
        <f t="shared" si="24"/>
        <v>1580074.6800000002</v>
      </c>
      <c r="Q74" s="136">
        <f t="shared" si="25"/>
        <v>1.928800380829739</v>
      </c>
    </row>
    <row r="75" spans="1:17" s="67" customFormat="1" ht="12.75" hidden="1" outlineLevel="1">
      <c r="A75" s="86" t="s">
        <v>139</v>
      </c>
      <c r="B75" s="87"/>
      <c r="C75" s="83" t="s">
        <v>98</v>
      </c>
      <c r="D75" s="66"/>
      <c r="E75" s="66"/>
      <c r="F75" s="51">
        <v>0</v>
      </c>
      <c r="G75" s="51">
        <v>0</v>
      </c>
      <c r="H75" s="51">
        <f t="shared" si="20"/>
        <v>0</v>
      </c>
      <c r="I75" s="136">
        <f t="shared" si="21"/>
        <v>0</v>
      </c>
      <c r="J75" s="157"/>
      <c r="K75" s="51">
        <v>0</v>
      </c>
      <c r="L75" s="51">
        <f t="shared" si="22"/>
        <v>0</v>
      </c>
      <c r="M75" s="136">
        <f t="shared" si="23"/>
        <v>0</v>
      </c>
      <c r="N75" s="157"/>
      <c r="O75" s="51">
        <v>0</v>
      </c>
      <c r="P75" s="51">
        <f t="shared" si="24"/>
        <v>0</v>
      </c>
      <c r="Q75" s="136">
        <f t="shared" si="25"/>
        <v>0</v>
      </c>
    </row>
    <row r="76" spans="1:17" s="67" customFormat="1" ht="12.75" collapsed="1">
      <c r="A76" s="67" t="s">
        <v>239</v>
      </c>
      <c r="B76" s="87"/>
      <c r="C76" s="82" t="s">
        <v>94</v>
      </c>
      <c r="D76" s="66"/>
      <c r="E76" s="66"/>
      <c r="F76" s="51">
        <f>+F75+F74+F66</f>
        <v>3042874.83</v>
      </c>
      <c r="G76" s="51">
        <f>+G75+G74+G66</f>
        <v>621794.48</v>
      </c>
      <c r="H76" s="51">
        <f>+F76-G76</f>
        <v>2421080.35</v>
      </c>
      <c r="I76" s="136">
        <f>IF(G76&lt;0,IF(H76=0,0,IF(OR(G76=0,F76=0),"N.M.",IF(ABS(H76/G76)&gt;=10,"N.M.",H76/(-G76)))),IF(H76=0,0,IF(OR(G76=0,F76=0),"N.M.",IF(ABS(H76/G76)&gt;=10,"N.M.",H76/G76))))</f>
        <v>3.8936986864212755</v>
      </c>
      <c r="J76" s="157"/>
      <c r="K76" s="51">
        <f>+K75+K74+K66</f>
        <v>3104166.5600000005</v>
      </c>
      <c r="L76" s="51">
        <f t="shared" si="22"/>
        <v>-61291.73000000045</v>
      </c>
      <c r="M76" s="136" t="str">
        <f t="shared" si="23"/>
        <v>N.M.</v>
      </c>
      <c r="N76" s="157"/>
      <c r="O76" s="51">
        <f>+O75+O74+O66</f>
        <v>1307918.6400000001</v>
      </c>
      <c r="P76" s="51">
        <f t="shared" si="24"/>
        <v>1734956.19</v>
      </c>
      <c r="Q76" s="136">
        <f t="shared" si="25"/>
        <v>1.3265016163390713</v>
      </c>
    </row>
    <row r="77" spans="2:17" s="67" customFormat="1" ht="0.75" customHeight="1" hidden="1" outlineLevel="1">
      <c r="B77" s="87"/>
      <c r="C77" s="82"/>
      <c r="D77" s="66"/>
      <c r="E77" s="66"/>
      <c r="F77" s="51"/>
      <c r="G77" s="51"/>
      <c r="H77" s="51"/>
      <c r="I77" s="136"/>
      <c r="J77" s="157"/>
      <c r="K77" s="51"/>
      <c r="L77" s="51"/>
      <c r="M77" s="136"/>
      <c r="N77" s="157"/>
      <c r="O77" s="51"/>
      <c r="P77" s="51"/>
      <c r="Q77" s="136"/>
    </row>
    <row r="78" spans="1:17" s="15" customFormat="1" ht="12.75" hidden="1" outlineLevel="2">
      <c r="A78" s="15" t="s">
        <v>431</v>
      </c>
      <c r="B78" s="15" t="s">
        <v>432</v>
      </c>
      <c r="C78" s="134" t="s">
        <v>433</v>
      </c>
      <c r="D78" s="16"/>
      <c r="E78" s="16"/>
      <c r="F78" s="16">
        <v>50586821.85</v>
      </c>
      <c r="G78" s="16">
        <v>11845661.21</v>
      </c>
      <c r="H78" s="16">
        <f>+F78-G78</f>
        <v>38741160.64</v>
      </c>
      <c r="I78" s="53">
        <f>IF(G78&lt;0,IF(H78=0,0,IF(OR(G78=0,F78=0),"N.M.",IF(ABS(H78/G78)&gt;=10,"N.M.",H78/(-G78)))),IF(H78=0,0,IF(OR(G78=0,F78=0),"N.M.",IF(ABS(H78/G78)&gt;=10,"N.M.",H78/G78))))</f>
        <v>3.27049372366779</v>
      </c>
      <c r="J78" s="174"/>
      <c r="K78" s="256">
        <v>42822925.41</v>
      </c>
      <c r="L78" s="16">
        <f>+F78-K78</f>
        <v>7763896.440000005</v>
      </c>
      <c r="M78" s="53" t="str">
        <f>IF(K78&lt;0,IF(L78=0,0,IF(OR(K78=0,N78=0),"N.M.",IF(ABS(L78/K78)&gt;=10,"N.M.",L78/(-K78)))),IF(L78=0,0,IF(OR(K78=0,N78=0),"N.M.",IF(ABS(L78/K78)&gt;=10,"N.M.",L78/K78))))</f>
        <v>N.M.</v>
      </c>
      <c r="N78" s="174"/>
      <c r="O78" s="256">
        <v>0</v>
      </c>
      <c r="P78" s="16">
        <f>+F78-O78</f>
        <v>50586821.85</v>
      </c>
      <c r="Q78" s="53" t="str">
        <f>IF(O78&lt;0,IF(P78=0,0,IF(OR(O78=0,F78=0),"N.M.",IF(ABS(P78/O78)&gt;=10,"N.M.",P78/(-O78)))),IF(P78=0,0,IF(OR(O78=0,F78=0),"N.M.",IF(ABS(P78/O78)&gt;=10,"N.M.",P78/O78))))</f>
        <v>N.M.</v>
      </c>
    </row>
    <row r="79" spans="1:17" s="67" customFormat="1" ht="12.75" collapsed="1">
      <c r="A79" s="67" t="s">
        <v>140</v>
      </c>
      <c r="B79" s="87"/>
      <c r="C79" s="82" t="s">
        <v>100</v>
      </c>
      <c r="D79" s="66"/>
      <c r="E79" s="66"/>
      <c r="F79" s="51">
        <v>50586821.85</v>
      </c>
      <c r="G79" s="51">
        <v>11845661.21</v>
      </c>
      <c r="H79" s="51">
        <f>+F79-G79</f>
        <v>38741160.64</v>
      </c>
      <c r="I79" s="136">
        <f>IF(G79&lt;0,IF(H79=0,0,IF(OR(G79=0,F79=0),"N.M.",IF(ABS(H79/G79)&gt;=10,"N.M.",H79/(-G79)))),IF(H79=0,0,IF(OR(G79=0,F79=0),"N.M.",IF(ABS(H79/G79)&gt;=10,"N.M.",H79/G79))))</f>
        <v>3.27049372366779</v>
      </c>
      <c r="J79" s="157"/>
      <c r="K79" s="51">
        <v>42822925.41</v>
      </c>
      <c r="L79" s="51">
        <f>+F79-K79</f>
        <v>7763896.440000005</v>
      </c>
      <c r="M79" s="136" t="str">
        <f>IF(K79&lt;0,IF(L79=0,0,IF(OR(K79=0,N79=0),"N.M.",IF(ABS(L79/K79)&gt;=10,"N.M.",L79/(-K79)))),IF(L79=0,0,IF(OR(K79=0,N79=0),"N.M.",IF(ABS(L79/K79)&gt;=10,"N.M.",L79/K79))))</f>
        <v>N.M.</v>
      </c>
      <c r="N79" s="157"/>
      <c r="O79" s="51">
        <v>0</v>
      </c>
      <c r="P79" s="51">
        <f>+F79-O79</f>
        <v>50586821.85</v>
      </c>
      <c r="Q79" s="136" t="str">
        <f>IF(O79&lt;0,IF(P79=0,0,IF(OR(O79=0,F79=0),"N.M.",IF(ABS(P79/O79)&gt;=10,"N.M.",P79/(-O79)))),IF(P79=0,0,IF(OR(O79=0,F79=0),"N.M.",IF(ABS(P79/O79)&gt;=10,"N.M.",P79/O79))))</f>
        <v>N.M.</v>
      </c>
    </row>
    <row r="80" spans="2:17" s="67" customFormat="1" ht="0.75" customHeight="1" hidden="1" outlineLevel="1">
      <c r="B80" s="87"/>
      <c r="C80" s="82"/>
      <c r="D80" s="66"/>
      <c r="E80" s="66"/>
      <c r="F80" s="51"/>
      <c r="G80" s="51"/>
      <c r="H80" s="51"/>
      <c r="I80" s="136"/>
      <c r="J80" s="157"/>
      <c r="K80" s="51"/>
      <c r="L80" s="51"/>
      <c r="M80" s="136"/>
      <c r="N80" s="157"/>
      <c r="O80" s="51"/>
      <c r="P80" s="51"/>
      <c r="Q80" s="136"/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24413227.306</v>
      </c>
      <c r="G81" s="16">
        <v>22125102.606</v>
      </c>
      <c r="H81" s="16">
        <f aca="true" t="shared" si="26" ref="H81:H95">+F81-G81</f>
        <v>2288124.700000003</v>
      </c>
      <c r="I81" s="53">
        <f aca="true" t="shared" si="27" ref="I81:I95">IF(G81&lt;0,IF(H81=0,0,IF(OR(G81=0,F81=0),"N.M.",IF(ABS(H81/G81)&gt;=10,"N.M.",H81/(-G81)))),IF(H81=0,0,IF(OR(G81=0,F81=0),"N.M.",IF(ABS(H81/G81)&gt;=10,"N.M.",H81/G81))))</f>
        <v>0.1034175859315336</v>
      </c>
      <c r="J81" s="174"/>
      <c r="K81" s="256">
        <v>30062778.836</v>
      </c>
      <c r="L81" s="16">
        <f aca="true" t="shared" si="28" ref="L81:L95">+F81-K81</f>
        <v>-5649551.5299999975</v>
      </c>
      <c r="M81" s="53" t="str">
        <f aca="true" t="shared" si="29" ref="M81:M95">IF(K81&lt;0,IF(L81=0,0,IF(OR(K81=0,N81=0),"N.M.",IF(ABS(L81/K81)&gt;=10,"N.M.",L81/(-K81)))),IF(L81=0,0,IF(OR(K81=0,N81=0),"N.M.",IF(ABS(L81/K81)&gt;=10,"N.M.",L81/K81))))</f>
        <v>N.M.</v>
      </c>
      <c r="N81" s="174"/>
      <c r="O81" s="256">
        <v>27684774.136</v>
      </c>
      <c r="P81" s="16">
        <f aca="true" t="shared" si="30" ref="P81:P95">+F81-O81</f>
        <v>-3271546.829999998</v>
      </c>
      <c r="Q81" s="53">
        <f aca="true" t="shared" si="31" ref="Q81:Q95">IF(O81&lt;0,IF(P81=0,0,IF(OR(O81=0,F81=0),"N.M.",IF(ABS(P81/O81)&gt;=10,"N.M.",P81/(-O81)))),IF(P81=0,0,IF(OR(O81=0,F81=0),"N.M.",IF(ABS(P81/O81)&gt;=10,"N.M.",P81/O81))))</f>
        <v>-0.11817133901575994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0</v>
      </c>
      <c r="G82" s="16">
        <v>1227.72</v>
      </c>
      <c r="H82" s="16">
        <f t="shared" si="26"/>
        <v>-1227.72</v>
      </c>
      <c r="I82" s="53" t="str">
        <f t="shared" si="27"/>
        <v>N.M.</v>
      </c>
      <c r="J82" s="174"/>
      <c r="K82" s="256">
        <v>0</v>
      </c>
      <c r="L82" s="16">
        <f t="shared" si="28"/>
        <v>0</v>
      </c>
      <c r="M82" s="53">
        <f t="shared" si="29"/>
        <v>0</v>
      </c>
      <c r="N82" s="174"/>
      <c r="O82" s="256">
        <v>348.6</v>
      </c>
      <c r="P82" s="16">
        <f t="shared" si="30"/>
        <v>-348.6</v>
      </c>
      <c r="Q82" s="53" t="str">
        <f t="shared" si="31"/>
        <v>N.M.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480471.08</v>
      </c>
      <c r="G83" s="16">
        <v>619040.46</v>
      </c>
      <c r="H83" s="16">
        <f t="shared" si="26"/>
        <v>-138569.37999999995</v>
      </c>
      <c r="I83" s="53">
        <f t="shared" si="27"/>
        <v>-0.2238454333017263</v>
      </c>
      <c r="J83" s="174"/>
      <c r="K83" s="256">
        <v>636237.1900000001</v>
      </c>
      <c r="L83" s="16">
        <f t="shared" si="28"/>
        <v>-155766.11000000004</v>
      </c>
      <c r="M83" s="53" t="str">
        <f t="shared" si="29"/>
        <v>N.M.</v>
      </c>
      <c r="N83" s="174"/>
      <c r="O83" s="256">
        <v>571942.26</v>
      </c>
      <c r="P83" s="16">
        <f t="shared" si="30"/>
        <v>-91471.18</v>
      </c>
      <c r="Q83" s="53">
        <f t="shared" si="31"/>
        <v>-0.15993079441270872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18072</v>
      </c>
      <c r="G84" s="16">
        <v>13524</v>
      </c>
      <c r="H84" s="16">
        <f t="shared" si="26"/>
        <v>4548</v>
      </c>
      <c r="I84" s="53">
        <f t="shared" si="27"/>
        <v>0.3362910381543922</v>
      </c>
      <c r="J84" s="174"/>
      <c r="K84" s="256">
        <v>13476</v>
      </c>
      <c r="L84" s="16">
        <f t="shared" si="28"/>
        <v>4596</v>
      </c>
      <c r="M84" s="53" t="str">
        <f t="shared" si="29"/>
        <v>N.M.</v>
      </c>
      <c r="N84" s="174"/>
      <c r="O84" s="256">
        <v>9036</v>
      </c>
      <c r="P84" s="16">
        <f t="shared" si="30"/>
        <v>9036</v>
      </c>
      <c r="Q84" s="53">
        <f t="shared" si="31"/>
        <v>1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-27572042.18</v>
      </c>
      <c r="G85" s="16">
        <v>-21297917.87</v>
      </c>
      <c r="H85" s="16">
        <f t="shared" si="26"/>
        <v>-6274124.309999999</v>
      </c>
      <c r="I85" s="53">
        <f t="shared" si="27"/>
        <v>-0.2945886235591911</v>
      </c>
      <c r="J85" s="174"/>
      <c r="K85" s="256">
        <v>-29646808.31</v>
      </c>
      <c r="L85" s="16">
        <f t="shared" si="28"/>
        <v>2074766.129999999</v>
      </c>
      <c r="M85" s="53" t="str">
        <f t="shared" si="29"/>
        <v>N.M.</v>
      </c>
      <c r="N85" s="174"/>
      <c r="O85" s="256">
        <v>-24943544.66</v>
      </c>
      <c r="P85" s="16">
        <f t="shared" si="30"/>
        <v>-2628497.5199999996</v>
      </c>
      <c r="Q85" s="53">
        <f t="shared" si="31"/>
        <v>-0.10537786653134004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7528087.222</v>
      </c>
      <c r="G86" s="16">
        <v>7702670.274</v>
      </c>
      <c r="H86" s="16">
        <f t="shared" si="26"/>
        <v>-174583.05200000014</v>
      </c>
      <c r="I86" s="53">
        <f t="shared" si="27"/>
        <v>-0.022665263576099964</v>
      </c>
      <c r="J86" s="174"/>
      <c r="K86" s="256">
        <v>8068848.162</v>
      </c>
      <c r="L86" s="16">
        <f t="shared" si="28"/>
        <v>-540760.9399999995</v>
      </c>
      <c r="M86" s="53" t="str">
        <f t="shared" si="29"/>
        <v>N.M.</v>
      </c>
      <c r="N86" s="174"/>
      <c r="O86" s="256">
        <v>7687473.434</v>
      </c>
      <c r="P86" s="16">
        <f t="shared" si="30"/>
        <v>-159386.2120000003</v>
      </c>
      <c r="Q86" s="53">
        <f t="shared" si="31"/>
        <v>-0.020733237437292492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401210.42</v>
      </c>
      <c r="G87" s="16">
        <v>769064.98</v>
      </c>
      <c r="H87" s="16">
        <f t="shared" si="26"/>
        <v>-367854.56</v>
      </c>
      <c r="I87" s="53">
        <f t="shared" si="27"/>
        <v>-0.47831401710685095</v>
      </c>
      <c r="J87" s="174"/>
      <c r="K87" s="256">
        <v>355676.07</v>
      </c>
      <c r="L87" s="16">
        <f t="shared" si="28"/>
        <v>45534.34999999998</v>
      </c>
      <c r="M87" s="53" t="str">
        <f t="shared" si="29"/>
        <v>N.M.</v>
      </c>
      <c r="N87" s="174"/>
      <c r="O87" s="256">
        <v>462470.81</v>
      </c>
      <c r="P87" s="16">
        <f t="shared" si="30"/>
        <v>-61260.390000000014</v>
      </c>
      <c r="Q87" s="53">
        <f t="shared" si="31"/>
        <v>-0.1324632575188908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0</v>
      </c>
      <c r="G88" s="16">
        <v>252</v>
      </c>
      <c r="H88" s="16">
        <f t="shared" si="26"/>
        <v>-252</v>
      </c>
      <c r="I88" s="53" t="str">
        <f t="shared" si="27"/>
        <v>N.M.</v>
      </c>
      <c r="J88" s="174"/>
      <c r="K88" s="256">
        <v>0</v>
      </c>
      <c r="L88" s="16">
        <f t="shared" si="28"/>
        <v>0</v>
      </c>
      <c r="M88" s="53">
        <f t="shared" si="29"/>
        <v>0</v>
      </c>
      <c r="N88" s="174"/>
      <c r="O88" s="256">
        <v>948303</v>
      </c>
      <c r="P88" s="16">
        <f t="shared" si="30"/>
        <v>-948303</v>
      </c>
      <c r="Q88" s="53" t="str">
        <f t="shared" si="31"/>
        <v>N.M.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0</v>
      </c>
      <c r="G89" s="16">
        <v>-173.66</v>
      </c>
      <c r="H89" s="16">
        <f t="shared" si="26"/>
        <v>173.66</v>
      </c>
      <c r="I89" s="53" t="str">
        <f t="shared" si="27"/>
        <v>N.M.</v>
      </c>
      <c r="J89" s="174"/>
      <c r="K89" s="256">
        <v>0</v>
      </c>
      <c r="L89" s="16">
        <f t="shared" si="28"/>
        <v>0</v>
      </c>
      <c r="M89" s="53">
        <f t="shared" si="29"/>
        <v>0</v>
      </c>
      <c r="N89" s="174"/>
      <c r="O89" s="256">
        <v>0</v>
      </c>
      <c r="P89" s="16">
        <f t="shared" si="30"/>
        <v>0</v>
      </c>
      <c r="Q89" s="53">
        <f t="shared" si="31"/>
        <v>0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4932522</v>
      </c>
      <c r="G90" s="16">
        <v>619313</v>
      </c>
      <c r="H90" s="16">
        <f t="shared" si="26"/>
        <v>4313209</v>
      </c>
      <c r="I90" s="53">
        <f t="shared" si="27"/>
        <v>6.9645058314616355</v>
      </c>
      <c r="J90" s="174"/>
      <c r="K90" s="256">
        <v>1013747</v>
      </c>
      <c r="L90" s="16">
        <f t="shared" si="28"/>
        <v>3918775</v>
      </c>
      <c r="M90" s="53" t="str">
        <f t="shared" si="29"/>
        <v>N.M.</v>
      </c>
      <c r="N90" s="174"/>
      <c r="O90" s="256">
        <v>648202</v>
      </c>
      <c r="P90" s="16">
        <f t="shared" si="30"/>
        <v>4284320</v>
      </c>
      <c r="Q90" s="53">
        <f t="shared" si="31"/>
        <v>6.609544555555213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0.001</v>
      </c>
      <c r="G91" s="16">
        <v>0</v>
      </c>
      <c r="H91" s="16">
        <f t="shared" si="26"/>
        <v>0.001</v>
      </c>
      <c r="I91" s="53" t="str">
        <f t="shared" si="27"/>
        <v>N.M.</v>
      </c>
      <c r="J91" s="174"/>
      <c r="K91" s="256">
        <v>0.001</v>
      </c>
      <c r="L91" s="16">
        <f t="shared" si="28"/>
        <v>0</v>
      </c>
      <c r="M91" s="53">
        <f t="shared" si="29"/>
        <v>0</v>
      </c>
      <c r="N91" s="174"/>
      <c r="O91" s="256">
        <v>0</v>
      </c>
      <c r="P91" s="16">
        <f t="shared" si="30"/>
        <v>0.001</v>
      </c>
      <c r="Q91" s="53" t="str">
        <f t="shared" si="31"/>
        <v>N.M.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15066.39</v>
      </c>
      <c r="G92" s="16">
        <v>0</v>
      </c>
      <c r="H92" s="16">
        <f t="shared" si="26"/>
        <v>15066.39</v>
      </c>
      <c r="I92" s="53" t="str">
        <f t="shared" si="27"/>
        <v>N.M.</v>
      </c>
      <c r="J92" s="174"/>
      <c r="K92" s="256">
        <v>19911.010000000002</v>
      </c>
      <c r="L92" s="16">
        <f t="shared" si="28"/>
        <v>-4844.620000000003</v>
      </c>
      <c r="M92" s="53" t="str">
        <f t="shared" si="29"/>
        <v>N.M.</v>
      </c>
      <c r="N92" s="174"/>
      <c r="O92" s="256">
        <v>0</v>
      </c>
      <c r="P92" s="16">
        <f t="shared" si="30"/>
        <v>15066.39</v>
      </c>
      <c r="Q92" s="53" t="str">
        <f t="shared" si="31"/>
        <v>N.M.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481475.91000000003</v>
      </c>
      <c r="G93" s="16">
        <v>0</v>
      </c>
      <c r="H93" s="16">
        <f t="shared" si="26"/>
        <v>481475.91000000003</v>
      </c>
      <c r="I93" s="53" t="str">
        <f t="shared" si="27"/>
        <v>N.M.</v>
      </c>
      <c r="J93" s="174"/>
      <c r="K93" s="256">
        <v>293471.53</v>
      </c>
      <c r="L93" s="16">
        <f t="shared" si="28"/>
        <v>188004.38</v>
      </c>
      <c r="M93" s="53" t="str">
        <f t="shared" si="29"/>
        <v>N.M.</v>
      </c>
      <c r="N93" s="174"/>
      <c r="O93" s="256">
        <v>0</v>
      </c>
      <c r="P93" s="16">
        <f t="shared" si="30"/>
        <v>481475.91000000003</v>
      </c>
      <c r="Q93" s="53" t="str">
        <f t="shared" si="31"/>
        <v>N.M.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62672.11</v>
      </c>
      <c r="G94" s="16">
        <v>0</v>
      </c>
      <c r="H94" s="16">
        <f t="shared" si="26"/>
        <v>62672.11</v>
      </c>
      <c r="I94" s="53" t="str">
        <f t="shared" si="27"/>
        <v>N.M.</v>
      </c>
      <c r="J94" s="174"/>
      <c r="K94" s="256">
        <v>0</v>
      </c>
      <c r="L94" s="16">
        <f t="shared" si="28"/>
        <v>62672.11</v>
      </c>
      <c r="M94" s="53" t="str">
        <f t="shared" si="29"/>
        <v>N.M.</v>
      </c>
      <c r="N94" s="174"/>
      <c r="O94" s="256">
        <v>0</v>
      </c>
      <c r="P94" s="16">
        <f t="shared" si="30"/>
        <v>62672.11</v>
      </c>
      <c r="Q94" s="53" t="str">
        <f t="shared" si="31"/>
        <v>N.M.</v>
      </c>
    </row>
    <row r="95" spans="1:17" s="15" customFormat="1" ht="12.75" hidden="1" outlineLevel="2">
      <c r="A95" s="15" t="s">
        <v>476</v>
      </c>
      <c r="B95" s="15" t="s">
        <v>477</v>
      </c>
      <c r="C95" s="134" t="s">
        <v>478</v>
      </c>
      <c r="D95" s="16"/>
      <c r="E95" s="16"/>
      <c r="F95" s="16">
        <v>0</v>
      </c>
      <c r="G95" s="16">
        <v>0</v>
      </c>
      <c r="H95" s="16">
        <f t="shared" si="26"/>
        <v>0</v>
      </c>
      <c r="I95" s="53">
        <f t="shared" si="27"/>
        <v>0</v>
      </c>
      <c r="J95" s="174"/>
      <c r="K95" s="256">
        <v>215274.63</v>
      </c>
      <c r="L95" s="16">
        <f t="shared" si="28"/>
        <v>-215274.63</v>
      </c>
      <c r="M95" s="53" t="str">
        <f t="shared" si="29"/>
        <v>N.M.</v>
      </c>
      <c r="N95" s="174"/>
      <c r="O95" s="256">
        <v>0</v>
      </c>
      <c r="P95" s="16">
        <f t="shared" si="30"/>
        <v>0</v>
      </c>
      <c r="Q95" s="53">
        <f t="shared" si="31"/>
        <v>0</v>
      </c>
    </row>
    <row r="96" spans="1:17" s="67" customFormat="1" ht="12.75" collapsed="1">
      <c r="A96" s="67" t="s">
        <v>141</v>
      </c>
      <c r="B96" s="87"/>
      <c r="C96" s="82" t="s">
        <v>101</v>
      </c>
      <c r="D96" s="66"/>
      <c r="E96" s="66"/>
      <c r="F96" s="51">
        <v>10760762.259000001</v>
      </c>
      <c r="G96" s="51">
        <v>10552103.509999998</v>
      </c>
      <c r="H96" s="51">
        <f>+F96-G96</f>
        <v>208658.74900000356</v>
      </c>
      <c r="I96" s="136">
        <f>IF(G96&lt;0,IF(H96=0,0,IF(OR(G96=0,F96=0),"N.M.",IF(ABS(H96/G96)&gt;=10,"N.M.",H96/(-G96)))),IF(H96=0,0,IF(OR(G96=0,F96=0),"N.M.",IF(ABS(H96/G96)&gt;=10,"N.M.",H96/G96))))</f>
        <v>0.019774137810746665</v>
      </c>
      <c r="J96" s="157"/>
      <c r="K96" s="51">
        <v>11032612.119000003</v>
      </c>
      <c r="L96" s="51">
        <f>+F96-K96</f>
        <v>-271849.86000000127</v>
      </c>
      <c r="M96" s="136" t="str">
        <f>IF(K96&lt;0,IF(L96=0,0,IF(OR(K96=0,N96=0),"N.M.",IF(ABS(L96/K96)&gt;=10,"N.M.",L96/(-K96)))),IF(L96=0,0,IF(OR(K96=0,N96=0),"N.M.",IF(ABS(L96/K96)&gt;=10,"N.M.",L96/K96))))</f>
        <v>N.M.</v>
      </c>
      <c r="N96" s="157"/>
      <c r="O96" s="51">
        <v>13069005.580000004</v>
      </c>
      <c r="P96" s="51">
        <f>+F96-O96</f>
        <v>-2308243.3210000023</v>
      </c>
      <c r="Q96" s="136">
        <f>IF(O96&lt;0,IF(P96=0,0,IF(OR(O96=0,F96=0),"N.M.",IF(ABS(P96/O96)&gt;=10,"N.M.",P96/(-O96)))),IF(P96=0,0,IF(OR(O96=0,F96=0),"N.M.",IF(ABS(P96/O96)&gt;=10,"N.M.",P96/O96))))</f>
        <v>-0.17661965991753764</v>
      </c>
    </row>
    <row r="97" spans="2:17" s="67" customFormat="1" ht="0.75" customHeight="1" hidden="1" outlineLevel="1">
      <c r="B97" s="87"/>
      <c r="C97" s="82"/>
      <c r="D97" s="66"/>
      <c r="E97" s="66"/>
      <c r="F97" s="51"/>
      <c r="G97" s="51"/>
      <c r="H97" s="51"/>
      <c r="I97" s="136"/>
      <c r="J97" s="157"/>
      <c r="K97" s="51"/>
      <c r="L97" s="51"/>
      <c r="M97" s="136"/>
      <c r="N97" s="157"/>
      <c r="O97" s="51"/>
      <c r="P97" s="51"/>
      <c r="Q97" s="136"/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0</v>
      </c>
      <c r="G98" s="16">
        <v>410099.04000000004</v>
      </c>
      <c r="H98" s="16">
        <f aca="true" t="shared" si="32" ref="H98:H112">+F98-G98</f>
        <v>-410099.04000000004</v>
      </c>
      <c r="I98" s="53" t="str">
        <f aca="true" t="shared" si="33" ref="I98:I112">IF(G98&lt;0,IF(H98=0,0,IF(OR(G98=0,F98=0),"N.M.",IF(ABS(H98/G98)&gt;=10,"N.M.",H98/(-G98)))),IF(H98=0,0,IF(OR(G98=0,F98=0),"N.M.",IF(ABS(H98/G98)&gt;=10,"N.M.",H98/G98))))</f>
        <v>N.M.</v>
      </c>
      <c r="J98" s="174"/>
      <c r="K98" s="256">
        <v>0</v>
      </c>
      <c r="L98" s="16">
        <f aca="true" t="shared" si="34" ref="L98:L112">+F98-K98</f>
        <v>0</v>
      </c>
      <c r="M98" s="53">
        <f aca="true" t="shared" si="35" ref="M98:M112">IF(K98&lt;0,IF(L98=0,0,IF(OR(K98=0,N98=0),"N.M.",IF(ABS(L98/K98)&gt;=10,"N.M.",L98/(-K98)))),IF(L98=0,0,IF(OR(K98=0,N98=0),"N.M.",IF(ABS(L98/K98)&gt;=10,"N.M.",L98/K98))))</f>
        <v>0</v>
      </c>
      <c r="N98" s="174"/>
      <c r="O98" s="256">
        <v>325656.03</v>
      </c>
      <c r="P98" s="16">
        <f aca="true" t="shared" si="36" ref="P98:P112">+F98-O98</f>
        <v>-325656.03</v>
      </c>
      <c r="Q98" s="53" t="str">
        <f aca="true" t="shared" si="37" ref="Q98:Q112">IF(O98&lt;0,IF(P98=0,0,IF(OR(O98=0,F98=0),"N.M.",IF(ABS(P98/O98)&gt;=10,"N.M.",P98/(-O98)))),IF(P98=0,0,IF(OR(O98=0,F98=0),"N.M.",IF(ABS(P98/O98)&gt;=10,"N.M.",P98/O98))))</f>
        <v>N.M.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73727.65000000001</v>
      </c>
      <c r="G99" s="16">
        <v>106437.86</v>
      </c>
      <c r="H99" s="16">
        <f t="shared" si="32"/>
        <v>-32710.209999999992</v>
      </c>
      <c r="I99" s="53">
        <f t="shared" si="33"/>
        <v>-0.3073174338529541</v>
      </c>
      <c r="J99" s="174"/>
      <c r="K99" s="256">
        <v>73727.65000000001</v>
      </c>
      <c r="L99" s="16">
        <f t="shared" si="34"/>
        <v>0</v>
      </c>
      <c r="M99" s="53">
        <f t="shared" si="35"/>
        <v>0</v>
      </c>
      <c r="N99" s="174"/>
      <c r="O99" s="256">
        <v>100857.22</v>
      </c>
      <c r="P99" s="16">
        <f t="shared" si="36"/>
        <v>-27129.569999999992</v>
      </c>
      <c r="Q99" s="53">
        <f t="shared" si="37"/>
        <v>-0.26898986507857336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791795.7000000001</v>
      </c>
      <c r="G100" s="16">
        <v>549598.35</v>
      </c>
      <c r="H100" s="16">
        <f t="shared" si="32"/>
        <v>242197.3500000001</v>
      </c>
      <c r="I100" s="53">
        <f t="shared" si="33"/>
        <v>0.4406806352311649</v>
      </c>
      <c r="J100" s="174"/>
      <c r="K100" s="256">
        <v>0</v>
      </c>
      <c r="L100" s="16">
        <f t="shared" si="34"/>
        <v>791795.7000000001</v>
      </c>
      <c r="M100" s="53" t="str">
        <f t="shared" si="35"/>
        <v>N.M.</v>
      </c>
      <c r="N100" s="174"/>
      <c r="O100" s="256">
        <v>1865052.0899999999</v>
      </c>
      <c r="P100" s="16">
        <f t="shared" si="36"/>
        <v>-1073256.3899999997</v>
      </c>
      <c r="Q100" s="53">
        <f t="shared" si="37"/>
        <v>-0.5754565225038833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27252</v>
      </c>
      <c r="G101" s="16">
        <v>78193.90000000001</v>
      </c>
      <c r="H101" s="16">
        <f t="shared" si="32"/>
        <v>-50941.90000000001</v>
      </c>
      <c r="I101" s="53">
        <f t="shared" si="33"/>
        <v>-0.6514817652016334</v>
      </c>
      <c r="J101" s="174"/>
      <c r="K101" s="256">
        <v>51505</v>
      </c>
      <c r="L101" s="16">
        <f t="shared" si="34"/>
        <v>-24253</v>
      </c>
      <c r="M101" s="53" t="str">
        <f t="shared" si="35"/>
        <v>N.M.</v>
      </c>
      <c r="N101" s="174"/>
      <c r="O101" s="256">
        <v>83410.65000000001</v>
      </c>
      <c r="P101" s="16">
        <f t="shared" si="36"/>
        <v>-56158.65000000001</v>
      </c>
      <c r="Q101" s="53">
        <f t="shared" si="37"/>
        <v>-0.6732791316216814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-40241.004</v>
      </c>
      <c r="G102" s="16">
        <v>-91038.904</v>
      </c>
      <c r="H102" s="16">
        <f t="shared" si="32"/>
        <v>50797.899999999994</v>
      </c>
      <c r="I102" s="53">
        <f t="shared" si="33"/>
        <v>0.5579801356132319</v>
      </c>
      <c r="J102" s="174"/>
      <c r="K102" s="256">
        <v>-66052.004</v>
      </c>
      <c r="L102" s="16">
        <f t="shared" si="34"/>
        <v>25811</v>
      </c>
      <c r="M102" s="53" t="str">
        <f t="shared" si="35"/>
        <v>N.M.</v>
      </c>
      <c r="N102" s="174"/>
      <c r="O102" s="256">
        <v>-92404.654</v>
      </c>
      <c r="P102" s="16">
        <f t="shared" si="36"/>
        <v>52163.649999999994</v>
      </c>
      <c r="Q102" s="53">
        <f t="shared" si="37"/>
        <v>0.5645132332836829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496</v>
      </c>
      <c r="D103" s="16"/>
      <c r="E103" s="16"/>
      <c r="F103" s="16">
        <v>0</v>
      </c>
      <c r="G103" s="16">
        <v>19246.78</v>
      </c>
      <c r="H103" s="16">
        <f t="shared" si="32"/>
        <v>-19246.78</v>
      </c>
      <c r="I103" s="53" t="str">
        <f t="shared" si="33"/>
        <v>N.M.</v>
      </c>
      <c r="J103" s="174"/>
      <c r="K103" s="256">
        <v>0</v>
      </c>
      <c r="L103" s="16">
        <f t="shared" si="34"/>
        <v>0</v>
      </c>
      <c r="M103" s="53">
        <f t="shared" si="35"/>
        <v>0</v>
      </c>
      <c r="N103" s="174"/>
      <c r="O103" s="256">
        <v>2763.16</v>
      </c>
      <c r="P103" s="16">
        <f t="shared" si="36"/>
        <v>-2763.16</v>
      </c>
      <c r="Q103" s="53" t="str">
        <f t="shared" si="37"/>
        <v>N.M.</v>
      </c>
    </row>
    <row r="104" spans="1:17" s="15" customFormat="1" ht="12.75" hidden="1" outlineLevel="2">
      <c r="A104" s="15" t="s">
        <v>497</v>
      </c>
      <c r="B104" s="15" t="s">
        <v>498</v>
      </c>
      <c r="C104" s="134" t="s">
        <v>466</v>
      </c>
      <c r="D104" s="16"/>
      <c r="E104" s="16"/>
      <c r="F104" s="16">
        <v>0</v>
      </c>
      <c r="G104" s="16">
        <v>-0.002</v>
      </c>
      <c r="H104" s="16">
        <f t="shared" si="32"/>
        <v>0.002</v>
      </c>
      <c r="I104" s="53" t="str">
        <f t="shared" si="33"/>
        <v>N.M.</v>
      </c>
      <c r="J104" s="174"/>
      <c r="K104" s="256">
        <v>0</v>
      </c>
      <c r="L104" s="16">
        <f t="shared" si="34"/>
        <v>0</v>
      </c>
      <c r="M104" s="53">
        <f t="shared" si="35"/>
        <v>0</v>
      </c>
      <c r="N104" s="174"/>
      <c r="O104" s="256">
        <v>257295.968</v>
      </c>
      <c r="P104" s="16">
        <f t="shared" si="36"/>
        <v>-257295.968</v>
      </c>
      <c r="Q104" s="53" t="str">
        <f t="shared" si="37"/>
        <v>N.M.</v>
      </c>
    </row>
    <row r="105" spans="1:17" s="15" customFormat="1" ht="12.75" hidden="1" outlineLevel="2">
      <c r="A105" s="15" t="s">
        <v>499</v>
      </c>
      <c r="B105" s="15" t="s">
        <v>500</v>
      </c>
      <c r="C105" s="134" t="s">
        <v>501</v>
      </c>
      <c r="D105" s="16"/>
      <c r="E105" s="16"/>
      <c r="F105" s="16">
        <v>1890.29</v>
      </c>
      <c r="G105" s="16">
        <v>150.67000000000002</v>
      </c>
      <c r="H105" s="16">
        <f t="shared" si="32"/>
        <v>1739.62</v>
      </c>
      <c r="I105" s="53" t="str">
        <f t="shared" si="33"/>
        <v>N.M.</v>
      </c>
      <c r="J105" s="174"/>
      <c r="K105" s="256">
        <v>2900.4500000000003</v>
      </c>
      <c r="L105" s="16">
        <f t="shared" si="34"/>
        <v>-1010.1600000000003</v>
      </c>
      <c r="M105" s="53" t="str">
        <f t="shared" si="35"/>
        <v>N.M.</v>
      </c>
      <c r="N105" s="174"/>
      <c r="O105" s="256">
        <v>456.68</v>
      </c>
      <c r="P105" s="16">
        <f t="shared" si="36"/>
        <v>1433.61</v>
      </c>
      <c r="Q105" s="53">
        <f t="shared" si="37"/>
        <v>3.1392003153192607</v>
      </c>
    </row>
    <row r="106" spans="1:17" s="15" customFormat="1" ht="12.75" hidden="1" outlineLevel="2">
      <c r="A106" s="15" t="s">
        <v>502</v>
      </c>
      <c r="B106" s="15" t="s">
        <v>503</v>
      </c>
      <c r="C106" s="134" t="s">
        <v>504</v>
      </c>
      <c r="D106" s="16"/>
      <c r="E106" s="16"/>
      <c r="F106" s="16">
        <v>0</v>
      </c>
      <c r="G106" s="16">
        <v>170433.49</v>
      </c>
      <c r="H106" s="16">
        <f t="shared" si="32"/>
        <v>-170433.49</v>
      </c>
      <c r="I106" s="53" t="str">
        <f t="shared" si="33"/>
        <v>N.M.</v>
      </c>
      <c r="J106" s="174"/>
      <c r="K106" s="256">
        <v>0</v>
      </c>
      <c r="L106" s="16">
        <f t="shared" si="34"/>
        <v>0</v>
      </c>
      <c r="M106" s="53">
        <f t="shared" si="35"/>
        <v>0</v>
      </c>
      <c r="N106" s="174"/>
      <c r="O106" s="256">
        <v>278507.72000000003</v>
      </c>
      <c r="P106" s="16">
        <f t="shared" si="36"/>
        <v>-278507.72000000003</v>
      </c>
      <c r="Q106" s="53" t="str">
        <f t="shared" si="37"/>
        <v>N.M.</v>
      </c>
    </row>
    <row r="107" spans="1:17" s="15" customFormat="1" ht="12.75" hidden="1" outlineLevel="2">
      <c r="A107" s="15" t="s">
        <v>505</v>
      </c>
      <c r="B107" s="15" t="s">
        <v>506</v>
      </c>
      <c r="C107" s="134" t="s">
        <v>507</v>
      </c>
      <c r="D107" s="16"/>
      <c r="E107" s="16"/>
      <c r="F107" s="16">
        <v>0</v>
      </c>
      <c r="G107" s="16">
        <v>0</v>
      </c>
      <c r="H107" s="16">
        <f t="shared" si="32"/>
        <v>0</v>
      </c>
      <c r="I107" s="53">
        <f t="shared" si="33"/>
        <v>0</v>
      </c>
      <c r="J107" s="174"/>
      <c r="K107" s="256">
        <v>216299.96</v>
      </c>
      <c r="L107" s="16">
        <f t="shared" si="34"/>
        <v>-216299.96</v>
      </c>
      <c r="M107" s="53" t="str">
        <f t="shared" si="35"/>
        <v>N.M.</v>
      </c>
      <c r="N107" s="174"/>
      <c r="O107" s="256">
        <v>0</v>
      </c>
      <c r="P107" s="16">
        <f t="shared" si="36"/>
        <v>0</v>
      </c>
      <c r="Q107" s="53">
        <f t="shared" si="37"/>
        <v>0</v>
      </c>
    </row>
    <row r="108" spans="1:17" s="15" customFormat="1" ht="12.75" hidden="1" outlineLevel="2">
      <c r="A108" s="15" t="s">
        <v>508</v>
      </c>
      <c r="B108" s="15" t="s">
        <v>509</v>
      </c>
      <c r="C108" s="134" t="s">
        <v>510</v>
      </c>
      <c r="D108" s="16"/>
      <c r="E108" s="16"/>
      <c r="F108" s="16">
        <v>0</v>
      </c>
      <c r="G108" s="16">
        <v>26744.54</v>
      </c>
      <c r="H108" s="16">
        <f t="shared" si="32"/>
        <v>-26744.54</v>
      </c>
      <c r="I108" s="53" t="str">
        <f t="shared" si="33"/>
        <v>N.M.</v>
      </c>
      <c r="J108" s="174"/>
      <c r="K108" s="256">
        <v>0</v>
      </c>
      <c r="L108" s="16">
        <f t="shared" si="34"/>
        <v>0</v>
      </c>
      <c r="M108" s="53">
        <f t="shared" si="35"/>
        <v>0</v>
      </c>
      <c r="N108" s="174"/>
      <c r="O108" s="256">
        <v>21531.64</v>
      </c>
      <c r="P108" s="16">
        <f t="shared" si="36"/>
        <v>-21531.64</v>
      </c>
      <c r="Q108" s="53" t="str">
        <f t="shared" si="37"/>
        <v>N.M.</v>
      </c>
    </row>
    <row r="109" spans="1:17" s="15" customFormat="1" ht="12.75" hidden="1" outlineLevel="2">
      <c r="A109" s="15" t="s">
        <v>511</v>
      </c>
      <c r="B109" s="15" t="s">
        <v>512</v>
      </c>
      <c r="C109" s="134" t="s">
        <v>513</v>
      </c>
      <c r="D109" s="16"/>
      <c r="E109" s="16"/>
      <c r="F109" s="16">
        <v>-190350</v>
      </c>
      <c r="G109" s="16">
        <v>1716000</v>
      </c>
      <c r="H109" s="16">
        <f t="shared" si="32"/>
        <v>-1906350</v>
      </c>
      <c r="I109" s="53">
        <f t="shared" si="33"/>
        <v>-1.1109265734265734</v>
      </c>
      <c r="J109" s="174"/>
      <c r="K109" s="256">
        <v>-190350</v>
      </c>
      <c r="L109" s="16">
        <f t="shared" si="34"/>
        <v>0</v>
      </c>
      <c r="M109" s="53">
        <f t="shared" si="35"/>
        <v>0</v>
      </c>
      <c r="N109" s="174"/>
      <c r="O109" s="256">
        <v>-634767</v>
      </c>
      <c r="P109" s="16">
        <f t="shared" si="36"/>
        <v>444417</v>
      </c>
      <c r="Q109" s="53">
        <f t="shared" si="37"/>
        <v>0.7001261880343496</v>
      </c>
    </row>
    <row r="110" spans="1:17" s="15" customFormat="1" ht="12.75" hidden="1" outlineLevel="2">
      <c r="A110" s="15" t="s">
        <v>514</v>
      </c>
      <c r="B110" s="15" t="s">
        <v>515</v>
      </c>
      <c r="C110" s="134" t="s">
        <v>516</v>
      </c>
      <c r="D110" s="16"/>
      <c r="E110" s="16"/>
      <c r="F110" s="16">
        <v>796514</v>
      </c>
      <c r="G110" s="16">
        <v>0</v>
      </c>
      <c r="H110" s="16">
        <f t="shared" si="32"/>
        <v>796514</v>
      </c>
      <c r="I110" s="53" t="str">
        <f t="shared" si="33"/>
        <v>N.M.</v>
      </c>
      <c r="J110" s="174"/>
      <c r="K110" s="256">
        <v>796514</v>
      </c>
      <c r="L110" s="16">
        <f t="shared" si="34"/>
        <v>0</v>
      </c>
      <c r="M110" s="53">
        <f t="shared" si="35"/>
        <v>0</v>
      </c>
      <c r="N110" s="174"/>
      <c r="O110" s="256">
        <v>796514</v>
      </c>
      <c r="P110" s="16">
        <f t="shared" si="36"/>
        <v>0</v>
      </c>
      <c r="Q110" s="53">
        <f t="shared" si="37"/>
        <v>0</v>
      </c>
    </row>
    <row r="111" spans="1:17" s="15" customFormat="1" ht="12.75" hidden="1" outlineLevel="2">
      <c r="A111" s="15" t="s">
        <v>517</v>
      </c>
      <c r="B111" s="15" t="s">
        <v>518</v>
      </c>
      <c r="C111" s="134" t="s">
        <v>519</v>
      </c>
      <c r="D111" s="16"/>
      <c r="E111" s="16"/>
      <c r="F111" s="16">
        <v>137084</v>
      </c>
      <c r="G111" s="16">
        <v>0</v>
      </c>
      <c r="H111" s="16">
        <f t="shared" si="32"/>
        <v>137084</v>
      </c>
      <c r="I111" s="53" t="str">
        <f t="shared" si="33"/>
        <v>N.M.</v>
      </c>
      <c r="J111" s="174"/>
      <c r="K111" s="256">
        <v>137084</v>
      </c>
      <c r="L111" s="16">
        <f t="shared" si="34"/>
        <v>0</v>
      </c>
      <c r="M111" s="53">
        <f t="shared" si="35"/>
        <v>0</v>
      </c>
      <c r="N111" s="174"/>
      <c r="O111" s="256">
        <v>137084</v>
      </c>
      <c r="P111" s="16">
        <f t="shared" si="36"/>
        <v>0</v>
      </c>
      <c r="Q111" s="53">
        <f t="shared" si="37"/>
        <v>0</v>
      </c>
    </row>
    <row r="112" spans="1:17" s="15" customFormat="1" ht="12.75" hidden="1" outlineLevel="2">
      <c r="A112" s="15" t="s">
        <v>520</v>
      </c>
      <c r="B112" s="15" t="s">
        <v>521</v>
      </c>
      <c r="C112" s="134" t="s">
        <v>522</v>
      </c>
      <c r="D112" s="16"/>
      <c r="E112" s="16"/>
      <c r="F112" s="16">
        <v>1842765.62</v>
      </c>
      <c r="G112" s="16">
        <v>1763858.44</v>
      </c>
      <c r="H112" s="16">
        <f t="shared" si="32"/>
        <v>78907.18000000017</v>
      </c>
      <c r="I112" s="53">
        <f t="shared" si="33"/>
        <v>0.044735551453891145</v>
      </c>
      <c r="J112" s="174"/>
      <c r="K112" s="256">
        <v>1642416.03</v>
      </c>
      <c r="L112" s="16">
        <f t="shared" si="34"/>
        <v>200349.59000000008</v>
      </c>
      <c r="M112" s="53" t="str">
        <f t="shared" si="35"/>
        <v>N.M.</v>
      </c>
      <c r="N112" s="174"/>
      <c r="O112" s="256">
        <v>2073414.74</v>
      </c>
      <c r="P112" s="16">
        <f t="shared" si="36"/>
        <v>-230649.11999999988</v>
      </c>
      <c r="Q112" s="53">
        <f t="shared" si="37"/>
        <v>-0.11124118853326946</v>
      </c>
    </row>
    <row r="113" spans="1:17" s="67" customFormat="1" ht="12.75" collapsed="1">
      <c r="A113" s="67" t="s">
        <v>142</v>
      </c>
      <c r="B113" s="87"/>
      <c r="C113" s="82" t="s">
        <v>102</v>
      </c>
      <c r="D113" s="66"/>
      <c r="E113" s="66"/>
      <c r="F113" s="51">
        <v>3440438.256</v>
      </c>
      <c r="G113" s="51">
        <v>4749724.163999999</v>
      </c>
      <c r="H113" s="51">
        <f>+F113-G113</f>
        <v>-1309285.907999999</v>
      </c>
      <c r="I113" s="136">
        <f>IF(G113&lt;0,IF(H113=0,0,IF(OR(G113=0,F113=0),"N.M.",IF(ABS(H113/G113)&gt;=10,"N.M.",H113/(-G113)))),IF(H113=0,0,IF(OR(G113=0,F113=0),"N.M.",IF(ABS(H113/G113)&gt;=10,"N.M.",H113/G113))))</f>
        <v>-0.2756551460237595</v>
      </c>
      <c r="J113" s="157"/>
      <c r="K113" s="51">
        <v>2664045.086</v>
      </c>
      <c r="L113" s="51">
        <f>+F113-K113</f>
        <v>776393.1699999999</v>
      </c>
      <c r="M113" s="136" t="str">
        <f>IF(K113&lt;0,IF(L113=0,0,IF(OR(K113=0,N113=0),"N.M.",IF(ABS(L113/K113)&gt;=10,"N.M.",L113/(-K113)))),IF(L113=0,0,IF(OR(K113=0,N113=0),"N.M.",IF(ABS(L113/K113)&gt;=10,"N.M.",L113/K113))))</f>
        <v>N.M.</v>
      </c>
      <c r="N113" s="157"/>
      <c r="O113" s="51">
        <v>5215372.244</v>
      </c>
      <c r="P113" s="51">
        <f>+F113-O113</f>
        <v>-1774933.988</v>
      </c>
      <c r="Q113" s="136">
        <f>IF(O113&lt;0,IF(P113=0,0,IF(OR(O113=0,F113=0),"N.M.",IF(ABS(P113/O113)&gt;=10,"N.M.",P113/(-O113)))),IF(P113=0,0,IF(OR(O113=0,F113=0),"N.M.",IF(ABS(P113/O113)&gt;=10,"N.M.",P113/O113))))</f>
        <v>-0.3403273831588846</v>
      </c>
    </row>
    <row r="114" spans="2:17" s="67" customFormat="1" ht="0.75" customHeight="1" hidden="1" outlineLevel="1">
      <c r="B114" s="87"/>
      <c r="C114" s="82"/>
      <c r="D114" s="66"/>
      <c r="E114" s="66"/>
      <c r="F114" s="51"/>
      <c r="G114" s="51"/>
      <c r="H114" s="51"/>
      <c r="I114" s="136"/>
      <c r="J114" s="157"/>
      <c r="K114" s="51"/>
      <c r="L114" s="51"/>
      <c r="M114" s="136"/>
      <c r="N114" s="157"/>
      <c r="O114" s="51"/>
      <c r="P114" s="51"/>
      <c r="Q114" s="136"/>
    </row>
    <row r="115" spans="1:17" s="15" customFormat="1" ht="12.75" hidden="1" outlineLevel="2">
      <c r="A115" s="15" t="s">
        <v>523</v>
      </c>
      <c r="B115" s="15" t="s">
        <v>524</v>
      </c>
      <c r="C115" s="134" t="s">
        <v>525</v>
      </c>
      <c r="D115" s="16"/>
      <c r="E115" s="16"/>
      <c r="F115" s="16">
        <v>-6710.84</v>
      </c>
      <c r="G115" s="16">
        <v>-29118.100000000002</v>
      </c>
      <c r="H115" s="16">
        <f>+F115-G115</f>
        <v>22407.260000000002</v>
      </c>
      <c r="I115" s="53">
        <f>IF(G115&lt;0,IF(H115=0,0,IF(OR(G115=0,F115=0),"N.M.",IF(ABS(H115/G115)&gt;=10,"N.M.",H115/(-G115)))),IF(H115=0,0,IF(OR(G115=0,F115=0),"N.M.",IF(ABS(H115/G115)&gt;=10,"N.M.",H115/G115))))</f>
        <v>0.7695302921550513</v>
      </c>
      <c r="J115" s="174"/>
      <c r="K115" s="256">
        <v>-8404.39</v>
      </c>
      <c r="L115" s="16">
        <f>+F115-K115</f>
        <v>1693.5499999999993</v>
      </c>
      <c r="M115" s="53" t="str">
        <f>IF(K115&lt;0,IF(L115=0,0,IF(OR(K115=0,N115=0),"N.M.",IF(ABS(L115/K115)&gt;=10,"N.M.",L115/(-K115)))),IF(L115=0,0,IF(OR(K115=0,N115=0),"N.M.",IF(ABS(L115/K115)&gt;=10,"N.M.",L115/K115))))</f>
        <v>N.M.</v>
      </c>
      <c r="N115" s="174"/>
      <c r="O115" s="256">
        <v>-22676.54</v>
      </c>
      <c r="P115" s="16">
        <f>+F115-O115</f>
        <v>15965.7</v>
      </c>
      <c r="Q115" s="53">
        <f>IF(O115&lt;0,IF(P115=0,0,IF(OR(O115=0,F115=0),"N.M.",IF(ABS(P115/O115)&gt;=10,"N.M.",P115/(-O115)))),IF(P115=0,0,IF(OR(O115=0,F115=0),"N.M.",IF(ABS(P115/O115)&gt;=10,"N.M.",P115/O115))))</f>
        <v>0.7040624363328797</v>
      </c>
    </row>
    <row r="116" spans="1:17" s="15" customFormat="1" ht="12.75" hidden="1" outlineLevel="2">
      <c r="A116" s="15" t="s">
        <v>526</v>
      </c>
      <c r="B116" s="15" t="s">
        <v>527</v>
      </c>
      <c r="C116" s="134" t="s">
        <v>528</v>
      </c>
      <c r="D116" s="16"/>
      <c r="E116" s="16"/>
      <c r="F116" s="16">
        <v>-828642.09</v>
      </c>
      <c r="G116" s="16">
        <v>-828642.09</v>
      </c>
      <c r="H116" s="16">
        <f>+F116-G116</f>
        <v>0</v>
      </c>
      <c r="I116" s="53">
        <f>IF(G116&lt;0,IF(H116=0,0,IF(OR(G116=0,F116=0),"N.M.",IF(ABS(H116/G116)&gt;=10,"N.M.",H116/(-G116)))),IF(H116=0,0,IF(OR(G116=0,F116=0),"N.M.",IF(ABS(H116/G116)&gt;=10,"N.M.",H116/G116))))</f>
        <v>0</v>
      </c>
      <c r="J116" s="174"/>
      <c r="K116" s="256">
        <v>-828642.09</v>
      </c>
      <c r="L116" s="16">
        <f>+F116-K116</f>
        <v>0</v>
      </c>
      <c r="M116" s="53">
        <f>IF(K116&lt;0,IF(L116=0,0,IF(OR(K116=0,N116=0),"N.M.",IF(ABS(L116/K116)&gt;=10,"N.M.",L116/(-K116)))),IF(L116=0,0,IF(OR(K116=0,N116=0),"N.M.",IF(ABS(L116/K116)&gt;=10,"N.M.",L116/K116))))</f>
        <v>0</v>
      </c>
      <c r="N116" s="174"/>
      <c r="O116" s="256">
        <v>-828642.09</v>
      </c>
      <c r="P116" s="16">
        <f>+F116-O116</f>
        <v>0</v>
      </c>
      <c r="Q116" s="53">
        <f>IF(O116&lt;0,IF(P116=0,0,IF(OR(O116=0,F116=0),"N.M.",IF(ABS(P116/O116)&gt;=10,"N.M.",P116/(-O116)))),IF(P116=0,0,IF(OR(O116=0,F116=0),"N.M.",IF(ABS(P116/O116)&gt;=10,"N.M.",P116/O116))))</f>
        <v>0</v>
      </c>
    </row>
    <row r="117" spans="1:17" s="67" customFormat="1" ht="12.75" collapsed="1">
      <c r="A117" s="67" t="s">
        <v>143</v>
      </c>
      <c r="B117" s="87"/>
      <c r="C117" s="82" t="s">
        <v>103</v>
      </c>
      <c r="D117" s="66"/>
      <c r="E117" s="66"/>
      <c r="F117" s="51">
        <v>-835352.9299999999</v>
      </c>
      <c r="G117" s="51">
        <v>-857760.19</v>
      </c>
      <c r="H117" s="51">
        <f>+F117-G117</f>
        <v>22407.26000000001</v>
      </c>
      <c r="I117" s="136">
        <f>IF(G117&lt;0,IF(H117=0,0,IF(OR(G117=0,F117=0),"N.M.",IF(ABS(H117/G117)&gt;=10,"N.M.",H117/(-G117)))),IF(H117=0,0,IF(OR(G117=0,F117=0),"N.M.",IF(ABS(H117/G117)&gt;=10,"N.M.",H117/G117))))</f>
        <v>0.026122988990664175</v>
      </c>
      <c r="J117" s="157"/>
      <c r="K117" s="51">
        <v>-837046.48</v>
      </c>
      <c r="L117" s="51">
        <f>+F117-K117</f>
        <v>1693.5500000000466</v>
      </c>
      <c r="M117" s="136" t="str">
        <f>IF(K117&lt;0,IF(L117=0,0,IF(OR(K117=0,N117=0),"N.M.",IF(ABS(L117/K117)&gt;=10,"N.M.",L117/(-K117)))),IF(L117=0,0,IF(OR(K117=0,N117=0),"N.M.",IF(ABS(L117/K117)&gt;=10,"N.M.",L117/K117))))</f>
        <v>N.M.</v>
      </c>
      <c r="N117" s="157"/>
      <c r="O117" s="51">
        <v>-851318.63</v>
      </c>
      <c r="P117" s="51">
        <f>+F117-O117</f>
        <v>15965.70000000007</v>
      </c>
      <c r="Q117" s="136">
        <f>IF(O117&lt;0,IF(P117=0,0,IF(OR(O117=0,F117=0),"N.M.",IF(ABS(P117/O117)&gt;=10,"N.M.",P117/(-O117)))),IF(P117=0,0,IF(OR(O117=0,F117=0),"N.M.",IF(ABS(P117/O117)&gt;=10,"N.M.",P117/O117))))</f>
        <v>0.018754082710488867</v>
      </c>
    </row>
    <row r="118" spans="2:17" s="67" customFormat="1" ht="0.75" customHeight="1" hidden="1" outlineLevel="1">
      <c r="B118" s="87"/>
      <c r="C118" s="82"/>
      <c r="D118" s="66"/>
      <c r="E118" s="66"/>
      <c r="F118" s="51"/>
      <c r="G118" s="51"/>
      <c r="H118" s="51"/>
      <c r="I118" s="136"/>
      <c r="J118" s="157"/>
      <c r="K118" s="51"/>
      <c r="L118" s="51"/>
      <c r="M118" s="136"/>
      <c r="N118" s="157"/>
      <c r="O118" s="51"/>
      <c r="P118" s="51"/>
      <c r="Q118" s="136"/>
    </row>
    <row r="119" spans="1:17" s="15" customFormat="1" ht="12.75" hidden="1" outlineLevel="2">
      <c r="A119" s="15" t="s">
        <v>529</v>
      </c>
      <c r="B119" s="15" t="s">
        <v>530</v>
      </c>
      <c r="C119" s="134" t="s">
        <v>531</v>
      </c>
      <c r="D119" s="16"/>
      <c r="E119" s="16"/>
      <c r="F119" s="16">
        <v>1893741.3</v>
      </c>
      <c r="G119" s="16">
        <v>2181294.98</v>
      </c>
      <c r="H119" s="16">
        <f aca="true" t="shared" si="38" ref="H119:H126">+F119-G119</f>
        <v>-287553.67999999993</v>
      </c>
      <c r="I119" s="53">
        <f aca="true" t="shared" si="39" ref="I119:I126">IF(G119&lt;0,IF(H119=0,0,IF(OR(G119=0,F119=0),"N.M.",IF(ABS(H119/G119)&gt;=10,"N.M.",H119/(-G119)))),IF(H119=0,0,IF(OR(G119=0,F119=0),"N.M.",IF(ABS(H119/G119)&gt;=10,"N.M.",H119/G119))))</f>
        <v>-0.1318270489028494</v>
      </c>
      <c r="J119" s="174"/>
      <c r="K119" s="256">
        <v>2191793.61</v>
      </c>
      <c r="L119" s="16">
        <f aca="true" t="shared" si="40" ref="L119:L126">+F119-K119</f>
        <v>-298052.3099999998</v>
      </c>
      <c r="M119" s="53" t="str">
        <f aca="true" t="shared" si="41" ref="M119:M126">IF(K119&lt;0,IF(L119=0,0,IF(OR(K119=0,N119=0),"N.M.",IF(ABS(L119/K119)&gt;=10,"N.M.",L119/(-K119)))),IF(L119=0,0,IF(OR(K119=0,N119=0),"N.M.",IF(ABS(L119/K119)&gt;=10,"N.M.",L119/K119))))</f>
        <v>N.M.</v>
      </c>
      <c r="N119" s="174"/>
      <c r="O119" s="256">
        <v>5069525.01</v>
      </c>
      <c r="P119" s="16">
        <f aca="true" t="shared" si="42" ref="P119:P126">+F119-O119</f>
        <v>-3175783.71</v>
      </c>
      <c r="Q119" s="53">
        <f aca="true" t="shared" si="43" ref="Q119:Q126">IF(O119&lt;0,IF(P119=0,0,IF(OR(O119=0,F119=0),"N.M.",IF(ABS(P119/O119)&gt;=10,"N.M.",P119/(-O119)))),IF(P119=0,0,IF(OR(O119=0,F119=0),"N.M.",IF(ABS(P119/O119)&gt;=10,"N.M.",P119/O119))))</f>
        <v>-0.6264460089920733</v>
      </c>
    </row>
    <row r="120" spans="1:17" s="15" customFormat="1" ht="12.75" hidden="1" outlineLevel="2">
      <c r="A120" s="15" t="s">
        <v>532</v>
      </c>
      <c r="B120" s="15" t="s">
        <v>533</v>
      </c>
      <c r="C120" s="134" t="s">
        <v>534</v>
      </c>
      <c r="D120" s="16"/>
      <c r="E120" s="16"/>
      <c r="F120" s="16">
        <v>336385.52</v>
      </c>
      <c r="G120" s="16">
        <v>223126.452</v>
      </c>
      <c r="H120" s="16">
        <f t="shared" si="38"/>
        <v>113259.06800000003</v>
      </c>
      <c r="I120" s="53">
        <f t="shared" si="39"/>
        <v>0.5076003628650898</v>
      </c>
      <c r="J120" s="174"/>
      <c r="K120" s="256">
        <v>239550.58000000002</v>
      </c>
      <c r="L120" s="16">
        <f t="shared" si="40"/>
        <v>96834.94</v>
      </c>
      <c r="M120" s="53" t="str">
        <f t="shared" si="41"/>
        <v>N.M.</v>
      </c>
      <c r="N120" s="174"/>
      <c r="O120" s="256">
        <v>542450.892</v>
      </c>
      <c r="P120" s="16">
        <f t="shared" si="42"/>
        <v>-206065.37199999997</v>
      </c>
      <c r="Q120" s="53">
        <f t="shared" si="43"/>
        <v>-0.37987839090879394</v>
      </c>
    </row>
    <row r="121" spans="1:17" s="15" customFormat="1" ht="12.75" hidden="1" outlineLevel="2">
      <c r="A121" s="15" t="s">
        <v>535</v>
      </c>
      <c r="B121" s="15" t="s">
        <v>536</v>
      </c>
      <c r="C121" s="134" t="s">
        <v>537</v>
      </c>
      <c r="D121" s="16"/>
      <c r="E121" s="16"/>
      <c r="F121" s="16">
        <v>14382.78</v>
      </c>
      <c r="G121" s="16">
        <v>24372.15</v>
      </c>
      <c r="H121" s="16">
        <f t="shared" si="38"/>
        <v>-9989.37</v>
      </c>
      <c r="I121" s="53">
        <f t="shared" si="39"/>
        <v>-0.40986823074697964</v>
      </c>
      <c r="J121" s="174"/>
      <c r="K121" s="256">
        <v>9243.17</v>
      </c>
      <c r="L121" s="16">
        <f t="shared" si="40"/>
        <v>5139.610000000001</v>
      </c>
      <c r="M121" s="53" t="str">
        <f t="shared" si="41"/>
        <v>N.M.</v>
      </c>
      <c r="N121" s="174"/>
      <c r="O121" s="256">
        <v>0.02</v>
      </c>
      <c r="P121" s="16">
        <f t="shared" si="42"/>
        <v>14382.76</v>
      </c>
      <c r="Q121" s="53" t="str">
        <f t="shared" si="43"/>
        <v>N.M.</v>
      </c>
    </row>
    <row r="122" spans="1:17" s="15" customFormat="1" ht="12.75" hidden="1" outlineLevel="2">
      <c r="A122" s="15" t="s">
        <v>538</v>
      </c>
      <c r="B122" s="15" t="s">
        <v>539</v>
      </c>
      <c r="C122" s="134" t="s">
        <v>540</v>
      </c>
      <c r="D122" s="16"/>
      <c r="E122" s="16"/>
      <c r="F122" s="16">
        <v>1605751.52</v>
      </c>
      <c r="G122" s="16">
        <v>1347554.79</v>
      </c>
      <c r="H122" s="16">
        <f t="shared" si="38"/>
        <v>258196.72999999998</v>
      </c>
      <c r="I122" s="53">
        <f t="shared" si="39"/>
        <v>0.1916038827630897</v>
      </c>
      <c r="J122" s="174"/>
      <c r="K122" s="256">
        <v>1030077.8</v>
      </c>
      <c r="L122" s="16">
        <f t="shared" si="40"/>
        <v>575673.72</v>
      </c>
      <c r="M122" s="53" t="str">
        <f t="shared" si="41"/>
        <v>N.M.</v>
      </c>
      <c r="N122" s="174"/>
      <c r="O122" s="256">
        <v>577998.36</v>
      </c>
      <c r="P122" s="16">
        <f t="shared" si="42"/>
        <v>1027753.16</v>
      </c>
      <c r="Q122" s="53">
        <f t="shared" si="43"/>
        <v>1.7781246991773472</v>
      </c>
    </row>
    <row r="123" spans="1:17" s="15" customFormat="1" ht="12.75" hidden="1" outlineLevel="2">
      <c r="A123" s="15" t="s">
        <v>541</v>
      </c>
      <c r="B123" s="15" t="s">
        <v>542</v>
      </c>
      <c r="C123" s="134" t="s">
        <v>543</v>
      </c>
      <c r="D123" s="16"/>
      <c r="E123" s="16"/>
      <c r="F123" s="16">
        <v>899081</v>
      </c>
      <c r="G123" s="16">
        <v>659338</v>
      </c>
      <c r="H123" s="16">
        <f t="shared" si="38"/>
        <v>239743</v>
      </c>
      <c r="I123" s="53">
        <f t="shared" si="39"/>
        <v>0.36361168323378906</v>
      </c>
      <c r="J123" s="174"/>
      <c r="K123" s="256">
        <v>899081</v>
      </c>
      <c r="L123" s="16">
        <f t="shared" si="40"/>
        <v>0</v>
      </c>
      <c r="M123" s="53">
        <f t="shared" si="41"/>
        <v>0</v>
      </c>
      <c r="N123" s="174"/>
      <c r="O123" s="256">
        <v>659338</v>
      </c>
      <c r="P123" s="16">
        <f t="shared" si="42"/>
        <v>239743</v>
      </c>
      <c r="Q123" s="53">
        <f t="shared" si="43"/>
        <v>0.36361168323378906</v>
      </c>
    </row>
    <row r="124" spans="1:17" s="15" customFormat="1" ht="12.75" hidden="1" outlineLevel="2">
      <c r="A124" s="15" t="s">
        <v>544</v>
      </c>
      <c r="B124" s="15" t="s">
        <v>545</v>
      </c>
      <c r="C124" s="134" t="s">
        <v>546</v>
      </c>
      <c r="D124" s="16"/>
      <c r="E124" s="16"/>
      <c r="F124" s="16">
        <v>1088192</v>
      </c>
      <c r="G124" s="16">
        <v>0</v>
      </c>
      <c r="H124" s="16">
        <f t="shared" si="38"/>
        <v>1088192</v>
      </c>
      <c r="I124" s="53" t="str">
        <f t="shared" si="39"/>
        <v>N.M.</v>
      </c>
      <c r="J124" s="174"/>
      <c r="K124" s="256">
        <v>0</v>
      </c>
      <c r="L124" s="16">
        <f t="shared" si="40"/>
        <v>1088192</v>
      </c>
      <c r="M124" s="53" t="str">
        <f t="shared" si="41"/>
        <v>N.M.</v>
      </c>
      <c r="N124" s="174"/>
      <c r="O124" s="256">
        <v>833808.62</v>
      </c>
      <c r="P124" s="16">
        <f t="shared" si="42"/>
        <v>254383.38</v>
      </c>
      <c r="Q124" s="53">
        <f t="shared" si="43"/>
        <v>0.30508605200075767</v>
      </c>
    </row>
    <row r="125" spans="1:17" s="15" customFormat="1" ht="12.75" hidden="1" outlineLevel="2">
      <c r="A125" s="15" t="s">
        <v>547</v>
      </c>
      <c r="B125" s="15" t="s">
        <v>548</v>
      </c>
      <c r="C125" s="134" t="s">
        <v>549</v>
      </c>
      <c r="D125" s="16"/>
      <c r="E125" s="16"/>
      <c r="F125" s="16">
        <v>46572.57</v>
      </c>
      <c r="G125" s="16">
        <v>43495.48</v>
      </c>
      <c r="H125" s="16">
        <f t="shared" si="38"/>
        <v>3077.0899999999965</v>
      </c>
      <c r="I125" s="53">
        <f t="shared" si="39"/>
        <v>0.07074505212955452</v>
      </c>
      <c r="J125" s="174"/>
      <c r="K125" s="256">
        <v>40041.53</v>
      </c>
      <c r="L125" s="16">
        <f t="shared" si="40"/>
        <v>6531.040000000001</v>
      </c>
      <c r="M125" s="53" t="str">
        <f t="shared" si="41"/>
        <v>N.M.</v>
      </c>
      <c r="N125" s="174"/>
      <c r="O125" s="256">
        <v>160835.94</v>
      </c>
      <c r="P125" s="16">
        <f t="shared" si="42"/>
        <v>-114263.37</v>
      </c>
      <c r="Q125" s="53">
        <f t="shared" si="43"/>
        <v>-0.7104343096449711</v>
      </c>
    </row>
    <row r="126" spans="1:17" s="15" customFormat="1" ht="12.75" hidden="1" outlineLevel="2">
      <c r="A126" s="15" t="s">
        <v>550</v>
      </c>
      <c r="B126" s="15" t="s">
        <v>551</v>
      </c>
      <c r="C126" s="134" t="s">
        <v>552</v>
      </c>
      <c r="D126" s="16"/>
      <c r="E126" s="16"/>
      <c r="F126" s="16">
        <v>16706.58</v>
      </c>
      <c r="G126" s="16">
        <v>22938.920000000002</v>
      </c>
      <c r="H126" s="16">
        <f t="shared" si="38"/>
        <v>-6232.34</v>
      </c>
      <c r="I126" s="53">
        <f t="shared" si="39"/>
        <v>-0.2716928259918078</v>
      </c>
      <c r="J126" s="174"/>
      <c r="K126" s="256">
        <v>11139.960000000001</v>
      </c>
      <c r="L126" s="16">
        <f t="shared" si="40"/>
        <v>5566.620000000001</v>
      </c>
      <c r="M126" s="53" t="str">
        <f t="shared" si="41"/>
        <v>N.M.</v>
      </c>
      <c r="N126" s="174"/>
      <c r="O126" s="256">
        <v>22592.75</v>
      </c>
      <c r="P126" s="16">
        <f t="shared" si="42"/>
        <v>-5886.169999999998</v>
      </c>
      <c r="Q126" s="53">
        <f t="shared" si="43"/>
        <v>-0.26053357824965967</v>
      </c>
    </row>
    <row r="127" spans="1:17" s="67" customFormat="1" ht="12.75" collapsed="1">
      <c r="A127" s="67" t="s">
        <v>144</v>
      </c>
      <c r="B127" s="87"/>
      <c r="C127" s="82" t="s">
        <v>104</v>
      </c>
      <c r="D127" s="66"/>
      <c r="E127" s="66"/>
      <c r="F127" s="51">
        <v>5900813.2700000005</v>
      </c>
      <c r="G127" s="51">
        <v>4502120.772</v>
      </c>
      <c r="H127" s="51">
        <f>+F127-G127</f>
        <v>1398692.4980000006</v>
      </c>
      <c r="I127" s="136">
        <f>IF(G127&lt;0,IF(H127=0,0,IF(OR(G127=0,F127=0),"N.M.",IF(ABS(H127/G127)&gt;=10,"N.M.",H127/(-G127)))),IF(H127=0,0,IF(OR(G127=0,F127=0),"N.M.",IF(ABS(H127/G127)&gt;=10,"N.M.",H127/G127))))</f>
        <v>0.31067413977405417</v>
      </c>
      <c r="J127" s="157"/>
      <c r="K127" s="51">
        <v>4420927.65</v>
      </c>
      <c r="L127" s="51">
        <f>+F127-K127</f>
        <v>1479885.62</v>
      </c>
      <c r="M127" s="136" t="str">
        <f>IF(K127&lt;0,IF(L127=0,0,IF(OR(K127=0,N127=0),"N.M.",IF(ABS(L127/K127)&gt;=10,"N.M.",L127/(-K127)))),IF(L127=0,0,IF(OR(K127=0,N127=0),"N.M.",IF(ABS(L127/K127)&gt;=10,"N.M.",L127/K127))))</f>
        <v>N.M.</v>
      </c>
      <c r="N127" s="157"/>
      <c r="O127" s="51">
        <v>7866549.592</v>
      </c>
      <c r="P127" s="51">
        <f>+F127-O127</f>
        <v>-1965736.3219999997</v>
      </c>
      <c r="Q127" s="136">
        <f>IF(O127&lt;0,IF(P127=0,0,IF(OR(O127=0,F127=0),"N.M.",IF(ABS(P127/O127)&gt;=10,"N.M.",P127/(-O127)))),IF(P127=0,0,IF(OR(O127=0,F127=0),"N.M.",IF(ABS(P127/O127)&gt;=10,"N.M.",P127/O127))))</f>
        <v>-0.2498854547359726</v>
      </c>
    </row>
    <row r="128" spans="2:17" s="67" customFormat="1" ht="0.75" customHeight="1" hidden="1" outlineLevel="1">
      <c r="B128" s="87"/>
      <c r="C128" s="82"/>
      <c r="D128" s="66"/>
      <c r="E128" s="66"/>
      <c r="F128" s="51"/>
      <c r="G128" s="51"/>
      <c r="H128" s="51"/>
      <c r="I128" s="136"/>
      <c r="J128" s="157"/>
      <c r="K128" s="51"/>
      <c r="L128" s="51"/>
      <c r="M128" s="136"/>
      <c r="N128" s="157"/>
      <c r="O128" s="51"/>
      <c r="P128" s="51"/>
      <c r="Q128" s="136"/>
    </row>
    <row r="129" spans="1:17" s="15" customFormat="1" ht="12.75" hidden="1" outlineLevel="2">
      <c r="A129" s="15" t="s">
        <v>553</v>
      </c>
      <c r="B129" s="15" t="s">
        <v>554</v>
      </c>
      <c r="C129" s="134" t="s">
        <v>555</v>
      </c>
      <c r="D129" s="16"/>
      <c r="E129" s="16"/>
      <c r="F129" s="16">
        <v>17179791.54</v>
      </c>
      <c r="G129" s="16">
        <v>41335966.58</v>
      </c>
      <c r="H129" s="16">
        <f>+F129-G129</f>
        <v>-24156175.04</v>
      </c>
      <c r="I129" s="53">
        <f>IF(G129&lt;0,IF(H129=0,0,IF(OR(G129=0,F129=0),"N.M.",IF(ABS(H129/G129)&gt;=10,"N.M.",H129/(-G129)))),IF(H129=0,0,IF(OR(G129=0,F129=0),"N.M.",IF(ABS(H129/G129)&gt;=10,"N.M.",H129/G129))))</f>
        <v>-0.5843863598362722</v>
      </c>
      <c r="J129" s="174"/>
      <c r="K129" s="256">
        <v>10116467.15</v>
      </c>
      <c r="L129" s="16">
        <f>+F129-K129</f>
        <v>7063324.389999999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34327550.77</v>
      </c>
      <c r="P129" s="16">
        <f>+F129-O129</f>
        <v>-17147759.230000004</v>
      </c>
      <c r="Q129" s="53">
        <f>IF(O129&lt;0,IF(P129=0,0,IF(OR(O129=0,F129=0),"N.M.",IF(ABS(P129/O129)&gt;=10,"N.M.",P129/(-O129)))),IF(P129=0,0,IF(OR(O129=0,F129=0),"N.M.",IF(ABS(P129/O129)&gt;=10,"N.M.",P129/O129))))</f>
        <v>-0.49953343146712365</v>
      </c>
    </row>
    <row r="130" spans="1:17" s="15" customFormat="1" ht="12.75" hidden="1" outlineLevel="2">
      <c r="A130" s="15" t="s">
        <v>556</v>
      </c>
      <c r="B130" s="15" t="s">
        <v>557</v>
      </c>
      <c r="C130" s="134" t="s">
        <v>558</v>
      </c>
      <c r="D130" s="16"/>
      <c r="E130" s="16"/>
      <c r="F130" s="16">
        <v>665475.14</v>
      </c>
      <c r="G130" s="16">
        <v>628915.06</v>
      </c>
      <c r="H130" s="16">
        <f>+F130-G130</f>
        <v>36560.07999999996</v>
      </c>
      <c r="I130" s="53">
        <f>IF(G130&lt;0,IF(H130=0,0,IF(OR(G130=0,F130=0),"N.M.",IF(ABS(H130/G130)&gt;=10,"N.M.",H130/(-G130)))),IF(H130=0,0,IF(OR(G130=0,F130=0),"N.M.",IF(ABS(H130/G130)&gt;=10,"N.M.",H130/G130))))</f>
        <v>0.05813198367359808</v>
      </c>
      <c r="J130" s="174"/>
      <c r="K130" s="256">
        <v>638579.81</v>
      </c>
      <c r="L130" s="16">
        <f>+F130-K130</f>
        <v>26895.329999999958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639780.39</v>
      </c>
      <c r="P130" s="16">
        <f>+F130-O130</f>
        <v>25694.75</v>
      </c>
      <c r="Q130" s="53">
        <f>IF(O130&lt;0,IF(P130=0,0,IF(OR(O130=0,F130=0),"N.M.",IF(ABS(P130/O130)&gt;=10,"N.M.",P130/(-O130)))),IF(P130=0,0,IF(OR(O130=0,F130=0),"N.M.",IF(ABS(P130/O130)&gt;=10,"N.M.",P130/O130))))</f>
        <v>0.04016182802977128</v>
      </c>
    </row>
    <row r="131" spans="1:17" s="15" customFormat="1" ht="12.75" hidden="1" outlineLevel="2">
      <c r="A131" s="15" t="s">
        <v>559</v>
      </c>
      <c r="B131" s="15" t="s">
        <v>560</v>
      </c>
      <c r="C131" s="134" t="s">
        <v>561</v>
      </c>
      <c r="D131" s="16"/>
      <c r="E131" s="16"/>
      <c r="F131" s="16">
        <v>0</v>
      </c>
      <c r="G131" s="16">
        <v>0</v>
      </c>
      <c r="H131" s="16">
        <f>+F131-G131</f>
        <v>0</v>
      </c>
      <c r="I131" s="53">
        <f>IF(G131&lt;0,IF(H131=0,0,IF(OR(G131=0,F131=0),"N.M.",IF(ABS(H131/G131)&gt;=10,"N.M.",H131/(-G131)))),IF(H131=0,0,IF(OR(G131=0,F131=0),"N.M.",IF(ABS(H131/G131)&gt;=10,"N.M.",H131/G131))))</f>
        <v>0</v>
      </c>
      <c r="J131" s="174"/>
      <c r="K131" s="256">
        <v>0</v>
      </c>
      <c r="L131" s="16">
        <f>+F131-K131</f>
        <v>0</v>
      </c>
      <c r="M131" s="53">
        <f>IF(K131&lt;0,IF(L131=0,0,IF(OR(K131=0,N131=0),"N.M.",IF(ABS(L131/K131)&gt;=10,"N.M.",L131/(-K131)))),IF(L131=0,0,IF(OR(K131=0,N131=0),"N.M.",IF(ABS(L131/K131)&gt;=10,"N.M.",L131/K131))))</f>
        <v>0</v>
      </c>
      <c r="N131" s="174"/>
      <c r="O131" s="256">
        <v>547553.3</v>
      </c>
      <c r="P131" s="16">
        <f>+F131-O131</f>
        <v>-547553.3</v>
      </c>
      <c r="Q131" s="53" t="str">
        <f>IF(O131&lt;0,IF(P131=0,0,IF(OR(O131=0,F131=0),"N.M.",IF(ABS(P131/O131)&gt;=10,"N.M.",P131/(-O131)))),IF(P131=0,0,IF(OR(O131=0,F131=0),"N.M.",IF(ABS(P131/O131)&gt;=10,"N.M.",P131/O131))))</f>
        <v>N.M.</v>
      </c>
    </row>
    <row r="132" spans="1:17" s="15" customFormat="1" ht="12.75" hidden="1" outlineLevel="2">
      <c r="A132" s="15" t="s">
        <v>562</v>
      </c>
      <c r="B132" s="15" t="s">
        <v>563</v>
      </c>
      <c r="C132" s="134" t="s">
        <v>564</v>
      </c>
      <c r="D132" s="16"/>
      <c r="E132" s="16"/>
      <c r="F132" s="16">
        <v>295515.77</v>
      </c>
      <c r="G132" s="16">
        <v>672053.21</v>
      </c>
      <c r="H132" s="16">
        <f>+F132-G132</f>
        <v>-376537.43999999994</v>
      </c>
      <c r="I132" s="53">
        <f>IF(G132&lt;0,IF(H132=0,0,IF(OR(G132=0,F132=0),"N.M.",IF(ABS(H132/G132)&gt;=10,"N.M.",H132/(-G132)))),IF(H132=0,0,IF(OR(G132=0,F132=0),"N.M.",IF(ABS(H132/G132)&gt;=10,"N.M.",H132/G132))))</f>
        <v>-0.5602792076538106</v>
      </c>
      <c r="J132" s="174"/>
      <c r="K132" s="256">
        <v>244109.36000000002</v>
      </c>
      <c r="L132" s="16">
        <f>+F132-K132</f>
        <v>51406.41</v>
      </c>
      <c r="M132" s="53" t="str">
        <f>IF(K132&lt;0,IF(L132=0,0,IF(OR(K132=0,N132=0),"N.M.",IF(ABS(L132/K132)&gt;=10,"N.M.",L132/(-K132)))),IF(L132=0,0,IF(OR(K132=0,N132=0),"N.M.",IF(ABS(L132/K132)&gt;=10,"N.M.",L132/K132))))</f>
        <v>N.M.</v>
      </c>
      <c r="N132" s="174"/>
      <c r="O132" s="256">
        <v>652947.63</v>
      </c>
      <c r="P132" s="16">
        <f>+F132-O132</f>
        <v>-357431.86</v>
      </c>
      <c r="Q132" s="53">
        <f>IF(O132&lt;0,IF(P132=0,0,IF(OR(O132=0,F132=0),"N.M.",IF(ABS(P132/O132)&gt;=10,"N.M.",P132/(-O132)))),IF(P132=0,0,IF(OR(O132=0,F132=0),"N.M.",IF(ABS(P132/O132)&gt;=10,"N.M.",P132/O132))))</f>
        <v>-0.5474127534546683</v>
      </c>
    </row>
    <row r="133" spans="1:17" s="67" customFormat="1" ht="12.75" collapsed="1">
      <c r="A133" s="67" t="s">
        <v>126</v>
      </c>
      <c r="B133" s="87"/>
      <c r="C133" s="82" t="s">
        <v>105</v>
      </c>
      <c r="D133" s="66"/>
      <c r="E133" s="66"/>
      <c r="F133" s="51">
        <v>18140782.45</v>
      </c>
      <c r="G133" s="51">
        <v>42636934.85</v>
      </c>
      <c r="H133" s="51">
        <f>+F133-G133</f>
        <v>-24496152.400000002</v>
      </c>
      <c r="I133" s="136">
        <f>IF(G133&lt;0,IF(H133=0,0,IF(OR(G133=0,F133=0),"N.M.",IF(ABS(H133/G133)&gt;=10,"N.M.",H133/(-G133)))),IF(H133=0,0,IF(OR(G133=0,F133=0),"N.M.",IF(ABS(H133/G133)&gt;=10,"N.M.",H133/G133))))</f>
        <v>-0.5745289262978059</v>
      </c>
      <c r="J133" s="157"/>
      <c r="K133" s="51">
        <v>10999156.32</v>
      </c>
      <c r="L133" s="51">
        <f>+F133-K133</f>
        <v>7141626.129999999</v>
      </c>
      <c r="M133" s="136" t="str">
        <f>IF(K133&lt;0,IF(L133=0,0,IF(OR(K133=0,N133=0),"N.M.",IF(ABS(L133/K133)&gt;=10,"N.M.",L133/(-K133)))),IF(L133=0,0,IF(OR(K133=0,N133=0),"N.M.",IF(ABS(L133/K133)&gt;=10,"N.M.",L133/K133))))</f>
        <v>N.M.</v>
      </c>
      <c r="N133" s="157"/>
      <c r="O133" s="51">
        <v>36167832.09</v>
      </c>
      <c r="P133" s="51">
        <f>+F133-O133</f>
        <v>-18027049.640000004</v>
      </c>
      <c r="Q133" s="136">
        <f>IF(O133&lt;0,IF(P133=0,0,IF(OR(O133=0,F133=0),"N.M.",IF(ABS(P133/O133)&gt;=10,"N.M.",P133/(-O133)))),IF(P133=0,0,IF(OR(O133=0,F133=0),"N.M.",IF(ABS(P133/O133)&gt;=10,"N.M.",P133/O133))))</f>
        <v>-0.4984277076696637</v>
      </c>
    </row>
    <row r="134" spans="2:17" s="67" customFormat="1" ht="0.75" customHeight="1" hidden="1" outlineLevel="1">
      <c r="B134" s="87"/>
      <c r="C134" s="82"/>
      <c r="D134" s="66"/>
      <c r="E134" s="66"/>
      <c r="F134" s="51"/>
      <c r="G134" s="51"/>
      <c r="H134" s="51"/>
      <c r="I134" s="136"/>
      <c r="J134" s="157"/>
      <c r="K134" s="51"/>
      <c r="L134" s="51"/>
      <c r="M134" s="136"/>
      <c r="N134" s="157"/>
      <c r="O134" s="51"/>
      <c r="P134" s="51"/>
      <c r="Q134" s="136"/>
    </row>
    <row r="135" spans="1:17" s="15" customFormat="1" ht="12.75" hidden="1" outlineLevel="2">
      <c r="A135" s="15" t="s">
        <v>565</v>
      </c>
      <c r="B135" s="15" t="s">
        <v>566</v>
      </c>
      <c r="C135" s="134" t="s">
        <v>567</v>
      </c>
      <c r="D135" s="16"/>
      <c r="E135" s="16"/>
      <c r="F135" s="16">
        <v>10500682</v>
      </c>
      <c r="G135" s="16">
        <v>10010193.71</v>
      </c>
      <c r="H135" s="16">
        <f aca="true" t="shared" si="44" ref="H135:H146">+F135-G135</f>
        <v>490488.2899999991</v>
      </c>
      <c r="I135" s="53">
        <f aca="true" t="shared" si="45" ref="I135:I146">IF(G135&lt;0,IF(H135=0,0,IF(OR(G135=0,F135=0),"N.M.",IF(ABS(H135/G135)&gt;=10,"N.M.",H135/(-G135)))),IF(H135=0,0,IF(OR(G135=0,F135=0),"N.M.",IF(ABS(H135/G135)&gt;=10,"N.M.",H135/G135))))</f>
        <v>0.048998880961715084</v>
      </c>
      <c r="J135" s="174"/>
      <c r="K135" s="256">
        <v>10608679.42</v>
      </c>
      <c r="L135" s="16">
        <f aca="true" t="shared" si="46" ref="L135:L146">+F135-K135</f>
        <v>-107997.41999999993</v>
      </c>
      <c r="M135" s="53" t="str">
        <f aca="true" t="shared" si="47" ref="M135:M146">IF(K135&lt;0,IF(L135=0,0,IF(OR(K135=0,N135=0),"N.M.",IF(ABS(L135/K135)&gt;=10,"N.M.",L135/(-K135)))),IF(L135=0,0,IF(OR(K135=0,N135=0),"N.M.",IF(ABS(L135/K135)&gt;=10,"N.M.",L135/K135))))</f>
        <v>N.M.</v>
      </c>
      <c r="N135" s="174"/>
      <c r="O135" s="256">
        <v>10099972.28</v>
      </c>
      <c r="P135" s="16">
        <f aca="true" t="shared" si="48" ref="P135:P146">+F135-O135</f>
        <v>400709.72000000067</v>
      </c>
      <c r="Q135" s="53">
        <f aca="true" t="shared" si="49" ref="Q135:Q146">IF(O135&lt;0,IF(P135=0,0,IF(OR(O135=0,F135=0),"N.M.",IF(ABS(P135/O135)&gt;=10,"N.M.",P135/(-O135)))),IF(P135=0,0,IF(OR(O135=0,F135=0),"N.M.",IF(ABS(P135/O135)&gt;=10,"N.M.",P135/O135))))</f>
        <v>0.039674338591353116</v>
      </c>
    </row>
    <row r="136" spans="1:17" s="15" customFormat="1" ht="12.75" hidden="1" outlineLevel="2">
      <c r="A136" s="15" t="s">
        <v>568</v>
      </c>
      <c r="B136" s="15" t="s">
        <v>569</v>
      </c>
      <c r="C136" s="134" t="s">
        <v>570</v>
      </c>
      <c r="D136" s="16"/>
      <c r="E136" s="16"/>
      <c r="F136" s="16">
        <v>42208.827</v>
      </c>
      <c r="G136" s="16">
        <v>44253.587</v>
      </c>
      <c r="H136" s="16">
        <f t="shared" si="44"/>
        <v>-2044.760000000002</v>
      </c>
      <c r="I136" s="53">
        <f t="shared" si="45"/>
        <v>-0.04620552001807225</v>
      </c>
      <c r="J136" s="174"/>
      <c r="K136" s="256">
        <v>42356.857</v>
      </c>
      <c r="L136" s="16">
        <f t="shared" si="46"/>
        <v>-148.0300000000061</v>
      </c>
      <c r="M136" s="53" t="str">
        <f t="shared" si="47"/>
        <v>N.M.</v>
      </c>
      <c r="N136" s="174"/>
      <c r="O136" s="256">
        <v>42091.137</v>
      </c>
      <c r="P136" s="16">
        <f t="shared" si="48"/>
        <v>117.68999999999505</v>
      </c>
      <c r="Q136" s="53">
        <f t="shared" si="49"/>
        <v>0.0027960755728692966</v>
      </c>
    </row>
    <row r="137" spans="1:17" s="15" customFormat="1" ht="12.75" hidden="1" outlineLevel="2">
      <c r="A137" s="15" t="s">
        <v>571</v>
      </c>
      <c r="B137" s="15" t="s">
        <v>572</v>
      </c>
      <c r="C137" s="134" t="s">
        <v>573</v>
      </c>
      <c r="D137" s="16"/>
      <c r="E137" s="16"/>
      <c r="F137" s="16">
        <v>290816.54</v>
      </c>
      <c r="G137" s="16">
        <v>233913.08000000002</v>
      </c>
      <c r="H137" s="16">
        <f t="shared" si="44"/>
        <v>56903.45999999996</v>
      </c>
      <c r="I137" s="53">
        <f t="shared" si="45"/>
        <v>0.2432675419433576</v>
      </c>
      <c r="J137" s="174"/>
      <c r="K137" s="256">
        <v>240614.63</v>
      </c>
      <c r="L137" s="16">
        <f t="shared" si="46"/>
        <v>50201.909999999974</v>
      </c>
      <c r="M137" s="53" t="str">
        <f t="shared" si="47"/>
        <v>N.M.</v>
      </c>
      <c r="N137" s="174"/>
      <c r="O137" s="256">
        <v>186731.99</v>
      </c>
      <c r="P137" s="16">
        <f t="shared" si="48"/>
        <v>104084.54999999999</v>
      </c>
      <c r="Q137" s="53">
        <f t="shared" si="49"/>
        <v>0.5574007431720724</v>
      </c>
    </row>
    <row r="138" spans="1:17" s="15" customFormat="1" ht="12.75" hidden="1" outlineLevel="2">
      <c r="A138" s="15" t="s">
        <v>574</v>
      </c>
      <c r="B138" s="15" t="s">
        <v>575</v>
      </c>
      <c r="C138" s="134" t="s">
        <v>576</v>
      </c>
      <c r="D138" s="16"/>
      <c r="E138" s="16"/>
      <c r="F138" s="16">
        <v>72751.03</v>
      </c>
      <c r="G138" s="16">
        <v>47100.450000000004</v>
      </c>
      <c r="H138" s="16">
        <f t="shared" si="44"/>
        <v>25650.579999999994</v>
      </c>
      <c r="I138" s="53">
        <f t="shared" si="45"/>
        <v>0.5445930983674252</v>
      </c>
      <c r="J138" s="174"/>
      <c r="K138" s="256">
        <v>65975.64</v>
      </c>
      <c r="L138" s="16">
        <f t="shared" si="46"/>
        <v>6775.389999999999</v>
      </c>
      <c r="M138" s="53" t="str">
        <f t="shared" si="47"/>
        <v>N.M.</v>
      </c>
      <c r="N138" s="174"/>
      <c r="O138" s="256">
        <v>47100.450000000004</v>
      </c>
      <c r="P138" s="16">
        <f t="shared" si="48"/>
        <v>25650.579999999994</v>
      </c>
      <c r="Q138" s="53">
        <f t="shared" si="49"/>
        <v>0.5445930983674252</v>
      </c>
    </row>
    <row r="139" spans="1:17" s="15" customFormat="1" ht="12.75" hidden="1" outlineLevel="2">
      <c r="A139" s="15" t="s">
        <v>577</v>
      </c>
      <c r="B139" s="15" t="s">
        <v>578</v>
      </c>
      <c r="C139" s="134" t="s">
        <v>579</v>
      </c>
      <c r="D139" s="16"/>
      <c r="E139" s="16"/>
      <c r="F139" s="16">
        <v>677454.34</v>
      </c>
      <c r="G139" s="16">
        <v>593404.21</v>
      </c>
      <c r="H139" s="16">
        <f t="shared" si="44"/>
        <v>84050.13</v>
      </c>
      <c r="I139" s="53">
        <f t="shared" si="45"/>
        <v>0.14164060278574703</v>
      </c>
      <c r="J139" s="174"/>
      <c r="K139" s="256">
        <v>831665.14</v>
      </c>
      <c r="L139" s="16">
        <f t="shared" si="46"/>
        <v>-154210.80000000005</v>
      </c>
      <c r="M139" s="53" t="str">
        <f t="shared" si="47"/>
        <v>N.M.</v>
      </c>
      <c r="N139" s="174"/>
      <c r="O139" s="256">
        <v>776458.16</v>
      </c>
      <c r="P139" s="16">
        <f t="shared" si="48"/>
        <v>-99003.82000000007</v>
      </c>
      <c r="Q139" s="53">
        <f t="shared" si="49"/>
        <v>-0.12750696058110852</v>
      </c>
    </row>
    <row r="140" spans="1:17" s="67" customFormat="1" ht="12.75" hidden="1" outlineLevel="1">
      <c r="A140" s="86" t="s">
        <v>127</v>
      </c>
      <c r="B140" s="87"/>
      <c r="C140" s="83" t="s">
        <v>122</v>
      </c>
      <c r="D140" s="66"/>
      <c r="E140" s="66"/>
      <c r="F140" s="51">
        <v>11583912.736999998</v>
      </c>
      <c r="G140" s="51">
        <v>10928865.037</v>
      </c>
      <c r="H140" s="51">
        <f t="shared" si="44"/>
        <v>655047.6999999974</v>
      </c>
      <c r="I140" s="136">
        <f t="shared" si="45"/>
        <v>0.05993739494287044</v>
      </c>
      <c r="J140" s="157"/>
      <c r="K140" s="51">
        <v>11789291.687000003</v>
      </c>
      <c r="L140" s="51">
        <f t="shared" si="46"/>
        <v>-205378.95000000484</v>
      </c>
      <c r="M140" s="136" t="str">
        <f t="shared" si="47"/>
        <v>N.M.</v>
      </c>
      <c r="N140" s="157"/>
      <c r="O140" s="51">
        <v>11152354.016999999</v>
      </c>
      <c r="P140" s="51">
        <f t="shared" si="48"/>
        <v>431558.7199999988</v>
      </c>
      <c r="Q140" s="136">
        <f t="shared" si="49"/>
        <v>0.03869664820020561</v>
      </c>
    </row>
    <row r="141" spans="1:17" s="67" customFormat="1" ht="12.75" hidden="1" outlineLevel="1">
      <c r="A141" s="86" t="s">
        <v>128</v>
      </c>
      <c r="B141" s="87"/>
      <c r="C141" s="83" t="s">
        <v>123</v>
      </c>
      <c r="D141" s="66"/>
      <c r="E141" s="66"/>
      <c r="F141" s="51">
        <v>0</v>
      </c>
      <c r="G141" s="51">
        <v>0</v>
      </c>
      <c r="H141" s="51">
        <f t="shared" si="44"/>
        <v>0</v>
      </c>
      <c r="I141" s="136">
        <f t="shared" si="45"/>
        <v>0</v>
      </c>
      <c r="J141" s="157"/>
      <c r="K141" s="51">
        <v>0</v>
      </c>
      <c r="L141" s="51">
        <f t="shared" si="46"/>
        <v>0</v>
      </c>
      <c r="M141" s="136">
        <f t="shared" si="47"/>
        <v>0</v>
      </c>
      <c r="N141" s="157"/>
      <c r="O141" s="51">
        <v>0</v>
      </c>
      <c r="P141" s="51">
        <f t="shared" si="48"/>
        <v>0</v>
      </c>
      <c r="Q141" s="136">
        <f t="shared" si="49"/>
        <v>0</v>
      </c>
    </row>
    <row r="142" spans="1:17" s="15" customFormat="1" ht="12.75" hidden="1" outlineLevel="2">
      <c r="A142" s="15" t="s">
        <v>580</v>
      </c>
      <c r="B142" s="15" t="s">
        <v>581</v>
      </c>
      <c r="C142" s="134" t="s">
        <v>582</v>
      </c>
      <c r="D142" s="16"/>
      <c r="E142" s="16"/>
      <c r="F142" s="16">
        <v>1579360.42</v>
      </c>
      <c r="G142" s="16">
        <v>774194.75</v>
      </c>
      <c r="H142" s="16">
        <f t="shared" si="44"/>
        <v>805165.6699999999</v>
      </c>
      <c r="I142" s="53">
        <f t="shared" si="45"/>
        <v>1.0400040429103916</v>
      </c>
      <c r="J142" s="174"/>
      <c r="K142" s="256">
        <v>2135521.39</v>
      </c>
      <c r="L142" s="16">
        <f t="shared" si="46"/>
        <v>-556160.9700000002</v>
      </c>
      <c r="M142" s="53" t="str">
        <f t="shared" si="47"/>
        <v>N.M.</v>
      </c>
      <c r="N142" s="174"/>
      <c r="O142" s="256">
        <v>7048319.82</v>
      </c>
      <c r="P142" s="16">
        <f t="shared" si="48"/>
        <v>-5468959.4</v>
      </c>
      <c r="Q142" s="53">
        <f t="shared" si="49"/>
        <v>-0.775923842797474</v>
      </c>
    </row>
    <row r="143" spans="1:17" s="15" customFormat="1" ht="12.75" hidden="1" outlineLevel="2">
      <c r="A143" s="15" t="s">
        <v>583</v>
      </c>
      <c r="B143" s="15" t="s">
        <v>584</v>
      </c>
      <c r="C143" s="134" t="s">
        <v>585</v>
      </c>
      <c r="D143" s="16"/>
      <c r="E143" s="16"/>
      <c r="F143" s="16">
        <v>3363.5</v>
      </c>
      <c r="G143" s="16">
        <v>37462.88</v>
      </c>
      <c r="H143" s="16">
        <f t="shared" si="44"/>
        <v>-34099.38</v>
      </c>
      <c r="I143" s="53">
        <f t="shared" si="45"/>
        <v>-0.9102177942539388</v>
      </c>
      <c r="J143" s="174"/>
      <c r="K143" s="256">
        <v>5129.25</v>
      </c>
      <c r="L143" s="16">
        <f t="shared" si="46"/>
        <v>-1765.75</v>
      </c>
      <c r="M143" s="53" t="str">
        <f t="shared" si="47"/>
        <v>N.M.</v>
      </c>
      <c r="N143" s="174"/>
      <c r="O143" s="256">
        <v>46975.700000000004</v>
      </c>
      <c r="P143" s="16">
        <f t="shared" si="48"/>
        <v>-43612.200000000004</v>
      </c>
      <c r="Q143" s="53">
        <f t="shared" si="49"/>
        <v>-0.9283991510504367</v>
      </c>
    </row>
    <row r="144" spans="1:17" s="67" customFormat="1" ht="12.75" hidden="1" outlineLevel="1">
      <c r="A144" s="86" t="s">
        <v>129</v>
      </c>
      <c r="B144" s="87"/>
      <c r="C144" s="83" t="s">
        <v>124</v>
      </c>
      <c r="D144" s="66"/>
      <c r="E144" s="66"/>
      <c r="F144" s="51">
        <v>1582723.92</v>
      </c>
      <c r="G144" s="51">
        <v>811657.63</v>
      </c>
      <c r="H144" s="51">
        <f t="shared" si="44"/>
        <v>771066.2899999999</v>
      </c>
      <c r="I144" s="136">
        <f t="shared" si="45"/>
        <v>0.9499895787340777</v>
      </c>
      <c r="J144" s="157"/>
      <c r="K144" s="51">
        <v>2140650.64</v>
      </c>
      <c r="L144" s="51">
        <f t="shared" si="46"/>
        <v>-557926.7200000002</v>
      </c>
      <c r="M144" s="136" t="str">
        <f t="shared" si="47"/>
        <v>N.M.</v>
      </c>
      <c r="N144" s="157"/>
      <c r="O144" s="51">
        <v>7095295.5200000005</v>
      </c>
      <c r="P144" s="51">
        <f t="shared" si="48"/>
        <v>-5512571.600000001</v>
      </c>
      <c r="Q144" s="136">
        <f t="shared" si="49"/>
        <v>-0.7769333334265407</v>
      </c>
    </row>
    <row r="145" spans="1:17" s="67" customFormat="1" ht="12.75" hidden="1" outlineLevel="1">
      <c r="A145" s="86" t="s">
        <v>130</v>
      </c>
      <c r="B145" s="87"/>
      <c r="C145" s="84" t="s">
        <v>125</v>
      </c>
      <c r="D145" s="66"/>
      <c r="E145" s="66"/>
      <c r="F145" s="197">
        <v>0</v>
      </c>
      <c r="G145" s="197">
        <v>0</v>
      </c>
      <c r="H145" s="197">
        <f t="shared" si="44"/>
        <v>0</v>
      </c>
      <c r="I145" s="138">
        <f t="shared" si="45"/>
        <v>0</v>
      </c>
      <c r="J145" s="157"/>
      <c r="K145" s="197">
        <v>0</v>
      </c>
      <c r="L145" s="197">
        <f t="shared" si="46"/>
        <v>0</v>
      </c>
      <c r="M145" s="138">
        <f t="shared" si="47"/>
        <v>0</v>
      </c>
      <c r="N145" s="157"/>
      <c r="O145" s="197">
        <v>0</v>
      </c>
      <c r="P145" s="197">
        <f t="shared" si="48"/>
        <v>0</v>
      </c>
      <c r="Q145" s="138">
        <f t="shared" si="49"/>
        <v>0</v>
      </c>
    </row>
    <row r="146" spans="1:17" s="67" customFormat="1" ht="12.75" collapsed="1">
      <c r="A146" s="67" t="s">
        <v>240</v>
      </c>
      <c r="B146" s="87"/>
      <c r="C146" s="82" t="s">
        <v>106</v>
      </c>
      <c r="D146" s="66"/>
      <c r="E146" s="66"/>
      <c r="F146" s="51">
        <f>+F145+F144+F141+F140</f>
        <v>13166636.656999998</v>
      </c>
      <c r="G146" s="51">
        <f>+G145+G144+G141+G140</f>
        <v>11740522.667000001</v>
      </c>
      <c r="H146" s="51">
        <f t="shared" si="44"/>
        <v>1426113.9899999965</v>
      </c>
      <c r="I146" s="136">
        <f t="shared" si="45"/>
        <v>0.12146937836153461</v>
      </c>
      <c r="J146" s="157"/>
      <c r="K146" s="51">
        <f>+K145+K144+K141+K140</f>
        <v>13929942.327000003</v>
      </c>
      <c r="L146" s="51">
        <f t="shared" si="46"/>
        <v>-763305.6700000055</v>
      </c>
      <c r="M146" s="136" t="str">
        <f t="shared" si="47"/>
        <v>N.M.</v>
      </c>
      <c r="N146" s="157"/>
      <c r="O146" s="51">
        <f>+O145+O144+O141+O140</f>
        <v>18247649.537</v>
      </c>
      <c r="P146" s="51">
        <f t="shared" si="48"/>
        <v>-5081012.880000003</v>
      </c>
      <c r="Q146" s="136">
        <f t="shared" si="49"/>
        <v>-0.278447526608698</v>
      </c>
    </row>
    <row r="147" spans="2:17" s="67" customFormat="1" ht="0.75" customHeight="1" hidden="1" outlineLevel="1">
      <c r="B147" s="87"/>
      <c r="C147" s="82"/>
      <c r="D147" s="66"/>
      <c r="E147" s="66"/>
      <c r="F147" s="51"/>
      <c r="G147" s="51"/>
      <c r="H147" s="51"/>
      <c r="I147" s="136"/>
      <c r="J147" s="157"/>
      <c r="K147" s="51"/>
      <c r="L147" s="51"/>
      <c r="M147" s="136"/>
      <c r="N147" s="157"/>
      <c r="O147" s="51"/>
      <c r="P147" s="51"/>
      <c r="Q147" s="136"/>
    </row>
    <row r="148" spans="1:17" s="15" customFormat="1" ht="12.75" hidden="1" outlineLevel="2">
      <c r="A148" s="15" t="s">
        <v>586</v>
      </c>
      <c r="B148" s="15" t="s">
        <v>587</v>
      </c>
      <c r="C148" s="134" t="s">
        <v>107</v>
      </c>
      <c r="D148" s="16"/>
      <c r="E148" s="16"/>
      <c r="F148" s="16">
        <v>18449347.63</v>
      </c>
      <c r="G148" s="16">
        <v>13613529.77</v>
      </c>
      <c r="H148" s="16">
        <f>+F148-G148</f>
        <v>4835817.859999999</v>
      </c>
      <c r="I148" s="53">
        <f>IF(G148&lt;0,IF(H148=0,0,IF(OR(G148=0,F148=0),"N.M.",IF(ABS(H148/G148)&gt;=10,"N.M.",H148/(-G148)))),IF(H148=0,0,IF(OR(G148=0,F148=0),"N.M.",IF(ABS(H148/G148)&gt;=10,"N.M.",H148/G148))))</f>
        <v>0.3552214555446629</v>
      </c>
      <c r="J148" s="174"/>
      <c r="K148" s="256">
        <v>15390736.26</v>
      </c>
      <c r="L148" s="16">
        <f>+F148-K148</f>
        <v>3058611.369999999</v>
      </c>
      <c r="M148" s="53" t="str">
        <f>IF(K148&lt;0,IF(L148=0,0,IF(OR(K148=0,N148=0),"N.M.",IF(ABS(L148/K148)&gt;=10,"N.M.",L148/(-K148)))),IF(L148=0,0,IF(OR(K148=0,N148=0),"N.M.",IF(ABS(L148/K148)&gt;=10,"N.M.",L148/K148))))</f>
        <v>N.M.</v>
      </c>
      <c r="N148" s="174"/>
      <c r="O148" s="256">
        <v>21157586.17</v>
      </c>
      <c r="P148" s="16">
        <f>+F148-O148</f>
        <v>-2708238.540000003</v>
      </c>
      <c r="Q148" s="53">
        <f>IF(O148&lt;0,IF(P148=0,0,IF(OR(O148=0,F148=0),"N.M.",IF(ABS(P148/O148)&gt;=10,"N.M.",P148/(-O148)))),IF(P148=0,0,IF(OR(O148=0,F148=0),"N.M.",IF(ABS(P148/O148)&gt;=10,"N.M.",P148/O148))))</f>
        <v>-0.12800319082902276</v>
      </c>
    </row>
    <row r="149" spans="1:17" s="15" customFormat="1" ht="12.75" hidden="1" outlineLevel="2">
      <c r="A149" s="15" t="s">
        <v>588</v>
      </c>
      <c r="B149" s="15" t="s">
        <v>589</v>
      </c>
      <c r="C149" s="134" t="s">
        <v>590</v>
      </c>
      <c r="D149" s="16"/>
      <c r="E149" s="16"/>
      <c r="F149" s="16">
        <v>-12286842.63</v>
      </c>
      <c r="G149" s="16">
        <v>-19641892.13</v>
      </c>
      <c r="H149" s="16">
        <f>+F149-G149</f>
        <v>7355049.499999998</v>
      </c>
      <c r="I149" s="53">
        <f>IF(G149&lt;0,IF(H149=0,0,IF(OR(G149=0,F149=0),"N.M.",IF(ABS(H149/G149)&gt;=10,"N.M.",H149/(-G149)))),IF(H149=0,0,IF(OR(G149=0,F149=0),"N.M.",IF(ABS(H149/G149)&gt;=10,"N.M.",H149/G149))))</f>
        <v>0.3744572799463795</v>
      </c>
      <c r="J149" s="174"/>
      <c r="K149" s="256">
        <v>-10527599.55</v>
      </c>
      <c r="L149" s="16">
        <f>+F149-K149</f>
        <v>-1759243.08</v>
      </c>
      <c r="M149" s="53" t="str">
        <f>IF(K149&lt;0,IF(L149=0,0,IF(OR(K149=0,N149=0),"N.M.",IF(ABS(L149/K149)&gt;=10,"N.M.",L149/(-K149)))),IF(L149=0,0,IF(OR(K149=0,N149=0),"N.M.",IF(ABS(L149/K149)&gt;=10,"N.M.",L149/K149))))</f>
        <v>N.M.</v>
      </c>
      <c r="N149" s="174"/>
      <c r="O149" s="256">
        <v>-16351881.44</v>
      </c>
      <c r="P149" s="16">
        <f>+F149-O149</f>
        <v>4065038.8099999987</v>
      </c>
      <c r="Q149" s="53">
        <f>IF(O149&lt;0,IF(P149=0,0,IF(OR(O149=0,F149=0),"N.M.",IF(ABS(P149/O149)&gt;=10,"N.M.",P149/(-O149)))),IF(P149=0,0,IF(OR(O149=0,F149=0),"N.M.",IF(ABS(P149/O149)&gt;=10,"N.M.",P149/O149))))</f>
        <v>0.248597620091355</v>
      </c>
    </row>
    <row r="150" spans="1:17" s="67" customFormat="1" ht="12.75" collapsed="1">
      <c r="A150" s="67" t="s">
        <v>131</v>
      </c>
      <c r="B150" s="87"/>
      <c r="C150" s="82" t="s">
        <v>107</v>
      </c>
      <c r="D150" s="66"/>
      <c r="E150" s="66"/>
      <c r="F150" s="51">
        <v>6162504.999999998</v>
      </c>
      <c r="G150" s="51">
        <v>-6028362.359999999</v>
      </c>
      <c r="H150" s="51">
        <f>+F150-G150</f>
        <v>12190867.359999998</v>
      </c>
      <c r="I150" s="136">
        <f>IF(G150&lt;0,IF(H150=0,0,IF(OR(G150=0,F150=0),"N.M.",IF(ABS(H150/G150)&gt;=10,"N.M.",H150/(-G150)))),IF(H150=0,0,IF(OR(G150=0,F150=0),"N.M.",IF(ABS(H150/G150)&gt;=10,"N.M.",H150/G150))))</f>
        <v>2.022251920503332</v>
      </c>
      <c r="J150" s="157"/>
      <c r="K150" s="51">
        <v>4863136.709999999</v>
      </c>
      <c r="L150" s="51">
        <f>+F150-K150</f>
        <v>1299368.289999999</v>
      </c>
      <c r="M150" s="136" t="str">
        <f>IF(K150&lt;0,IF(L150=0,0,IF(OR(K150=0,N150=0),"N.M.",IF(ABS(L150/K150)&gt;=10,"N.M.",L150/(-K150)))),IF(L150=0,0,IF(OR(K150=0,N150=0),"N.M.",IF(ABS(L150/K150)&gt;=10,"N.M.",L150/K150))))</f>
        <v>N.M.</v>
      </c>
      <c r="N150" s="157"/>
      <c r="O150" s="51">
        <v>4805704.730000002</v>
      </c>
      <c r="P150" s="51">
        <f>+F150-O150</f>
        <v>1356800.2699999958</v>
      </c>
      <c r="Q150" s="136">
        <f>IF(O150&lt;0,IF(P150=0,0,IF(OR(O150=0,F150=0),"N.M.",IF(ABS(P150/O150)&gt;=10,"N.M.",P150/(-O150)))),IF(P150=0,0,IF(OR(O150=0,F150=0),"N.M.",IF(ABS(P150/O150)&gt;=10,"N.M.",P150/O150))))</f>
        <v>0.2823311764308073</v>
      </c>
    </row>
    <row r="151" spans="2:17" s="67" customFormat="1" ht="0.75" customHeight="1" hidden="1" outlineLevel="1">
      <c r="B151" s="87"/>
      <c r="C151" s="82"/>
      <c r="D151" s="66"/>
      <c r="E151" s="66"/>
      <c r="F151" s="51"/>
      <c r="G151" s="51"/>
      <c r="H151" s="51"/>
      <c r="I151" s="136"/>
      <c r="J151" s="157"/>
      <c r="K151" s="51"/>
      <c r="L151" s="51"/>
      <c r="M151" s="136"/>
      <c r="N151" s="157"/>
      <c r="O151" s="51"/>
      <c r="P151" s="51"/>
      <c r="Q151" s="136"/>
    </row>
    <row r="152" spans="1:17" s="15" customFormat="1" ht="12.75" hidden="1" outlineLevel="2">
      <c r="A152" s="15" t="s">
        <v>591</v>
      </c>
      <c r="B152" s="15" t="s">
        <v>592</v>
      </c>
      <c r="C152" s="134" t="s">
        <v>593</v>
      </c>
      <c r="D152" s="16"/>
      <c r="E152" s="16"/>
      <c r="F152" s="16">
        <v>15019593.63</v>
      </c>
      <c r="G152" s="16">
        <v>14832222.93</v>
      </c>
      <c r="H152" s="16">
        <f aca="true" t="shared" si="50" ref="H152:H157">+F152-G152</f>
        <v>187370.70000000112</v>
      </c>
      <c r="I152" s="53">
        <f aca="true" t="shared" si="51" ref="I152:I157">IF(G152&lt;0,IF(H152=0,0,IF(OR(G152=0,F152=0),"N.M.",IF(ABS(H152/G152)&gt;=10,"N.M.",H152/(-G152)))),IF(H152=0,0,IF(OR(G152=0,F152=0),"N.M.",IF(ABS(H152/G152)&gt;=10,"N.M.",H152/G152))))</f>
        <v>0.012632678249530674</v>
      </c>
      <c r="J152" s="174"/>
      <c r="K152" s="256">
        <v>13531801.03</v>
      </c>
      <c r="L152" s="16">
        <f aca="true" t="shared" si="52" ref="L152:L157">+F152-K152</f>
        <v>1487792.6000000015</v>
      </c>
      <c r="M152" s="53" t="str">
        <f aca="true" t="shared" si="53" ref="M152:M157">IF(K152&lt;0,IF(L152=0,0,IF(OR(K152=0,N152=0),"N.M.",IF(ABS(L152/K152)&gt;=10,"N.M.",L152/(-K152)))),IF(L152=0,0,IF(OR(K152=0,N152=0),"N.M.",IF(ABS(L152/K152)&gt;=10,"N.M.",L152/K152))))</f>
        <v>N.M.</v>
      </c>
      <c r="N152" s="174"/>
      <c r="O152" s="256">
        <v>13290912.23</v>
      </c>
      <c r="P152" s="16">
        <f aca="true" t="shared" si="54" ref="P152:P157">+F152-O152</f>
        <v>1728681.4000000004</v>
      </c>
      <c r="Q152" s="53">
        <f aca="true" t="shared" si="55" ref="Q152:Q157">IF(O152&lt;0,IF(P152=0,0,IF(OR(O152=0,F152=0),"N.M.",IF(ABS(P152/O152)&gt;=10,"N.M.",P152/(-O152)))),IF(P152=0,0,IF(OR(O152=0,F152=0),"N.M.",IF(ABS(P152/O152)&gt;=10,"N.M.",P152/O152))))</f>
        <v>0.13006491729725314</v>
      </c>
    </row>
    <row r="153" spans="1:17" s="15" customFormat="1" ht="12.75" hidden="1" outlineLevel="2">
      <c r="A153" s="15" t="s">
        <v>594</v>
      </c>
      <c r="B153" s="15" t="s">
        <v>595</v>
      </c>
      <c r="C153" s="134" t="s">
        <v>596</v>
      </c>
      <c r="D153" s="16"/>
      <c r="E153" s="16"/>
      <c r="F153" s="16">
        <v>2588.35</v>
      </c>
      <c r="G153" s="16">
        <v>240659</v>
      </c>
      <c r="H153" s="16">
        <f t="shared" si="50"/>
        <v>-238070.65</v>
      </c>
      <c r="I153" s="53">
        <f t="shared" si="51"/>
        <v>-0.9892447404834226</v>
      </c>
      <c r="J153" s="174"/>
      <c r="K153" s="256">
        <v>0</v>
      </c>
      <c r="L153" s="16">
        <f t="shared" si="52"/>
        <v>2588.35</v>
      </c>
      <c r="M153" s="53" t="str">
        <f t="shared" si="53"/>
        <v>N.M.</v>
      </c>
      <c r="N153" s="174"/>
      <c r="O153" s="256">
        <v>399292</v>
      </c>
      <c r="P153" s="16">
        <f t="shared" si="54"/>
        <v>-396703.65</v>
      </c>
      <c r="Q153" s="53">
        <f t="shared" si="55"/>
        <v>-0.9935176512426996</v>
      </c>
    </row>
    <row r="154" spans="1:17" s="15" customFormat="1" ht="12.75" hidden="1" outlineLevel="2">
      <c r="A154" s="15" t="s">
        <v>597</v>
      </c>
      <c r="B154" s="15" t="s">
        <v>598</v>
      </c>
      <c r="C154" s="134" t="s">
        <v>599</v>
      </c>
      <c r="D154" s="16"/>
      <c r="E154" s="16"/>
      <c r="F154" s="16">
        <v>1351.8500000000001</v>
      </c>
      <c r="G154" s="16">
        <v>1880.83</v>
      </c>
      <c r="H154" s="16">
        <f t="shared" si="50"/>
        <v>-528.9799999999998</v>
      </c>
      <c r="I154" s="53">
        <f t="shared" si="51"/>
        <v>-0.2812481723494414</v>
      </c>
      <c r="J154" s="174"/>
      <c r="K154" s="256">
        <v>1577.28</v>
      </c>
      <c r="L154" s="16">
        <f t="shared" si="52"/>
        <v>-225.42999999999984</v>
      </c>
      <c r="M154" s="53" t="str">
        <f t="shared" si="53"/>
        <v>N.M.</v>
      </c>
      <c r="N154" s="174"/>
      <c r="O154" s="256">
        <v>2821.25</v>
      </c>
      <c r="P154" s="16">
        <f t="shared" si="54"/>
        <v>-1469.3999999999999</v>
      </c>
      <c r="Q154" s="53">
        <f t="shared" si="55"/>
        <v>-0.5208329641116526</v>
      </c>
    </row>
    <row r="155" spans="1:17" s="15" customFormat="1" ht="12.75" hidden="1" outlineLevel="2">
      <c r="A155" s="15" t="s">
        <v>600</v>
      </c>
      <c r="B155" s="15" t="s">
        <v>601</v>
      </c>
      <c r="C155" s="134" t="s">
        <v>602</v>
      </c>
      <c r="D155" s="16"/>
      <c r="E155" s="16"/>
      <c r="F155" s="16">
        <v>-847736</v>
      </c>
      <c r="G155" s="16">
        <v>-835307</v>
      </c>
      <c r="H155" s="16">
        <f t="shared" si="50"/>
        <v>-12429</v>
      </c>
      <c r="I155" s="53">
        <f t="shared" si="51"/>
        <v>-0.014879559251867876</v>
      </c>
      <c r="J155" s="174"/>
      <c r="K155" s="256">
        <v>-899909</v>
      </c>
      <c r="L155" s="16">
        <f t="shared" si="52"/>
        <v>52173</v>
      </c>
      <c r="M155" s="53" t="str">
        <f t="shared" si="53"/>
        <v>N.M.</v>
      </c>
      <c r="N155" s="174"/>
      <c r="O155" s="256">
        <v>-427357</v>
      </c>
      <c r="P155" s="16">
        <f t="shared" si="54"/>
        <v>-420379</v>
      </c>
      <c r="Q155" s="53">
        <f t="shared" si="55"/>
        <v>-0.9836717311287753</v>
      </c>
    </row>
    <row r="156" spans="1:17" s="15" customFormat="1" ht="12.75" hidden="1" outlineLevel="2">
      <c r="A156" s="15" t="s">
        <v>603</v>
      </c>
      <c r="B156" s="15" t="s">
        <v>604</v>
      </c>
      <c r="C156" s="134" t="s">
        <v>605</v>
      </c>
      <c r="D156" s="16"/>
      <c r="E156" s="16"/>
      <c r="F156" s="16">
        <v>10583</v>
      </c>
      <c r="G156" s="16">
        <v>552431</v>
      </c>
      <c r="H156" s="16">
        <f t="shared" si="50"/>
        <v>-541848</v>
      </c>
      <c r="I156" s="53">
        <f t="shared" si="51"/>
        <v>-0.9808428563929251</v>
      </c>
      <c r="J156" s="174"/>
      <c r="K156" s="256">
        <v>15697</v>
      </c>
      <c r="L156" s="16">
        <f t="shared" si="52"/>
        <v>-5114</v>
      </c>
      <c r="M156" s="53" t="str">
        <f t="shared" si="53"/>
        <v>N.M.</v>
      </c>
      <c r="N156" s="174"/>
      <c r="O156" s="256">
        <v>421541</v>
      </c>
      <c r="P156" s="16">
        <f t="shared" si="54"/>
        <v>-410958</v>
      </c>
      <c r="Q156" s="53">
        <f t="shared" si="55"/>
        <v>-0.9748944942484835</v>
      </c>
    </row>
    <row r="157" spans="1:17" s="67" customFormat="1" ht="12.75" collapsed="1">
      <c r="A157" s="67" t="s">
        <v>132</v>
      </c>
      <c r="B157" s="87"/>
      <c r="C157" s="82" t="s">
        <v>108</v>
      </c>
      <c r="D157" s="66"/>
      <c r="E157" s="66"/>
      <c r="F157" s="51">
        <v>14186380.83</v>
      </c>
      <c r="G157" s="51">
        <v>14791886.76</v>
      </c>
      <c r="H157" s="51">
        <f t="shared" si="50"/>
        <v>-605505.9299999997</v>
      </c>
      <c r="I157" s="136">
        <f t="shared" si="51"/>
        <v>-0.04093500307461789</v>
      </c>
      <c r="J157" s="157"/>
      <c r="K157" s="51">
        <v>12649166.309999999</v>
      </c>
      <c r="L157" s="51">
        <f t="shared" si="52"/>
        <v>1537214.5200000014</v>
      </c>
      <c r="M157" s="136" t="str">
        <f t="shared" si="53"/>
        <v>N.M.</v>
      </c>
      <c r="N157" s="157"/>
      <c r="O157" s="51">
        <v>13687209.48</v>
      </c>
      <c r="P157" s="51">
        <f t="shared" si="54"/>
        <v>499171.3499999996</v>
      </c>
      <c r="Q157" s="136">
        <f t="shared" si="55"/>
        <v>0.03646991380744175</v>
      </c>
    </row>
    <row r="158" spans="1:17" s="67" customFormat="1" ht="0.75" customHeight="1" hidden="1" outlineLevel="1">
      <c r="A158" s="86"/>
      <c r="B158" s="87"/>
      <c r="C158" s="83"/>
      <c r="D158" s="66"/>
      <c r="E158" s="66"/>
      <c r="F158" s="51"/>
      <c r="G158" s="51"/>
      <c r="H158" s="51"/>
      <c r="I158" s="136"/>
      <c r="J158" s="157"/>
      <c r="K158" s="51"/>
      <c r="L158" s="51"/>
      <c r="M158" s="136"/>
      <c r="N158" s="157"/>
      <c r="O158" s="51"/>
      <c r="P158" s="51"/>
      <c r="Q158" s="136"/>
    </row>
    <row r="159" spans="1:17" s="15" customFormat="1" ht="12.75" hidden="1" outlineLevel="2">
      <c r="A159" s="15" t="s">
        <v>606</v>
      </c>
      <c r="B159" s="15" t="s">
        <v>607</v>
      </c>
      <c r="C159" s="134" t="s">
        <v>608</v>
      </c>
      <c r="D159" s="16"/>
      <c r="E159" s="16"/>
      <c r="F159" s="16">
        <v>385096.535</v>
      </c>
      <c r="G159" s="16">
        <v>419726.855</v>
      </c>
      <c r="H159" s="16">
        <f aca="true" t="shared" si="56" ref="H159:H170">+F159-G159</f>
        <v>-34630.32000000001</v>
      </c>
      <c r="I159" s="53">
        <f aca="true" t="shared" si="57" ref="I159:I170">IF(G159&lt;0,IF(H159=0,0,IF(OR(G159=0,F159=0),"N.M.",IF(ABS(H159/G159)&gt;=10,"N.M.",H159/(-G159)))),IF(H159=0,0,IF(OR(G159=0,F159=0),"N.M.",IF(ABS(H159/G159)&gt;=10,"N.M.",H159/G159))))</f>
        <v>-0.082506800762129</v>
      </c>
      <c r="J159" s="174"/>
      <c r="K159" s="256">
        <v>444739.175</v>
      </c>
      <c r="L159" s="16">
        <f aca="true" t="shared" si="58" ref="L159:L170">+F159-K159</f>
        <v>-59642.640000000014</v>
      </c>
      <c r="M159" s="53" t="str">
        <f aca="true" t="shared" si="59" ref="M159:M170">IF(K159&lt;0,IF(L159=0,0,IF(OR(K159=0,N159=0),"N.M.",IF(ABS(L159/K159)&gt;=10,"N.M.",L159/(-K159)))),IF(L159=0,0,IF(OR(K159=0,N159=0),"N.M.",IF(ABS(L159/K159)&gt;=10,"N.M.",L159/K159))))</f>
        <v>N.M.</v>
      </c>
      <c r="N159" s="174"/>
      <c r="O159" s="256">
        <v>367942.235</v>
      </c>
      <c r="P159" s="16">
        <f aca="true" t="shared" si="60" ref="P159:P170">+F159-O159</f>
        <v>17154.29999999999</v>
      </c>
      <c r="Q159" s="53">
        <f aca="true" t="shared" si="61" ref="Q159:Q170">IF(O159&lt;0,IF(P159=0,0,IF(OR(O159=0,F159=0),"N.M.",IF(ABS(P159/O159)&gt;=10,"N.M.",P159/(-O159)))),IF(P159=0,0,IF(OR(O159=0,F159=0),"N.M.",IF(ABS(P159/O159)&gt;=10,"N.M.",P159/O159))))</f>
        <v>0.046622263954014385</v>
      </c>
    </row>
    <row r="160" spans="1:17" s="15" customFormat="1" ht="12.75" hidden="1" outlineLevel="2">
      <c r="A160" s="15" t="s">
        <v>609</v>
      </c>
      <c r="B160" s="15" t="s">
        <v>610</v>
      </c>
      <c r="C160" s="134" t="s">
        <v>611</v>
      </c>
      <c r="D160" s="16"/>
      <c r="E160" s="16"/>
      <c r="F160" s="16">
        <v>0</v>
      </c>
      <c r="G160" s="16">
        <v>499836.53</v>
      </c>
      <c r="H160" s="16">
        <f t="shared" si="56"/>
        <v>-499836.53</v>
      </c>
      <c r="I160" s="53" t="str">
        <f t="shared" si="57"/>
        <v>N.M.</v>
      </c>
      <c r="J160" s="174"/>
      <c r="K160" s="256">
        <v>0</v>
      </c>
      <c r="L160" s="16">
        <f t="shared" si="58"/>
        <v>0</v>
      </c>
      <c r="M160" s="53">
        <f t="shared" si="59"/>
        <v>0</v>
      </c>
      <c r="N160" s="174"/>
      <c r="O160" s="256">
        <v>374877.41000000003</v>
      </c>
      <c r="P160" s="16">
        <f t="shared" si="60"/>
        <v>-374877.41000000003</v>
      </c>
      <c r="Q160" s="53" t="str">
        <f t="shared" si="61"/>
        <v>N.M.</v>
      </c>
    </row>
    <row r="161" spans="1:17" s="15" customFormat="1" ht="12.75" hidden="1" outlineLevel="2">
      <c r="A161" s="15" t="s">
        <v>612</v>
      </c>
      <c r="B161" s="15" t="s">
        <v>613</v>
      </c>
      <c r="C161" s="134" t="s">
        <v>611</v>
      </c>
      <c r="D161" s="16"/>
      <c r="E161" s="16"/>
      <c r="F161" s="16">
        <v>532899.7</v>
      </c>
      <c r="G161" s="16">
        <v>0</v>
      </c>
      <c r="H161" s="16">
        <f t="shared" si="56"/>
        <v>532899.7</v>
      </c>
      <c r="I161" s="53" t="str">
        <f t="shared" si="57"/>
        <v>N.M.</v>
      </c>
      <c r="J161" s="174"/>
      <c r="K161" s="256">
        <v>599512.16</v>
      </c>
      <c r="L161" s="16">
        <f t="shared" si="58"/>
        <v>-66612.46000000008</v>
      </c>
      <c r="M161" s="53" t="str">
        <f t="shared" si="59"/>
        <v>N.M.</v>
      </c>
      <c r="N161" s="174"/>
      <c r="O161" s="256">
        <v>0</v>
      </c>
      <c r="P161" s="16">
        <f t="shared" si="60"/>
        <v>532899.7</v>
      </c>
      <c r="Q161" s="53" t="str">
        <f t="shared" si="61"/>
        <v>N.M.</v>
      </c>
    </row>
    <row r="162" spans="1:17" s="15" customFormat="1" ht="12.75" hidden="1" outlineLevel="2">
      <c r="A162" s="15" t="s">
        <v>614</v>
      </c>
      <c r="B162" s="15" t="s">
        <v>615</v>
      </c>
      <c r="C162" s="134" t="s">
        <v>616</v>
      </c>
      <c r="D162" s="16"/>
      <c r="E162" s="16"/>
      <c r="F162" s="16">
        <v>17306.08</v>
      </c>
      <c r="G162" s="16">
        <v>25930.940000000002</v>
      </c>
      <c r="H162" s="16">
        <f t="shared" si="56"/>
        <v>-8624.86</v>
      </c>
      <c r="I162" s="53">
        <f t="shared" si="57"/>
        <v>-0.33260884487797204</v>
      </c>
      <c r="J162" s="174"/>
      <c r="K162" s="256">
        <v>15927.140000000001</v>
      </c>
      <c r="L162" s="16">
        <f t="shared" si="58"/>
        <v>1378.9400000000005</v>
      </c>
      <c r="M162" s="53" t="str">
        <f t="shared" si="59"/>
        <v>N.M.</v>
      </c>
      <c r="N162" s="174"/>
      <c r="O162" s="256">
        <v>19411.28</v>
      </c>
      <c r="P162" s="16">
        <f t="shared" si="60"/>
        <v>-2105.199999999997</v>
      </c>
      <c r="Q162" s="53">
        <f t="shared" si="61"/>
        <v>-0.10845240499338514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619</v>
      </c>
      <c r="D163" s="16"/>
      <c r="E163" s="16"/>
      <c r="F163" s="16">
        <v>17928933.16</v>
      </c>
      <c r="G163" s="16">
        <v>15205417.2</v>
      </c>
      <c r="H163" s="16">
        <f t="shared" si="56"/>
        <v>2723515.960000001</v>
      </c>
      <c r="I163" s="53">
        <f t="shared" si="57"/>
        <v>0.1791148459905461</v>
      </c>
      <c r="J163" s="174"/>
      <c r="K163" s="256">
        <v>17881161.76</v>
      </c>
      <c r="L163" s="16">
        <f t="shared" si="58"/>
        <v>47771.39999999851</v>
      </c>
      <c r="M163" s="53" t="str">
        <f t="shared" si="59"/>
        <v>N.M.</v>
      </c>
      <c r="N163" s="174"/>
      <c r="O163" s="256">
        <v>14836181.16</v>
      </c>
      <c r="P163" s="16">
        <f t="shared" si="60"/>
        <v>3092752</v>
      </c>
      <c r="Q163" s="53">
        <f t="shared" si="61"/>
        <v>0.20846011292571734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622</v>
      </c>
      <c r="D164" s="16"/>
      <c r="E164" s="16"/>
      <c r="F164" s="16">
        <v>343640.91000000003</v>
      </c>
      <c r="G164" s="16">
        <v>0</v>
      </c>
      <c r="H164" s="16">
        <f t="shared" si="56"/>
        <v>343640.91000000003</v>
      </c>
      <c r="I164" s="53" t="str">
        <f t="shared" si="57"/>
        <v>N.M.</v>
      </c>
      <c r="J164" s="174"/>
      <c r="K164" s="256">
        <v>401246.88</v>
      </c>
      <c r="L164" s="16">
        <f t="shared" si="58"/>
        <v>-57605.96999999997</v>
      </c>
      <c r="M164" s="53" t="str">
        <f t="shared" si="59"/>
        <v>N.M.</v>
      </c>
      <c r="N164" s="174"/>
      <c r="O164" s="256">
        <v>0</v>
      </c>
      <c r="P164" s="16">
        <f t="shared" si="60"/>
        <v>343640.91000000003</v>
      </c>
      <c r="Q164" s="53" t="str">
        <f t="shared" si="61"/>
        <v>N.M.</v>
      </c>
    </row>
    <row r="165" spans="1:17" s="15" customFormat="1" ht="12.75" hidden="1" outlineLevel="2">
      <c r="A165" s="15" t="s">
        <v>623</v>
      </c>
      <c r="B165" s="15" t="s">
        <v>624</v>
      </c>
      <c r="C165" s="134" t="s">
        <v>625</v>
      </c>
      <c r="D165" s="16"/>
      <c r="E165" s="16"/>
      <c r="F165" s="16">
        <v>0</v>
      </c>
      <c r="G165" s="16">
        <v>400863.36</v>
      </c>
      <c r="H165" s="16">
        <f t="shared" si="56"/>
        <v>-400863.36</v>
      </c>
      <c r="I165" s="53" t="str">
        <f t="shared" si="57"/>
        <v>N.M.</v>
      </c>
      <c r="J165" s="174"/>
      <c r="K165" s="256">
        <v>0</v>
      </c>
      <c r="L165" s="16">
        <f t="shared" si="58"/>
        <v>0</v>
      </c>
      <c r="M165" s="53">
        <f t="shared" si="59"/>
        <v>0</v>
      </c>
      <c r="N165" s="174"/>
      <c r="O165" s="256">
        <v>340189.38</v>
      </c>
      <c r="P165" s="16">
        <f t="shared" si="60"/>
        <v>-340189.38</v>
      </c>
      <c r="Q165" s="53" t="str">
        <f t="shared" si="61"/>
        <v>N.M.</v>
      </c>
    </row>
    <row r="166" spans="1:17" s="15" customFormat="1" ht="12.75" hidden="1" outlineLevel="2">
      <c r="A166" s="15" t="s">
        <v>626</v>
      </c>
      <c r="B166" s="15" t="s">
        <v>627</v>
      </c>
      <c r="C166" s="134" t="s">
        <v>628</v>
      </c>
      <c r="D166" s="16"/>
      <c r="E166" s="16"/>
      <c r="F166" s="16">
        <v>27416.16</v>
      </c>
      <c r="G166" s="16">
        <v>0</v>
      </c>
      <c r="H166" s="16">
        <f t="shared" si="56"/>
        <v>27416.16</v>
      </c>
      <c r="I166" s="53" t="str">
        <f t="shared" si="57"/>
        <v>N.M.</v>
      </c>
      <c r="J166" s="174"/>
      <c r="K166" s="256">
        <v>18239.52</v>
      </c>
      <c r="L166" s="16">
        <f t="shared" si="58"/>
        <v>9176.64</v>
      </c>
      <c r="M166" s="53" t="str">
        <f t="shared" si="59"/>
        <v>N.M.</v>
      </c>
      <c r="N166" s="174"/>
      <c r="O166" s="256">
        <v>0</v>
      </c>
      <c r="P166" s="16">
        <f t="shared" si="60"/>
        <v>27416.16</v>
      </c>
      <c r="Q166" s="53" t="str">
        <f t="shared" si="61"/>
        <v>N.M.</v>
      </c>
    </row>
    <row r="167" spans="1:17" s="15" customFormat="1" ht="12.75" hidden="1" outlineLevel="2">
      <c r="A167" s="15" t="s">
        <v>629</v>
      </c>
      <c r="B167" s="15" t="s">
        <v>630</v>
      </c>
      <c r="C167" s="134" t="s">
        <v>631</v>
      </c>
      <c r="D167" s="16"/>
      <c r="E167" s="16"/>
      <c r="F167" s="16">
        <v>-17881161.76</v>
      </c>
      <c r="G167" s="16">
        <v>-15390035.22</v>
      </c>
      <c r="H167" s="16">
        <f t="shared" si="56"/>
        <v>-2491126.540000001</v>
      </c>
      <c r="I167" s="53">
        <f t="shared" si="57"/>
        <v>-0.16186620136922603</v>
      </c>
      <c r="J167" s="174"/>
      <c r="K167" s="256">
        <v>-17881161.76</v>
      </c>
      <c r="L167" s="16">
        <f t="shared" si="58"/>
        <v>0</v>
      </c>
      <c r="M167" s="53">
        <f t="shared" si="59"/>
        <v>0</v>
      </c>
      <c r="N167" s="174"/>
      <c r="O167" s="256">
        <v>-14836181.16</v>
      </c>
      <c r="P167" s="16">
        <f t="shared" si="60"/>
        <v>-3044980.6000000015</v>
      </c>
      <c r="Q167" s="53">
        <f t="shared" si="61"/>
        <v>-0.20524018729358798</v>
      </c>
    </row>
    <row r="168" spans="1:17" s="15" customFormat="1" ht="12.75" hidden="1" outlineLevel="2">
      <c r="A168" s="15" t="s">
        <v>632</v>
      </c>
      <c r="B168" s="15" t="s">
        <v>633</v>
      </c>
      <c r="C168" s="134" t="s">
        <v>634</v>
      </c>
      <c r="D168" s="16"/>
      <c r="E168" s="16"/>
      <c r="F168" s="16">
        <v>0</v>
      </c>
      <c r="G168" s="16">
        <v>122026.11</v>
      </c>
      <c r="H168" s="16">
        <f t="shared" si="56"/>
        <v>-122026.11</v>
      </c>
      <c r="I168" s="53" t="str">
        <f t="shared" si="57"/>
        <v>N.M.</v>
      </c>
      <c r="J168" s="174"/>
      <c r="K168" s="256">
        <v>0</v>
      </c>
      <c r="L168" s="16">
        <f t="shared" si="58"/>
        <v>0</v>
      </c>
      <c r="M168" s="53">
        <f t="shared" si="59"/>
        <v>0</v>
      </c>
      <c r="N168" s="174"/>
      <c r="O168" s="256">
        <v>0</v>
      </c>
      <c r="P168" s="16">
        <f t="shared" si="60"/>
        <v>0</v>
      </c>
      <c r="Q168" s="53">
        <f t="shared" si="61"/>
        <v>0</v>
      </c>
    </row>
    <row r="169" spans="1:17" s="15" customFormat="1" ht="12.75" hidden="1" outlineLevel="2">
      <c r="A169" s="15" t="s">
        <v>635</v>
      </c>
      <c r="B169" s="15" t="s">
        <v>636</v>
      </c>
      <c r="C169" s="134" t="s">
        <v>637</v>
      </c>
      <c r="D169" s="16"/>
      <c r="E169" s="16"/>
      <c r="F169" s="16">
        <v>430691.05</v>
      </c>
      <c r="G169" s="16">
        <v>327765.51</v>
      </c>
      <c r="H169" s="16">
        <f t="shared" si="56"/>
        <v>102925.53999999998</v>
      </c>
      <c r="I169" s="53">
        <f t="shared" si="57"/>
        <v>0.3140218749678695</v>
      </c>
      <c r="J169" s="174"/>
      <c r="K169" s="256">
        <v>519366.84</v>
      </c>
      <c r="L169" s="16">
        <f t="shared" si="58"/>
        <v>-88675.79000000004</v>
      </c>
      <c r="M169" s="53" t="str">
        <f t="shared" si="59"/>
        <v>N.M.</v>
      </c>
      <c r="N169" s="174"/>
      <c r="O169" s="256">
        <v>179434.74</v>
      </c>
      <c r="P169" s="16">
        <f t="shared" si="60"/>
        <v>251256.31</v>
      </c>
      <c r="Q169" s="53">
        <f t="shared" si="61"/>
        <v>1.4002656899104378</v>
      </c>
    </row>
    <row r="170" spans="1:17" s="15" customFormat="1" ht="12.75" hidden="1" outlineLevel="2">
      <c r="A170" s="15" t="s">
        <v>638</v>
      </c>
      <c r="B170" s="15" t="s">
        <v>639</v>
      </c>
      <c r="C170" s="134" t="s">
        <v>640</v>
      </c>
      <c r="D170" s="16"/>
      <c r="E170" s="16"/>
      <c r="F170" s="16">
        <v>0</v>
      </c>
      <c r="G170" s="16">
        <v>0</v>
      </c>
      <c r="H170" s="16">
        <f t="shared" si="56"/>
        <v>0</v>
      </c>
      <c r="I170" s="53">
        <f t="shared" si="57"/>
        <v>0</v>
      </c>
      <c r="J170" s="174"/>
      <c r="K170" s="256">
        <v>935.07</v>
      </c>
      <c r="L170" s="16">
        <f t="shared" si="58"/>
        <v>-935.07</v>
      </c>
      <c r="M170" s="53" t="str">
        <f t="shared" si="59"/>
        <v>N.M.</v>
      </c>
      <c r="N170" s="174"/>
      <c r="O170" s="256">
        <v>0</v>
      </c>
      <c r="P170" s="16">
        <f t="shared" si="60"/>
        <v>0</v>
      </c>
      <c r="Q170" s="53">
        <f t="shared" si="61"/>
        <v>0</v>
      </c>
    </row>
    <row r="171" spans="1:17" s="67" customFormat="1" ht="12.75" collapsed="1">
      <c r="A171" s="67" t="s">
        <v>133</v>
      </c>
      <c r="B171" s="87"/>
      <c r="C171" s="82" t="s">
        <v>109</v>
      </c>
      <c r="D171" s="66"/>
      <c r="E171" s="66"/>
      <c r="F171" s="51">
        <v>1784821.8350000002</v>
      </c>
      <c r="G171" s="51">
        <v>1611531.2849999974</v>
      </c>
      <c r="H171" s="51">
        <f>+F171-G171</f>
        <v>173290.55000000284</v>
      </c>
      <c r="I171" s="136">
        <f>IF(G171&lt;0,IF(H171=0,0,IF(OR(G171=0,F171=0),"N.M.",IF(ABS(H171/G171)&gt;=10,"N.M.",H171/(-G171)))),IF(H171=0,0,IF(OR(G171=0,F171=0),"N.M.",IF(ABS(H171/G171)&gt;=10,"N.M.",H171/G171))))</f>
        <v>0.10753160774040023</v>
      </c>
      <c r="J171" s="157"/>
      <c r="K171" s="51">
        <v>1999966.7850000001</v>
      </c>
      <c r="L171" s="51">
        <f>+F171-K171</f>
        <v>-215144.94999999995</v>
      </c>
      <c r="M171" s="136" t="str">
        <f>IF(K171&lt;0,IF(L171=0,0,IF(OR(K171=0,N171=0),"N.M.",IF(ABS(L171/K171)&gt;=10,"N.M.",L171/(-K171)))),IF(L171=0,0,IF(OR(K171=0,N171=0),"N.M.",IF(ABS(L171/K171)&gt;=10,"N.M.",L171/K171))))</f>
        <v>N.M.</v>
      </c>
      <c r="N171" s="157"/>
      <c r="O171" s="51">
        <v>1281855.0450000016</v>
      </c>
      <c r="P171" s="51">
        <f>+F171-O171</f>
        <v>502966.78999999864</v>
      </c>
      <c r="Q171" s="136">
        <f>IF(O171&lt;0,IF(P171=0,0,IF(OR(O171=0,F171=0),"N.M.",IF(ABS(P171/O171)&gt;=10,"N.M.",P171/(-O171)))),IF(P171=0,0,IF(OR(O171=0,F171=0),"N.M.",IF(ABS(P171/O171)&gt;=10,"N.M.",P171/O171))))</f>
        <v>0.3923741549107825</v>
      </c>
    </row>
    <row r="172" spans="2:17" s="67" customFormat="1" ht="0.75" customHeight="1" hidden="1" outlineLevel="1">
      <c r="B172" s="87"/>
      <c r="C172" s="82"/>
      <c r="D172" s="66"/>
      <c r="E172" s="66"/>
      <c r="F172" s="51"/>
      <c r="G172" s="51"/>
      <c r="H172" s="51"/>
      <c r="I172" s="136"/>
      <c r="J172" s="157"/>
      <c r="K172" s="51"/>
      <c r="L172" s="51"/>
      <c r="M172" s="136"/>
      <c r="N172" s="157"/>
      <c r="O172" s="51"/>
      <c r="P172" s="51"/>
      <c r="Q172" s="136"/>
    </row>
    <row r="173" spans="1:17" s="15" customFormat="1" ht="12.75" hidden="1" outlineLevel="2">
      <c r="A173" s="15" t="s">
        <v>641</v>
      </c>
      <c r="B173" s="15" t="s">
        <v>642</v>
      </c>
      <c r="C173" s="134" t="s">
        <v>643</v>
      </c>
      <c r="D173" s="16"/>
      <c r="E173" s="16"/>
      <c r="F173" s="16">
        <v>67.56</v>
      </c>
      <c r="G173" s="16">
        <v>156.35</v>
      </c>
      <c r="H173" s="16">
        <f aca="true" t="shared" si="62" ref="H173:H183">+F173-G173</f>
        <v>-88.78999999999999</v>
      </c>
      <c r="I173" s="53">
        <f aca="true" t="shared" si="63" ref="I173:I183">IF(G173&lt;0,IF(H173=0,0,IF(OR(G173=0,F173=0),"N.M.",IF(ABS(H173/G173)&gt;=10,"N.M.",H173/(-G173)))),IF(H173=0,0,IF(OR(G173=0,F173=0),"N.M.",IF(ABS(H173/G173)&gt;=10,"N.M.",H173/G173))))</f>
        <v>-0.5678925487687879</v>
      </c>
      <c r="J173" s="174"/>
      <c r="K173" s="256">
        <v>51.410000000000004</v>
      </c>
      <c r="L173" s="16">
        <f aca="true" t="shared" si="64" ref="L173:L183">+F173-K173</f>
        <v>16.15</v>
      </c>
      <c r="M173" s="53" t="str">
        <f aca="true" t="shared" si="65" ref="M173:M183">IF(K173&lt;0,IF(L173=0,0,IF(OR(K173=0,N173=0),"N.M.",IF(ABS(L173/K173)&gt;=10,"N.M.",L173/(-K173)))),IF(L173=0,0,IF(OR(K173=0,N173=0),"N.M.",IF(ABS(L173/K173)&gt;=10,"N.M.",L173/K173))))</f>
        <v>N.M.</v>
      </c>
      <c r="N173" s="174"/>
      <c r="O173" s="256">
        <v>156.35</v>
      </c>
      <c r="P173" s="16">
        <f aca="true" t="shared" si="66" ref="P173:P183">+F173-O173</f>
        <v>-88.78999999999999</v>
      </c>
      <c r="Q173" s="53">
        <f aca="true" t="shared" si="67" ref="Q173:Q183">IF(O173&lt;0,IF(P173=0,0,IF(OR(O173=0,F173=0),"N.M.",IF(ABS(P173/O173)&gt;=10,"N.M.",P173/(-O173)))),IF(P173=0,0,IF(OR(O173=0,F173=0),"N.M.",IF(ABS(P173/O173)&gt;=10,"N.M.",P173/O173))))</f>
        <v>-0.5678925487687879</v>
      </c>
    </row>
    <row r="174" spans="1:17" s="15" customFormat="1" ht="12.75" hidden="1" outlineLevel="2">
      <c r="A174" s="15" t="s">
        <v>644</v>
      </c>
      <c r="B174" s="15" t="s">
        <v>645</v>
      </c>
      <c r="C174" s="134" t="s">
        <v>646</v>
      </c>
      <c r="D174" s="16"/>
      <c r="E174" s="16"/>
      <c r="F174" s="16">
        <v>44.36</v>
      </c>
      <c r="G174" s="16">
        <v>16814.94</v>
      </c>
      <c r="H174" s="16">
        <f t="shared" si="62"/>
        <v>-16770.579999999998</v>
      </c>
      <c r="I174" s="53">
        <f t="shared" si="63"/>
        <v>-0.9973618698609689</v>
      </c>
      <c r="J174" s="174"/>
      <c r="K174" s="256">
        <v>34.5</v>
      </c>
      <c r="L174" s="16">
        <f t="shared" si="64"/>
        <v>9.86</v>
      </c>
      <c r="M174" s="53" t="str">
        <f t="shared" si="65"/>
        <v>N.M.</v>
      </c>
      <c r="N174" s="174"/>
      <c r="O174" s="256">
        <v>5189.400000000001</v>
      </c>
      <c r="P174" s="16">
        <f t="shared" si="66"/>
        <v>-5145.040000000001</v>
      </c>
      <c r="Q174" s="53">
        <f t="shared" si="67"/>
        <v>-0.9914518056037307</v>
      </c>
    </row>
    <row r="175" spans="1:17" s="15" customFormat="1" ht="12.75" hidden="1" outlineLevel="2">
      <c r="A175" s="15" t="s">
        <v>647</v>
      </c>
      <c r="B175" s="15" t="s">
        <v>648</v>
      </c>
      <c r="C175" s="134" t="s">
        <v>649</v>
      </c>
      <c r="D175" s="16"/>
      <c r="E175" s="16"/>
      <c r="F175" s="16">
        <v>482</v>
      </c>
      <c r="G175" s="16">
        <v>372.99</v>
      </c>
      <c r="H175" s="16">
        <f t="shared" si="62"/>
        <v>109.00999999999999</v>
      </c>
      <c r="I175" s="53">
        <f t="shared" si="63"/>
        <v>0.2922598461084747</v>
      </c>
      <c r="J175" s="174"/>
      <c r="K175" s="256">
        <v>372.78000000000003</v>
      </c>
      <c r="L175" s="16">
        <f t="shared" si="64"/>
        <v>109.21999999999997</v>
      </c>
      <c r="M175" s="53" t="str">
        <f t="shared" si="65"/>
        <v>N.M.</v>
      </c>
      <c r="N175" s="174"/>
      <c r="O175" s="256">
        <v>372.99</v>
      </c>
      <c r="P175" s="16">
        <f t="shared" si="66"/>
        <v>109.00999999999999</v>
      </c>
      <c r="Q175" s="53">
        <f t="shared" si="67"/>
        <v>0.2922598461084747</v>
      </c>
    </row>
    <row r="176" spans="1:17" s="15" customFormat="1" ht="12.75" hidden="1" outlineLevel="2">
      <c r="A176" s="15" t="s">
        <v>650</v>
      </c>
      <c r="B176" s="15" t="s">
        <v>651</v>
      </c>
      <c r="C176" s="134" t="s">
        <v>652</v>
      </c>
      <c r="D176" s="16"/>
      <c r="E176" s="16"/>
      <c r="F176" s="16">
        <v>3302195.092</v>
      </c>
      <c r="G176" s="16">
        <v>1441385.742</v>
      </c>
      <c r="H176" s="16">
        <f t="shared" si="62"/>
        <v>1860809.35</v>
      </c>
      <c r="I176" s="53">
        <f t="shared" si="63"/>
        <v>1.2909863721962638</v>
      </c>
      <c r="J176" s="174"/>
      <c r="K176" s="256">
        <v>4011023.132</v>
      </c>
      <c r="L176" s="16">
        <f t="shared" si="64"/>
        <v>-708828.04</v>
      </c>
      <c r="M176" s="53" t="str">
        <f t="shared" si="65"/>
        <v>N.M.</v>
      </c>
      <c r="N176" s="174"/>
      <c r="O176" s="256">
        <v>618024.642</v>
      </c>
      <c r="P176" s="16">
        <f t="shared" si="66"/>
        <v>2684170.45</v>
      </c>
      <c r="Q176" s="53">
        <f t="shared" si="67"/>
        <v>4.343144702634689</v>
      </c>
    </row>
    <row r="177" spans="1:17" s="15" customFormat="1" ht="12.75" hidden="1" outlineLevel="2">
      <c r="A177" s="15" t="s">
        <v>653</v>
      </c>
      <c r="B177" s="15" t="s">
        <v>654</v>
      </c>
      <c r="C177" s="134" t="s">
        <v>655</v>
      </c>
      <c r="D177" s="16"/>
      <c r="E177" s="16"/>
      <c r="F177" s="16">
        <v>7775048.985</v>
      </c>
      <c r="G177" s="16">
        <v>12164129.655</v>
      </c>
      <c r="H177" s="16">
        <f t="shared" si="62"/>
        <v>-4389080.669999999</v>
      </c>
      <c r="I177" s="53">
        <f t="shared" si="63"/>
        <v>-0.3608215955011538</v>
      </c>
      <c r="J177" s="174"/>
      <c r="K177" s="256">
        <v>8553420.475</v>
      </c>
      <c r="L177" s="16">
        <f t="shared" si="64"/>
        <v>-778371.4899999993</v>
      </c>
      <c r="M177" s="53" t="str">
        <f t="shared" si="65"/>
        <v>N.M.</v>
      </c>
      <c r="N177" s="174"/>
      <c r="O177" s="256">
        <v>10898806.895</v>
      </c>
      <c r="P177" s="16">
        <f t="shared" si="66"/>
        <v>-3123757.909999999</v>
      </c>
      <c r="Q177" s="53">
        <f t="shared" si="67"/>
        <v>-0.28661466710021927</v>
      </c>
    </row>
    <row r="178" spans="1:17" s="15" customFormat="1" ht="12.75" hidden="1" outlineLevel="2">
      <c r="A178" s="15" t="s">
        <v>656</v>
      </c>
      <c r="B178" s="15" t="s">
        <v>657</v>
      </c>
      <c r="C178" s="134" t="s">
        <v>658</v>
      </c>
      <c r="D178" s="16"/>
      <c r="E178" s="16"/>
      <c r="F178" s="16">
        <v>-7745034</v>
      </c>
      <c r="G178" s="16">
        <v>-6767832</v>
      </c>
      <c r="H178" s="16">
        <f t="shared" si="62"/>
        <v>-977202</v>
      </c>
      <c r="I178" s="53">
        <f t="shared" si="63"/>
        <v>-0.14438922242750707</v>
      </c>
      <c r="J178" s="174"/>
      <c r="K178" s="256">
        <v>-9716247</v>
      </c>
      <c r="L178" s="16">
        <f t="shared" si="64"/>
        <v>1971213</v>
      </c>
      <c r="M178" s="53" t="str">
        <f t="shared" si="65"/>
        <v>N.M.</v>
      </c>
      <c r="N178" s="174"/>
      <c r="O178" s="256">
        <v>-6406127</v>
      </c>
      <c r="P178" s="16">
        <f t="shared" si="66"/>
        <v>-1338907</v>
      </c>
      <c r="Q178" s="53">
        <f t="shared" si="67"/>
        <v>-0.2090041299524658</v>
      </c>
    </row>
    <row r="179" spans="1:17" s="15" customFormat="1" ht="12.75" hidden="1" outlineLevel="2">
      <c r="A179" s="15" t="s">
        <v>659</v>
      </c>
      <c r="B179" s="15" t="s">
        <v>660</v>
      </c>
      <c r="C179" s="134" t="s">
        <v>661</v>
      </c>
      <c r="D179" s="16"/>
      <c r="E179" s="16"/>
      <c r="F179" s="16">
        <v>0</v>
      </c>
      <c r="G179" s="16">
        <v>244612.9</v>
      </c>
      <c r="H179" s="16">
        <f t="shared" si="62"/>
        <v>-244612.9</v>
      </c>
      <c r="I179" s="53" t="str">
        <f t="shared" si="63"/>
        <v>N.M.</v>
      </c>
      <c r="J179" s="174"/>
      <c r="K179" s="256">
        <v>0</v>
      </c>
      <c r="L179" s="16">
        <f t="shared" si="64"/>
        <v>0</v>
      </c>
      <c r="M179" s="53">
        <f t="shared" si="65"/>
        <v>0</v>
      </c>
      <c r="N179" s="174"/>
      <c r="O179" s="256">
        <v>0</v>
      </c>
      <c r="P179" s="16">
        <f t="shared" si="66"/>
        <v>0</v>
      </c>
      <c r="Q179" s="53">
        <f t="shared" si="67"/>
        <v>0</v>
      </c>
    </row>
    <row r="180" spans="1:17" s="15" customFormat="1" ht="12.75" hidden="1" outlineLevel="2">
      <c r="A180" s="15" t="s">
        <v>662</v>
      </c>
      <c r="B180" s="15" t="s">
        <v>663</v>
      </c>
      <c r="C180" s="134" t="s">
        <v>664</v>
      </c>
      <c r="D180" s="16"/>
      <c r="E180" s="16"/>
      <c r="F180" s="16">
        <v>0.02</v>
      </c>
      <c r="G180" s="16">
        <v>1234</v>
      </c>
      <c r="H180" s="16">
        <f t="shared" si="62"/>
        <v>-1233.98</v>
      </c>
      <c r="I180" s="53">
        <f t="shared" si="63"/>
        <v>-0.9999837925445705</v>
      </c>
      <c r="J180" s="174"/>
      <c r="K180" s="256">
        <v>0.02</v>
      </c>
      <c r="L180" s="16">
        <f t="shared" si="64"/>
        <v>0</v>
      </c>
      <c r="M180" s="53">
        <f t="shared" si="65"/>
        <v>0</v>
      </c>
      <c r="N180" s="174"/>
      <c r="O180" s="256">
        <v>0</v>
      </c>
      <c r="P180" s="16">
        <f t="shared" si="66"/>
        <v>0.02</v>
      </c>
      <c r="Q180" s="53" t="str">
        <f t="shared" si="67"/>
        <v>N.M.</v>
      </c>
    </row>
    <row r="181" spans="1:17" s="15" customFormat="1" ht="12.75" hidden="1" outlineLevel="2">
      <c r="A181" s="15" t="s">
        <v>665</v>
      </c>
      <c r="B181" s="15" t="s">
        <v>666</v>
      </c>
      <c r="C181" s="134" t="s">
        <v>667</v>
      </c>
      <c r="D181" s="16"/>
      <c r="E181" s="16"/>
      <c r="F181" s="16">
        <v>942</v>
      </c>
      <c r="G181" s="16">
        <v>0</v>
      </c>
      <c r="H181" s="16">
        <f t="shared" si="62"/>
        <v>942</v>
      </c>
      <c r="I181" s="53" t="str">
        <f t="shared" si="63"/>
        <v>N.M.</v>
      </c>
      <c r="J181" s="174"/>
      <c r="K181" s="256">
        <v>942</v>
      </c>
      <c r="L181" s="16">
        <f t="shared" si="64"/>
        <v>0</v>
      </c>
      <c r="M181" s="53">
        <f t="shared" si="65"/>
        <v>0</v>
      </c>
      <c r="N181" s="174"/>
      <c r="O181" s="256">
        <v>0</v>
      </c>
      <c r="P181" s="16">
        <f t="shared" si="66"/>
        <v>942</v>
      </c>
      <c r="Q181" s="53" t="str">
        <f t="shared" si="67"/>
        <v>N.M.</v>
      </c>
    </row>
    <row r="182" spans="1:17" s="15" customFormat="1" ht="12.75" hidden="1" outlineLevel="2">
      <c r="A182" s="15" t="s">
        <v>668</v>
      </c>
      <c r="B182" s="15" t="s">
        <v>669</v>
      </c>
      <c r="C182" s="134" t="s">
        <v>670</v>
      </c>
      <c r="D182" s="16"/>
      <c r="E182" s="16"/>
      <c r="F182" s="16">
        <v>1155622.457</v>
      </c>
      <c r="G182" s="16">
        <v>1096025.617</v>
      </c>
      <c r="H182" s="16">
        <f t="shared" si="62"/>
        <v>59596.83999999985</v>
      </c>
      <c r="I182" s="53">
        <f t="shared" si="63"/>
        <v>0.05437540790618204</v>
      </c>
      <c r="J182" s="174"/>
      <c r="K182" s="256">
        <v>1162070.007</v>
      </c>
      <c r="L182" s="16">
        <f t="shared" si="64"/>
        <v>-6447.550000000047</v>
      </c>
      <c r="M182" s="53" t="str">
        <f t="shared" si="65"/>
        <v>N.M.</v>
      </c>
      <c r="N182" s="174"/>
      <c r="O182" s="256">
        <v>1102111.917</v>
      </c>
      <c r="P182" s="16">
        <f t="shared" si="66"/>
        <v>53510.54000000004</v>
      </c>
      <c r="Q182" s="53">
        <f t="shared" si="67"/>
        <v>0.04855272788053887</v>
      </c>
    </row>
    <row r="183" spans="1:17" s="15" customFormat="1" ht="12.75" hidden="1" outlineLevel="2">
      <c r="A183" s="15" t="s">
        <v>671</v>
      </c>
      <c r="B183" s="15" t="s">
        <v>672</v>
      </c>
      <c r="C183" s="134" t="s">
        <v>673</v>
      </c>
      <c r="D183" s="16"/>
      <c r="E183" s="16"/>
      <c r="F183" s="16">
        <v>0</v>
      </c>
      <c r="G183" s="16">
        <v>34786.18</v>
      </c>
      <c r="H183" s="16">
        <f t="shared" si="62"/>
        <v>-34786.18</v>
      </c>
      <c r="I183" s="53" t="str">
        <f t="shared" si="63"/>
        <v>N.M.</v>
      </c>
      <c r="J183" s="174"/>
      <c r="K183" s="256">
        <v>0</v>
      </c>
      <c r="L183" s="16">
        <f t="shared" si="64"/>
        <v>0</v>
      </c>
      <c r="M183" s="53">
        <f t="shared" si="65"/>
        <v>0</v>
      </c>
      <c r="N183" s="174"/>
      <c r="O183" s="256">
        <v>24847.27</v>
      </c>
      <c r="P183" s="16">
        <f t="shared" si="66"/>
        <v>-24847.27</v>
      </c>
      <c r="Q183" s="53" t="str">
        <f t="shared" si="67"/>
        <v>N.M.</v>
      </c>
    </row>
    <row r="184" spans="1:17" s="67" customFormat="1" ht="12" customHeight="1" collapsed="1">
      <c r="A184" s="67" t="s">
        <v>134</v>
      </c>
      <c r="B184" s="87"/>
      <c r="C184" s="96" t="s">
        <v>110</v>
      </c>
      <c r="D184" s="51"/>
      <c r="E184" s="51"/>
      <c r="F184" s="197">
        <v>4489368.474000001</v>
      </c>
      <c r="G184" s="197">
        <v>8231686.374</v>
      </c>
      <c r="H184" s="197">
        <f>+F184-G184</f>
        <v>-3742317.8999999985</v>
      </c>
      <c r="I184" s="138">
        <f>IF(G184&lt;0,IF(H184=0,0,IF(OR(G184=0,F184=0),"N.M.",IF(ABS(H184/G184)&gt;=10,"N.M.",H184/(-G184)))),IF(H184=0,0,IF(OR(G184=0,F184=0),"N.M.",IF(ABS(H184/G184)&gt;=10,"N.M.",H184/G184))))</f>
        <v>-0.45462347931770203</v>
      </c>
      <c r="J184" s="157"/>
      <c r="K184" s="197">
        <v>4011667.324</v>
      </c>
      <c r="L184" s="197">
        <f>+F184-K184</f>
        <v>477701.1500000013</v>
      </c>
      <c r="M184" s="138" t="str">
        <f>IF(K184&lt;0,IF(L184=0,0,IF(OR(K184=0,N184=0),"N.M.",IF(ABS(L184/K184)&gt;=10,"N.M.",L184/(-K184)))),IF(L184=0,0,IF(OR(K184=0,N184=0),"N.M.",IF(ABS(L184/K184)&gt;=10,"N.M.",L184/K184))))</f>
        <v>N.M.</v>
      </c>
      <c r="N184" s="157"/>
      <c r="O184" s="197">
        <v>6243382.463999998</v>
      </c>
      <c r="P184" s="197">
        <f>+F184-O184</f>
        <v>-1754013.9899999965</v>
      </c>
      <c r="Q184" s="138">
        <f>IF(O184&lt;0,IF(P184=0,0,IF(OR(O184=0,F184=0),"N.M.",IF(ABS(P184/O184)&gt;=10,"N.M.",P184/(-O184)))),IF(P184=0,0,IF(OR(O184=0,F184=0),"N.M.",IF(ABS(P184/O184)&gt;=10,"N.M.",P184/O184))))</f>
        <v>-0.2809396989714832</v>
      </c>
    </row>
    <row r="185" spans="1:17" s="75" customFormat="1" ht="12" customHeight="1">
      <c r="A185" s="75" t="s">
        <v>113</v>
      </c>
      <c r="B185" s="93"/>
      <c r="C185" s="75" t="s">
        <v>146</v>
      </c>
      <c r="D185" s="74"/>
      <c r="E185" s="74"/>
      <c r="F185" s="74">
        <f>+F184+F171+F157+F150+F146+F133+F127+F117+F113+F96+F79+F76</f>
        <v>130826852.781</v>
      </c>
      <c r="G185" s="74">
        <f>+G184+G171+G157+G150+G146+G133+G127+G117+G113+G96+G79+G76</f>
        <v>104397843.52200003</v>
      </c>
      <c r="H185" s="74">
        <f>+F185-G185</f>
        <v>26429009.258999974</v>
      </c>
      <c r="I185" s="137">
        <f>IF(G185&lt;0,IF(H185=0,0,IF(OR(G185=0,F185=0),"N.M.",IF(ABS(H185/G185)&gt;=10,"N.M.",H185/(-G185)))),IF(H185=0,0,IF(OR(G185=0,F185=0),"N.M.",IF(ABS(H185/G185)&gt;=10,"N.M.",H185/G185))))</f>
        <v>0.25315665886748434</v>
      </c>
      <c r="J185" s="163" t="s">
        <v>72</v>
      </c>
      <c r="K185" s="74">
        <f>+K184+K171+K157+K150+K146+K133+K127+K117+K113+K96+K79+K76</f>
        <v>111660666.121</v>
      </c>
      <c r="L185" s="74">
        <f>+F185-K185</f>
        <v>19166186.659999996</v>
      </c>
      <c r="M185" s="137">
        <f>IF(K185&lt;0,IF(L185=0,0,IF(OR(K185=0,N185=0),"N.M.",IF(ABS(L185/K185)&gt;=10,"N.M.",L185/(-K185)))),IF(L185=0,0,IF(OR(K185=0,N185=0),"N.M.",IF(ABS(L185/K185)&gt;=10,"N.M.",L185/K185))))</f>
        <v>0.1716467161250027</v>
      </c>
      <c r="N185" s="163" t="s">
        <v>72</v>
      </c>
      <c r="O185" s="74">
        <f>+O184+O171+O157+O150+O146+O133+O127+O117+O113+O96+O79+O76</f>
        <v>107041160.77200003</v>
      </c>
      <c r="P185" s="74">
        <f>+F185-O185</f>
        <v>23785692.008999974</v>
      </c>
      <c r="Q185" s="137">
        <f>IF(O185&lt;0,IF(P185=0,0,IF(OR(O185=0,F185=0),"N.M.",IF(ABS(P185/O185)&gt;=10,"N.M.",P185/(-O185)))),IF(P185=0,0,IF(OR(O185=0,F185=0),"N.M.",IF(ABS(P185/O185)&gt;=10,"N.M.",P185/O185))))</f>
        <v>0.22221070696032535</v>
      </c>
    </row>
    <row r="186" spans="2:17" s="67" customFormat="1" ht="6" customHeight="1">
      <c r="B186" s="87"/>
      <c r="D186" s="51"/>
      <c r="E186" s="51"/>
      <c r="F186" s="51"/>
      <c r="G186" s="51"/>
      <c r="H186" s="51"/>
      <c r="I186" s="136"/>
      <c r="J186" s="162"/>
      <c r="K186" s="51"/>
      <c r="L186" s="51"/>
      <c r="M186" s="136"/>
      <c r="N186" s="162"/>
      <c r="O186" s="51"/>
      <c r="P186" s="51"/>
      <c r="Q186" s="136"/>
    </row>
    <row r="187" spans="2:17" s="67" customFormat="1" ht="0.75" customHeight="1" hidden="1" outlineLevel="1">
      <c r="B187" s="87"/>
      <c r="D187" s="51"/>
      <c r="E187" s="51"/>
      <c r="F187" s="51"/>
      <c r="G187" s="51"/>
      <c r="H187" s="51"/>
      <c r="I187" s="136"/>
      <c r="J187" s="162"/>
      <c r="K187" s="51"/>
      <c r="L187" s="51"/>
      <c r="M187" s="136"/>
      <c r="N187" s="162"/>
      <c r="O187" s="51"/>
      <c r="P187" s="51"/>
      <c r="Q187" s="136"/>
    </row>
    <row r="188" spans="1:17" s="15" customFormat="1" ht="12.75" hidden="1" outlineLevel="2">
      <c r="A188" s="15" t="s">
        <v>674</v>
      </c>
      <c r="B188" s="15" t="s">
        <v>675</v>
      </c>
      <c r="C188" s="134" t="s">
        <v>676</v>
      </c>
      <c r="D188" s="16"/>
      <c r="E188" s="16"/>
      <c r="F188" s="16">
        <v>6456335.62</v>
      </c>
      <c r="G188" s="16">
        <v>6519109.2</v>
      </c>
      <c r="H188" s="16">
        <f aca="true" t="shared" si="68" ref="H188:H207">+F188-G188</f>
        <v>-62773.580000000075</v>
      </c>
      <c r="I188" s="53">
        <f aca="true" t="shared" si="69" ref="I188:I207">IF(G188&lt;0,IF(H188=0,0,IF(OR(G188=0,F188=0),"N.M.",IF(ABS(H188/G188)&gt;=10,"N.M.",H188/(-G188)))),IF(H188=0,0,IF(OR(G188=0,F188=0),"N.M.",IF(ABS(H188/G188)&gt;=10,"N.M.",H188/G188))))</f>
        <v>-0.009629165285342984</v>
      </c>
      <c r="J188" s="174"/>
      <c r="K188" s="256">
        <v>6456335.62</v>
      </c>
      <c r="L188" s="16">
        <f aca="true" t="shared" si="70" ref="L188:L207">+F188-K188</f>
        <v>0</v>
      </c>
      <c r="M188" s="53">
        <f aca="true" t="shared" si="71" ref="M188:M207">IF(K188&lt;0,IF(L188=0,0,IF(OR(K188=0,N188=0),"N.M.",IF(ABS(L188/K188)&gt;=10,"N.M.",L188/(-K188)))),IF(L188=0,0,IF(OR(K188=0,N188=0),"N.M.",IF(ABS(L188/K188)&gt;=10,"N.M.",L188/K188))))</f>
        <v>0</v>
      </c>
      <c r="N188" s="174"/>
      <c r="O188" s="256">
        <v>7076806.39</v>
      </c>
      <c r="P188" s="16">
        <f aca="true" t="shared" si="72" ref="P188:P207">+F188-O188</f>
        <v>-620470.7699999996</v>
      </c>
      <c r="Q188" s="53">
        <f aca="true" t="shared" si="73" ref="Q188:Q207">IF(O188&lt;0,IF(P188=0,0,IF(OR(O188=0,F188=0),"N.M.",IF(ABS(P188/O188)&gt;=10,"N.M.",P188/(-O188)))),IF(P188=0,0,IF(OR(O188=0,F188=0),"N.M.",IF(ABS(P188/O188)&gt;=10,"N.M.",P188/O188))))</f>
        <v>-0.08767666314522413</v>
      </c>
    </row>
    <row r="189" spans="1:17" s="15" customFormat="1" ht="12.75" hidden="1" outlineLevel="2">
      <c r="A189" s="15" t="s">
        <v>677</v>
      </c>
      <c r="B189" s="15" t="s">
        <v>678</v>
      </c>
      <c r="C189" s="134" t="s">
        <v>679</v>
      </c>
      <c r="D189" s="16"/>
      <c r="E189" s="16"/>
      <c r="F189" s="16">
        <v>1204098</v>
      </c>
      <c r="G189" s="16">
        <v>966349</v>
      </c>
      <c r="H189" s="16">
        <f t="shared" si="68"/>
        <v>237749</v>
      </c>
      <c r="I189" s="53">
        <f t="shared" si="69"/>
        <v>0.246028091300348</v>
      </c>
      <c r="J189" s="174"/>
      <c r="K189" s="256">
        <v>1183873</v>
      </c>
      <c r="L189" s="16">
        <f t="shared" si="70"/>
        <v>20225</v>
      </c>
      <c r="M189" s="53" t="str">
        <f t="shared" si="71"/>
        <v>N.M.</v>
      </c>
      <c r="N189" s="174"/>
      <c r="O189" s="256">
        <v>991571</v>
      </c>
      <c r="P189" s="16">
        <f t="shared" si="72"/>
        <v>212527</v>
      </c>
      <c r="Q189" s="53">
        <f t="shared" si="73"/>
        <v>0.21433361806668408</v>
      </c>
    </row>
    <row r="190" spans="1:17" s="15" customFormat="1" ht="12.75" hidden="1" outlineLevel="2">
      <c r="A190" s="15" t="s">
        <v>680</v>
      </c>
      <c r="B190" s="15" t="s">
        <v>681</v>
      </c>
      <c r="C190" s="134" t="s">
        <v>682</v>
      </c>
      <c r="D190" s="16"/>
      <c r="E190" s="16"/>
      <c r="F190" s="16">
        <v>-16251582</v>
      </c>
      <c r="G190" s="16">
        <v>-14526289</v>
      </c>
      <c r="H190" s="16">
        <f t="shared" si="68"/>
        <v>-1725293</v>
      </c>
      <c r="I190" s="53">
        <f t="shared" si="69"/>
        <v>-0.11877038932655133</v>
      </c>
      <c r="J190" s="174"/>
      <c r="K190" s="256">
        <v>-16017598</v>
      </c>
      <c r="L190" s="16">
        <f t="shared" si="70"/>
        <v>-233984</v>
      </c>
      <c r="M190" s="53" t="str">
        <f t="shared" si="71"/>
        <v>N.M.</v>
      </c>
      <c r="N190" s="174"/>
      <c r="O190" s="256">
        <v>-14670635</v>
      </c>
      <c r="P190" s="16">
        <f t="shared" si="72"/>
        <v>-1580947</v>
      </c>
      <c r="Q190" s="53">
        <f t="shared" si="73"/>
        <v>-0.10776268375567928</v>
      </c>
    </row>
    <row r="191" spans="1:17" s="15" customFormat="1" ht="12.75" hidden="1" outlineLevel="2">
      <c r="A191" s="15" t="s">
        <v>683</v>
      </c>
      <c r="B191" s="15" t="s">
        <v>684</v>
      </c>
      <c r="C191" s="134" t="s">
        <v>685</v>
      </c>
      <c r="D191" s="16"/>
      <c r="E191" s="16"/>
      <c r="F191" s="16">
        <v>3956671</v>
      </c>
      <c r="G191" s="16">
        <v>3608115</v>
      </c>
      <c r="H191" s="16">
        <f t="shared" si="68"/>
        <v>348556</v>
      </c>
      <c r="I191" s="53">
        <f t="shared" si="69"/>
        <v>0.09660335105726951</v>
      </c>
      <c r="J191" s="174"/>
      <c r="K191" s="256">
        <v>3925747</v>
      </c>
      <c r="L191" s="16">
        <f t="shared" si="70"/>
        <v>30924</v>
      </c>
      <c r="M191" s="53" t="str">
        <f t="shared" si="71"/>
        <v>N.M.</v>
      </c>
      <c r="N191" s="174"/>
      <c r="O191" s="256">
        <v>3650578</v>
      </c>
      <c r="P191" s="16">
        <f t="shared" si="72"/>
        <v>306093</v>
      </c>
      <c r="Q191" s="53">
        <f t="shared" si="73"/>
        <v>0.08384781807154922</v>
      </c>
    </row>
    <row r="192" spans="1:17" s="15" customFormat="1" ht="12.75" hidden="1" outlineLevel="2">
      <c r="A192" s="15" t="s">
        <v>686</v>
      </c>
      <c r="B192" s="15" t="s">
        <v>687</v>
      </c>
      <c r="C192" s="134" t="s">
        <v>688</v>
      </c>
      <c r="D192" s="16"/>
      <c r="E192" s="16"/>
      <c r="F192" s="16">
        <v>11434235</v>
      </c>
      <c r="G192" s="16">
        <v>10128119</v>
      </c>
      <c r="H192" s="16">
        <f t="shared" si="68"/>
        <v>1306116</v>
      </c>
      <c r="I192" s="53">
        <f t="shared" si="69"/>
        <v>0.12895938525208878</v>
      </c>
      <c r="J192" s="174"/>
      <c r="K192" s="256">
        <v>11308965</v>
      </c>
      <c r="L192" s="16">
        <f t="shared" si="70"/>
        <v>125270</v>
      </c>
      <c r="M192" s="53" t="str">
        <f t="shared" si="71"/>
        <v>N.M.</v>
      </c>
      <c r="N192" s="174"/>
      <c r="O192" s="256">
        <v>10297990</v>
      </c>
      <c r="P192" s="16">
        <f t="shared" si="72"/>
        <v>1136245</v>
      </c>
      <c r="Q192" s="53">
        <f t="shared" si="73"/>
        <v>0.11033658024527117</v>
      </c>
    </row>
    <row r="193" spans="1:17" s="15" customFormat="1" ht="12.75" hidden="1" outlineLevel="2">
      <c r="A193" s="15" t="s">
        <v>689</v>
      </c>
      <c r="B193" s="15" t="s">
        <v>690</v>
      </c>
      <c r="C193" s="134" t="s">
        <v>691</v>
      </c>
      <c r="D193" s="16"/>
      <c r="E193" s="16"/>
      <c r="F193" s="16">
        <v>738024</v>
      </c>
      <c r="G193" s="16">
        <v>771432</v>
      </c>
      <c r="H193" s="16">
        <f t="shared" si="68"/>
        <v>-33408</v>
      </c>
      <c r="I193" s="53">
        <f t="shared" si="69"/>
        <v>-0.043306474193448026</v>
      </c>
      <c r="J193" s="174"/>
      <c r="K193" s="256">
        <v>740808</v>
      </c>
      <c r="L193" s="16">
        <f t="shared" si="70"/>
        <v>-2784</v>
      </c>
      <c r="M193" s="53" t="str">
        <f t="shared" si="71"/>
        <v>N.M.</v>
      </c>
      <c r="N193" s="174"/>
      <c r="O193" s="256">
        <v>765864</v>
      </c>
      <c r="P193" s="16">
        <f t="shared" si="72"/>
        <v>-27840</v>
      </c>
      <c r="Q193" s="53">
        <f t="shared" si="73"/>
        <v>-0.036351101501049796</v>
      </c>
    </row>
    <row r="194" spans="1:17" s="15" customFormat="1" ht="12.75" hidden="1" outlineLevel="2">
      <c r="A194" s="15" t="s">
        <v>692</v>
      </c>
      <c r="B194" s="15" t="s">
        <v>693</v>
      </c>
      <c r="C194" s="134" t="s">
        <v>694</v>
      </c>
      <c r="D194" s="16"/>
      <c r="E194" s="16"/>
      <c r="F194" s="16">
        <v>115013</v>
      </c>
      <c r="G194" s="16">
        <v>120221</v>
      </c>
      <c r="H194" s="16">
        <f t="shared" si="68"/>
        <v>-5208</v>
      </c>
      <c r="I194" s="53">
        <f t="shared" si="69"/>
        <v>-0.04332021859741642</v>
      </c>
      <c r="J194" s="174"/>
      <c r="K194" s="256">
        <v>115447</v>
      </c>
      <c r="L194" s="16">
        <f t="shared" si="70"/>
        <v>-434</v>
      </c>
      <c r="M194" s="53" t="str">
        <f t="shared" si="71"/>
        <v>N.M.</v>
      </c>
      <c r="N194" s="174"/>
      <c r="O194" s="256">
        <v>119353</v>
      </c>
      <c r="P194" s="16">
        <f t="shared" si="72"/>
        <v>-4340</v>
      </c>
      <c r="Q194" s="53">
        <f t="shared" si="73"/>
        <v>-0.036362722344641524</v>
      </c>
    </row>
    <row r="195" spans="1:17" s="15" customFormat="1" ht="12.75" hidden="1" outlineLevel="2">
      <c r="A195" s="15" t="s">
        <v>695</v>
      </c>
      <c r="B195" s="15" t="s">
        <v>696</v>
      </c>
      <c r="C195" s="134" t="s">
        <v>697</v>
      </c>
      <c r="D195" s="16"/>
      <c r="E195" s="16"/>
      <c r="F195" s="16">
        <v>21926072</v>
      </c>
      <c r="G195" s="16">
        <v>0</v>
      </c>
      <c r="H195" s="16">
        <f t="shared" si="68"/>
        <v>21926072</v>
      </c>
      <c r="I195" s="53" t="str">
        <f t="shared" si="69"/>
        <v>N.M.</v>
      </c>
      <c r="J195" s="174"/>
      <c r="K195" s="256">
        <v>22317609</v>
      </c>
      <c r="L195" s="16">
        <f t="shared" si="70"/>
        <v>-391537</v>
      </c>
      <c r="M195" s="53" t="str">
        <f t="shared" si="71"/>
        <v>N.M.</v>
      </c>
      <c r="N195" s="174"/>
      <c r="O195" s="256">
        <v>24355055</v>
      </c>
      <c r="P195" s="16">
        <f t="shared" si="72"/>
        <v>-2428983</v>
      </c>
      <c r="Q195" s="53">
        <f t="shared" si="73"/>
        <v>-0.09973219112007754</v>
      </c>
    </row>
    <row r="196" spans="1:17" s="15" customFormat="1" ht="12.75" hidden="1" outlineLevel="2">
      <c r="A196" s="15" t="s">
        <v>698</v>
      </c>
      <c r="B196" s="15" t="s">
        <v>699</v>
      </c>
      <c r="C196" s="134" t="s">
        <v>700</v>
      </c>
      <c r="D196" s="16"/>
      <c r="E196" s="16"/>
      <c r="F196" s="16">
        <v>-156278.65</v>
      </c>
      <c r="G196" s="16">
        <v>-178706.65</v>
      </c>
      <c r="H196" s="16">
        <f t="shared" si="68"/>
        <v>22428</v>
      </c>
      <c r="I196" s="53">
        <f t="shared" si="69"/>
        <v>0.12550176504343852</v>
      </c>
      <c r="J196" s="174"/>
      <c r="K196" s="256">
        <v>-158147.65</v>
      </c>
      <c r="L196" s="16">
        <f t="shared" si="70"/>
        <v>1869</v>
      </c>
      <c r="M196" s="53" t="str">
        <f t="shared" si="71"/>
        <v>N.M.</v>
      </c>
      <c r="N196" s="174"/>
      <c r="O196" s="256">
        <v>-174968.65</v>
      </c>
      <c r="P196" s="16">
        <f t="shared" si="72"/>
        <v>18690</v>
      </c>
      <c r="Q196" s="53">
        <f t="shared" si="73"/>
        <v>0.1068191358852</v>
      </c>
    </row>
    <row r="197" spans="1:17" s="15" customFormat="1" ht="12.75" hidden="1" outlineLevel="2">
      <c r="A197" s="15" t="s">
        <v>701</v>
      </c>
      <c r="B197" s="15" t="s">
        <v>702</v>
      </c>
      <c r="C197" s="134" t="s">
        <v>703</v>
      </c>
      <c r="D197" s="16"/>
      <c r="E197" s="16"/>
      <c r="F197" s="16">
        <v>318283.148</v>
      </c>
      <c r="G197" s="16">
        <v>340002.098</v>
      </c>
      <c r="H197" s="16">
        <f t="shared" si="68"/>
        <v>-21718.95000000001</v>
      </c>
      <c r="I197" s="53">
        <f t="shared" si="69"/>
        <v>-0.06387887053567537</v>
      </c>
      <c r="J197" s="174"/>
      <c r="K197" s="256">
        <v>320158.328</v>
      </c>
      <c r="L197" s="16">
        <f t="shared" si="70"/>
        <v>-1875.179999999993</v>
      </c>
      <c r="M197" s="53" t="str">
        <f t="shared" si="71"/>
        <v>N.M.</v>
      </c>
      <c r="N197" s="174"/>
      <c r="O197" s="256">
        <v>336498.648</v>
      </c>
      <c r="P197" s="16">
        <f t="shared" si="72"/>
        <v>-18215.5</v>
      </c>
      <c r="Q197" s="53">
        <f t="shared" si="73"/>
        <v>-0.054132461180052056</v>
      </c>
    </row>
    <row r="198" spans="1:17" s="15" customFormat="1" ht="12.75" hidden="1" outlineLevel="2">
      <c r="A198" s="15" t="s">
        <v>704</v>
      </c>
      <c r="B198" s="15" t="s">
        <v>705</v>
      </c>
      <c r="C198" s="134" t="s">
        <v>706</v>
      </c>
      <c r="D198" s="16"/>
      <c r="E198" s="16"/>
      <c r="F198" s="16">
        <v>528614.291</v>
      </c>
      <c r="G198" s="16">
        <v>633208.311</v>
      </c>
      <c r="H198" s="16">
        <f t="shared" si="68"/>
        <v>-104594.02000000002</v>
      </c>
      <c r="I198" s="53">
        <f t="shared" si="69"/>
        <v>-0.1651810599813811</v>
      </c>
      <c r="J198" s="174"/>
      <c r="K198" s="256">
        <v>537625.181</v>
      </c>
      <c r="L198" s="16">
        <f t="shared" si="70"/>
        <v>-9010.890000000014</v>
      </c>
      <c r="M198" s="53" t="str">
        <f t="shared" si="71"/>
        <v>N.M.</v>
      </c>
      <c r="N198" s="174"/>
      <c r="O198" s="256">
        <v>616302.141</v>
      </c>
      <c r="P198" s="16">
        <f t="shared" si="72"/>
        <v>-87687.84999999998</v>
      </c>
      <c r="Q198" s="53">
        <f t="shared" si="73"/>
        <v>-0.14228061881745108</v>
      </c>
    </row>
    <row r="199" spans="1:17" s="15" customFormat="1" ht="12.75" hidden="1" outlineLevel="2">
      <c r="A199" s="15" t="s">
        <v>707</v>
      </c>
      <c r="B199" s="15" t="s">
        <v>708</v>
      </c>
      <c r="C199" s="134" t="s">
        <v>709</v>
      </c>
      <c r="D199" s="16"/>
      <c r="E199" s="16"/>
      <c r="F199" s="16">
        <v>336265.435</v>
      </c>
      <c r="G199" s="16">
        <v>359211.465</v>
      </c>
      <c r="H199" s="16">
        <f t="shared" si="68"/>
        <v>-22946.030000000028</v>
      </c>
      <c r="I199" s="53">
        <f t="shared" si="69"/>
        <v>-0.06387889094798248</v>
      </c>
      <c r="J199" s="174"/>
      <c r="K199" s="256">
        <v>338246.555</v>
      </c>
      <c r="L199" s="16">
        <f t="shared" si="70"/>
        <v>-1981.1199999999953</v>
      </c>
      <c r="M199" s="53" t="str">
        <f t="shared" si="71"/>
        <v>N.M.</v>
      </c>
      <c r="N199" s="174"/>
      <c r="O199" s="256">
        <v>355510.075</v>
      </c>
      <c r="P199" s="16">
        <f t="shared" si="72"/>
        <v>-19244.640000000014</v>
      </c>
      <c r="Q199" s="53">
        <f t="shared" si="73"/>
        <v>-0.05413247430470153</v>
      </c>
    </row>
    <row r="200" spans="1:17" s="15" customFormat="1" ht="12.75" hidden="1" outlineLevel="2">
      <c r="A200" s="15" t="s">
        <v>710</v>
      </c>
      <c r="B200" s="15" t="s">
        <v>711</v>
      </c>
      <c r="C200" s="134" t="s">
        <v>712</v>
      </c>
      <c r="D200" s="16"/>
      <c r="E200" s="16"/>
      <c r="F200" s="16">
        <v>208091.71</v>
      </c>
      <c r="G200" s="16">
        <v>232519.04</v>
      </c>
      <c r="H200" s="16">
        <f t="shared" si="68"/>
        <v>-24427.330000000016</v>
      </c>
      <c r="I200" s="53">
        <f t="shared" si="69"/>
        <v>-0.10505518171759189</v>
      </c>
      <c r="J200" s="174"/>
      <c r="K200" s="256">
        <v>210198.84</v>
      </c>
      <c r="L200" s="16">
        <f t="shared" si="70"/>
        <v>-2107.1300000000047</v>
      </c>
      <c r="M200" s="53" t="str">
        <f t="shared" si="71"/>
        <v>N.M.</v>
      </c>
      <c r="N200" s="174"/>
      <c r="O200" s="256">
        <v>228575.41</v>
      </c>
      <c r="P200" s="16">
        <f t="shared" si="72"/>
        <v>-20483.70000000001</v>
      </c>
      <c r="Q200" s="53">
        <f t="shared" si="73"/>
        <v>-0.08961462652522427</v>
      </c>
    </row>
    <row r="201" spans="1:17" s="15" customFormat="1" ht="12.75" hidden="1" outlineLevel="2">
      <c r="A201" s="15" t="s">
        <v>713</v>
      </c>
      <c r="B201" s="15" t="s">
        <v>714</v>
      </c>
      <c r="C201" s="134" t="s">
        <v>715</v>
      </c>
      <c r="D201" s="16"/>
      <c r="E201" s="16"/>
      <c r="F201" s="16">
        <v>166585.805</v>
      </c>
      <c r="G201" s="16">
        <v>177953.265</v>
      </c>
      <c r="H201" s="16">
        <f t="shared" si="68"/>
        <v>-11367.460000000021</v>
      </c>
      <c r="I201" s="53">
        <f t="shared" si="69"/>
        <v>-0.06387890663315461</v>
      </c>
      <c r="J201" s="174"/>
      <c r="K201" s="256">
        <v>167567.255</v>
      </c>
      <c r="L201" s="16">
        <f t="shared" si="70"/>
        <v>-981.4500000000116</v>
      </c>
      <c r="M201" s="53" t="str">
        <f t="shared" si="71"/>
        <v>N.M.</v>
      </c>
      <c r="N201" s="174"/>
      <c r="O201" s="256">
        <v>176119.595</v>
      </c>
      <c r="P201" s="16">
        <f t="shared" si="72"/>
        <v>-9533.790000000008</v>
      </c>
      <c r="Q201" s="53">
        <f t="shared" si="73"/>
        <v>-0.054132477422515125</v>
      </c>
    </row>
    <row r="202" spans="1:17" s="15" customFormat="1" ht="12.75" hidden="1" outlineLevel="2">
      <c r="A202" s="15" t="s">
        <v>716</v>
      </c>
      <c r="B202" s="15" t="s">
        <v>717</v>
      </c>
      <c r="C202" s="134" t="s">
        <v>718</v>
      </c>
      <c r="D202" s="16"/>
      <c r="E202" s="16"/>
      <c r="F202" s="16">
        <v>40052819</v>
      </c>
      <c r="G202" s="16">
        <v>39749073</v>
      </c>
      <c r="H202" s="16">
        <f t="shared" si="68"/>
        <v>303746</v>
      </c>
      <c r="I202" s="53">
        <f t="shared" si="69"/>
        <v>0.007641587012607816</v>
      </c>
      <c r="J202" s="174"/>
      <c r="K202" s="256">
        <v>40052819</v>
      </c>
      <c r="L202" s="16">
        <f t="shared" si="70"/>
        <v>0</v>
      </c>
      <c r="M202" s="53">
        <f t="shared" si="71"/>
        <v>0</v>
      </c>
      <c r="N202" s="174"/>
      <c r="O202" s="256">
        <v>41703110</v>
      </c>
      <c r="P202" s="16">
        <f t="shared" si="72"/>
        <v>-1650291</v>
      </c>
      <c r="Q202" s="53">
        <f t="shared" si="73"/>
        <v>-0.03957237242018641</v>
      </c>
    </row>
    <row r="203" spans="1:17" s="15" customFormat="1" ht="12.75" hidden="1" outlineLevel="2">
      <c r="A203" s="15" t="s">
        <v>719</v>
      </c>
      <c r="B203" s="15" t="s">
        <v>720</v>
      </c>
      <c r="C203" s="134" t="s">
        <v>721</v>
      </c>
      <c r="D203" s="16"/>
      <c r="E203" s="16"/>
      <c r="F203" s="16">
        <v>14351208</v>
      </c>
      <c r="G203" s="16">
        <v>19517241</v>
      </c>
      <c r="H203" s="16">
        <f t="shared" si="68"/>
        <v>-5166033</v>
      </c>
      <c r="I203" s="53">
        <f t="shared" si="69"/>
        <v>-0.26469074189328295</v>
      </c>
      <c r="J203" s="174"/>
      <c r="K203" s="256">
        <v>14351208</v>
      </c>
      <c r="L203" s="16">
        <f t="shared" si="70"/>
        <v>0</v>
      </c>
      <c r="M203" s="53">
        <f t="shared" si="71"/>
        <v>0</v>
      </c>
      <c r="N203" s="174"/>
      <c r="O203" s="256">
        <v>15266079</v>
      </c>
      <c r="P203" s="16">
        <f t="shared" si="72"/>
        <v>-914871</v>
      </c>
      <c r="Q203" s="53">
        <f t="shared" si="73"/>
        <v>-0.05992835488405372</v>
      </c>
    </row>
    <row r="204" spans="1:17" s="15" customFormat="1" ht="12.75" hidden="1" outlineLevel="2">
      <c r="A204" s="15" t="s">
        <v>722</v>
      </c>
      <c r="B204" s="15" t="s">
        <v>723</v>
      </c>
      <c r="C204" s="134" t="s">
        <v>724</v>
      </c>
      <c r="D204" s="16"/>
      <c r="E204" s="16"/>
      <c r="F204" s="16">
        <v>-122394</v>
      </c>
      <c r="G204" s="16">
        <v>-115707</v>
      </c>
      <c r="H204" s="16">
        <f t="shared" si="68"/>
        <v>-6687</v>
      </c>
      <c r="I204" s="53">
        <f t="shared" si="69"/>
        <v>-0.05779252767766859</v>
      </c>
      <c r="J204" s="174"/>
      <c r="K204" s="256">
        <v>-122394</v>
      </c>
      <c r="L204" s="16">
        <f t="shared" si="70"/>
        <v>0</v>
      </c>
      <c r="M204" s="53">
        <f t="shared" si="71"/>
        <v>0</v>
      </c>
      <c r="N204" s="174"/>
      <c r="O204" s="256">
        <v>-121317</v>
      </c>
      <c r="P204" s="16">
        <f t="shared" si="72"/>
        <v>-1077</v>
      </c>
      <c r="Q204" s="53">
        <f t="shared" si="73"/>
        <v>-0.008877568683696432</v>
      </c>
    </row>
    <row r="205" spans="1:17" s="15" customFormat="1" ht="12.75" hidden="1" outlineLevel="2">
      <c r="A205" s="15" t="s">
        <v>725</v>
      </c>
      <c r="B205" s="15" t="s">
        <v>726</v>
      </c>
      <c r="C205" s="134" t="s">
        <v>727</v>
      </c>
      <c r="D205" s="16"/>
      <c r="E205" s="16"/>
      <c r="F205" s="16">
        <v>266668</v>
      </c>
      <c r="G205" s="16">
        <v>150000</v>
      </c>
      <c r="H205" s="16">
        <f t="shared" si="68"/>
        <v>116668</v>
      </c>
      <c r="I205" s="53">
        <f t="shared" si="69"/>
        <v>0.7777866666666666</v>
      </c>
      <c r="J205" s="174"/>
      <c r="K205" s="256">
        <v>287501</v>
      </c>
      <c r="L205" s="16">
        <f t="shared" si="70"/>
        <v>-20833</v>
      </c>
      <c r="M205" s="53" t="str">
        <f t="shared" si="71"/>
        <v>N.M.</v>
      </c>
      <c r="N205" s="174"/>
      <c r="O205" s="256">
        <v>200000</v>
      </c>
      <c r="P205" s="16">
        <f t="shared" si="72"/>
        <v>66668</v>
      </c>
      <c r="Q205" s="53">
        <f t="shared" si="73"/>
        <v>0.33334</v>
      </c>
    </row>
    <row r="206" spans="1:17" s="15" customFormat="1" ht="12.75" hidden="1" outlineLevel="2">
      <c r="A206" s="15" t="s">
        <v>728</v>
      </c>
      <c r="B206" s="15" t="s">
        <v>729</v>
      </c>
      <c r="C206" s="134" t="s">
        <v>730</v>
      </c>
      <c r="D206" s="16"/>
      <c r="E206" s="16"/>
      <c r="F206" s="16">
        <v>79888998.15</v>
      </c>
      <c r="G206" s="16">
        <v>80906434.4</v>
      </c>
      <c r="H206" s="16">
        <f t="shared" si="68"/>
        <v>-1017436.25</v>
      </c>
      <c r="I206" s="53">
        <f t="shared" si="69"/>
        <v>-0.01257546766886071</v>
      </c>
      <c r="J206" s="174"/>
      <c r="K206" s="256">
        <v>80015202.6</v>
      </c>
      <c r="L206" s="16">
        <f t="shared" si="70"/>
        <v>-126204.44999998808</v>
      </c>
      <c r="M206" s="53" t="str">
        <f t="shared" si="71"/>
        <v>N.M.</v>
      </c>
      <c r="N206" s="174"/>
      <c r="O206" s="256">
        <v>79448610.56</v>
      </c>
      <c r="P206" s="16">
        <f t="shared" si="72"/>
        <v>440387.5900000036</v>
      </c>
      <c r="Q206" s="53">
        <f t="shared" si="73"/>
        <v>0.005543049612773537</v>
      </c>
    </row>
    <row r="207" spans="1:17" s="15" customFormat="1" ht="12.75" hidden="1" outlineLevel="2">
      <c r="A207" s="15" t="s">
        <v>731</v>
      </c>
      <c r="B207" s="15" t="s">
        <v>732</v>
      </c>
      <c r="C207" s="134" t="s">
        <v>733</v>
      </c>
      <c r="D207" s="16"/>
      <c r="E207" s="16"/>
      <c r="F207" s="16">
        <v>37671563</v>
      </c>
      <c r="G207" s="16">
        <v>32668589</v>
      </c>
      <c r="H207" s="16">
        <f t="shared" si="68"/>
        <v>5002974</v>
      </c>
      <c r="I207" s="53">
        <f t="shared" si="69"/>
        <v>0.15314325329447195</v>
      </c>
      <c r="J207" s="174"/>
      <c r="K207" s="256">
        <v>37640547</v>
      </c>
      <c r="L207" s="16">
        <f t="shared" si="70"/>
        <v>31016</v>
      </c>
      <c r="M207" s="53" t="str">
        <f t="shared" si="71"/>
        <v>N.M.</v>
      </c>
      <c r="N207" s="174"/>
      <c r="O207" s="256">
        <v>36824251</v>
      </c>
      <c r="P207" s="16">
        <f t="shared" si="72"/>
        <v>847312</v>
      </c>
      <c r="Q207" s="53">
        <f t="shared" si="73"/>
        <v>0.023009619394566912</v>
      </c>
    </row>
    <row r="208" spans="1:17" s="67" customFormat="1" ht="12.75" hidden="1" outlineLevel="1">
      <c r="A208" s="67" t="s">
        <v>149</v>
      </c>
      <c r="B208" s="87"/>
      <c r="C208" s="82" t="s">
        <v>147</v>
      </c>
      <c r="D208" s="66"/>
      <c r="E208" s="66"/>
      <c r="F208" s="51">
        <v>203089290.509</v>
      </c>
      <c r="G208" s="51">
        <v>182026874.129</v>
      </c>
      <c r="H208" s="51">
        <f>+F208-G208</f>
        <v>21062416.379999995</v>
      </c>
      <c r="I208" s="136">
        <f>IF(G208&lt;0,IF(H208=0,0,IF(OR(G208=0,F208=0),"N.M.",IF(ABS(H208/G208)&gt;=10,"N.M.",H208/(-G208)))),IF(H208=0,0,IF(OR(G208=0,F208=0),"N.M.",IF(ABS(H208/G208)&gt;=10,"N.M.",H208/G208))))</f>
        <v>0.11571047671275915</v>
      </c>
      <c r="J208" s="162"/>
      <c r="K208" s="51">
        <v>203671718.729</v>
      </c>
      <c r="L208" s="51">
        <f>+F208-K208</f>
        <v>-582428.2199999988</v>
      </c>
      <c r="M208" s="136" t="str">
        <f>IF(K208&lt;0,IF(L208=0,0,IF(OR(K208=0,N208=0),"N.M.",IF(ABS(L208/K208)&gt;=10,"N.M.",L208/(-K208)))),IF(L208=0,0,IF(OR(K208=0,N208=0),"N.M.",IF(ABS(L208/K208)&gt;=10,"N.M.",L208/K208))))</f>
        <v>N.M.</v>
      </c>
      <c r="N208" s="162"/>
      <c r="O208" s="51">
        <v>207445353.169</v>
      </c>
      <c r="P208" s="51">
        <f>+F208-O208</f>
        <v>-4356062.659999996</v>
      </c>
      <c r="Q208" s="136">
        <f>IF(O208&lt;0,IF(P208=0,0,IF(OR(O208=0,F208=0),"N.M.",IF(ABS(P208/O208)&gt;=10,"N.M.",P208/(-O208)))),IF(P208=0,0,IF(OR(O208=0,F208=0),"N.M.",IF(ABS(P208/O208)&gt;=10,"N.M.",P208/O208))))</f>
        <v>-0.020998603215041566</v>
      </c>
    </row>
    <row r="209" spans="1:17" s="15" customFormat="1" ht="12.75" hidden="1" outlineLevel="2">
      <c r="A209" s="15" t="s">
        <v>734</v>
      </c>
      <c r="B209" s="15" t="s">
        <v>735</v>
      </c>
      <c r="C209" s="134" t="s">
        <v>736</v>
      </c>
      <c r="D209" s="16"/>
      <c r="E209" s="16"/>
      <c r="F209" s="16">
        <v>743072.7000000001</v>
      </c>
      <c r="G209" s="16">
        <v>776721.3</v>
      </c>
      <c r="H209" s="16">
        <f>+F209-G209</f>
        <v>-33648.59999999998</v>
      </c>
      <c r="I209" s="53">
        <f>IF(G209&lt;0,IF(H209=0,0,IF(OR(G209=0,F209=0),"N.M.",IF(ABS(H209/G209)&gt;=10,"N.M.",H209/(-G209)))),IF(H209=0,0,IF(OR(G209=0,F209=0),"N.M.",IF(ABS(H209/G209)&gt;=10,"N.M.",H209/G209))))</f>
        <v>-0.04332133031500485</v>
      </c>
      <c r="J209" s="174"/>
      <c r="K209" s="256">
        <v>745876.75</v>
      </c>
      <c r="L209" s="16">
        <f>+F209-K209</f>
        <v>-2804.04999999993</v>
      </c>
      <c r="M209" s="53" t="str">
        <f>IF(K209&lt;0,IF(L209=0,0,IF(OR(K209=0,N209=0),"N.M.",IF(ABS(L209/K209)&gt;=10,"N.M.",L209/(-K209)))),IF(L209=0,0,IF(OR(K209=0,N209=0),"N.M.",IF(ABS(L209/K209)&gt;=10,"N.M.",L209/K209))))</f>
        <v>N.M.</v>
      </c>
      <c r="N209" s="174"/>
      <c r="O209" s="256">
        <v>771113.2000000001</v>
      </c>
      <c r="P209" s="16">
        <f>+F209-O209</f>
        <v>-28040.5</v>
      </c>
      <c r="Q209" s="53">
        <f>IF(O209&lt;0,IF(P209=0,0,IF(OR(O209=0,F209=0),"N.M.",IF(ABS(P209/O209)&gt;=10,"N.M.",P209/(-O209)))),IF(P209=0,0,IF(OR(O209=0,F209=0),"N.M.",IF(ABS(P209/O209)&gt;=10,"N.M.",P209/O209))))</f>
        <v>-0.03636366230016552</v>
      </c>
    </row>
    <row r="210" spans="1:17" s="67" customFormat="1" ht="12.75" hidden="1" outlineLevel="1">
      <c r="A210" s="67" t="s">
        <v>150</v>
      </c>
      <c r="B210" s="87"/>
      <c r="C210" s="96" t="s">
        <v>148</v>
      </c>
      <c r="D210" s="66"/>
      <c r="E210" s="66"/>
      <c r="F210" s="197">
        <v>743072.7000000001</v>
      </c>
      <c r="G210" s="197">
        <v>776721.3</v>
      </c>
      <c r="H210" s="197">
        <f>+F210-G210</f>
        <v>-33648.59999999998</v>
      </c>
      <c r="I210" s="138">
        <f>IF(G210&lt;0,IF(H210=0,0,IF(OR(G210=0,F210=0),"N.M.",IF(ABS(H210/G210)&gt;=10,"N.M.",H210/(-G210)))),IF(H210=0,0,IF(OR(G210=0,F210=0),"N.M.",IF(ABS(H210/G210)&gt;=10,"N.M.",H210/G210))))</f>
        <v>-0.04332133031500485</v>
      </c>
      <c r="J210" s="162"/>
      <c r="K210" s="197">
        <v>745876.75</v>
      </c>
      <c r="L210" s="197">
        <f>+F210-K210</f>
        <v>-2804.04999999993</v>
      </c>
      <c r="M210" s="138" t="str">
        <f>IF(K210&lt;0,IF(L210=0,0,IF(OR(K210=0,N210=0),"N.M.",IF(ABS(L210/K210)&gt;=10,"N.M.",L210/(-K210)))),IF(L210=0,0,IF(OR(K210=0,N210=0),"N.M.",IF(ABS(L210/K210)&gt;=10,"N.M.",L210/K210))))</f>
        <v>N.M.</v>
      </c>
      <c r="N210" s="162"/>
      <c r="O210" s="197">
        <v>771113.2000000001</v>
      </c>
      <c r="P210" s="197">
        <f>+F210-O210</f>
        <v>-28040.5</v>
      </c>
      <c r="Q210" s="138">
        <f>IF(O210&lt;0,IF(P210=0,0,IF(OR(O210=0,F210=0),"N.M.",IF(ABS(P210/O210)&gt;=10,"N.M.",P210/(-O210)))),IF(P210=0,0,IF(OR(O210=0,F210=0),"N.M.",IF(ABS(P210/O210)&gt;=10,"N.M.",P210/O210))))</f>
        <v>-0.03636366230016552</v>
      </c>
    </row>
    <row r="211" spans="1:17" s="75" customFormat="1" ht="12" customHeight="1" collapsed="1">
      <c r="A211" s="75" t="s">
        <v>159</v>
      </c>
      <c r="B211" s="93"/>
      <c r="C211" s="75" t="s">
        <v>74</v>
      </c>
      <c r="D211" s="74"/>
      <c r="E211" s="74"/>
      <c r="F211" s="74">
        <f>+F210+F208</f>
        <v>203832363.209</v>
      </c>
      <c r="G211" s="74">
        <f>+G210+G208</f>
        <v>182803595.42900002</v>
      </c>
      <c r="H211" s="74">
        <f>+F211-G211</f>
        <v>21028767.77999997</v>
      </c>
      <c r="I211" s="137">
        <f>IF(G211&lt;0,IF(H211=0,0,IF(OR(G211=0,F211=0),"N.M.",IF(ABS(H211/G211)&gt;=10,"N.M.",H211/(-G211)))),IF(H211=0,0,IF(OR(G211=0,F211=0),"N.M.",IF(ABS(H211/G211)&gt;=10,"N.M.",H211/G211))))</f>
        <v>0.11503476028822111</v>
      </c>
      <c r="J211" s="163"/>
      <c r="K211" s="74">
        <f>+K210+K208</f>
        <v>204417595.479</v>
      </c>
      <c r="L211" s="74">
        <f>+F211-K211</f>
        <v>-585232.2700000107</v>
      </c>
      <c r="M211" s="137" t="str">
        <f>IF(K211&lt;0,IF(L211=0,0,IF(OR(K211=0,N211=0),"N.M.",IF(ABS(L211/K211)&gt;=10,"N.M.",L211/(-K211)))),IF(L211=0,0,IF(OR(K211=0,N211=0),"N.M.",IF(ABS(L211/K211)&gt;=10,"N.M.",L211/K211))))</f>
        <v>N.M.</v>
      </c>
      <c r="N211" s="163"/>
      <c r="O211" s="74">
        <f>+O210+O208</f>
        <v>208216466.369</v>
      </c>
      <c r="P211" s="74">
        <f>+F211-O211</f>
        <v>-4384103.159999996</v>
      </c>
      <c r="Q211" s="137">
        <f>IF(O211&lt;0,IF(P211=0,0,IF(OR(O211=0,F211=0),"N.M.",IF(ABS(P211/O211)&gt;=10,"N.M.",P211/(-O211)))),IF(P211=0,0,IF(OR(O211=0,F211=0),"N.M.",IF(ABS(P211/O211)&gt;=10,"N.M.",P211/O211))))</f>
        <v>-0.02105550649500753</v>
      </c>
    </row>
    <row r="212" spans="2:17" s="67" customFormat="1" ht="7.5" customHeight="1">
      <c r="B212" s="87"/>
      <c r="D212" s="51"/>
      <c r="E212" s="51"/>
      <c r="F212" s="51"/>
      <c r="G212" s="51"/>
      <c r="H212" s="51"/>
      <c r="I212" s="136"/>
      <c r="J212" s="162"/>
      <c r="K212" s="51"/>
      <c r="L212" s="51"/>
      <c r="M212" s="136"/>
      <c r="N212" s="162"/>
      <c r="O212" s="51"/>
      <c r="P212" s="51"/>
      <c r="Q212" s="136"/>
    </row>
    <row r="213" spans="2:17" s="67" customFormat="1" ht="0.75" customHeight="1" hidden="1" outlineLevel="1">
      <c r="B213" s="87"/>
      <c r="D213" s="51"/>
      <c r="E213" s="51"/>
      <c r="F213" s="51"/>
      <c r="G213" s="51"/>
      <c r="H213" s="51"/>
      <c r="I213" s="136"/>
      <c r="J213" s="162"/>
      <c r="K213" s="51"/>
      <c r="L213" s="51"/>
      <c r="M213" s="136"/>
      <c r="N213" s="162"/>
      <c r="O213" s="51"/>
      <c r="P213" s="51"/>
      <c r="Q213" s="136"/>
    </row>
    <row r="214" spans="1:17" s="15" customFormat="1" ht="12.75" hidden="1" outlineLevel="2">
      <c r="A214" s="15" t="s">
        <v>737</v>
      </c>
      <c r="B214" s="15" t="s">
        <v>738</v>
      </c>
      <c r="C214" s="134" t="s">
        <v>739</v>
      </c>
      <c r="D214" s="16"/>
      <c r="E214" s="16"/>
      <c r="F214" s="16">
        <v>2864946.13</v>
      </c>
      <c r="G214" s="16">
        <v>3169407.61</v>
      </c>
      <c r="H214" s="16">
        <f>+F214-G214</f>
        <v>-304461.48</v>
      </c>
      <c r="I214" s="53">
        <f>IF(G214&lt;0,IF(H214=0,0,IF(OR(G214=0,F214=0),"N.M.",IF(ABS(H214/G214)&gt;=10,"N.M.",H214/(-G214)))),IF(H214=0,0,IF(OR(G214=0,F214=0),"N.M.",IF(ABS(H214/G214)&gt;=10,"N.M.",H214/G214))))</f>
        <v>-0.09606258249629179</v>
      </c>
      <c r="J214" s="174"/>
      <c r="K214" s="256">
        <v>2890317.92</v>
      </c>
      <c r="L214" s="16">
        <f>+F214-K214</f>
        <v>-25371.790000000037</v>
      </c>
      <c r="M214" s="53" t="str">
        <f>IF(K214&lt;0,IF(L214=0,0,IF(OR(K214=0,N214=0),"N.M.",IF(ABS(L214/K214)&gt;=10,"N.M.",L214/(-K214)))),IF(L214=0,0,IF(OR(K214=0,N214=0),"N.M.",IF(ABS(L214/K214)&gt;=10,"N.M.",L214/K214))))</f>
        <v>N.M.</v>
      </c>
      <c r="N214" s="174"/>
      <c r="O214" s="256">
        <v>3118664.03</v>
      </c>
      <c r="P214" s="16">
        <f>+F214-O214</f>
        <v>-253717.8999999999</v>
      </c>
      <c r="Q214" s="53">
        <f>IF(O214&lt;0,IF(P214=0,0,IF(OR(O214=0,F214=0),"N.M.",IF(ABS(P214/O214)&gt;=10,"N.M.",P214/(-O214)))),IF(P214=0,0,IF(OR(O214=0,F214=0),"N.M.",IF(ABS(P214/O214)&gt;=10,"N.M.",P214/O214))))</f>
        <v>-0.08135467545056461</v>
      </c>
    </row>
    <row r="215" spans="1:17" s="67" customFormat="1" ht="12.75" hidden="1" outlineLevel="1">
      <c r="A215" s="67" t="s">
        <v>171</v>
      </c>
      <c r="B215" s="87"/>
      <c r="C215" s="82" t="s">
        <v>151</v>
      </c>
      <c r="D215" s="66"/>
      <c r="E215" s="66"/>
      <c r="F215" s="51">
        <v>2864946.13</v>
      </c>
      <c r="G215" s="51">
        <v>3169407.61</v>
      </c>
      <c r="H215" s="51">
        <f>+F215-G215</f>
        <v>-304461.48</v>
      </c>
      <c r="I215" s="136">
        <f>IF(G215&lt;0,IF(H215=0,0,IF(OR(G215=0,F215=0),"N.M.",IF(ABS(H215/G215)&gt;=10,"N.M.",H215/(-G215)))),IF(H215=0,0,IF(OR(G215=0,F215=0),"N.M.",IF(ABS(H215/G215)&gt;=10,"N.M.",H215/G215))))</f>
        <v>-0.09606258249629179</v>
      </c>
      <c r="J215" s="162"/>
      <c r="K215" s="51">
        <v>2890317.92</v>
      </c>
      <c r="L215" s="51">
        <f>+F215-K215</f>
        <v>-25371.790000000037</v>
      </c>
      <c r="M215" s="136" t="str">
        <f>IF(K215&lt;0,IF(L215=0,0,IF(OR(K215=0,N215=0),"N.M.",IF(ABS(L215/K215)&gt;=10,"N.M.",L215/(-K215)))),IF(L215=0,0,IF(OR(K215=0,N215=0),"N.M.",IF(ABS(L215/K215)&gt;=10,"N.M.",L215/K215))))</f>
        <v>N.M.</v>
      </c>
      <c r="N215" s="162"/>
      <c r="O215" s="51">
        <v>3118664.03</v>
      </c>
      <c r="P215" s="51">
        <f>+F215-O215</f>
        <v>-253717.8999999999</v>
      </c>
      <c r="Q215" s="136">
        <f>IF(O215&lt;0,IF(P215=0,0,IF(OR(O215=0,F215=0),"N.M.",IF(ABS(P215/O215)&gt;=10,"N.M.",P215/(-O215)))),IF(P215=0,0,IF(OR(O215=0,F215=0),"N.M.",IF(ABS(P215/O215)&gt;=10,"N.M.",P215/O215))))</f>
        <v>-0.08135467545056461</v>
      </c>
    </row>
    <row r="216" spans="1:17" s="15" customFormat="1" ht="12.75" hidden="1" outlineLevel="2">
      <c r="A216" s="15" t="s">
        <v>740</v>
      </c>
      <c r="B216" s="15" t="s">
        <v>741</v>
      </c>
      <c r="C216" s="134" t="s">
        <v>742</v>
      </c>
      <c r="D216" s="16"/>
      <c r="E216" s="16"/>
      <c r="F216" s="16">
        <v>0</v>
      </c>
      <c r="G216" s="16">
        <v>22.400000000000002</v>
      </c>
      <c r="H216" s="16">
        <f>+F216-G216</f>
        <v>-22.400000000000002</v>
      </c>
      <c r="I216" s="53" t="str">
        <f>IF(G216&lt;0,IF(H216=0,0,IF(OR(G216=0,F216=0),"N.M.",IF(ABS(H216/G216)&gt;=10,"N.M.",H216/(-G216)))),IF(H216=0,0,IF(OR(G216=0,F216=0),"N.M.",IF(ABS(H216/G216)&gt;=10,"N.M.",H216/G216))))</f>
        <v>N.M.</v>
      </c>
      <c r="J216" s="174"/>
      <c r="K216" s="256">
        <v>0</v>
      </c>
      <c r="L216" s="16">
        <f>+F216-K216</f>
        <v>0</v>
      </c>
      <c r="M216" s="53">
        <f>IF(K216&lt;0,IF(L216=0,0,IF(OR(K216=0,N216=0),"N.M.",IF(ABS(L216/K216)&gt;=10,"N.M.",L216/(-K216)))),IF(L216=0,0,IF(OR(K216=0,N216=0),"N.M.",IF(ABS(L216/K216)&gt;=10,"N.M.",L216/K216))))</f>
        <v>0</v>
      </c>
      <c r="N216" s="174"/>
      <c r="O216" s="256">
        <v>0</v>
      </c>
      <c r="P216" s="16">
        <f>+F216-O216</f>
        <v>0</v>
      </c>
      <c r="Q216" s="53">
        <f>IF(O216&lt;0,IF(P216=0,0,IF(OR(O216=0,F216=0),"N.M.",IF(ABS(P216/O216)&gt;=10,"N.M.",P216/(-O216)))),IF(P216=0,0,IF(OR(O216=0,F216=0),"N.M.",IF(ABS(P216/O216)&gt;=10,"N.M.",P216/O216))))</f>
        <v>0</v>
      </c>
    </row>
    <row r="217" spans="1:17" s="15" customFormat="1" ht="12.75" hidden="1" outlineLevel="2">
      <c r="A217" s="15" t="s">
        <v>743</v>
      </c>
      <c r="B217" s="15" t="s">
        <v>744</v>
      </c>
      <c r="C217" s="134" t="s">
        <v>745</v>
      </c>
      <c r="D217" s="16"/>
      <c r="E217" s="16"/>
      <c r="F217" s="16">
        <v>9638.14</v>
      </c>
      <c r="G217" s="16">
        <v>17978.47</v>
      </c>
      <c r="H217" s="16">
        <f>+F217-G217</f>
        <v>-8340.330000000002</v>
      </c>
      <c r="I217" s="53">
        <f>IF(G217&lt;0,IF(H217=0,0,IF(OR(G217=0,F217=0),"N.M.",IF(ABS(H217/G217)&gt;=10,"N.M.",H217/(-G217)))),IF(H217=0,0,IF(OR(G217=0,F217=0),"N.M.",IF(ABS(H217/G217)&gt;=10,"N.M.",H217/G217))))</f>
        <v>-0.4639065504461726</v>
      </c>
      <c r="J217" s="174"/>
      <c r="K217" s="256">
        <v>0</v>
      </c>
      <c r="L217" s="16">
        <f>+F217-K217</f>
        <v>9638.14</v>
      </c>
      <c r="M217" s="53" t="str">
        <f>IF(K217&lt;0,IF(L217=0,0,IF(OR(K217=0,N217=0),"N.M.",IF(ABS(L217/K217)&gt;=10,"N.M.",L217/(-K217)))),IF(L217=0,0,IF(OR(K217=0,N217=0),"N.M.",IF(ABS(L217/K217)&gt;=10,"N.M.",L217/K217))))</f>
        <v>N.M.</v>
      </c>
      <c r="N217" s="174"/>
      <c r="O217" s="256">
        <v>0</v>
      </c>
      <c r="P217" s="16">
        <f>+F217-O217</f>
        <v>9638.14</v>
      </c>
      <c r="Q217" s="53" t="str">
        <f>IF(O217&lt;0,IF(P217=0,0,IF(OR(O217=0,F217=0),"N.M.",IF(ABS(P217/O217)&gt;=10,"N.M.",P217/(-O217)))),IF(P217=0,0,IF(OR(O217=0,F217=0),"N.M.",IF(ABS(P217/O217)&gt;=10,"N.M.",P217/O217))))</f>
        <v>N.M.</v>
      </c>
    </row>
    <row r="218" spans="1:17" s="67" customFormat="1" ht="12.75" hidden="1" outlineLevel="1">
      <c r="A218" s="67" t="s">
        <v>157</v>
      </c>
      <c r="B218" s="87"/>
      <c r="C218" s="82" t="s">
        <v>152</v>
      </c>
      <c r="D218" s="66"/>
      <c r="E218" s="66"/>
      <c r="F218" s="51">
        <v>9638.14</v>
      </c>
      <c r="G218" s="51">
        <v>18000.870000000003</v>
      </c>
      <c r="H218" s="51">
        <f>+F218-G218</f>
        <v>-8362.730000000003</v>
      </c>
      <c r="I218" s="136">
        <f>IF(G218&lt;0,IF(H218=0,0,IF(OR(G218=0,F218=0),"N.M.",IF(ABS(H218/G218)&gt;=10,"N.M.",H218/(-G218)))),IF(H218=0,0,IF(OR(G218=0,F218=0),"N.M.",IF(ABS(H218/G218)&gt;=10,"N.M.",H218/G218))))</f>
        <v>-0.4645736567177032</v>
      </c>
      <c r="J218" s="162"/>
      <c r="K218" s="51">
        <v>0</v>
      </c>
      <c r="L218" s="51">
        <f>+F218-K218</f>
        <v>9638.14</v>
      </c>
      <c r="M218" s="136" t="str">
        <f>IF(K218&lt;0,IF(L218=0,0,IF(OR(K218=0,N218=0),"N.M.",IF(ABS(L218/K218)&gt;=10,"N.M.",L218/(-K218)))),IF(L218=0,0,IF(OR(K218=0,N218=0),"N.M.",IF(ABS(L218/K218)&gt;=10,"N.M.",L218/K218))))</f>
        <v>N.M.</v>
      </c>
      <c r="N218" s="162"/>
      <c r="O218" s="51">
        <v>0</v>
      </c>
      <c r="P218" s="51">
        <f>+F218-O218</f>
        <v>9638.14</v>
      </c>
      <c r="Q218" s="136" t="str">
        <f>IF(O218&lt;0,IF(P218=0,0,IF(OR(O218=0,F218=0),"N.M.",IF(ABS(P218/O218)&gt;=10,"N.M.",P218/(-O218)))),IF(P218=0,0,IF(OR(O218=0,F218=0),"N.M.",IF(ABS(P218/O218)&gt;=10,"N.M.",P218/O218))))</f>
        <v>N.M.</v>
      </c>
    </row>
    <row r="219" spans="1:17" s="15" customFormat="1" ht="12.75" hidden="1" outlineLevel="2">
      <c r="A219" s="15" t="s">
        <v>746</v>
      </c>
      <c r="B219" s="15" t="s">
        <v>747</v>
      </c>
      <c r="C219" s="134" t="s">
        <v>748</v>
      </c>
      <c r="D219" s="16"/>
      <c r="E219" s="16"/>
      <c r="F219" s="16">
        <v>21417670.45</v>
      </c>
      <c r="G219" s="16">
        <v>21092589.57</v>
      </c>
      <c r="H219" s="16">
        <f aca="true" t="shared" si="74" ref="H219:H229">+F219-G219</f>
        <v>325080.87999999896</v>
      </c>
      <c r="I219" s="53">
        <f aca="true" t="shared" si="75" ref="I219:I229">IF(G219&lt;0,IF(H219=0,0,IF(OR(G219=0,F219=0),"N.M.",IF(ABS(H219/G219)&gt;=10,"N.M.",H219/(-G219)))),IF(H219=0,0,IF(OR(G219=0,F219=0),"N.M.",IF(ABS(H219/G219)&gt;=10,"N.M.",H219/G219))))</f>
        <v>0.015412089583460234</v>
      </c>
      <c r="J219" s="174"/>
      <c r="K219" s="256">
        <v>21072898.44</v>
      </c>
      <c r="L219" s="16">
        <f aca="true" t="shared" si="76" ref="L219:L229">+F219-K219</f>
        <v>344772.0099999979</v>
      </c>
      <c r="M219" s="53" t="str">
        <f aca="true" t="shared" si="77" ref="M219:M229">IF(K219&lt;0,IF(L219=0,0,IF(OR(K219=0,N219=0),"N.M.",IF(ABS(L219/K219)&gt;=10,"N.M.",L219/(-K219)))),IF(L219=0,0,IF(OR(K219=0,N219=0),"N.M.",IF(ABS(L219/K219)&gt;=10,"N.M.",L219/K219))))</f>
        <v>N.M.</v>
      </c>
      <c r="N219" s="174"/>
      <c r="O219" s="256">
        <v>21315585.94</v>
      </c>
      <c r="P219" s="16">
        <f aca="true" t="shared" si="78" ref="P219:P229">+F219-O219</f>
        <v>102084.50999999791</v>
      </c>
      <c r="Q219" s="53">
        <f aca="true" t="shared" si="79" ref="Q219:Q229">IF(O219&lt;0,IF(P219=0,0,IF(OR(O219=0,F219=0),"N.M.",IF(ABS(P219/O219)&gt;=10,"N.M.",P219/(-O219)))),IF(P219=0,0,IF(OR(O219=0,F219=0),"N.M.",IF(ABS(P219/O219)&gt;=10,"N.M.",P219/O219))))</f>
        <v>0.0047891955814562005</v>
      </c>
    </row>
    <row r="220" spans="1:17" s="15" customFormat="1" ht="12.75" hidden="1" outlineLevel="2">
      <c r="A220" s="15" t="s">
        <v>749</v>
      </c>
      <c r="B220" s="15" t="s">
        <v>750</v>
      </c>
      <c r="C220" s="134" t="s">
        <v>751</v>
      </c>
      <c r="D220" s="16"/>
      <c r="E220" s="16"/>
      <c r="F220" s="16">
        <v>251.96</v>
      </c>
      <c r="G220" s="16">
        <v>0</v>
      </c>
      <c r="H220" s="16">
        <f t="shared" si="74"/>
        <v>251.96</v>
      </c>
      <c r="I220" s="53" t="str">
        <f t="shared" si="75"/>
        <v>N.M.</v>
      </c>
      <c r="J220" s="174"/>
      <c r="K220" s="256">
        <v>251.96</v>
      </c>
      <c r="L220" s="16">
        <f t="shared" si="76"/>
        <v>0</v>
      </c>
      <c r="M220" s="53">
        <f t="shared" si="77"/>
        <v>0</v>
      </c>
      <c r="N220" s="174"/>
      <c r="O220" s="256">
        <v>0</v>
      </c>
      <c r="P220" s="16">
        <f t="shared" si="78"/>
        <v>251.96</v>
      </c>
      <c r="Q220" s="53" t="str">
        <f t="shared" si="79"/>
        <v>N.M.</v>
      </c>
    </row>
    <row r="221" spans="1:17" s="15" customFormat="1" ht="12.75" hidden="1" outlineLevel="2">
      <c r="A221" s="15" t="s">
        <v>752</v>
      </c>
      <c r="B221" s="15" t="s">
        <v>753</v>
      </c>
      <c r="C221" s="134" t="s">
        <v>754</v>
      </c>
      <c r="D221" s="16"/>
      <c r="E221" s="16"/>
      <c r="F221" s="16">
        <v>0</v>
      </c>
      <c r="G221" s="16">
        <v>1509334</v>
      </c>
      <c r="H221" s="16">
        <f t="shared" si="74"/>
        <v>-1509334</v>
      </c>
      <c r="I221" s="53" t="str">
        <f t="shared" si="75"/>
        <v>N.M.</v>
      </c>
      <c r="J221" s="174"/>
      <c r="K221" s="256">
        <v>0</v>
      </c>
      <c r="L221" s="16">
        <f t="shared" si="76"/>
        <v>0</v>
      </c>
      <c r="M221" s="53">
        <f t="shared" si="77"/>
        <v>0</v>
      </c>
      <c r="N221" s="174"/>
      <c r="O221" s="256">
        <v>0</v>
      </c>
      <c r="P221" s="16">
        <f t="shared" si="78"/>
        <v>0</v>
      </c>
      <c r="Q221" s="53">
        <f t="shared" si="79"/>
        <v>0</v>
      </c>
    </row>
    <row r="222" spans="1:17" s="15" customFormat="1" ht="12.75" hidden="1" outlineLevel="2">
      <c r="A222" s="15" t="s">
        <v>755</v>
      </c>
      <c r="B222" s="15" t="s">
        <v>756</v>
      </c>
      <c r="C222" s="134" t="s">
        <v>754</v>
      </c>
      <c r="D222" s="16"/>
      <c r="E222" s="16"/>
      <c r="F222" s="16">
        <v>1507060</v>
      </c>
      <c r="G222" s="16">
        <v>0</v>
      </c>
      <c r="H222" s="16">
        <f t="shared" si="74"/>
        <v>1507060</v>
      </c>
      <c r="I222" s="53" t="str">
        <f t="shared" si="75"/>
        <v>N.M.</v>
      </c>
      <c r="J222" s="174"/>
      <c r="K222" s="256">
        <v>2260594</v>
      </c>
      <c r="L222" s="16">
        <f t="shared" si="76"/>
        <v>-753534</v>
      </c>
      <c r="M222" s="53" t="str">
        <f t="shared" si="77"/>
        <v>N.M.</v>
      </c>
      <c r="N222" s="174"/>
      <c r="O222" s="256">
        <v>9323500</v>
      </c>
      <c r="P222" s="16">
        <f t="shared" si="78"/>
        <v>-7816440</v>
      </c>
      <c r="Q222" s="53">
        <f t="shared" si="79"/>
        <v>-0.8383589853595753</v>
      </c>
    </row>
    <row r="223" spans="1:17" s="15" customFormat="1" ht="12.75" hidden="1" outlineLevel="2">
      <c r="A223" s="15" t="s">
        <v>757</v>
      </c>
      <c r="B223" s="15" t="s">
        <v>758</v>
      </c>
      <c r="C223" s="134" t="s">
        <v>759</v>
      </c>
      <c r="D223" s="16"/>
      <c r="E223" s="16"/>
      <c r="F223" s="16">
        <v>24.13</v>
      </c>
      <c r="G223" s="16">
        <v>-72.66</v>
      </c>
      <c r="H223" s="16">
        <f t="shared" si="74"/>
        <v>96.78999999999999</v>
      </c>
      <c r="I223" s="53">
        <f t="shared" si="75"/>
        <v>1.3320946875860171</v>
      </c>
      <c r="J223" s="174"/>
      <c r="K223" s="256">
        <v>24.13</v>
      </c>
      <c r="L223" s="16">
        <f t="shared" si="76"/>
        <v>0</v>
      </c>
      <c r="M223" s="53">
        <f t="shared" si="77"/>
        <v>0</v>
      </c>
      <c r="N223" s="174"/>
      <c r="O223" s="256">
        <v>0</v>
      </c>
      <c r="P223" s="16">
        <f t="shared" si="78"/>
        <v>24.13</v>
      </c>
      <c r="Q223" s="53" t="str">
        <f t="shared" si="79"/>
        <v>N.M.</v>
      </c>
    </row>
    <row r="224" spans="1:17" s="15" customFormat="1" ht="12.75" hidden="1" outlineLevel="2">
      <c r="A224" s="15" t="s">
        <v>760</v>
      </c>
      <c r="B224" s="15" t="s">
        <v>761</v>
      </c>
      <c r="C224" s="134" t="s">
        <v>762</v>
      </c>
      <c r="D224" s="16"/>
      <c r="E224" s="16"/>
      <c r="F224" s="16">
        <v>797177.67</v>
      </c>
      <c r="G224" s="16">
        <v>818796.17</v>
      </c>
      <c r="H224" s="16">
        <f t="shared" si="74"/>
        <v>-21618.5</v>
      </c>
      <c r="I224" s="53">
        <f t="shared" si="75"/>
        <v>-0.026402785933891212</v>
      </c>
      <c r="J224" s="174"/>
      <c r="K224" s="256">
        <v>803488.15</v>
      </c>
      <c r="L224" s="16">
        <f t="shared" si="76"/>
        <v>-6310.479999999981</v>
      </c>
      <c r="M224" s="53" t="str">
        <f t="shared" si="77"/>
        <v>N.M.</v>
      </c>
      <c r="N224" s="174"/>
      <c r="O224" s="256">
        <v>825908.49</v>
      </c>
      <c r="P224" s="16">
        <f t="shared" si="78"/>
        <v>-28730.81999999995</v>
      </c>
      <c r="Q224" s="53">
        <f t="shared" si="79"/>
        <v>-0.03478692899742434</v>
      </c>
    </row>
    <row r="225" spans="1:17" s="15" customFormat="1" ht="12.75" hidden="1" outlineLevel="2">
      <c r="A225" s="15" t="s">
        <v>763</v>
      </c>
      <c r="B225" s="15" t="s">
        <v>764</v>
      </c>
      <c r="C225" s="134" t="s">
        <v>765</v>
      </c>
      <c r="D225" s="16"/>
      <c r="E225" s="16"/>
      <c r="F225" s="16">
        <v>0</v>
      </c>
      <c r="G225" s="16">
        <v>5500</v>
      </c>
      <c r="H225" s="16">
        <f t="shared" si="74"/>
        <v>-5500</v>
      </c>
      <c r="I225" s="53" t="str">
        <f t="shared" si="75"/>
        <v>N.M.</v>
      </c>
      <c r="J225" s="174"/>
      <c r="K225" s="256">
        <v>0</v>
      </c>
      <c r="L225" s="16">
        <f t="shared" si="76"/>
        <v>0</v>
      </c>
      <c r="M225" s="53">
        <f t="shared" si="77"/>
        <v>0</v>
      </c>
      <c r="N225" s="174"/>
      <c r="O225" s="256">
        <v>0</v>
      </c>
      <c r="P225" s="16">
        <f t="shared" si="78"/>
        <v>0</v>
      </c>
      <c r="Q225" s="53">
        <f t="shared" si="79"/>
        <v>0</v>
      </c>
    </row>
    <row r="226" spans="1:17" s="15" customFormat="1" ht="12.75" hidden="1" outlineLevel="2">
      <c r="A226" s="15" t="s">
        <v>766</v>
      </c>
      <c r="B226" s="15" t="s">
        <v>767</v>
      </c>
      <c r="C226" s="134" t="s">
        <v>765</v>
      </c>
      <c r="D226" s="16"/>
      <c r="E226" s="16"/>
      <c r="F226" s="16">
        <v>17710</v>
      </c>
      <c r="G226" s="16">
        <v>0</v>
      </c>
      <c r="H226" s="16">
        <f t="shared" si="74"/>
        <v>17710</v>
      </c>
      <c r="I226" s="53" t="str">
        <f t="shared" si="75"/>
        <v>N.M.</v>
      </c>
      <c r="J226" s="174"/>
      <c r="K226" s="256">
        <v>26569</v>
      </c>
      <c r="L226" s="16">
        <f t="shared" si="76"/>
        <v>-8859</v>
      </c>
      <c r="M226" s="53" t="str">
        <f t="shared" si="77"/>
        <v>N.M.</v>
      </c>
      <c r="N226" s="174"/>
      <c r="O226" s="256">
        <v>0</v>
      </c>
      <c r="P226" s="16">
        <f t="shared" si="78"/>
        <v>17710</v>
      </c>
      <c r="Q226" s="53" t="str">
        <f t="shared" si="79"/>
        <v>N.M.</v>
      </c>
    </row>
    <row r="227" spans="1:17" s="15" customFormat="1" ht="12.75" hidden="1" outlineLevel="2">
      <c r="A227" s="15" t="s">
        <v>768</v>
      </c>
      <c r="B227" s="15" t="s">
        <v>769</v>
      </c>
      <c r="C227" s="134" t="s">
        <v>770</v>
      </c>
      <c r="D227" s="16"/>
      <c r="E227" s="16"/>
      <c r="F227" s="16">
        <v>335481.92</v>
      </c>
      <c r="G227" s="16">
        <v>104430.44</v>
      </c>
      <c r="H227" s="16">
        <f t="shared" si="74"/>
        <v>231051.47999999998</v>
      </c>
      <c r="I227" s="53">
        <f t="shared" si="75"/>
        <v>2.2124916834593438</v>
      </c>
      <c r="J227" s="174"/>
      <c r="K227" s="256">
        <v>347415.03</v>
      </c>
      <c r="L227" s="16">
        <f t="shared" si="76"/>
        <v>-11933.110000000044</v>
      </c>
      <c r="M227" s="53" t="str">
        <f t="shared" si="77"/>
        <v>N.M.</v>
      </c>
      <c r="N227" s="174"/>
      <c r="O227" s="256">
        <v>94643.74</v>
      </c>
      <c r="P227" s="16">
        <f t="shared" si="78"/>
        <v>240838.18</v>
      </c>
      <c r="Q227" s="53">
        <f t="shared" si="79"/>
        <v>2.5446815605554045</v>
      </c>
    </row>
    <row r="228" spans="1:17" s="15" customFormat="1" ht="12.75" hidden="1" outlineLevel="2">
      <c r="A228" s="15" t="s">
        <v>771</v>
      </c>
      <c r="B228" s="15" t="s">
        <v>772</v>
      </c>
      <c r="C228" s="134" t="s">
        <v>773</v>
      </c>
      <c r="D228" s="16"/>
      <c r="E228" s="16"/>
      <c r="F228" s="16">
        <v>2373.76</v>
      </c>
      <c r="G228" s="16">
        <v>1752.7</v>
      </c>
      <c r="H228" s="16">
        <f t="shared" si="74"/>
        <v>621.0600000000002</v>
      </c>
      <c r="I228" s="53">
        <f t="shared" si="75"/>
        <v>0.35434472528099514</v>
      </c>
      <c r="J228" s="174"/>
      <c r="K228" s="256">
        <v>1462.67</v>
      </c>
      <c r="L228" s="16">
        <f t="shared" si="76"/>
        <v>911.0900000000001</v>
      </c>
      <c r="M228" s="53" t="str">
        <f t="shared" si="77"/>
        <v>N.M.</v>
      </c>
      <c r="N228" s="174"/>
      <c r="O228" s="256">
        <v>1873.14</v>
      </c>
      <c r="P228" s="16">
        <f t="shared" si="78"/>
        <v>500.6200000000001</v>
      </c>
      <c r="Q228" s="53">
        <f t="shared" si="79"/>
        <v>0.2672624576913632</v>
      </c>
    </row>
    <row r="229" spans="1:17" s="15" customFormat="1" ht="12.75" hidden="1" outlineLevel="2">
      <c r="A229" s="15" t="s">
        <v>774</v>
      </c>
      <c r="B229" s="15" t="s">
        <v>775</v>
      </c>
      <c r="C229" s="134" t="s">
        <v>776</v>
      </c>
      <c r="D229" s="16"/>
      <c r="E229" s="16"/>
      <c r="F229" s="16">
        <v>13403.31</v>
      </c>
      <c r="G229" s="16">
        <v>11194.52</v>
      </c>
      <c r="H229" s="16">
        <f t="shared" si="74"/>
        <v>2208.789999999999</v>
      </c>
      <c r="I229" s="53">
        <f t="shared" si="75"/>
        <v>0.1973099337890324</v>
      </c>
      <c r="J229" s="174"/>
      <c r="K229" s="256">
        <v>13403.31</v>
      </c>
      <c r="L229" s="16">
        <f t="shared" si="76"/>
        <v>0</v>
      </c>
      <c r="M229" s="53">
        <f t="shared" si="77"/>
        <v>0</v>
      </c>
      <c r="N229" s="174"/>
      <c r="O229" s="256">
        <v>0</v>
      </c>
      <c r="P229" s="16">
        <f t="shared" si="78"/>
        <v>13403.31</v>
      </c>
      <c r="Q229" s="53" t="str">
        <f t="shared" si="79"/>
        <v>N.M.</v>
      </c>
    </row>
    <row r="230" spans="1:17" s="67" customFormat="1" ht="12.75" hidden="1" outlineLevel="1">
      <c r="A230" s="67" t="s">
        <v>156</v>
      </c>
      <c r="B230" s="87"/>
      <c r="C230" s="82" t="s">
        <v>153</v>
      </c>
      <c r="D230" s="66"/>
      <c r="E230" s="66"/>
      <c r="F230" s="51">
        <v>24091153.200000003</v>
      </c>
      <c r="G230" s="51">
        <v>23543524.740000002</v>
      </c>
      <c r="H230" s="51">
        <f>+F230-G230</f>
        <v>547628.4600000009</v>
      </c>
      <c r="I230" s="136">
        <f>IF(G230&lt;0,IF(H230=0,0,IF(OR(G230=0,F230=0),"N.M.",IF(ABS(H230/G230)&gt;=10,"N.M.",H230/(-G230)))),IF(H230=0,0,IF(OR(G230=0,F230=0),"N.M.",IF(ABS(H230/G230)&gt;=10,"N.M.",H230/G230))))</f>
        <v>0.023260258013516156</v>
      </c>
      <c r="J230" s="162"/>
      <c r="K230" s="51">
        <v>24526106.69</v>
      </c>
      <c r="L230" s="51">
        <f>+F230-K230</f>
        <v>-434953.48999999836</v>
      </c>
      <c r="M230" s="136" t="str">
        <f>IF(K230&lt;0,IF(L230=0,0,IF(OR(K230=0,N230=0),"N.M.",IF(ABS(L230/K230)&gt;=10,"N.M.",L230/(-K230)))),IF(L230=0,0,IF(OR(K230=0,N230=0),"N.M.",IF(ABS(L230/K230)&gt;=10,"N.M.",L230/K230))))</f>
        <v>N.M.</v>
      </c>
      <c r="N230" s="162"/>
      <c r="O230" s="51">
        <v>31561511.31</v>
      </c>
      <c r="P230" s="51">
        <f>+F230-O230</f>
        <v>-7470358.109999996</v>
      </c>
      <c r="Q230" s="136">
        <f>IF(O230&lt;0,IF(P230=0,0,IF(OR(O230=0,F230=0),"N.M.",IF(ABS(P230/O230)&gt;=10,"N.M.",P230/(-O230)))),IF(P230=0,0,IF(OR(O230=0,F230=0),"N.M.",IF(ABS(P230/O230)&gt;=10,"N.M.",P230/O230))))</f>
        <v>-0.2366920277240677</v>
      </c>
    </row>
    <row r="231" spans="1:17" s="15" customFormat="1" ht="12.75" hidden="1" outlineLevel="2">
      <c r="A231" s="15" t="s">
        <v>777</v>
      </c>
      <c r="B231" s="15" t="s">
        <v>778</v>
      </c>
      <c r="C231" s="134" t="s">
        <v>779</v>
      </c>
      <c r="D231" s="16"/>
      <c r="E231" s="16"/>
      <c r="F231" s="16">
        <v>190554.15</v>
      </c>
      <c r="G231" s="16">
        <v>290594.2</v>
      </c>
      <c r="H231" s="16">
        <f aca="true" t="shared" si="80" ref="H231:H236">+F231-G231</f>
        <v>-100040.05000000002</v>
      </c>
      <c r="I231" s="53">
        <f aca="true" t="shared" si="81" ref="I231:I236">IF(G231&lt;0,IF(H231=0,0,IF(OR(G231=0,F231=0),"N.M.",IF(ABS(H231/G231)&gt;=10,"N.M.",H231/(-G231)))),IF(H231=0,0,IF(OR(G231=0,F231=0),"N.M.",IF(ABS(H231/G231)&gt;=10,"N.M.",H231/G231))))</f>
        <v>-0.3442603121466293</v>
      </c>
      <c r="J231" s="174"/>
      <c r="K231" s="256">
        <v>244449.65</v>
      </c>
      <c r="L231" s="16">
        <f aca="true" t="shared" si="82" ref="L231:L236">+F231-K231</f>
        <v>-53895.5</v>
      </c>
      <c r="M231" s="53" t="str">
        <f aca="true" t="shared" si="83" ref="M231:M236">IF(K231&lt;0,IF(L231=0,0,IF(OR(K231=0,N231=0),"N.M.",IF(ABS(L231/K231)&gt;=10,"N.M.",L231/(-K231)))),IF(L231=0,0,IF(OR(K231=0,N231=0),"N.M.",IF(ABS(L231/K231)&gt;=10,"N.M.",L231/K231))))</f>
        <v>N.M.</v>
      </c>
      <c r="N231" s="174"/>
      <c r="O231" s="256">
        <v>252948.30000000002</v>
      </c>
      <c r="P231" s="16">
        <f aca="true" t="shared" si="84" ref="P231:P236">+F231-O231</f>
        <v>-62394.15000000002</v>
      </c>
      <c r="Q231" s="53">
        <f aca="true" t="shared" si="85" ref="Q231:Q236">IF(O231&lt;0,IF(P231=0,0,IF(OR(O231=0,F231=0),"N.M.",IF(ABS(P231/O231)&gt;=10,"N.M.",P231/(-O231)))),IF(P231=0,0,IF(OR(O231=0,F231=0),"N.M.",IF(ABS(P231/O231)&gt;=10,"N.M.",P231/O231))))</f>
        <v>-0.24666759966364676</v>
      </c>
    </row>
    <row r="232" spans="1:17" s="15" customFormat="1" ht="12.75" hidden="1" outlineLevel="2">
      <c r="A232" s="15" t="s">
        <v>780</v>
      </c>
      <c r="B232" s="15" t="s">
        <v>781</v>
      </c>
      <c r="C232" s="134" t="s">
        <v>782</v>
      </c>
      <c r="D232" s="16"/>
      <c r="E232" s="16"/>
      <c r="F232" s="16">
        <v>222320.04</v>
      </c>
      <c r="G232" s="16">
        <v>254854.68</v>
      </c>
      <c r="H232" s="16">
        <f t="shared" si="80"/>
        <v>-32534.639999999985</v>
      </c>
      <c r="I232" s="53">
        <f t="shared" si="81"/>
        <v>-0.12765957446808504</v>
      </c>
      <c r="J232" s="174"/>
      <c r="K232" s="256">
        <v>225031.26</v>
      </c>
      <c r="L232" s="16">
        <f t="shared" si="82"/>
        <v>-2711.220000000001</v>
      </c>
      <c r="M232" s="53" t="str">
        <f t="shared" si="83"/>
        <v>N.M.</v>
      </c>
      <c r="N232" s="174"/>
      <c r="O232" s="256">
        <v>249432.24</v>
      </c>
      <c r="P232" s="16">
        <f t="shared" si="84"/>
        <v>-27112.199999999983</v>
      </c>
      <c r="Q232" s="53">
        <f t="shared" si="85"/>
        <v>-0.10869565217391297</v>
      </c>
    </row>
    <row r="233" spans="1:17" s="15" customFormat="1" ht="12.75" hidden="1" outlineLevel="2">
      <c r="A233" s="15" t="s">
        <v>783</v>
      </c>
      <c r="B233" s="15" t="s">
        <v>784</v>
      </c>
      <c r="C233" s="134" t="s">
        <v>785</v>
      </c>
      <c r="D233" s="16"/>
      <c r="E233" s="16"/>
      <c r="F233" s="16">
        <v>9821964.79</v>
      </c>
      <c r="G233" s="16">
        <v>25307401.06</v>
      </c>
      <c r="H233" s="16">
        <f t="shared" si="80"/>
        <v>-15485436.27</v>
      </c>
      <c r="I233" s="53">
        <f t="shared" si="81"/>
        <v>-0.611893581379075</v>
      </c>
      <c r="J233" s="174"/>
      <c r="K233" s="256">
        <v>10691488.84</v>
      </c>
      <c r="L233" s="16">
        <f t="shared" si="82"/>
        <v>-869524.0500000007</v>
      </c>
      <c r="M233" s="53" t="str">
        <f t="shared" si="83"/>
        <v>N.M.</v>
      </c>
      <c r="N233" s="174"/>
      <c r="O233" s="256">
        <v>14157012.45</v>
      </c>
      <c r="P233" s="16">
        <f t="shared" si="84"/>
        <v>-4335047.66</v>
      </c>
      <c r="Q233" s="53">
        <f t="shared" si="85"/>
        <v>-0.30621203981493994</v>
      </c>
    </row>
    <row r="234" spans="1:17" s="15" customFormat="1" ht="12.75" hidden="1" outlineLevel="2">
      <c r="A234" s="15" t="s">
        <v>786</v>
      </c>
      <c r="B234" s="15" t="s">
        <v>787</v>
      </c>
      <c r="C234" s="134" t="s">
        <v>788</v>
      </c>
      <c r="D234" s="16"/>
      <c r="E234" s="16"/>
      <c r="F234" s="16">
        <v>516500.04000000004</v>
      </c>
      <c r="G234" s="16">
        <v>1189126.37</v>
      </c>
      <c r="H234" s="16">
        <f t="shared" si="80"/>
        <v>-672626.3300000001</v>
      </c>
      <c r="I234" s="53">
        <f t="shared" si="81"/>
        <v>-0.5656474761383015</v>
      </c>
      <c r="J234" s="174"/>
      <c r="K234" s="256">
        <v>524709.64</v>
      </c>
      <c r="L234" s="16">
        <f t="shared" si="82"/>
        <v>-8209.599999999977</v>
      </c>
      <c r="M234" s="53" t="str">
        <f t="shared" si="83"/>
        <v>N.M.</v>
      </c>
      <c r="N234" s="174"/>
      <c r="O234" s="256">
        <v>607057.99</v>
      </c>
      <c r="P234" s="16">
        <f t="shared" si="84"/>
        <v>-90557.94999999995</v>
      </c>
      <c r="Q234" s="53">
        <f t="shared" si="85"/>
        <v>-0.14917512246235315</v>
      </c>
    </row>
    <row r="235" spans="1:17" s="15" customFormat="1" ht="12.75" hidden="1" outlineLevel="2">
      <c r="A235" s="15" t="s">
        <v>789</v>
      </c>
      <c r="B235" s="15" t="s">
        <v>790</v>
      </c>
      <c r="C235" s="134" t="s">
        <v>791</v>
      </c>
      <c r="D235" s="16"/>
      <c r="E235" s="16"/>
      <c r="F235" s="16">
        <v>12112798.32</v>
      </c>
      <c r="G235" s="16">
        <v>12421738.44</v>
      </c>
      <c r="H235" s="16">
        <f t="shared" si="80"/>
        <v>-308940.1199999992</v>
      </c>
      <c r="I235" s="53">
        <f t="shared" si="81"/>
        <v>-0.024870924588555353</v>
      </c>
      <c r="J235" s="174"/>
      <c r="K235" s="256">
        <v>12159099.81</v>
      </c>
      <c r="L235" s="16">
        <f t="shared" si="82"/>
        <v>-46301.49000000022</v>
      </c>
      <c r="M235" s="53" t="str">
        <f t="shared" si="83"/>
        <v>N.M.</v>
      </c>
      <c r="N235" s="174"/>
      <c r="O235" s="256">
        <v>13730759.07</v>
      </c>
      <c r="P235" s="16">
        <f t="shared" si="84"/>
        <v>-1617960.75</v>
      </c>
      <c r="Q235" s="53">
        <f t="shared" si="85"/>
        <v>-0.11783476366831334</v>
      </c>
    </row>
    <row r="236" spans="1:17" s="15" customFormat="1" ht="12.75" hidden="1" outlineLevel="2">
      <c r="A236" s="15" t="s">
        <v>792</v>
      </c>
      <c r="B236" s="15" t="s">
        <v>793</v>
      </c>
      <c r="C236" s="134" t="s">
        <v>794</v>
      </c>
      <c r="D236" s="16"/>
      <c r="E236" s="16"/>
      <c r="F236" s="16">
        <v>390287.13</v>
      </c>
      <c r="G236" s="16">
        <v>444136.52</v>
      </c>
      <c r="H236" s="16">
        <f t="shared" si="80"/>
        <v>-53849.390000000014</v>
      </c>
      <c r="I236" s="53">
        <f t="shared" si="81"/>
        <v>-0.1212451297632539</v>
      </c>
      <c r="J236" s="174"/>
      <c r="K236" s="256">
        <v>394241.60000000003</v>
      </c>
      <c r="L236" s="16">
        <f t="shared" si="82"/>
        <v>-3954.4700000000303</v>
      </c>
      <c r="M236" s="53" t="str">
        <f t="shared" si="83"/>
        <v>N.M.</v>
      </c>
      <c r="N236" s="174"/>
      <c r="O236" s="256">
        <v>429831.75</v>
      </c>
      <c r="P236" s="16">
        <f t="shared" si="84"/>
        <v>-39544.619999999995</v>
      </c>
      <c r="Q236" s="53">
        <f t="shared" si="85"/>
        <v>-0.09200023032267857</v>
      </c>
    </row>
    <row r="237" spans="1:17" s="67" customFormat="1" ht="12.75" hidden="1" outlineLevel="1">
      <c r="A237" s="67" t="s">
        <v>155</v>
      </c>
      <c r="B237" s="87"/>
      <c r="C237" s="96" t="s">
        <v>154</v>
      </c>
      <c r="D237" s="66"/>
      <c r="E237" s="66"/>
      <c r="F237" s="197">
        <v>23254424.47</v>
      </c>
      <c r="G237" s="197">
        <v>39907851.27</v>
      </c>
      <c r="H237" s="197">
        <f>+F237-G237</f>
        <v>-16653426.800000004</v>
      </c>
      <c r="I237" s="138">
        <f>IF(G237&lt;0,IF(H237=0,0,IF(OR(G237=0,F237=0),"N.M.",IF(ABS(H237/G237)&gt;=10,"N.M.",H237/(-G237)))),IF(H237=0,0,IF(OR(G237=0,F237=0),"N.M.",IF(ABS(H237/G237)&gt;=10,"N.M.",H237/G237))))</f>
        <v>-0.41729700472545644</v>
      </c>
      <c r="J237" s="162"/>
      <c r="K237" s="197">
        <v>24239020.800000004</v>
      </c>
      <c r="L237" s="197">
        <f>+F237-K237</f>
        <v>-984596.3300000057</v>
      </c>
      <c r="M237" s="138" t="str">
        <f>IF(K237&lt;0,IF(L237=0,0,IF(OR(K237=0,N237=0),"N.M.",IF(ABS(L237/K237)&gt;=10,"N.M.",L237/(-K237)))),IF(L237=0,0,IF(OR(K237=0,N237=0),"N.M.",IF(ABS(L237/K237)&gt;=10,"N.M.",L237/K237))))</f>
        <v>N.M.</v>
      </c>
      <c r="N237" s="162"/>
      <c r="O237" s="197">
        <v>29427041.799999997</v>
      </c>
      <c r="P237" s="197">
        <f>+F237-O237</f>
        <v>-6172617.329999998</v>
      </c>
      <c r="Q237" s="138">
        <f>IF(O237&lt;0,IF(P237=0,0,IF(OR(O237=0,F237=0),"N.M.",IF(ABS(P237/O237)&gt;=10,"N.M.",P237/(-O237)))),IF(P237=0,0,IF(OR(O237=0,F237=0),"N.M.",IF(ABS(P237/O237)&gt;=10,"N.M.",P237/O237))))</f>
        <v>-0.2097600354106949</v>
      </c>
    </row>
    <row r="238" spans="1:17" s="75" customFormat="1" ht="12" customHeight="1" collapsed="1">
      <c r="A238" s="75" t="s">
        <v>158</v>
      </c>
      <c r="B238" s="93"/>
      <c r="C238" s="75" t="s">
        <v>75</v>
      </c>
      <c r="D238" s="74"/>
      <c r="E238" s="74"/>
      <c r="F238" s="74">
        <f>+F215+F218+F230+F237</f>
        <v>50220161.94</v>
      </c>
      <c r="G238" s="74">
        <f>+G215+G218+G230+G237</f>
        <v>66638784.49000001</v>
      </c>
      <c r="H238" s="74">
        <f>+F238-G238</f>
        <v>-16418622.550000012</v>
      </c>
      <c r="I238" s="137">
        <f>IF(G238&lt;0,IF(H238=0,0,IF(OR(G238=0,F238=0),"N.M.",IF(ABS(H238/G238)&gt;=10,"N.M.",H238/(-G238)))),IF(H238=0,0,IF(OR(G238=0,F238=0),"N.M.",IF(ABS(H238/G238)&gt;=10,"N.M.",H238/G238))))</f>
        <v>-0.24638238340712582</v>
      </c>
      <c r="J238" s="163"/>
      <c r="K238" s="74">
        <f>+K215+K218+K230+K237</f>
        <v>51655445.410000004</v>
      </c>
      <c r="L238" s="74">
        <f>+F238-K238</f>
        <v>-1435283.4700000063</v>
      </c>
      <c r="M238" s="137" t="str">
        <f>IF(K238&lt;0,IF(L238=0,0,IF(OR(K238=0,N238=0),"N.M.",IF(ABS(L238/K238)&gt;=10,"N.M.",L238/(-K238)))),IF(L238=0,0,IF(OR(K238=0,N238=0),"N.M.",IF(ABS(L238/K238)&gt;=10,"N.M.",L238/K238))))</f>
        <v>N.M.</v>
      </c>
      <c r="N238" s="163"/>
      <c r="O238" s="74">
        <f>+O215+O218+O230+O237</f>
        <v>64107217.13999999</v>
      </c>
      <c r="P238" s="74">
        <f>+F238-O238</f>
        <v>-13887055.199999996</v>
      </c>
      <c r="Q238" s="137">
        <f>IF(O238&lt;0,IF(P238=0,0,IF(OR(O238=0,F238=0),"N.M.",IF(ABS(P238/O238)&gt;=10,"N.M.",P238/(-O238)))),IF(P238=0,0,IF(OR(O238=0,F238=0),"N.M.",IF(ABS(P238/O238)&gt;=10,"N.M.",P238/O238))))</f>
        <v>-0.216622337071236</v>
      </c>
    </row>
    <row r="239" spans="1:17" s="75" customFormat="1" ht="9" customHeight="1">
      <c r="A239" s="67"/>
      <c r="B239" s="88"/>
      <c r="C239" s="71"/>
      <c r="D239" s="74"/>
      <c r="E239" s="74"/>
      <c r="F239" s="74"/>
      <c r="G239" s="74"/>
      <c r="H239" s="74"/>
      <c r="I239" s="137"/>
      <c r="J239" s="163"/>
      <c r="K239" s="74"/>
      <c r="L239" s="74"/>
      <c r="M239" s="137"/>
      <c r="N239" s="163"/>
      <c r="O239" s="74"/>
      <c r="P239" s="74"/>
      <c r="Q239" s="137"/>
    </row>
    <row r="240" spans="1:17" s="95" customFormat="1" ht="12" customHeight="1">
      <c r="A240" s="93" t="s">
        <v>160</v>
      </c>
      <c r="B240" s="93"/>
      <c r="C240" s="75" t="s">
        <v>76</v>
      </c>
      <c r="D240" s="94"/>
      <c r="E240" s="94"/>
      <c r="F240" s="232">
        <v>1510689869.5810003</v>
      </c>
      <c r="G240" s="232">
        <v>1477182190.333</v>
      </c>
      <c r="H240" s="74">
        <f>+F240-G240</f>
        <v>33507679.248000383</v>
      </c>
      <c r="I240" s="137">
        <f>IF(G240&lt;0,IF(H240=0,0,IF(OR(G240=0,F240=0),"N.M.",IF(ABS(H240/G240)&gt;=10,"N.M.",H240/(-G240)))),IF(H240=0,0,IF(OR(G240=0,F240=0),"N.M.",IF(ABS(H240/G240)&gt;=10,"N.M.",H240/G240))))</f>
        <v>0.02268351153113129</v>
      </c>
      <c r="J240" s="164"/>
      <c r="K240" s="232">
        <v>1493661052.771</v>
      </c>
      <c r="L240" s="74">
        <f>+F240-K240</f>
        <v>17028816.81000042</v>
      </c>
      <c r="M240" s="137" t="str">
        <f>IF(K240&lt;0,IF(L240=0,0,IF(OR(K240=0,N240=0),"N.M.",IF(ABS(L240/K240)&gt;=10,"N.M.",L240/(-K240)))),IF(L240=0,0,IF(OR(K240=0,N240=0),"N.M.",IF(ABS(L240/K240)&gt;=10,"N.M.",L240/K240))))</f>
        <v>N.M.</v>
      </c>
      <c r="N240" s="164"/>
      <c r="O240" s="232">
        <v>1504334100.6949997</v>
      </c>
      <c r="P240" s="74">
        <f>+F240-O240</f>
        <v>6355768.886000633</v>
      </c>
      <c r="Q240" s="137">
        <f>IF(O240&lt;0,IF(P240=0,0,IF(OR(O240=0,F240=0),"N.M.",IF(ABS(P240/O240)&gt;=10,"N.M.",P240/(-O240)))),IF(P240=0,0,IF(OR(O240=0,F240=0),"N.M.",IF(ABS(P240/O240)&gt;=10,"N.M.",P240/O240))))</f>
        <v>0.0042249716223705085</v>
      </c>
    </row>
    <row r="241" spans="2:17" s="89" customFormat="1" ht="12" customHeight="1">
      <c r="B241" s="90"/>
      <c r="C241" s="91"/>
      <c r="D241" s="92"/>
      <c r="E241" s="92"/>
      <c r="F241" s="233" t="str">
        <f>IF(ABS(F31+F62+F185+F211+F238-F240)&gt;$C$575,$C$576," ")</f>
        <v> </v>
      </c>
      <c r="G241" s="233" t="str">
        <f>IF(ABS(G31+G62+G185+G211+G238-G240)&gt;$C$575,$C$576," ")</f>
        <v> </v>
      </c>
      <c r="H241" s="233"/>
      <c r="I241" s="140"/>
      <c r="J241" s="165"/>
      <c r="K241" s="233" t="str">
        <f>IF(ABS(K31+K62+K185+K211+K238-K240)&gt;$C$575,$C$576," ")</f>
        <v> </v>
      </c>
      <c r="L241" s="233"/>
      <c r="M241" s="140"/>
      <c r="N241" s="165"/>
      <c r="O241" s="233" t="str">
        <f>IF(ABS(O31+O62+O185+O211+O238-O240)&gt;$C$575,$C$576," ")</f>
        <v> </v>
      </c>
      <c r="P241" s="233"/>
      <c r="Q241" s="140"/>
    </row>
    <row r="242" spans="3:17" s="63" customFormat="1" ht="12.75">
      <c r="C242" s="62" t="s">
        <v>188</v>
      </c>
      <c r="D242" s="64"/>
      <c r="E242" s="64"/>
      <c r="F242" s="231"/>
      <c r="G242" s="231"/>
      <c r="H242" s="244"/>
      <c r="I242" s="65"/>
      <c r="J242" s="158"/>
      <c r="K242" s="231"/>
      <c r="L242" s="244"/>
      <c r="M242" s="65"/>
      <c r="N242" s="158"/>
      <c r="O242" s="231"/>
      <c r="P242" s="244"/>
      <c r="Q242" s="65"/>
    </row>
    <row r="243" spans="3:17" ht="12.75">
      <c r="C243" s="97" t="s">
        <v>177</v>
      </c>
      <c r="D243" s="98"/>
      <c r="E243" s="99"/>
      <c r="F243" s="98"/>
      <c r="G243" s="98"/>
      <c r="H243" s="98"/>
      <c r="I243" s="141"/>
      <c r="J243" s="166"/>
      <c r="K243" s="98"/>
      <c r="L243" s="98"/>
      <c r="M243" s="141"/>
      <c r="N243" s="166"/>
      <c r="O243" s="98"/>
      <c r="P243" s="98"/>
      <c r="Q243" s="141"/>
    </row>
    <row r="244" spans="3:17" s="1" customFormat="1" ht="12.75">
      <c r="C244" s="100" t="str">
        <f>"Authorized: "&amp;TEXT(CSA,"#,##0")&amp;" Shares"</f>
        <v>Authorized: 0 Shares</v>
      </c>
      <c r="D244" s="101" t="s">
        <v>19</v>
      </c>
      <c r="E244" s="102"/>
      <c r="F244" s="101" t="s">
        <v>19</v>
      </c>
      <c r="G244" s="101"/>
      <c r="H244" s="101" t="s">
        <v>19</v>
      </c>
      <c r="I244" s="142"/>
      <c r="J244" s="167"/>
      <c r="K244" s="101" t="s">
        <v>19</v>
      </c>
      <c r="L244" s="101" t="s">
        <v>19</v>
      </c>
      <c r="M244" s="142"/>
      <c r="N244" s="167"/>
      <c r="O244" s="101" t="s">
        <v>19</v>
      </c>
      <c r="P244" s="101" t="s">
        <v>19</v>
      </c>
      <c r="Q244" s="142"/>
    </row>
    <row r="245" spans="3:17" s="1" customFormat="1" ht="12.75">
      <c r="C245" s="100" t="str">
        <f>"Outstanding: "&amp;TEXT(CSO,"#,##0")&amp;" Shares"</f>
        <v>Outstanding: 1,009,000 Shares</v>
      </c>
      <c r="D245" s="101" t="s">
        <v>19</v>
      </c>
      <c r="E245" s="102"/>
      <c r="F245" s="101" t="s">
        <v>19</v>
      </c>
      <c r="G245" s="101"/>
      <c r="H245" s="101" t="s">
        <v>19</v>
      </c>
      <c r="I245" s="142"/>
      <c r="J245" s="167"/>
      <c r="K245" s="101" t="s">
        <v>19</v>
      </c>
      <c r="L245" s="101" t="s">
        <v>19</v>
      </c>
      <c r="M245" s="142"/>
      <c r="N245" s="167"/>
      <c r="O245" s="101" t="s">
        <v>19</v>
      </c>
      <c r="P245" s="101" t="s">
        <v>19</v>
      </c>
      <c r="Q245" s="142"/>
    </row>
    <row r="246" spans="3:17" s="1" customFormat="1" ht="0.75" customHeight="1" hidden="1" outlineLevel="1">
      <c r="C246" s="100"/>
      <c r="D246" s="101"/>
      <c r="E246" s="102"/>
      <c r="F246" s="101"/>
      <c r="G246" s="101"/>
      <c r="H246" s="101"/>
      <c r="I246" s="142"/>
      <c r="J246" s="167"/>
      <c r="K246" s="101"/>
      <c r="L246" s="101"/>
      <c r="M246" s="142"/>
      <c r="N246" s="167"/>
      <c r="O246" s="101"/>
      <c r="P246" s="101"/>
      <c r="Q246" s="142"/>
    </row>
    <row r="247" spans="1:17" s="15" customFormat="1" ht="12.75" hidden="1" outlineLevel="2">
      <c r="A247" s="15" t="s">
        <v>795</v>
      </c>
      <c r="B247" s="15" t="s">
        <v>796</v>
      </c>
      <c r="C247" s="134" t="s">
        <v>797</v>
      </c>
      <c r="D247" s="16"/>
      <c r="E247" s="16"/>
      <c r="F247" s="16">
        <v>50450000</v>
      </c>
      <c r="G247" s="16">
        <v>50450000</v>
      </c>
      <c r="H247" s="16">
        <f>+F247-G247</f>
        <v>0</v>
      </c>
      <c r="I247" s="53">
        <f>IF(G247&lt;0,IF(H247=0,0,IF(OR(G247=0,F247=0),"N.M.",IF(ABS(H247/G247)&gt;=10,"N.M.",H247/(-G247)))),IF(H247=0,0,IF(OR(G247=0,F247=0),"N.M.",IF(ABS(H247/G247)&gt;=10,"N.M.",H247/G247))))</f>
        <v>0</v>
      </c>
      <c r="J247" s="174"/>
      <c r="K247" s="256">
        <v>50450000</v>
      </c>
      <c r="L247" s="16">
        <f>+F247-K247</f>
        <v>0</v>
      </c>
      <c r="M247" s="53">
        <f>IF(K247&lt;0,IF(L247=0,0,IF(OR(K247=0,N247=0),"N.M.",IF(ABS(L247/K247)&gt;=10,"N.M.",L247/(-K247)))),IF(L247=0,0,IF(OR(K247=0,N247=0),"N.M.",IF(ABS(L247/K247)&gt;=10,"N.M.",L247/K247))))</f>
        <v>0</v>
      </c>
      <c r="N247" s="174"/>
      <c r="O247" s="256">
        <v>50450000</v>
      </c>
      <c r="P247" s="16">
        <f>+F247-O247</f>
        <v>0</v>
      </c>
      <c r="Q247" s="53">
        <f>IF(O247&lt;0,IF(P247=0,0,IF(OR(O247=0,F247=0),"N.M.",IF(ABS(P247/O247)&gt;=10,"N.M.",P247/(-O247)))),IF(P247=0,0,IF(OR(O247=0,F247=0),"N.M.",IF(ABS(P247/O247)&gt;=10,"N.M.",P247/O247))))</f>
        <v>0</v>
      </c>
    </row>
    <row r="248" spans="1:17" ht="12.75" collapsed="1">
      <c r="A248" s="11" t="s">
        <v>248</v>
      </c>
      <c r="C248" s="111" t="s">
        <v>182</v>
      </c>
      <c r="D248" s="103"/>
      <c r="E248" s="104"/>
      <c r="F248" s="103">
        <v>50450000</v>
      </c>
      <c r="G248" s="103">
        <v>50450000</v>
      </c>
      <c r="H248" s="51">
        <f>+F248-G248</f>
        <v>0</v>
      </c>
      <c r="I248" s="136">
        <f>IF(G248&lt;0,IF(H248=0,0,IF(OR(G248=0,F248=0),"N.M.",IF(ABS(H248/G248)&gt;=10,"N.M.",H248/(-G248)))),IF(H248=0,0,IF(OR(G248=0,F248=0),"N.M.",IF(ABS(H248/G248)&gt;=10,"N.M.",H248/G248))))</f>
        <v>0</v>
      </c>
      <c r="J248" s="166"/>
      <c r="K248" s="103">
        <v>50450000</v>
      </c>
      <c r="L248" s="51">
        <f>+F248-K248</f>
        <v>0</v>
      </c>
      <c r="M248" s="136">
        <f>IF(K248&lt;0,IF(L248=0,0,IF(OR(K248=0,N248=0),"N.M.",IF(ABS(L248/K248)&gt;=10,"N.M.",L248/(-K248)))),IF(L248=0,0,IF(OR(K248=0,N248=0),"N.M.",IF(ABS(L248/K248)&gt;=10,"N.M.",L248/K248))))</f>
        <v>0</v>
      </c>
      <c r="N248" s="166"/>
      <c r="O248" s="103">
        <v>50450000</v>
      </c>
      <c r="P248" s="51">
        <f>+F248-O248</f>
        <v>0</v>
      </c>
      <c r="Q248" s="136">
        <f>IF(O248&lt;0,IF(P248=0,0,IF(OR(O248=0,F248=0),"N.M.",IF(ABS(P248/O248)&gt;=10,"N.M.",P248/(-O248)))),IF(P248=0,0,IF(OR(O248=0,F248=0),"N.M.",IF(ABS(P248/O248)&gt;=10,"N.M.",P248/O248))))</f>
        <v>0</v>
      </c>
    </row>
    <row r="249" spans="3:17" ht="0.75" customHeight="1" hidden="1" outlineLevel="1">
      <c r="C249" s="111"/>
      <c r="D249" s="103"/>
      <c r="E249" s="104"/>
      <c r="F249" s="103"/>
      <c r="G249" s="103"/>
      <c r="H249" s="51"/>
      <c r="I249" s="136"/>
      <c r="J249" s="166"/>
      <c r="K249" s="103"/>
      <c r="L249" s="51"/>
      <c r="M249" s="136"/>
      <c r="N249" s="166"/>
      <c r="O249" s="103"/>
      <c r="P249" s="51"/>
      <c r="Q249" s="136"/>
    </row>
    <row r="250" spans="1:17" ht="12.75" collapsed="1">
      <c r="A250" s="11" t="s">
        <v>249</v>
      </c>
      <c r="C250" s="111" t="s">
        <v>183</v>
      </c>
      <c r="D250" s="103"/>
      <c r="E250" s="104"/>
      <c r="F250" s="103">
        <v>0</v>
      </c>
      <c r="G250" s="103">
        <v>0</v>
      </c>
      <c r="H250" s="51">
        <f>+F250-G250</f>
        <v>0</v>
      </c>
      <c r="I250" s="136">
        <f>IF(G250&lt;0,IF(H250=0,0,IF(OR(G250=0,F250=0),"N.M.",IF(ABS(H250/G250)&gt;=10,"N.M.",H250/(-G250)))),IF(H250=0,0,IF(OR(G250=0,F250=0),"N.M.",IF(ABS(H250/G250)&gt;=10,"N.M.",H250/G250))))</f>
        <v>0</v>
      </c>
      <c r="J250" s="166"/>
      <c r="K250" s="103">
        <v>0</v>
      </c>
      <c r="L250" s="51">
        <f>+F250-K250</f>
        <v>0</v>
      </c>
      <c r="M250" s="136">
        <f>IF(K250&lt;0,IF(L250=0,0,IF(OR(K250=0,N250=0),"N.M.",IF(ABS(L250/K250)&gt;=10,"N.M.",L250/(-K250)))),IF(L250=0,0,IF(OR(K250=0,N250=0),"N.M.",IF(ABS(L250/K250)&gt;=10,"N.M.",L250/K250))))</f>
        <v>0</v>
      </c>
      <c r="N250" s="166"/>
      <c r="O250" s="103">
        <v>0</v>
      </c>
      <c r="P250" s="51">
        <f>+F250-O250</f>
        <v>0</v>
      </c>
      <c r="Q250" s="136">
        <f>IF(O250&lt;0,IF(P250=0,0,IF(OR(O250=0,F250=0),"N.M.",IF(ABS(P250/O250)&gt;=10,"N.M.",P250/(-O250)))),IF(P250=0,0,IF(OR(O250=0,F250=0),"N.M.",IF(ABS(P250/O250)&gt;=10,"N.M.",P250/O250))))</f>
        <v>0</v>
      </c>
    </row>
    <row r="251" spans="3:17" ht="0.75" customHeight="1" hidden="1" outlineLevel="1">
      <c r="C251" s="111"/>
      <c r="D251" s="103"/>
      <c r="E251" s="104"/>
      <c r="F251" s="103"/>
      <c r="G251" s="103"/>
      <c r="H251" s="51"/>
      <c r="I251" s="136"/>
      <c r="J251" s="166"/>
      <c r="K251" s="103"/>
      <c r="L251" s="51"/>
      <c r="M251" s="136"/>
      <c r="N251" s="166"/>
      <c r="O251" s="103"/>
      <c r="P251" s="51"/>
      <c r="Q251" s="136"/>
    </row>
    <row r="252" spans="1:17" s="15" customFormat="1" ht="12.75" hidden="1" outlineLevel="2">
      <c r="A252" s="15" t="s">
        <v>798</v>
      </c>
      <c r="B252" s="15" t="s">
        <v>799</v>
      </c>
      <c r="C252" s="134" t="s">
        <v>800</v>
      </c>
      <c r="D252" s="16"/>
      <c r="E252" s="16"/>
      <c r="F252" s="16">
        <v>238750000</v>
      </c>
      <c r="G252" s="16">
        <v>238750000</v>
      </c>
      <c r="H252" s="16">
        <f>+F252-G252</f>
        <v>0</v>
      </c>
      <c r="I252" s="53">
        <f>IF(G252&lt;0,IF(H252=0,0,IF(OR(G252=0,F252=0),"N.M.",IF(ABS(H252/G252)&gt;=10,"N.M.",H252/(-G252)))),IF(H252=0,0,IF(OR(G252=0,F252=0),"N.M.",IF(ABS(H252/G252)&gt;=10,"N.M.",H252/G252))))</f>
        <v>0</v>
      </c>
      <c r="J252" s="174"/>
      <c r="K252" s="256">
        <v>238750000</v>
      </c>
      <c r="L252" s="16">
        <f>+F252-K252</f>
        <v>0</v>
      </c>
      <c r="M252" s="53">
        <f>IF(K252&lt;0,IF(L252=0,0,IF(OR(K252=0,N252=0),"N.M.",IF(ABS(L252/K252)&gt;=10,"N.M.",L252/(-K252)))),IF(L252=0,0,IF(OR(K252=0,N252=0),"N.M.",IF(ABS(L252/K252)&gt;=10,"N.M.",L252/K252))))</f>
        <v>0</v>
      </c>
      <c r="N252" s="174"/>
      <c r="O252" s="256">
        <v>238750000</v>
      </c>
      <c r="P252" s="16">
        <f>+F252-O252</f>
        <v>0</v>
      </c>
      <c r="Q252" s="53">
        <f>IF(O252&lt;0,IF(P252=0,0,IF(OR(O252=0,F252=0),"N.M.",IF(ABS(P252/O252)&gt;=10,"N.M.",P252/(-O252)))),IF(P252=0,0,IF(OR(O252=0,F252=0),"N.M.",IF(ABS(P252/O252)&gt;=10,"N.M.",P252/O252))))</f>
        <v>0</v>
      </c>
    </row>
    <row r="253" spans="1:17" s="15" customFormat="1" ht="12.75" hidden="1" outlineLevel="2">
      <c r="A253" s="15" t="s">
        <v>801</v>
      </c>
      <c r="B253" s="15" t="s">
        <v>802</v>
      </c>
      <c r="C253" s="134" t="s">
        <v>803</v>
      </c>
      <c r="D253" s="16"/>
      <c r="E253" s="16"/>
      <c r="F253" s="16">
        <v>-341369.77</v>
      </c>
      <c r="G253" s="16">
        <v>-44435.19</v>
      </c>
      <c r="H253" s="16">
        <f>+F253-G253</f>
        <v>-296934.58</v>
      </c>
      <c r="I253" s="53">
        <f>IF(G253&lt;0,IF(H253=0,0,IF(OR(G253=0,F253=0),"N.M.",IF(ABS(H253/G253)&gt;=10,"N.M.",H253/(-G253)))),IF(H253=0,0,IF(OR(G253=0,F253=0),"N.M.",IF(ABS(H253/G253)&gt;=10,"N.M.",H253/G253))))</f>
        <v>-6.682419496799721</v>
      </c>
      <c r="J253" s="174"/>
      <c r="K253" s="256">
        <v>-438945.76</v>
      </c>
      <c r="L253" s="16">
        <f>+F253-K253</f>
        <v>97575.98999999999</v>
      </c>
      <c r="M253" s="53" t="str">
        <f>IF(K253&lt;0,IF(L253=0,0,IF(OR(K253=0,N253=0),"N.M.",IF(ABS(L253/K253)&gt;=10,"N.M.",L253/(-K253)))),IF(L253=0,0,IF(OR(K253=0,N253=0),"N.M.",IF(ABS(L253/K253)&gt;=10,"N.M.",L253/K253))))</f>
        <v>N.M.</v>
      </c>
      <c r="N253" s="174"/>
      <c r="O253" s="256">
        <v>-137709.73</v>
      </c>
      <c r="P253" s="16">
        <f>+F253-O253</f>
        <v>-203660.04</v>
      </c>
      <c r="Q253" s="53">
        <f>IF(O253&lt;0,IF(P253=0,0,IF(OR(O253=0,F253=0),"N.M.",IF(ABS(P253/O253)&gt;=10,"N.M.",P253/(-O253)))),IF(P253=0,0,IF(OR(O253=0,F253=0),"N.M.",IF(ABS(P253/O253)&gt;=10,"N.M.",P253/O253))))</f>
        <v>-1.4789081352494118</v>
      </c>
    </row>
    <row r="254" spans="1:17" s="15" customFormat="1" ht="12.75" hidden="1" outlineLevel="2">
      <c r="A254" s="15" t="s">
        <v>804</v>
      </c>
      <c r="B254" s="15" t="s">
        <v>805</v>
      </c>
      <c r="C254" s="134" t="s">
        <v>806</v>
      </c>
      <c r="D254" s="16"/>
      <c r="E254" s="16"/>
      <c r="F254" s="16">
        <v>-412880.66000000003</v>
      </c>
      <c r="G254" s="16">
        <v>-473302.22000000003</v>
      </c>
      <c r="H254" s="16">
        <f>+F254-G254</f>
        <v>60421.56</v>
      </c>
      <c r="I254" s="53">
        <f>IF(G254&lt;0,IF(H254=0,0,IF(OR(G254=0,F254=0),"N.M.",IF(ABS(H254/G254)&gt;=10,"N.M.",H254/(-G254)))),IF(H254=0,0,IF(OR(G254=0,F254=0),"N.M.",IF(ABS(H254/G254)&gt;=10,"N.M.",H254/G254))))</f>
        <v>0.1276595744680851</v>
      </c>
      <c r="J254" s="174"/>
      <c r="K254" s="256">
        <v>-417915.79000000004</v>
      </c>
      <c r="L254" s="16">
        <f>+F254-K254</f>
        <v>5035.130000000005</v>
      </c>
      <c r="M254" s="53" t="str">
        <f>IF(K254&lt;0,IF(L254=0,0,IF(OR(K254=0,N254=0),"N.M.",IF(ABS(L254/K254)&gt;=10,"N.M.",L254/(-K254)))),IF(L254=0,0,IF(OR(K254=0,N254=0),"N.M.",IF(ABS(L254/K254)&gt;=10,"N.M.",L254/K254))))</f>
        <v>N.M.</v>
      </c>
      <c r="N254" s="174"/>
      <c r="O254" s="256">
        <v>-463231.96</v>
      </c>
      <c r="P254" s="16">
        <f>+F254-O254</f>
        <v>50351.29999999999</v>
      </c>
      <c r="Q254" s="53">
        <f>IF(O254&lt;0,IF(P254=0,0,IF(OR(O254=0,F254=0),"N.M.",IF(ABS(P254/O254)&gt;=10,"N.M.",P254/(-O254)))),IF(P254=0,0,IF(OR(O254=0,F254=0),"N.M.",IF(ABS(P254/O254)&gt;=10,"N.M.",P254/O254))))</f>
        <v>0.10869565217391301</v>
      </c>
    </row>
    <row r="255" spans="1:17" ht="12.75" collapsed="1">
      <c r="A255" s="11" t="s">
        <v>250</v>
      </c>
      <c r="C255" s="111" t="s">
        <v>184</v>
      </c>
      <c r="D255" s="103"/>
      <c r="E255" s="104"/>
      <c r="F255" s="103">
        <v>237995749.57</v>
      </c>
      <c r="G255" s="103">
        <v>238232262.59</v>
      </c>
      <c r="H255" s="51">
        <f>+F255-G255</f>
        <v>-236513.02000001073</v>
      </c>
      <c r="I255" s="136">
        <f>IF(G255&lt;0,IF(H255=0,0,IF(OR(G255=0,F255=0),"N.M.",IF(ABS(H255/G255)&gt;=10,"N.M.",H255/(-G255)))),IF(H255=0,0,IF(OR(G255=0,F255=0),"N.M.",IF(ABS(H255/G255)&gt;=10,"N.M.",H255/G255))))</f>
        <v>-0.0009927833343339055</v>
      </c>
      <c r="J255" s="166"/>
      <c r="K255" s="103">
        <v>237893138.45000002</v>
      </c>
      <c r="L255" s="51">
        <f>+F255-K255</f>
        <v>102611.11999997497</v>
      </c>
      <c r="M255" s="136" t="str">
        <f>IF(K255&lt;0,IF(L255=0,0,IF(OR(K255=0,N255=0),"N.M.",IF(ABS(L255/K255)&gt;=10,"N.M.",L255/(-K255)))),IF(L255=0,0,IF(OR(K255=0,N255=0),"N.M.",IF(ABS(L255/K255)&gt;=10,"N.M.",L255/K255))))</f>
        <v>N.M.</v>
      </c>
      <c r="N255" s="166"/>
      <c r="O255" s="103">
        <v>238149058.31</v>
      </c>
      <c r="P255" s="51">
        <f>+F255-O255</f>
        <v>-153308.74000000954</v>
      </c>
      <c r="Q255" s="136">
        <f>IF(O255&lt;0,IF(P255=0,0,IF(OR(O255=0,F255=0),"N.M.",IF(ABS(P255/O255)&gt;=10,"N.M.",P255/(-O255)))),IF(P255=0,0,IF(OR(O255=0,F255=0),"N.M.",IF(ABS(P255/O255)&gt;=10,"N.M.",P255/O255))))</f>
        <v>-0.0006437511913250846</v>
      </c>
    </row>
    <row r="256" spans="3:17" ht="0.75" customHeight="1" hidden="1" outlineLevel="1">
      <c r="C256" s="111"/>
      <c r="D256" s="103"/>
      <c r="E256" s="104"/>
      <c r="F256" s="103"/>
      <c r="G256" s="103"/>
      <c r="H256" s="51"/>
      <c r="I256" s="136"/>
      <c r="J256" s="166"/>
      <c r="K256" s="103"/>
      <c r="L256" s="51"/>
      <c r="M256" s="136"/>
      <c r="N256" s="166"/>
      <c r="O256" s="103"/>
      <c r="P256" s="51"/>
      <c r="Q256" s="136"/>
    </row>
    <row r="257" spans="1:17" ht="12.75" collapsed="1">
      <c r="A257" s="11" t="s">
        <v>251</v>
      </c>
      <c r="C257" s="112" t="s">
        <v>235</v>
      </c>
      <c r="D257" s="103"/>
      <c r="E257" s="104"/>
      <c r="F257" s="234">
        <v>149639865.028</v>
      </c>
      <c r="G257" s="234">
        <v>141650145.52399966</v>
      </c>
      <c r="H257" s="197">
        <f>+F257-G257</f>
        <v>7989719.504000336</v>
      </c>
      <c r="I257" s="138">
        <f>IF(G257&lt;0,IF(H257=0,0,IF(OR(G257=0,F257=0),"N.M.",IF(ABS(H257/G257)&gt;=10,"N.M.",H257/(-G257)))),IF(H257=0,0,IF(OR(G257=0,F257=0),"N.M.",IF(ABS(H257/G257)&gt;=10,"N.M.",H257/G257))))</f>
        <v>0.056404597922891965</v>
      </c>
      <c r="J257" s="166"/>
      <c r="K257" s="234">
        <v>146575862.87700003</v>
      </c>
      <c r="L257" s="197">
        <f>+F257-K257</f>
        <v>3064002.1509999633</v>
      </c>
      <c r="M257" s="138" t="str">
        <f>IF(K257&lt;0,IF(L257=0,0,IF(OR(K257=0,N257=0),"N.M.",IF(ABS(L257/K257)&gt;=10,"N.M.",L257/(-K257)))),IF(L257=0,0,IF(OR(K257=0,N257=0),"N.M.",IF(ABS(L257/K257)&gt;=10,"N.M.",L257/K257))))</f>
        <v>N.M.</v>
      </c>
      <c r="N257" s="166"/>
      <c r="O257" s="234">
        <v>143184638.96199968</v>
      </c>
      <c r="P257" s="197">
        <f>+F257-O257</f>
        <v>6455226.066000313</v>
      </c>
      <c r="Q257" s="138">
        <f>IF(O257&lt;0,IF(P257=0,0,IF(OR(O257=0,F257=0),"N.M.",IF(ABS(P257/O257)&gt;=10,"N.M.",P257/(-O257)))),IF(P257=0,0,IF(OR(O257=0,F257=0),"N.M.",IF(ABS(P257/O257)&gt;=10,"N.M.",P257/O257))))</f>
        <v>0.0450832303855827</v>
      </c>
    </row>
    <row r="258" spans="1:17" s="13" customFormat="1" ht="12.75">
      <c r="A258" s="13" t="s">
        <v>252</v>
      </c>
      <c r="C258" s="110" t="s">
        <v>178</v>
      </c>
      <c r="D258" s="33"/>
      <c r="F258" s="33">
        <v>438085614.59799975</v>
      </c>
      <c r="G258" s="33">
        <v>430332408.1139999</v>
      </c>
      <c r="H258" s="74">
        <f>+F258-G258</f>
        <v>7753206.483999848</v>
      </c>
      <c r="I258" s="137">
        <f>IF(G258&lt;0,IF(H258=0,0,IF(OR(G258=0,F258=0),"N.M.",IF(ABS(H258/G258)&gt;=10,"N.M.",H258/(-G258)))),IF(H258=0,0,IF(OR(G258=0,F258=0),"N.M.",IF(ABS(H258/G258)&gt;=10,"N.M.",H258/G258))))</f>
        <v>0.018016785019700252</v>
      </c>
      <c r="J258" s="168"/>
      <c r="K258" s="33">
        <v>434919001.32699996</v>
      </c>
      <c r="L258" s="74">
        <f>+F258-K258</f>
        <v>3166613.2709997892</v>
      </c>
      <c r="M258" s="137" t="str">
        <f>IF(K258&lt;0,IF(L258=0,0,IF(OR(K258=0,N258=0),"N.M.",IF(ABS(L258/K258)&gt;=10,"N.M.",L258/(-K258)))),IF(L258=0,0,IF(OR(K258=0,N258=0),"N.M.",IF(ABS(L258/K258)&gt;=10,"N.M.",L258/K258))))</f>
        <v>N.M.</v>
      </c>
      <c r="N258" s="168"/>
      <c r="O258" s="33">
        <v>431783697.27199996</v>
      </c>
      <c r="P258" s="74">
        <f>+F258-O258</f>
        <v>6301917.325999796</v>
      </c>
      <c r="Q258" s="137">
        <f>IF(O258&lt;0,IF(P258=0,0,IF(OR(O258=0,F258=0),"N.M.",IF(ABS(P258/O258)&gt;=10,"N.M.",P258/(-O258)))),IF(P258=0,0,IF(OR(O258=0,F258=0),"N.M.",IF(ABS(P258/O258)&gt;=10,"N.M.",P258/O258))))</f>
        <v>0.01459507935527713</v>
      </c>
    </row>
    <row r="259" spans="3:17" ht="12.75">
      <c r="C259" s="105"/>
      <c r="D259" s="105"/>
      <c r="E259" s="105"/>
      <c r="F259" s="108"/>
      <c r="G259" s="108"/>
      <c r="H259" s="108"/>
      <c r="I259" s="143"/>
      <c r="J259" s="169"/>
      <c r="K259" s="108"/>
      <c r="L259" s="108"/>
      <c r="M259" s="143"/>
      <c r="N259" s="169"/>
      <c r="O259" s="108"/>
      <c r="P259" s="108"/>
      <c r="Q259" s="143"/>
    </row>
    <row r="260" spans="3:17" ht="0.75" customHeight="1" hidden="1" outlineLevel="1">
      <c r="C260" s="105"/>
      <c r="D260" s="108"/>
      <c r="E260" s="107"/>
      <c r="F260" s="108"/>
      <c r="G260" s="108"/>
      <c r="H260" s="108"/>
      <c r="I260" s="141"/>
      <c r="J260" s="166"/>
      <c r="K260" s="108"/>
      <c r="L260" s="108"/>
      <c r="M260" s="141"/>
      <c r="N260" s="166"/>
      <c r="O260" s="108"/>
      <c r="P260" s="108"/>
      <c r="Q260" s="141"/>
    </row>
    <row r="261" spans="1:17" ht="14.25" customHeight="1" collapsed="1">
      <c r="A261" s="11" t="s">
        <v>253</v>
      </c>
      <c r="C261" s="111" t="s">
        <v>185</v>
      </c>
      <c r="D261" s="103"/>
      <c r="E261" s="104"/>
      <c r="F261" s="103">
        <v>0</v>
      </c>
      <c r="G261" s="103">
        <v>0</v>
      </c>
      <c r="H261" s="51">
        <f>+F261-G261</f>
        <v>0</v>
      </c>
      <c r="I261" s="136">
        <f>IF(G261&lt;0,IF(H261=0,0,IF(OR(G261=0,F261=0),"N.M.",IF(ABS(H261/G261)&gt;=10,"N.M.",H261/(-G261)))),IF(H261=0,0,IF(OR(G261=0,F261=0),"N.M.",IF(ABS(H261/G261)&gt;=10,"N.M.",H261/G261))))</f>
        <v>0</v>
      </c>
      <c r="J261" s="166"/>
      <c r="K261" s="103">
        <v>0</v>
      </c>
      <c r="L261" s="51">
        <f>+F261-K261</f>
        <v>0</v>
      </c>
      <c r="M261" s="136">
        <f>IF(K261&lt;0,IF(L261=0,0,IF(OR(K261=0,N261=0),"N.M.",IF(ABS(L261/K261)&gt;=10,"N.M.",L261/(-K261)))),IF(L261=0,0,IF(OR(K261=0,N261=0),"N.M.",IF(ABS(L261/K261)&gt;=10,"N.M.",L261/K261))))</f>
        <v>0</v>
      </c>
      <c r="N261" s="166"/>
      <c r="O261" s="103">
        <v>0</v>
      </c>
      <c r="P261" s="51">
        <f>+F261-O261</f>
        <v>0</v>
      </c>
      <c r="Q261" s="136">
        <f>IF(O261&lt;0,IF(P261=0,0,IF(OR(O261=0,F261=0),"N.M.",IF(ABS(P261/O261)&gt;=10,"N.M.",P261/(-O261)))),IF(P261=0,0,IF(OR(O261=0,F261=0),"N.M.",IF(ABS(P261/O261)&gt;=10,"N.M.",P261/O261))))</f>
        <v>0</v>
      </c>
    </row>
    <row r="262" spans="3:17" ht="0.75" customHeight="1" hidden="1" outlineLevel="1">
      <c r="C262" s="111"/>
      <c r="D262" s="103"/>
      <c r="E262" s="104"/>
      <c r="F262" s="103"/>
      <c r="G262" s="103"/>
      <c r="H262" s="51"/>
      <c r="I262" s="136"/>
      <c r="J262" s="166"/>
      <c r="K262" s="103"/>
      <c r="L262" s="51"/>
      <c r="M262" s="136"/>
      <c r="N262" s="166"/>
      <c r="O262" s="103"/>
      <c r="P262" s="51"/>
      <c r="Q262" s="136"/>
    </row>
    <row r="263" spans="1:17" ht="12.75" collapsed="1">
      <c r="A263" s="11" t="s">
        <v>254</v>
      </c>
      <c r="C263" s="112" t="s">
        <v>186</v>
      </c>
      <c r="D263" s="103"/>
      <c r="E263" s="104"/>
      <c r="F263" s="234">
        <v>0</v>
      </c>
      <c r="G263" s="234">
        <v>0</v>
      </c>
      <c r="H263" s="197">
        <f>+F263-G263</f>
        <v>0</v>
      </c>
      <c r="I263" s="138">
        <f>IF(G263&lt;0,IF(H263=0,0,IF(OR(G263=0,F263=0),"N.M.",IF(ABS(H263/G263)&gt;=10,"N.M.",H263/(-G263)))),IF(H263=0,0,IF(OR(G263=0,F263=0),"N.M.",IF(ABS(H263/G263)&gt;=10,"N.M.",H263/G263))))</f>
        <v>0</v>
      </c>
      <c r="J263" s="166"/>
      <c r="K263" s="234">
        <v>0</v>
      </c>
      <c r="L263" s="197">
        <f>+F263-K263</f>
        <v>0</v>
      </c>
      <c r="M263" s="138">
        <f>IF(K263&lt;0,IF(L263=0,0,IF(OR(K263=0,N263=0),"N.M.",IF(ABS(L263/K263)&gt;=10,"N.M.",L263/(-K263)))),IF(L263=0,0,IF(OR(K263=0,N263=0),"N.M.",IF(ABS(L263/K263)&gt;=10,"N.M.",L263/K263))))</f>
        <v>0</v>
      </c>
      <c r="N263" s="166"/>
      <c r="O263" s="234">
        <v>0</v>
      </c>
      <c r="P263" s="197">
        <f>+F263-O263</f>
        <v>0</v>
      </c>
      <c r="Q263" s="138">
        <f>IF(O263&lt;0,IF(P263=0,0,IF(OR(O263=0,F263=0),"N.M.",IF(ABS(P263/O263)&gt;=10,"N.M.",P263/(-O263)))),IF(P263=0,0,IF(OR(O263=0,F263=0),"N.M.",IF(ABS(P263/O263)&gt;=10,"N.M.",P263/O263))))</f>
        <v>0</v>
      </c>
    </row>
    <row r="264" spans="3:17" s="13" customFormat="1" ht="12.75">
      <c r="C264" s="110" t="s">
        <v>179</v>
      </c>
      <c r="D264" s="33"/>
      <c r="F264" s="33">
        <f>+F263+F261</f>
        <v>0</v>
      </c>
      <c r="G264" s="33"/>
      <c r="H264" s="74">
        <f>+F264-G264</f>
        <v>0</v>
      </c>
      <c r="I264" s="137">
        <f>IF(G264&lt;0,IF(H264=0,0,IF(OR(G264=0,F264=0),"N.M.",IF(ABS(H264/G264)&gt;=10,"N.M.",H264/(-G264)))),IF(H264=0,0,IF(OR(G264=0,F264=0),"N.M.",IF(ABS(H264/G264)&gt;=10,"N.M.",H264/G264))))</f>
        <v>0</v>
      </c>
      <c r="J264" s="168"/>
      <c r="K264" s="33">
        <f>+K263+K261</f>
        <v>0</v>
      </c>
      <c r="L264" s="74">
        <f>+F264-K264</f>
        <v>0</v>
      </c>
      <c r="M264" s="137">
        <f>IF(K264&lt;0,IF(L264=0,0,IF(OR(K264=0,N264=0),"N.M.",IF(ABS(L264/K264)&gt;=10,"N.M.",L264/(-K264)))),IF(L264=0,0,IF(OR(K264=0,N264=0),"N.M.",IF(ABS(L264/K264)&gt;=10,"N.M.",L264/K264))))</f>
        <v>0</v>
      </c>
      <c r="N264" s="168"/>
      <c r="O264" s="33">
        <f>+O263+O261</f>
        <v>0</v>
      </c>
      <c r="P264" s="74">
        <f>+F264-O264</f>
        <v>0</v>
      </c>
      <c r="Q264" s="137">
        <f>IF(O264&lt;0,IF(P264=0,0,IF(OR(O264=0,F264=0),"N.M.",IF(ABS(P264/O264)&gt;=10,"N.M.",P264/(-O264)))),IF(P264=0,0,IF(OR(O264=0,F264=0),"N.M.",IF(ABS(P264/O264)&gt;=10,"N.M.",P264/O264))))</f>
        <v>0</v>
      </c>
    </row>
    <row r="265" spans="3:17" ht="12.75">
      <c r="C265" s="105"/>
      <c r="D265" s="108"/>
      <c r="E265" s="107"/>
      <c r="F265" s="108"/>
      <c r="G265" s="108"/>
      <c r="H265" s="108"/>
      <c r="I265" s="141"/>
      <c r="J265" s="166"/>
      <c r="K265" s="108"/>
      <c r="L265" s="108"/>
      <c r="M265" s="141"/>
      <c r="N265" s="166"/>
      <c r="O265" s="108"/>
      <c r="P265" s="108"/>
      <c r="Q265" s="141"/>
    </row>
    <row r="266" spans="1:17" s="14" customFormat="1" ht="12.75">
      <c r="A266" s="14" t="s">
        <v>255</v>
      </c>
      <c r="C266" s="109" t="s">
        <v>180</v>
      </c>
      <c r="D266" s="31"/>
      <c r="F266" s="31">
        <v>0</v>
      </c>
      <c r="G266" s="31">
        <v>0</v>
      </c>
      <c r="H266" s="74">
        <f>+F266-G266</f>
        <v>0</v>
      </c>
      <c r="I266" s="137">
        <f>IF(G266&lt;0,IF(H266=0,0,IF(OR(G266=0,F266=0),"N.M.",IF(ABS(H266/G266)&gt;=10,"N.M.",H266/(-G266)))),IF(H266=0,0,IF(OR(G266=0,F266=0),"N.M.",IF(ABS(H266/G266)&gt;=10,"N.M.",H266/G266))))</f>
        <v>0</v>
      </c>
      <c r="J266" s="170"/>
      <c r="K266" s="31">
        <v>0</v>
      </c>
      <c r="L266" s="74">
        <f>+F266-K266</f>
        <v>0</v>
      </c>
      <c r="M266" s="137">
        <f>IF(K266&lt;0,IF(L266=0,0,IF(OR(K266=0,N266=0),"N.M.",IF(ABS(L266/K266)&gt;=10,"N.M.",L266/(-K266)))),IF(L266=0,0,IF(OR(K266=0,N266=0),"N.M.",IF(ABS(L266/K266)&gt;=10,"N.M.",L266/K266))))</f>
        <v>0</v>
      </c>
      <c r="N266" s="170"/>
      <c r="O266" s="31">
        <v>0</v>
      </c>
      <c r="P266" s="74">
        <f>+F266-O266</f>
        <v>0</v>
      </c>
      <c r="Q266" s="137">
        <f>IF(O266&lt;0,IF(P266=0,0,IF(OR(O266=0,F266=0),"N.M.",IF(ABS(P266/O266)&gt;=10,"N.M.",P266/(-O266)))),IF(P266=0,0,IF(OR(O266=0,F266=0),"N.M.",IF(ABS(P266/O266)&gt;=10,"N.M.",P266/O266))))</f>
        <v>0</v>
      </c>
    </row>
    <row r="267" spans="3:17" ht="12.75">
      <c r="C267" s="105"/>
      <c r="D267" s="108"/>
      <c r="E267" s="107"/>
      <c r="F267" s="108"/>
      <c r="G267" s="108"/>
      <c r="H267" s="108"/>
      <c r="I267" s="141"/>
      <c r="J267" s="166"/>
      <c r="K267" s="108"/>
      <c r="L267" s="108"/>
      <c r="M267" s="141"/>
      <c r="N267" s="166"/>
      <c r="O267" s="108"/>
      <c r="P267" s="108"/>
      <c r="Q267" s="141"/>
    </row>
    <row r="268" spans="3:17" ht="0.75" customHeight="1" hidden="1" outlineLevel="1">
      <c r="C268" s="105"/>
      <c r="D268" s="108"/>
      <c r="E268" s="107"/>
      <c r="F268" s="108"/>
      <c r="G268" s="108"/>
      <c r="H268" s="108"/>
      <c r="I268" s="141"/>
      <c r="J268" s="166"/>
      <c r="K268" s="108"/>
      <c r="L268" s="108"/>
      <c r="M268" s="141"/>
      <c r="N268" s="166"/>
      <c r="O268" s="108"/>
      <c r="P268" s="108"/>
      <c r="Q268" s="141"/>
    </row>
    <row r="269" spans="1:17" s="15" customFormat="1" ht="12.75" hidden="1" outlineLevel="2">
      <c r="A269" s="15" t="s">
        <v>807</v>
      </c>
      <c r="B269" s="15" t="s">
        <v>808</v>
      </c>
      <c r="C269" s="134" t="s">
        <v>809</v>
      </c>
      <c r="D269" s="16"/>
      <c r="E269" s="16"/>
      <c r="F269" s="16">
        <v>20000000</v>
      </c>
      <c r="G269" s="16">
        <v>20000000</v>
      </c>
      <c r="H269" s="16">
        <f>+F269-G269</f>
        <v>0</v>
      </c>
      <c r="I269" s="53">
        <f>IF(G269&lt;0,IF(H269=0,0,IF(OR(G269=0,F269=0),"N.M.",IF(ABS(H269/G269)&gt;=10,"N.M.",H269/(-G269)))),IF(H269=0,0,IF(OR(G269=0,F269=0),"N.M.",IF(ABS(H269/G269)&gt;=10,"N.M.",H269/G269))))</f>
        <v>0</v>
      </c>
      <c r="J269" s="174"/>
      <c r="K269" s="256">
        <v>20000000</v>
      </c>
      <c r="L269" s="16">
        <f>+F269-K269</f>
        <v>0</v>
      </c>
      <c r="M269" s="53">
        <f>IF(K269&lt;0,IF(L269=0,0,IF(OR(K269=0,N269=0),"N.M.",IF(ABS(L269/K269)&gt;=10,"N.M.",L269/(-K269)))),IF(L269=0,0,IF(OR(K269=0,N269=0),"N.M.",IF(ABS(L269/K269)&gt;=10,"N.M.",L269/K269))))</f>
        <v>0</v>
      </c>
      <c r="N269" s="174"/>
      <c r="O269" s="256">
        <v>20000000</v>
      </c>
      <c r="P269" s="16">
        <f>+F269-O269</f>
        <v>0</v>
      </c>
      <c r="Q269" s="53">
        <f>IF(O269&lt;0,IF(P269=0,0,IF(OR(O269=0,F269=0),"N.M.",IF(ABS(P269/O269)&gt;=10,"N.M.",P269/(-O269)))),IF(P269=0,0,IF(OR(O269=0,F269=0),"N.M.",IF(ABS(P269/O269)&gt;=10,"N.M.",P269/O269))))</f>
        <v>0</v>
      </c>
    </row>
    <row r="270" spans="1:17" s="15" customFormat="1" ht="12.75" hidden="1" outlineLevel="2">
      <c r="A270" s="15" t="s">
        <v>810</v>
      </c>
      <c r="B270" s="15" t="s">
        <v>811</v>
      </c>
      <c r="C270" s="134" t="s">
        <v>812</v>
      </c>
      <c r="D270" s="16"/>
      <c r="E270" s="16"/>
      <c r="F270" s="16">
        <v>530000000</v>
      </c>
      <c r="G270" s="16">
        <v>530000000</v>
      </c>
      <c r="H270" s="16">
        <f>+F270-G270</f>
        <v>0</v>
      </c>
      <c r="I270" s="53">
        <f>IF(G270&lt;0,IF(H270=0,0,IF(OR(G270=0,F270=0),"N.M.",IF(ABS(H270/G270)&gt;=10,"N.M.",H270/(-G270)))),IF(H270=0,0,IF(OR(G270=0,F270=0),"N.M.",IF(ABS(H270/G270)&gt;=10,"N.M.",H270/G270))))</f>
        <v>0</v>
      </c>
      <c r="J270" s="174"/>
      <c r="K270" s="256">
        <v>530000000</v>
      </c>
      <c r="L270" s="16">
        <f>+F270-K270</f>
        <v>0</v>
      </c>
      <c r="M270" s="53">
        <f>IF(K270&lt;0,IF(L270=0,0,IF(OR(K270=0,N270=0),"N.M.",IF(ABS(L270/K270)&gt;=10,"N.M.",L270/(-K270)))),IF(L270=0,0,IF(OR(K270=0,N270=0),"N.M.",IF(ABS(L270/K270)&gt;=10,"N.M.",L270/K270))))</f>
        <v>0</v>
      </c>
      <c r="N270" s="174"/>
      <c r="O270" s="256">
        <v>530000000</v>
      </c>
      <c r="P270" s="16">
        <f>+F270-O270</f>
        <v>0</v>
      </c>
      <c r="Q270" s="53">
        <f>IF(O270&lt;0,IF(P270=0,0,IF(OR(O270=0,F270=0),"N.M.",IF(ABS(P270/O270)&gt;=10,"N.M.",P270/(-O270)))),IF(P270=0,0,IF(OR(O270=0,F270=0),"N.M.",IF(ABS(P270/O270)&gt;=10,"N.M.",P270/O270))))</f>
        <v>0</v>
      </c>
    </row>
    <row r="271" spans="1:17" s="15" customFormat="1" ht="12.75" hidden="1" outlineLevel="2">
      <c r="A271" s="15" t="s">
        <v>813</v>
      </c>
      <c r="B271" s="15" t="s">
        <v>814</v>
      </c>
      <c r="C271" s="134" t="s">
        <v>815</v>
      </c>
      <c r="D271" s="16"/>
      <c r="E271" s="16"/>
      <c r="F271" s="16">
        <v>-1139287.5</v>
      </c>
      <c r="G271" s="16">
        <v>-1306012.5</v>
      </c>
      <c r="H271" s="16">
        <f>+F271-G271</f>
        <v>166725</v>
      </c>
      <c r="I271" s="53">
        <f>IF(G271&lt;0,IF(H271=0,0,IF(OR(G271=0,F271=0),"N.M.",IF(ABS(H271/G271)&gt;=10,"N.M.",H271/(-G271)))),IF(H271=0,0,IF(OR(G271=0,F271=0),"N.M.",IF(ABS(H271/G271)&gt;=10,"N.M.",H271/G271))))</f>
        <v>0.1276595744680851</v>
      </c>
      <c r="J271" s="174"/>
      <c r="K271" s="256">
        <v>-1153181.25</v>
      </c>
      <c r="L271" s="16">
        <f>+F271-K271</f>
        <v>13893.75</v>
      </c>
      <c r="M271" s="53" t="str">
        <f>IF(K271&lt;0,IF(L271=0,0,IF(OR(K271=0,N271=0),"N.M.",IF(ABS(L271/K271)&gt;=10,"N.M.",L271/(-K271)))),IF(L271=0,0,IF(OR(K271=0,N271=0),"N.M.",IF(ABS(L271/K271)&gt;=10,"N.M.",L271/K271))))</f>
        <v>N.M.</v>
      </c>
      <c r="N271" s="174"/>
      <c r="O271" s="256">
        <v>-1278225</v>
      </c>
      <c r="P271" s="16">
        <f>+F271-O271</f>
        <v>138937.5</v>
      </c>
      <c r="Q271" s="53">
        <f>IF(O271&lt;0,IF(P271=0,0,IF(OR(O271=0,F271=0),"N.M.",IF(ABS(P271/O271)&gt;=10,"N.M.",P271/(-O271)))),IF(P271=0,0,IF(OR(O271=0,F271=0),"N.M.",IF(ABS(P271/O271)&gt;=10,"N.M.",P271/O271))))</f>
        <v>0.10869565217391304</v>
      </c>
    </row>
    <row r="272" spans="1:17" s="13" customFormat="1" ht="12.75" collapsed="1">
      <c r="A272" s="13" t="s">
        <v>256</v>
      </c>
      <c r="C272" s="109" t="s">
        <v>187</v>
      </c>
      <c r="D272" s="33"/>
      <c r="F272" s="33">
        <v>548860712.5</v>
      </c>
      <c r="G272" s="33">
        <v>548693987.5</v>
      </c>
      <c r="H272" s="74">
        <f>+F272-G272</f>
        <v>166725</v>
      </c>
      <c r="I272" s="137">
        <f>IF(G272&lt;0,IF(H272=0,0,IF(OR(G272=0,F272=0),"N.M.",IF(ABS(H272/G272)&gt;=10,"N.M.",H272/(-G272)))),IF(H272=0,0,IF(OR(G272=0,F272=0),"N.M.",IF(ABS(H272/G272)&gt;=10,"N.M.",H272/G272))))</f>
        <v>0.00030385789492544786</v>
      </c>
      <c r="J272" s="168"/>
      <c r="K272" s="33">
        <v>548846818.75</v>
      </c>
      <c r="L272" s="74">
        <f>+F272-K272</f>
        <v>13893.75</v>
      </c>
      <c r="M272" s="137" t="str">
        <f>IF(K272&lt;0,IF(L272=0,0,IF(OR(K272=0,N272=0),"N.M.",IF(ABS(L272/K272)&gt;=10,"N.M.",L272/(-K272)))),IF(L272=0,0,IF(OR(K272=0,N272=0),"N.M.",IF(ABS(L272/K272)&gt;=10,"N.M.",L272/K272))))</f>
        <v>N.M.</v>
      </c>
      <c r="N272" s="168"/>
      <c r="O272" s="33">
        <v>548721775</v>
      </c>
      <c r="P272" s="74">
        <f>+F272-O272</f>
        <v>138937.5</v>
      </c>
      <c r="Q272" s="137">
        <f>IF(O272&lt;0,IF(P272=0,0,IF(OR(O272=0,F272=0),"N.M.",IF(ABS(P272/O272)&gt;=10,"N.M.",P272/(-O272)))),IF(P272=0,0,IF(OR(O272=0,F272=0),"N.M.",IF(ABS(P272/O272)&gt;=10,"N.M.",P272/O272))))</f>
        <v>0.0002532020895288874</v>
      </c>
    </row>
    <row r="273" spans="1:17" ht="12.75">
      <c r="A273" s="11" t="s">
        <v>181</v>
      </c>
      <c r="C273" s="113"/>
      <c r="D273" s="103"/>
      <c r="E273" s="104"/>
      <c r="F273" s="234"/>
      <c r="G273" s="234"/>
      <c r="H273" s="234"/>
      <c r="I273" s="144"/>
      <c r="J273" s="166"/>
      <c r="K273" s="234"/>
      <c r="L273" s="234"/>
      <c r="M273" s="144"/>
      <c r="N273" s="166"/>
      <c r="O273" s="234"/>
      <c r="P273" s="234"/>
      <c r="Q273" s="144"/>
    </row>
    <row r="274" spans="1:17" s="13" customFormat="1" ht="12.75">
      <c r="A274" s="13" t="s">
        <v>257</v>
      </c>
      <c r="C274" s="13" t="s">
        <v>176</v>
      </c>
      <c r="D274" s="33"/>
      <c r="F274" s="33">
        <v>986946327.0980012</v>
      </c>
      <c r="G274" s="33">
        <v>979026395.6139995</v>
      </c>
      <c r="H274" s="74">
        <f>+F274-G274</f>
        <v>7919931.484001756</v>
      </c>
      <c r="I274" s="137">
        <f>IF(G274&lt;0,IF(H274=0,0,IF(OR(G274=0,F274=0),"N.M.",IF(ABS(H274/G274)&gt;=10,"N.M.",H274/(-G274)))),IF(H274=0,0,IF(OR(G274=0,F274=0),"N.M.",IF(ABS(H274/G274)&gt;=10,"N.M.",H274/G274))))</f>
        <v>0.008089599544489038</v>
      </c>
      <c r="J274" s="168"/>
      <c r="K274" s="33">
        <v>983765820.0770006</v>
      </c>
      <c r="L274" s="74">
        <f>+F274-K274</f>
        <v>3180507.0210006237</v>
      </c>
      <c r="M274" s="137" t="str">
        <f>IF(K274&lt;0,IF(L274=0,0,IF(OR(K274=0,N274=0),"N.M.",IF(ABS(L274/K274)&gt;=10,"N.M.",L274/(-K274)))),IF(L274=0,0,IF(OR(K274=0,N274=0),"N.M.",IF(ABS(L274/K274)&gt;=10,"N.M.",L274/K274))))</f>
        <v>N.M.</v>
      </c>
      <c r="N274" s="168"/>
      <c r="O274" s="33">
        <v>980505472.2719994</v>
      </c>
      <c r="P274" s="74">
        <f>+F274-O274</f>
        <v>6440854.826001883</v>
      </c>
      <c r="Q274" s="137">
        <f>IF(O274&lt;0,IF(P274=0,0,IF(OR(O274=0,F274=0),"N.M.",IF(ABS(P274/O274)&gt;=10,"N.M.",P274/(-O274)))),IF(P274=0,0,IF(OR(O274=0,F274=0),"N.M.",IF(ABS(P274/O274)&gt;=10,"N.M.",P274/O274))))</f>
        <v>0.0065689126763130825</v>
      </c>
    </row>
    <row r="275" spans="4:17" ht="12.75">
      <c r="D275" s="106"/>
      <c r="E275" s="11"/>
      <c r="F275" s="233" t="str">
        <f>IF(ABS(+F258+F261+F263+F266+F272-F274)&gt;$C$575,$J$184," ")</f>
        <v> </v>
      </c>
      <c r="G275" s="233" t="str">
        <f>IF(ABS(+G258+G261+G263+G266+G272-G274)&gt;$C$575,$J$184," ")</f>
        <v> </v>
      </c>
      <c r="H275" s="233" t="str">
        <f>IF(ABS(+H258+H261+H263+H266+H272-H274)&gt;$C$575,$J$184," ")</f>
        <v> </v>
      </c>
      <c r="I275" s="141"/>
      <c r="J275" s="166"/>
      <c r="K275" s="233" t="str">
        <f>IF(ABS(+K258+K261+K263+K266+K272-K274)&gt;$C$575,$J$184," ")</f>
        <v> </v>
      </c>
      <c r="L275" s="233" t="str">
        <f>IF(ABS(+L258+L261+L263+L266+L272-L274)&gt;$C$575,$J$184," ")</f>
        <v> </v>
      </c>
      <c r="M275" s="141"/>
      <c r="N275" s="166"/>
      <c r="O275" s="233" t="str">
        <f>IF(ABS(+O258+O261+O263+O266+O272-O274)&gt;$C$575,$J$184," ")</f>
        <v> </v>
      </c>
      <c r="P275" s="233" t="str">
        <f>IF(ABS(+P258+P261+P263+P266+P272-P274)&gt;$C$575,$J$184," ")</f>
        <v> </v>
      </c>
      <c r="Q275" s="141"/>
    </row>
    <row r="276" spans="3:17" ht="0.75" customHeight="1" hidden="1" outlineLevel="1">
      <c r="C276" s="119"/>
      <c r="D276" s="108"/>
      <c r="E276" s="107"/>
      <c r="F276" s="108"/>
      <c r="G276" s="108"/>
      <c r="H276" s="108"/>
      <c r="I276" s="141"/>
      <c r="J276" s="166"/>
      <c r="K276" s="108"/>
      <c r="L276" s="108"/>
      <c r="M276" s="141"/>
      <c r="N276" s="166"/>
      <c r="O276" s="108"/>
      <c r="P276" s="108"/>
      <c r="Q276" s="141"/>
    </row>
    <row r="277" spans="1:17" s="15" customFormat="1" ht="12.75" hidden="1" outlineLevel="2">
      <c r="A277" s="15" t="s">
        <v>816</v>
      </c>
      <c r="B277" s="15" t="s">
        <v>817</v>
      </c>
      <c r="C277" s="134" t="s">
        <v>818</v>
      </c>
      <c r="D277" s="16"/>
      <c r="E277" s="16"/>
      <c r="F277" s="16">
        <v>2817055.24</v>
      </c>
      <c r="G277" s="16">
        <v>1156933.6</v>
      </c>
      <c r="H277" s="16">
        <f>+F277-G277</f>
        <v>1660121.6400000001</v>
      </c>
      <c r="I277" s="53">
        <f>IF(G277&lt;0,IF(H277=0,0,IF(OR(G277=0,F277=0),"N.M.",IF(ABS(H277/G277)&gt;=10,"N.M.",H277/(-G277)))),IF(H277=0,0,IF(OR(G277=0,F277=0),"N.M.",IF(ABS(H277/G277)&gt;=10,"N.M.",H277/G277))))</f>
        <v>1.4349325147095737</v>
      </c>
      <c r="J277" s="174"/>
      <c r="K277" s="256">
        <v>2918171.12</v>
      </c>
      <c r="L277" s="16">
        <f>+F277-K277</f>
        <v>-101115.87999999989</v>
      </c>
      <c r="M277" s="53" t="str">
        <f>IF(K277&lt;0,IF(L277=0,0,IF(OR(K277=0,N277=0),"N.M.",IF(ABS(L277/K277)&gt;=10,"N.M.",L277/(-K277)))),IF(L277=0,0,IF(OR(K277=0,N277=0),"N.M.",IF(ABS(L277/K277)&gt;=10,"N.M.",L277/K277))))</f>
        <v>N.M.</v>
      </c>
      <c r="N277" s="174"/>
      <c r="O277" s="256">
        <v>1111891.07</v>
      </c>
      <c r="P277" s="16">
        <f>+F277-O277</f>
        <v>1705164.1700000002</v>
      </c>
      <c r="Q277" s="53">
        <f>IF(O277&lt;0,IF(P277=0,0,IF(OR(O277=0,F277=0),"N.M.",IF(ABS(P277/O277)&gt;=10,"N.M.",P277/(-O277)))),IF(P277=0,0,IF(OR(O277=0,F277=0),"N.M.",IF(ABS(P277/O277)&gt;=10,"N.M.",P277/O277))))</f>
        <v>1.5335712427297397</v>
      </c>
    </row>
    <row r="278" spans="1:17" s="15" customFormat="1" ht="12.75" hidden="1" outlineLevel="2">
      <c r="A278" s="15" t="s">
        <v>819</v>
      </c>
      <c r="B278" s="15" t="s">
        <v>820</v>
      </c>
      <c r="C278" s="134" t="s">
        <v>821</v>
      </c>
      <c r="D278" s="16"/>
      <c r="E278" s="16"/>
      <c r="F278" s="16">
        <v>25.51</v>
      </c>
      <c r="G278" s="16">
        <v>4113.86</v>
      </c>
      <c r="H278" s="16">
        <f>+F278-G278</f>
        <v>-4088.3499999999995</v>
      </c>
      <c r="I278" s="53">
        <f>IF(G278&lt;0,IF(H278=0,0,IF(OR(G278=0,F278=0),"N.M.",IF(ABS(H278/G278)&gt;=10,"N.M.",H278/(-G278)))),IF(H278=0,0,IF(OR(G278=0,F278=0),"N.M.",IF(ABS(H278/G278)&gt;=10,"N.M.",H278/G278))))</f>
        <v>-0.9937990111476812</v>
      </c>
      <c r="J278" s="174"/>
      <c r="K278" s="256">
        <v>4904.5</v>
      </c>
      <c r="L278" s="16">
        <f>+F278-K278</f>
        <v>-4878.99</v>
      </c>
      <c r="M278" s="53" t="str">
        <f>IF(K278&lt;0,IF(L278=0,0,IF(OR(K278=0,N278=0),"N.M.",IF(ABS(L278/K278)&gt;=10,"N.M.",L278/(-K278)))),IF(L278=0,0,IF(OR(K278=0,N278=0),"N.M.",IF(ABS(L278/K278)&gt;=10,"N.M.",L278/K278))))</f>
        <v>N.M.</v>
      </c>
      <c r="N278" s="174"/>
      <c r="O278" s="256">
        <v>1210.88</v>
      </c>
      <c r="P278" s="16">
        <f>+F278-O278</f>
        <v>-1185.3700000000001</v>
      </c>
      <c r="Q278" s="53">
        <f>IF(O278&lt;0,IF(P278=0,0,IF(OR(O278=0,F278=0),"N.M.",IF(ABS(P278/O278)&gt;=10,"N.M.",P278/(-O278)))),IF(P278=0,0,IF(OR(O278=0,F278=0),"N.M.",IF(ABS(P278/O278)&gt;=10,"N.M.",P278/O278))))</f>
        <v>-0.9789326770613108</v>
      </c>
    </row>
    <row r="279" spans="1:17" ht="12.75" collapsed="1">
      <c r="A279" s="11" t="s">
        <v>258</v>
      </c>
      <c r="C279" s="120" t="s">
        <v>190</v>
      </c>
      <c r="D279" s="103"/>
      <c r="E279" s="104"/>
      <c r="F279" s="103">
        <v>2817080.75</v>
      </c>
      <c r="G279" s="103">
        <v>1161047.4600000002</v>
      </c>
      <c r="H279" s="51">
        <f>+F279-G279</f>
        <v>1656033.2899999998</v>
      </c>
      <c r="I279" s="136">
        <f>IF(G279&lt;0,IF(H279=0,0,IF(OR(G279=0,F279=0),"N.M.",IF(ABS(H279/G279)&gt;=10,"N.M.",H279/(-G279)))),IF(H279=0,0,IF(OR(G279=0,F279=0),"N.M.",IF(ABS(H279/G279)&gt;=10,"N.M.",H279/G279))))</f>
        <v>1.4263269565225176</v>
      </c>
      <c r="J279" s="166"/>
      <c r="K279" s="103">
        <v>2923075.62</v>
      </c>
      <c r="L279" s="51">
        <f>+F279-K279</f>
        <v>-105994.87000000011</v>
      </c>
      <c r="M279" s="136" t="str">
        <f>IF(K279&lt;0,IF(L279=0,0,IF(OR(K279=0,N279=0),"N.M.",IF(ABS(L279/K279)&gt;=10,"N.M.",L279/(-K279)))),IF(L279=0,0,IF(OR(K279=0,N279=0),"N.M.",IF(ABS(L279/K279)&gt;=10,"N.M.",L279/K279))))</f>
        <v>N.M.</v>
      </c>
      <c r="N279" s="166"/>
      <c r="O279" s="103">
        <v>1113101.95</v>
      </c>
      <c r="P279" s="51">
        <f>+F279-O279</f>
        <v>1703978.8</v>
      </c>
      <c r="Q279" s="136">
        <f>IF(O279&lt;0,IF(P279=0,0,IF(OR(O279=0,F279=0),"N.M.",IF(ABS(P279/O279)&gt;=10,"N.M.",P279/(-O279)))),IF(P279=0,0,IF(OR(O279=0,F279=0),"N.M.",IF(ABS(P279/O279)&gt;=10,"N.M.",P279/O279))))</f>
        <v>1.5308380332996454</v>
      </c>
    </row>
    <row r="280" spans="3:17" ht="0.75" customHeight="1" hidden="1" outlineLevel="1">
      <c r="C280" s="120"/>
      <c r="D280" s="103"/>
      <c r="E280" s="104"/>
      <c r="F280" s="103"/>
      <c r="G280" s="103"/>
      <c r="H280" s="51"/>
      <c r="I280" s="136"/>
      <c r="J280" s="166"/>
      <c r="K280" s="103"/>
      <c r="L280" s="51"/>
      <c r="M280" s="136"/>
      <c r="N280" s="166"/>
      <c r="O280" s="103"/>
      <c r="P280" s="51"/>
      <c r="Q280" s="136"/>
    </row>
    <row r="281" spans="1:17" ht="12.75" collapsed="1">
      <c r="A281" s="11" t="s">
        <v>259</v>
      </c>
      <c r="C281" s="120" t="s">
        <v>191</v>
      </c>
      <c r="E281" s="11"/>
      <c r="F281" s="18">
        <v>0</v>
      </c>
      <c r="G281" s="18">
        <v>0</v>
      </c>
      <c r="H281" s="51">
        <f>+F281-G281</f>
        <v>0</v>
      </c>
      <c r="I281" s="136">
        <f>IF(G281&lt;0,IF(H281=0,0,IF(OR(G281=0,F281=0),"N.M.",IF(ABS(H281/G281)&gt;=10,"N.M.",H281/(-G281)))),IF(H281=0,0,IF(OR(G281=0,F281=0),"N.M.",IF(ABS(H281/G281)&gt;=10,"N.M.",H281/G281))))</f>
        <v>0</v>
      </c>
      <c r="J281" s="166"/>
      <c r="K281" s="18">
        <v>0</v>
      </c>
      <c r="L281" s="51">
        <f>+F281-K281</f>
        <v>0</v>
      </c>
      <c r="M281" s="136">
        <f>IF(K281&lt;0,IF(L281=0,0,IF(OR(K281=0,N281=0),"N.M.",IF(ABS(L281/K281)&gt;=10,"N.M.",L281/(-K281)))),IF(L281=0,0,IF(OR(K281=0,N281=0),"N.M.",IF(ABS(L281/K281)&gt;=10,"N.M.",L281/K281))))</f>
        <v>0</v>
      </c>
      <c r="N281" s="166"/>
      <c r="O281" s="18">
        <v>0</v>
      </c>
      <c r="P281" s="51">
        <f>+F281-O281</f>
        <v>0</v>
      </c>
      <c r="Q281" s="136">
        <f>IF(O281&lt;0,IF(P281=0,0,IF(OR(O281=0,F281=0),"N.M.",IF(ABS(P281/O281)&gt;=10,"N.M.",P281/(-O281)))),IF(P281=0,0,IF(OR(O281=0,F281=0),"N.M.",IF(ABS(P281/O281)&gt;=10,"N.M.",P281/O281))))</f>
        <v>0</v>
      </c>
    </row>
    <row r="282" spans="3:17" ht="0.75" customHeight="1" hidden="1" outlineLevel="1">
      <c r="C282" s="120"/>
      <c r="E282" s="11"/>
      <c r="H282" s="51"/>
      <c r="I282" s="136"/>
      <c r="J282" s="166"/>
      <c r="K282" s="18"/>
      <c r="L282" s="51"/>
      <c r="M282" s="136"/>
      <c r="N282" s="166"/>
      <c r="O282" s="18"/>
      <c r="P282" s="51"/>
      <c r="Q282" s="136"/>
    </row>
    <row r="283" spans="1:17" s="15" customFormat="1" ht="12.75" hidden="1" outlineLevel="2">
      <c r="A283" s="15" t="s">
        <v>822</v>
      </c>
      <c r="B283" s="15" t="s">
        <v>823</v>
      </c>
      <c r="C283" s="134" t="s">
        <v>824</v>
      </c>
      <c r="D283" s="16"/>
      <c r="E283" s="16"/>
      <c r="F283" s="16">
        <v>55754.090000000004</v>
      </c>
      <c r="G283" s="16">
        <v>61285.64</v>
      </c>
      <c r="H283" s="16">
        <f aca="true" t="shared" si="86" ref="H283:H295">+F283-G283</f>
        <v>-5531.549999999996</v>
      </c>
      <c r="I283" s="53">
        <f aca="true" t="shared" si="87" ref="I283:I295">IF(G283&lt;0,IF(H283=0,0,IF(OR(G283=0,F283=0),"N.M.",IF(ABS(H283/G283)&gt;=10,"N.M.",H283/(-G283)))),IF(H283=0,0,IF(OR(G283=0,F283=0),"N.M.",IF(ABS(H283/G283)&gt;=10,"N.M.",H283/G283))))</f>
        <v>-0.09025850101263519</v>
      </c>
      <c r="J283" s="174"/>
      <c r="K283" s="256">
        <v>58844.64</v>
      </c>
      <c r="L283" s="16">
        <f aca="true" t="shared" si="88" ref="L283:L295">+F283-K283</f>
        <v>-3090.5499999999956</v>
      </c>
      <c r="M283" s="53" t="str">
        <f aca="true" t="shared" si="89" ref="M283:M295">IF(K283&lt;0,IF(L283=0,0,IF(OR(K283=0,N283=0),"N.M.",IF(ABS(L283/K283)&gt;=10,"N.M.",L283/(-K283)))),IF(L283=0,0,IF(OR(K283=0,N283=0),"N.M.",IF(ABS(L283/K283)&gt;=10,"N.M.",L283/K283))))</f>
        <v>N.M.</v>
      </c>
      <c r="N283" s="174"/>
      <c r="O283" s="256">
        <v>61505.76</v>
      </c>
      <c r="P283" s="16">
        <f aca="true" t="shared" si="90" ref="P283:P295">+F283-O283</f>
        <v>-5751.669999999998</v>
      </c>
      <c r="Q283" s="53">
        <f aca="true" t="shared" si="91" ref="Q283:Q295">IF(O283&lt;0,IF(P283=0,0,IF(OR(O283=0,F283=0),"N.M.",IF(ABS(P283/O283)&gt;=10,"N.M.",P283/(-O283)))),IF(P283=0,0,IF(OR(O283=0,F283=0),"N.M.",IF(ABS(P283/O283)&gt;=10,"N.M.",P283/O283))))</f>
        <v>-0.0935143310155016</v>
      </c>
    </row>
    <row r="284" spans="1:17" s="15" customFormat="1" ht="12.75" hidden="1" outlineLevel="2">
      <c r="A284" s="15" t="s">
        <v>825</v>
      </c>
      <c r="B284" s="15" t="s">
        <v>826</v>
      </c>
      <c r="C284" s="134" t="s">
        <v>827</v>
      </c>
      <c r="D284" s="16"/>
      <c r="E284" s="16"/>
      <c r="F284" s="16">
        <v>129334.09</v>
      </c>
      <c r="G284" s="16">
        <v>128006.15000000001</v>
      </c>
      <c r="H284" s="16">
        <f t="shared" si="86"/>
        <v>1327.9399999999878</v>
      </c>
      <c r="I284" s="53">
        <f t="shared" si="87"/>
        <v>0.01037403281014223</v>
      </c>
      <c r="J284" s="174"/>
      <c r="K284" s="256">
        <v>129247.96</v>
      </c>
      <c r="L284" s="16">
        <f t="shared" si="88"/>
        <v>86.1299999999901</v>
      </c>
      <c r="M284" s="53" t="str">
        <f t="shared" si="89"/>
        <v>N.M.</v>
      </c>
      <c r="N284" s="174"/>
      <c r="O284" s="256">
        <v>128472.79000000001</v>
      </c>
      <c r="P284" s="16">
        <f t="shared" si="90"/>
        <v>861.2999999999884</v>
      </c>
      <c r="Q284" s="53">
        <f t="shared" si="91"/>
        <v>0.006704143344283161</v>
      </c>
    </row>
    <row r="285" spans="1:17" s="15" customFormat="1" ht="12.75" hidden="1" outlineLevel="2">
      <c r="A285" s="15" t="s">
        <v>828</v>
      </c>
      <c r="B285" s="15" t="s">
        <v>829</v>
      </c>
      <c r="C285" s="134" t="s">
        <v>830</v>
      </c>
      <c r="D285" s="16"/>
      <c r="E285" s="16"/>
      <c r="F285" s="16">
        <v>662005.27</v>
      </c>
      <c r="G285" s="16">
        <v>597357.14</v>
      </c>
      <c r="H285" s="16">
        <f t="shared" si="86"/>
        <v>64648.130000000005</v>
      </c>
      <c r="I285" s="53">
        <f t="shared" si="87"/>
        <v>0.10822358296412093</v>
      </c>
      <c r="J285" s="174"/>
      <c r="K285" s="256">
        <v>662005.27</v>
      </c>
      <c r="L285" s="16">
        <f t="shared" si="88"/>
        <v>0</v>
      </c>
      <c r="M285" s="53">
        <f t="shared" si="89"/>
        <v>0</v>
      </c>
      <c r="N285" s="174"/>
      <c r="O285" s="256">
        <v>638495.23</v>
      </c>
      <c r="P285" s="16">
        <f t="shared" si="90"/>
        <v>23510.040000000037</v>
      </c>
      <c r="Q285" s="53">
        <f t="shared" si="91"/>
        <v>0.03682101117654401</v>
      </c>
    </row>
    <row r="286" spans="1:17" s="15" customFormat="1" ht="12.75" hidden="1" outlineLevel="2">
      <c r="A286" s="15" t="s">
        <v>831</v>
      </c>
      <c r="B286" s="15" t="s">
        <v>832</v>
      </c>
      <c r="C286" s="134" t="s">
        <v>833</v>
      </c>
      <c r="D286" s="16"/>
      <c r="E286" s="16"/>
      <c r="F286" s="16">
        <v>5430434.26</v>
      </c>
      <c r="G286" s="16">
        <v>4868818.01</v>
      </c>
      <c r="H286" s="16">
        <f t="shared" si="86"/>
        <v>561616.25</v>
      </c>
      <c r="I286" s="53">
        <f t="shared" si="87"/>
        <v>0.11534960823068431</v>
      </c>
      <c r="J286" s="174"/>
      <c r="K286" s="256">
        <v>5341247.09</v>
      </c>
      <c r="L286" s="16">
        <f t="shared" si="88"/>
        <v>89187.16999999993</v>
      </c>
      <c r="M286" s="53" t="str">
        <f t="shared" si="89"/>
        <v>N.M.</v>
      </c>
      <c r="N286" s="174"/>
      <c r="O286" s="256">
        <v>5007379.01</v>
      </c>
      <c r="P286" s="16">
        <f t="shared" si="90"/>
        <v>423055.25</v>
      </c>
      <c r="Q286" s="53">
        <f t="shared" si="91"/>
        <v>0.08448636485377607</v>
      </c>
    </row>
    <row r="287" spans="1:17" s="15" customFormat="1" ht="12.75" hidden="1" outlineLevel="2">
      <c r="A287" s="15" t="s">
        <v>834</v>
      </c>
      <c r="B287" s="15" t="s">
        <v>835</v>
      </c>
      <c r="C287" s="134" t="s">
        <v>676</v>
      </c>
      <c r="D287" s="16"/>
      <c r="E287" s="16"/>
      <c r="F287" s="16">
        <v>5182903.62</v>
      </c>
      <c r="G287" s="16">
        <v>5663168.3100000005</v>
      </c>
      <c r="H287" s="16">
        <f t="shared" si="86"/>
        <v>-480264.6900000004</v>
      </c>
      <c r="I287" s="53">
        <f t="shared" si="87"/>
        <v>-0.08480494728577127</v>
      </c>
      <c r="J287" s="174"/>
      <c r="K287" s="256">
        <v>5182903.62</v>
      </c>
      <c r="L287" s="16">
        <f t="shared" si="88"/>
        <v>0</v>
      </c>
      <c r="M287" s="53">
        <f t="shared" si="89"/>
        <v>0</v>
      </c>
      <c r="N287" s="174"/>
      <c r="O287" s="256">
        <v>6098839.39</v>
      </c>
      <c r="P287" s="16">
        <f t="shared" si="90"/>
        <v>-915935.7699999996</v>
      </c>
      <c r="Q287" s="53">
        <f t="shared" si="91"/>
        <v>-0.15018197913226233</v>
      </c>
    </row>
    <row r="288" spans="1:17" s="15" customFormat="1" ht="12.75" hidden="1" outlineLevel="2">
      <c r="A288" s="15" t="s">
        <v>836</v>
      </c>
      <c r="B288" s="15" t="s">
        <v>837</v>
      </c>
      <c r="C288" s="134" t="s">
        <v>838</v>
      </c>
      <c r="D288" s="16"/>
      <c r="E288" s="16"/>
      <c r="F288" s="16">
        <v>-3044980.6</v>
      </c>
      <c r="G288" s="16">
        <v>1661562.1800000002</v>
      </c>
      <c r="H288" s="16">
        <f t="shared" si="86"/>
        <v>-4706542.78</v>
      </c>
      <c r="I288" s="53">
        <f t="shared" si="87"/>
        <v>-2.832601052582937</v>
      </c>
      <c r="J288" s="174"/>
      <c r="K288" s="256">
        <v>-3044980.6</v>
      </c>
      <c r="L288" s="16">
        <f t="shared" si="88"/>
        <v>0</v>
      </c>
      <c r="M288" s="53">
        <f t="shared" si="89"/>
        <v>0</v>
      </c>
      <c r="N288" s="174"/>
      <c r="O288" s="256">
        <v>0</v>
      </c>
      <c r="P288" s="16">
        <f t="shared" si="90"/>
        <v>-3044980.6</v>
      </c>
      <c r="Q288" s="53" t="str">
        <f t="shared" si="91"/>
        <v>N.M.</v>
      </c>
    </row>
    <row r="289" spans="1:17" s="15" customFormat="1" ht="12.75" hidden="1" outlineLevel="2">
      <c r="A289" s="15" t="s">
        <v>839</v>
      </c>
      <c r="B289" s="15" t="s">
        <v>840</v>
      </c>
      <c r="C289" s="134" t="s">
        <v>841</v>
      </c>
      <c r="D289" s="16"/>
      <c r="E289" s="16"/>
      <c r="F289" s="16">
        <v>734293.62</v>
      </c>
      <c r="G289" s="16">
        <v>586265.28</v>
      </c>
      <c r="H289" s="16">
        <f t="shared" si="86"/>
        <v>148028.33999999997</v>
      </c>
      <c r="I289" s="53">
        <f t="shared" si="87"/>
        <v>0.25249378574832193</v>
      </c>
      <c r="J289" s="174"/>
      <c r="K289" s="256">
        <v>621298.48</v>
      </c>
      <c r="L289" s="16">
        <f t="shared" si="88"/>
        <v>112995.14000000001</v>
      </c>
      <c r="M289" s="53" t="str">
        <f t="shared" si="89"/>
        <v>N.M.</v>
      </c>
      <c r="N289" s="174"/>
      <c r="O289" s="256">
        <v>674441.3</v>
      </c>
      <c r="P289" s="16">
        <f t="shared" si="90"/>
        <v>59852.31999999995</v>
      </c>
      <c r="Q289" s="53">
        <f t="shared" si="91"/>
        <v>0.08874355707457408</v>
      </c>
    </row>
    <row r="290" spans="1:17" s="15" customFormat="1" ht="12.75" hidden="1" outlineLevel="2">
      <c r="A290" s="15" t="s">
        <v>842</v>
      </c>
      <c r="B290" s="15" t="s">
        <v>843</v>
      </c>
      <c r="C290" s="134" t="s">
        <v>844</v>
      </c>
      <c r="D290" s="16"/>
      <c r="E290" s="16"/>
      <c r="F290" s="16">
        <v>320334.93</v>
      </c>
      <c r="G290" s="16">
        <v>221797.69</v>
      </c>
      <c r="H290" s="16">
        <f t="shared" si="86"/>
        <v>98537.23999999999</v>
      </c>
      <c r="I290" s="53">
        <f t="shared" si="87"/>
        <v>0.4442663041260709</v>
      </c>
      <c r="J290" s="174"/>
      <c r="K290" s="256">
        <v>320334.93</v>
      </c>
      <c r="L290" s="16">
        <f t="shared" si="88"/>
        <v>0</v>
      </c>
      <c r="M290" s="53">
        <f t="shared" si="89"/>
        <v>0</v>
      </c>
      <c r="N290" s="174"/>
      <c r="O290" s="256">
        <v>222622.74</v>
      </c>
      <c r="P290" s="16">
        <f t="shared" si="90"/>
        <v>97712.19</v>
      </c>
      <c r="Q290" s="53">
        <f t="shared" si="91"/>
        <v>0.4389137875133511</v>
      </c>
    </row>
    <row r="291" spans="1:17" s="15" customFormat="1" ht="12.75" hidden="1" outlineLevel="2">
      <c r="A291" s="15" t="s">
        <v>845</v>
      </c>
      <c r="B291" s="15" t="s">
        <v>846</v>
      </c>
      <c r="C291" s="134" t="s">
        <v>847</v>
      </c>
      <c r="D291" s="16"/>
      <c r="E291" s="16"/>
      <c r="F291" s="16">
        <v>-122588</v>
      </c>
      <c r="G291" s="16">
        <v>-115830</v>
      </c>
      <c r="H291" s="16">
        <f t="shared" si="86"/>
        <v>-6758</v>
      </c>
      <c r="I291" s="53">
        <f t="shared" si="87"/>
        <v>-0.05834412501079168</v>
      </c>
      <c r="J291" s="174"/>
      <c r="K291" s="256">
        <v>-122588</v>
      </c>
      <c r="L291" s="16">
        <f t="shared" si="88"/>
        <v>0</v>
      </c>
      <c r="M291" s="53">
        <f t="shared" si="89"/>
        <v>0</v>
      </c>
      <c r="N291" s="174"/>
      <c r="O291" s="256">
        <v>-121511</v>
      </c>
      <c r="P291" s="16">
        <f t="shared" si="90"/>
        <v>-1077</v>
      </c>
      <c r="Q291" s="53">
        <f t="shared" si="91"/>
        <v>-0.008863395083572681</v>
      </c>
    </row>
    <row r="292" spans="1:17" s="15" customFormat="1" ht="12.75" hidden="1" outlineLevel="2">
      <c r="A292" s="15" t="s">
        <v>848</v>
      </c>
      <c r="B292" s="15" t="s">
        <v>849</v>
      </c>
      <c r="C292" s="134" t="s">
        <v>850</v>
      </c>
      <c r="D292" s="16"/>
      <c r="E292" s="16"/>
      <c r="F292" s="16">
        <v>25216637.84</v>
      </c>
      <c r="G292" s="16">
        <v>22697475.6</v>
      </c>
      <c r="H292" s="16">
        <f t="shared" si="86"/>
        <v>2519162.2399999984</v>
      </c>
      <c r="I292" s="53">
        <f t="shared" si="87"/>
        <v>0.1109886528526546</v>
      </c>
      <c r="J292" s="174"/>
      <c r="K292" s="256">
        <v>25216637.84</v>
      </c>
      <c r="L292" s="16">
        <f t="shared" si="88"/>
        <v>0</v>
      </c>
      <c r="M292" s="53">
        <f t="shared" si="89"/>
        <v>0</v>
      </c>
      <c r="N292" s="174"/>
      <c r="O292" s="256">
        <v>26866928.84</v>
      </c>
      <c r="P292" s="16">
        <f t="shared" si="90"/>
        <v>-1650291</v>
      </c>
      <c r="Q292" s="53">
        <f t="shared" si="91"/>
        <v>-0.06142462392437706</v>
      </c>
    </row>
    <row r="293" spans="1:17" s="15" customFormat="1" ht="12.75" hidden="1" outlineLevel="2">
      <c r="A293" s="15" t="s">
        <v>851</v>
      </c>
      <c r="B293" s="15" t="s">
        <v>852</v>
      </c>
      <c r="C293" s="134" t="s">
        <v>853</v>
      </c>
      <c r="D293" s="16"/>
      <c r="E293" s="16"/>
      <c r="F293" s="16">
        <v>14351208</v>
      </c>
      <c r="G293" s="16">
        <v>19517241</v>
      </c>
      <c r="H293" s="16">
        <f t="shared" si="86"/>
        <v>-5166033</v>
      </c>
      <c r="I293" s="53">
        <f t="shared" si="87"/>
        <v>-0.26469074189328295</v>
      </c>
      <c r="J293" s="174"/>
      <c r="K293" s="256">
        <v>14351208</v>
      </c>
      <c r="L293" s="16">
        <f t="shared" si="88"/>
        <v>0</v>
      </c>
      <c r="M293" s="53">
        <f t="shared" si="89"/>
        <v>0</v>
      </c>
      <c r="N293" s="174"/>
      <c r="O293" s="256">
        <v>15266079</v>
      </c>
      <c r="P293" s="16">
        <f t="shared" si="90"/>
        <v>-914871</v>
      </c>
      <c r="Q293" s="53">
        <f t="shared" si="91"/>
        <v>-0.05992835488405372</v>
      </c>
    </row>
    <row r="294" spans="1:17" s="15" customFormat="1" ht="12.75" hidden="1" outlineLevel="2">
      <c r="A294" s="15" t="s">
        <v>854</v>
      </c>
      <c r="B294" s="15" t="s">
        <v>855</v>
      </c>
      <c r="C294" s="134" t="s">
        <v>856</v>
      </c>
      <c r="D294" s="16"/>
      <c r="E294" s="16"/>
      <c r="F294" s="16">
        <v>-5442342.49</v>
      </c>
      <c r="G294" s="16">
        <v>-4855507.26</v>
      </c>
      <c r="H294" s="16">
        <f t="shared" si="86"/>
        <v>-586835.2300000004</v>
      </c>
      <c r="I294" s="53">
        <f t="shared" si="87"/>
        <v>-0.12085971631314181</v>
      </c>
      <c r="J294" s="174"/>
      <c r="K294" s="256">
        <v>-5362765.93</v>
      </c>
      <c r="L294" s="16">
        <f t="shared" si="88"/>
        <v>-79576.56000000052</v>
      </c>
      <c r="M294" s="53" t="str">
        <f t="shared" si="89"/>
        <v>N.M.</v>
      </c>
      <c r="N294" s="174"/>
      <c r="O294" s="256">
        <v>-5000070.7</v>
      </c>
      <c r="P294" s="16">
        <f t="shared" si="90"/>
        <v>-442271.79000000004</v>
      </c>
      <c r="Q294" s="53">
        <f t="shared" si="91"/>
        <v>-0.08845310727306316</v>
      </c>
    </row>
    <row r="295" spans="1:17" s="15" customFormat="1" ht="12.75" hidden="1" outlineLevel="2">
      <c r="A295" s="15" t="s">
        <v>857</v>
      </c>
      <c r="B295" s="15" t="s">
        <v>858</v>
      </c>
      <c r="C295" s="134" t="s">
        <v>859</v>
      </c>
      <c r="D295" s="16"/>
      <c r="E295" s="16"/>
      <c r="F295" s="16">
        <v>3325414.75</v>
      </c>
      <c r="G295" s="16">
        <v>3472991.34</v>
      </c>
      <c r="H295" s="16">
        <f t="shared" si="86"/>
        <v>-147576.58999999985</v>
      </c>
      <c r="I295" s="53">
        <f t="shared" si="87"/>
        <v>-0.04249264554745474</v>
      </c>
      <c r="J295" s="174"/>
      <c r="K295" s="256">
        <v>3302606.38</v>
      </c>
      <c r="L295" s="16">
        <f t="shared" si="88"/>
        <v>22808.37000000011</v>
      </c>
      <c r="M295" s="53" t="str">
        <f t="shared" si="89"/>
        <v>N.M.</v>
      </c>
      <c r="N295" s="174"/>
      <c r="O295" s="256">
        <v>3505419.4</v>
      </c>
      <c r="P295" s="16">
        <f t="shared" si="90"/>
        <v>-180004.6499999999</v>
      </c>
      <c r="Q295" s="53">
        <f t="shared" si="91"/>
        <v>-0.05135038905758321</v>
      </c>
    </row>
    <row r="296" spans="1:17" ht="12.75" collapsed="1">
      <c r="A296" s="11" t="s">
        <v>260</v>
      </c>
      <c r="C296" s="121" t="s">
        <v>192</v>
      </c>
      <c r="D296" s="103"/>
      <c r="E296" s="104"/>
      <c r="F296" s="234">
        <v>46798409.379999995</v>
      </c>
      <c r="G296" s="234">
        <v>54504631.08</v>
      </c>
      <c r="H296" s="197">
        <f>+F296-G296</f>
        <v>-7706221.700000003</v>
      </c>
      <c r="I296" s="138">
        <f>IF(G296&lt;0,IF(H296=0,0,IF(OR(G296=0,F296=0),"N.M.",IF(ABS(H296/G296)&gt;=10,"N.M.",H296/(-G296)))),IF(H296=0,0,IF(OR(G296=0,F296=0),"N.M.",IF(ABS(H296/G296)&gt;=10,"N.M.",H296/G296))))</f>
        <v>-0.14138654912990933</v>
      </c>
      <c r="J296" s="166"/>
      <c r="K296" s="234">
        <v>46655999.68000001</v>
      </c>
      <c r="L296" s="197">
        <f>+F296-K296</f>
        <v>142409.69999998808</v>
      </c>
      <c r="M296" s="138" t="str">
        <f>IF(K296&lt;0,IF(L296=0,0,IF(OR(K296=0,N296=0),"N.M.",IF(ABS(L296/K296)&gt;=10,"N.M.",L296/(-K296)))),IF(L296=0,0,IF(OR(K296=0,N296=0),"N.M.",IF(ABS(L296/K296)&gt;=10,"N.M.",L296/K296))))</f>
        <v>N.M.</v>
      </c>
      <c r="N296" s="166"/>
      <c r="O296" s="234">
        <v>53348601.76</v>
      </c>
      <c r="P296" s="197">
        <f>+F296-O296</f>
        <v>-6550192.380000003</v>
      </c>
      <c r="Q296" s="138">
        <f>IF(O296&lt;0,IF(P296=0,0,IF(OR(O296=0,F296=0),"N.M.",IF(ABS(P296/O296)&gt;=10,"N.M.",P296/(-O296)))),IF(P296=0,0,IF(OR(O296=0,F296=0),"N.M.",IF(ABS(P296/O296)&gt;=10,"N.M.",P296/O296))))</f>
        <v>-0.12278095702428027</v>
      </c>
    </row>
    <row r="297" spans="1:17" s="13" customFormat="1" ht="12.75">
      <c r="A297" s="13" t="s">
        <v>261</v>
      </c>
      <c r="C297" s="110" t="s">
        <v>189</v>
      </c>
      <c r="D297" s="33"/>
      <c r="F297" s="33">
        <v>49615490.13</v>
      </c>
      <c r="G297" s="33">
        <v>55665678.54</v>
      </c>
      <c r="H297" s="74">
        <f>+F297-G297</f>
        <v>-6050188.409999996</v>
      </c>
      <c r="I297" s="137">
        <f>IF(G297&lt;0,IF(H297=0,0,IF(OR(G297=0,F297=0),"N.M.",IF(ABS(H297/G297)&gt;=10,"N.M.",H297/(-G297)))),IF(H297=0,0,IF(OR(G297=0,F297=0),"N.M.",IF(ABS(H297/G297)&gt;=10,"N.M.",H297/G297))))</f>
        <v>-0.10868794863701299</v>
      </c>
      <c r="J297" s="168"/>
      <c r="K297" s="33">
        <v>49579075.3</v>
      </c>
      <c r="L297" s="74">
        <f>+F297-K297</f>
        <v>36414.83000000566</v>
      </c>
      <c r="M297" s="137" t="str">
        <f>IF(K297&lt;0,IF(L297=0,0,IF(OR(K297=0,N297=0),"N.M.",IF(ABS(L297/K297)&gt;=10,"N.M.",L297/(-K297)))),IF(L297=0,0,IF(OR(K297=0,N297=0),"N.M.",IF(ABS(L297/K297)&gt;=10,"N.M.",L297/K297))))</f>
        <v>N.M.</v>
      </c>
      <c r="N297" s="168"/>
      <c r="O297" s="33">
        <v>54461703.71</v>
      </c>
      <c r="P297" s="74">
        <f>+F297-O297</f>
        <v>-4846213.579999998</v>
      </c>
      <c r="Q297" s="137">
        <f>IF(O297&lt;0,IF(P297=0,0,IF(OR(O297=0,F297=0),"N.M.",IF(ABS(P297/O297)&gt;=10,"N.M.",P297/(-O297)))),IF(P297=0,0,IF(OR(O297=0,F297=0),"N.M.",IF(ABS(P297/O297)&gt;=10,"N.M.",P297/O297))))</f>
        <v>-0.0889838776584244</v>
      </c>
    </row>
    <row r="298" spans="3:17" ht="12.75">
      <c r="C298" s="122"/>
      <c r="D298" s="106"/>
      <c r="E298" s="11"/>
      <c r="F298" s="233" t="str">
        <f>IF(ABS(+F279+F281+F296-F297)&gt;$C$575,$J$184," ")</f>
        <v> </v>
      </c>
      <c r="G298" s="233" t="str">
        <f>IF(ABS(+G279+G281+G296-G297)&gt;$C$575,$J$184," ")</f>
        <v> </v>
      </c>
      <c r="H298" s="233" t="str">
        <f>IF(ABS(+H279+H281+H296-H297)&gt;$C$575,$J$184," ")</f>
        <v> </v>
      </c>
      <c r="I298" s="141"/>
      <c r="J298" s="166"/>
      <c r="K298" s="233" t="str">
        <f>IF(ABS(+K279+K281+K296-K297)&gt;$C$575,$J$184," ")</f>
        <v> </v>
      </c>
      <c r="L298" s="233" t="str">
        <f>IF(ABS(+L279+L281+L296-L297)&gt;$C$575,$J$184," ")</f>
        <v> </v>
      </c>
      <c r="M298" s="141"/>
      <c r="N298" s="166"/>
      <c r="O298" s="233" t="str">
        <f>IF(ABS(+O279+O281+O296-O297)&gt;$C$575,$J$184," ")</f>
        <v> </v>
      </c>
      <c r="P298" s="233" t="str">
        <f>IF(ABS(+P279+P281+P296-P297)&gt;$C$575,$J$184," ")</f>
        <v> </v>
      </c>
      <c r="Q298" s="141"/>
    </row>
    <row r="299" spans="3:17" ht="0.75" customHeight="1" hidden="1" outlineLevel="1">
      <c r="C299" s="122"/>
      <c r="D299" s="106"/>
      <c r="E299" s="11"/>
      <c r="F299" s="106"/>
      <c r="G299" s="106"/>
      <c r="H299" s="106"/>
      <c r="I299" s="141"/>
      <c r="J299" s="166"/>
      <c r="K299" s="106"/>
      <c r="L299" s="106"/>
      <c r="M299" s="141"/>
      <c r="N299" s="166"/>
      <c r="O299" s="106"/>
      <c r="P299" s="106"/>
      <c r="Q299" s="141"/>
    </row>
    <row r="300" spans="1:17" s="227" customFormat="1" ht="12.75" collapsed="1">
      <c r="A300" s="227" t="s">
        <v>262</v>
      </c>
      <c r="C300" s="228" t="s">
        <v>193</v>
      </c>
      <c r="D300" s="18"/>
      <c r="E300" s="11"/>
      <c r="F300" s="18">
        <v>0</v>
      </c>
      <c r="G300" s="18">
        <v>0</v>
      </c>
      <c r="H300" s="51">
        <f>+F300-G300</f>
        <v>0</v>
      </c>
      <c r="I300" s="136">
        <f>IF(G300&lt;0,IF(H300=0,0,IF(OR(G300=0,F300=0),"N.M.",IF(ABS(H300/G300)&gt;=10,"N.M.",H300/(-G300)))),IF(H300=0,0,IF(OR(G300=0,F300=0),"N.M.",IF(ABS(H300/G300)&gt;=10,"N.M.",H300/G300))))</f>
        <v>0</v>
      </c>
      <c r="J300" s="229"/>
      <c r="K300" s="18">
        <v>0</v>
      </c>
      <c r="L300" s="51">
        <f>+F300-K300</f>
        <v>0</v>
      </c>
      <c r="M300" s="136">
        <f>IF(K300&lt;0,IF(L300=0,0,IF(OR(K300=0,N300=0),"N.M.",IF(ABS(L300/K300)&gt;=10,"N.M.",L300/(-K300)))),IF(L300=0,0,IF(OR(K300=0,N300=0),"N.M.",IF(ABS(L300/K300)&gt;=10,"N.M.",L300/K300))))</f>
        <v>0</v>
      </c>
      <c r="N300" s="229"/>
      <c r="O300" s="18">
        <v>0</v>
      </c>
      <c r="P300" s="51">
        <f>+F300-O300</f>
        <v>0</v>
      </c>
      <c r="Q300" s="136">
        <f>IF(O300&lt;0,IF(P300=0,0,IF(OR(O300=0,F300=0),"N.M.",IF(ABS(P300/O300)&gt;=10,"N.M.",P300/(-O300)))),IF(P300=0,0,IF(OR(O300=0,F300=0),"N.M.",IF(ABS(P300/O300)&gt;=10,"N.M.",P300/O300))))</f>
        <v>0</v>
      </c>
    </row>
    <row r="301" spans="3:17" s="227" customFormat="1" ht="0.75" customHeight="1" hidden="1" outlineLevel="1">
      <c r="C301" s="228"/>
      <c r="D301" s="18"/>
      <c r="E301" s="11"/>
      <c r="F301" s="18"/>
      <c r="G301" s="18"/>
      <c r="H301" s="51"/>
      <c r="I301" s="136"/>
      <c r="J301" s="229"/>
      <c r="K301" s="18"/>
      <c r="L301" s="51"/>
      <c r="M301" s="136"/>
      <c r="N301" s="229"/>
      <c r="O301" s="18"/>
      <c r="P301" s="51"/>
      <c r="Q301" s="136"/>
    </row>
    <row r="302" spans="1:17" ht="12.75" collapsed="1">
      <c r="A302" s="11" t="s">
        <v>263</v>
      </c>
      <c r="C302" s="228" t="s">
        <v>194</v>
      </c>
      <c r="E302" s="11"/>
      <c r="F302" s="18">
        <v>0</v>
      </c>
      <c r="G302" s="18">
        <v>0</v>
      </c>
      <c r="H302" s="51">
        <f>+F302-G302</f>
        <v>0</v>
      </c>
      <c r="I302" s="136">
        <f>IF(G302&lt;0,IF(H302=0,0,IF(OR(G302=0,F302=0),"N.M.",IF(ABS(H302/G302)&gt;=10,"N.M.",H302/(-G302)))),IF(H302=0,0,IF(OR(G302=0,F302=0),"N.M.",IF(ABS(H302/G302)&gt;=10,"N.M.",H302/G302))))</f>
        <v>0</v>
      </c>
      <c r="J302" s="166"/>
      <c r="K302" s="18">
        <v>0</v>
      </c>
      <c r="L302" s="51">
        <f>+F302-K302</f>
        <v>0</v>
      </c>
      <c r="M302" s="136">
        <f>IF(K302&lt;0,IF(L302=0,0,IF(OR(K302=0,N302=0),"N.M.",IF(ABS(L302/K302)&gt;=10,"N.M.",L302/(-K302)))),IF(L302=0,0,IF(OR(K302=0,N302=0),"N.M.",IF(ABS(L302/K302)&gt;=10,"N.M.",L302/K302))))</f>
        <v>0</v>
      </c>
      <c r="N302" s="166"/>
      <c r="O302" s="18">
        <v>0</v>
      </c>
      <c r="P302" s="51">
        <f>+F302-O302</f>
        <v>0</v>
      </c>
      <c r="Q302" s="136">
        <f>IF(O302&lt;0,IF(P302=0,0,IF(OR(O302=0,F302=0),"N.M.",IF(ABS(P302/O302)&gt;=10,"N.M.",P302/(-O302)))),IF(P302=0,0,IF(OR(O302=0,F302=0),"N.M.",IF(ABS(P302/O302)&gt;=10,"N.M.",P302/O302))))</f>
        <v>0</v>
      </c>
    </row>
    <row r="303" spans="3:17" ht="0.75" customHeight="1" hidden="1" outlineLevel="1">
      <c r="C303" s="228"/>
      <c r="E303" s="11"/>
      <c r="H303" s="51"/>
      <c r="I303" s="136"/>
      <c r="J303" s="166"/>
      <c r="K303" s="18"/>
      <c r="L303" s="51"/>
      <c r="M303" s="136"/>
      <c r="N303" s="166"/>
      <c r="O303" s="18"/>
      <c r="P303" s="51"/>
      <c r="Q303" s="136"/>
    </row>
    <row r="304" spans="1:17" ht="12.75" collapsed="1">
      <c r="A304" s="11" t="s">
        <v>264</v>
      </c>
      <c r="C304" s="228" t="s">
        <v>195</v>
      </c>
      <c r="E304" s="11"/>
      <c r="F304" s="18">
        <v>0</v>
      </c>
      <c r="G304" s="18">
        <v>0</v>
      </c>
      <c r="H304" s="51">
        <f>+F304-G304</f>
        <v>0</v>
      </c>
      <c r="I304" s="136">
        <f>IF(G304&lt;0,IF(H304=0,0,IF(OR(G304=0,F304=0),"N.M.",IF(ABS(H304/G304)&gt;=10,"N.M.",H304/(-G304)))),IF(H304=0,0,IF(OR(G304=0,F304=0),"N.M.",IF(ABS(H304/G304)&gt;=10,"N.M.",H304/G304))))</f>
        <v>0</v>
      </c>
      <c r="J304" s="166"/>
      <c r="K304" s="18">
        <v>0</v>
      </c>
      <c r="L304" s="51">
        <f>+F304-K304</f>
        <v>0</v>
      </c>
      <c r="M304" s="136">
        <f>IF(K304&lt;0,IF(L304=0,0,IF(OR(K304=0,N304=0),"N.M.",IF(ABS(L304/K304)&gt;=10,"N.M.",L304/(-K304)))),IF(L304=0,0,IF(OR(K304=0,N304=0),"N.M.",IF(ABS(L304/K304)&gt;=10,"N.M.",L304/K304))))</f>
        <v>0</v>
      </c>
      <c r="N304" s="166"/>
      <c r="O304" s="18">
        <v>0</v>
      </c>
      <c r="P304" s="51">
        <f>+F304-O304</f>
        <v>0</v>
      </c>
      <c r="Q304" s="136">
        <f>IF(O304&lt;0,IF(P304=0,0,IF(OR(O304=0,F304=0),"N.M.",IF(ABS(P304/O304)&gt;=10,"N.M.",P304/(-O304)))),IF(P304=0,0,IF(OR(O304=0,F304=0),"N.M.",IF(ABS(P304/O304)&gt;=10,"N.M.",P304/O304))))</f>
        <v>0</v>
      </c>
    </row>
    <row r="305" spans="3:17" ht="0.75" customHeight="1" hidden="1" outlineLevel="1">
      <c r="C305" s="228"/>
      <c r="E305" s="11"/>
      <c r="H305" s="51"/>
      <c r="I305" s="136"/>
      <c r="J305" s="166"/>
      <c r="K305" s="18"/>
      <c r="L305" s="51"/>
      <c r="M305" s="136"/>
      <c r="N305" s="166"/>
      <c r="O305" s="18"/>
      <c r="P305" s="51"/>
      <c r="Q305" s="136"/>
    </row>
    <row r="306" spans="1:17" ht="12.75" collapsed="1">
      <c r="A306" s="11" t="s">
        <v>265</v>
      </c>
      <c r="C306" s="228" t="s">
        <v>196</v>
      </c>
      <c r="E306" s="11"/>
      <c r="F306" s="18">
        <v>0</v>
      </c>
      <c r="G306" s="18">
        <v>0</v>
      </c>
      <c r="H306" s="51">
        <f>+F306-G306</f>
        <v>0</v>
      </c>
      <c r="I306" s="136">
        <f>IF(G306&lt;0,IF(H306=0,0,IF(OR(G306=0,F306=0),"N.M.",IF(ABS(H306/G306)&gt;=10,"N.M.",H306/(-G306)))),IF(H306=0,0,IF(OR(G306=0,F306=0),"N.M.",IF(ABS(H306/G306)&gt;=10,"N.M.",H306/G306))))</f>
        <v>0</v>
      </c>
      <c r="J306" s="166"/>
      <c r="K306" s="18">
        <v>0</v>
      </c>
      <c r="L306" s="51">
        <f>+F306-K306</f>
        <v>0</v>
      </c>
      <c r="M306" s="136">
        <f>IF(K306&lt;0,IF(L306=0,0,IF(OR(K306=0,N306=0),"N.M.",IF(ABS(L306/K306)&gt;=10,"N.M.",L306/(-K306)))),IF(L306=0,0,IF(OR(K306=0,N306=0),"N.M.",IF(ABS(L306/K306)&gt;=10,"N.M.",L306/K306))))</f>
        <v>0</v>
      </c>
      <c r="N306" s="166"/>
      <c r="O306" s="18">
        <v>0</v>
      </c>
      <c r="P306" s="51">
        <f>+F306-O306</f>
        <v>0</v>
      </c>
      <c r="Q306" s="136">
        <f>IF(O306&lt;0,IF(P306=0,0,IF(OR(O306=0,F306=0),"N.M.",IF(ABS(P306/O306)&gt;=10,"N.M.",P306/(-O306)))),IF(P306=0,0,IF(OR(O306=0,F306=0),"N.M.",IF(ABS(P306/O306)&gt;=10,"N.M.",P306/O306))))</f>
        <v>0</v>
      </c>
    </row>
    <row r="307" spans="3:17" ht="0.75" customHeight="1" hidden="1" outlineLevel="1">
      <c r="C307" s="228"/>
      <c r="E307" s="11"/>
      <c r="H307" s="51"/>
      <c r="I307" s="136"/>
      <c r="J307" s="166"/>
      <c r="K307" s="18"/>
      <c r="L307" s="51"/>
      <c r="M307" s="136"/>
      <c r="N307" s="166"/>
      <c r="O307" s="18"/>
      <c r="P307" s="51"/>
      <c r="Q307" s="136"/>
    </row>
    <row r="308" spans="1:17" s="15" customFormat="1" ht="12.75" hidden="1" outlineLevel="2">
      <c r="A308" s="15" t="s">
        <v>860</v>
      </c>
      <c r="B308" s="15" t="s">
        <v>861</v>
      </c>
      <c r="C308" s="134" t="s">
        <v>862</v>
      </c>
      <c r="D308" s="16"/>
      <c r="E308" s="16"/>
      <c r="F308" s="16">
        <v>0</v>
      </c>
      <c r="G308" s="16">
        <v>0</v>
      </c>
      <c r="H308" s="16">
        <f>+F308-G308</f>
        <v>0</v>
      </c>
      <c r="I308" s="53">
        <f>IF(G308&lt;0,IF(H308=0,0,IF(OR(G308=0,F308=0),"N.M.",IF(ABS(H308/G308)&gt;=10,"N.M.",H308/(-G308)))),IF(H308=0,0,IF(OR(G308=0,F308=0),"N.M.",IF(ABS(H308/G308)&gt;=10,"N.M.",H308/G308))))</f>
        <v>0</v>
      </c>
      <c r="J308" s="174"/>
      <c r="K308" s="256">
        <v>0</v>
      </c>
      <c r="L308" s="16">
        <f>+F308-K308</f>
        <v>0</v>
      </c>
      <c r="M308" s="53">
        <f>IF(K308&lt;0,IF(L308=0,0,IF(OR(K308=0,N308=0),"N.M.",IF(ABS(L308/K308)&gt;=10,"N.M.",L308/(-K308)))),IF(L308=0,0,IF(OR(K308=0,N308=0),"N.M.",IF(ABS(L308/K308)&gt;=10,"N.M.",L308/K308))))</f>
        <v>0</v>
      </c>
      <c r="N308" s="174"/>
      <c r="O308" s="256">
        <v>485336.84</v>
      </c>
      <c r="P308" s="16">
        <f>+F308-O308</f>
        <v>-485336.84</v>
      </c>
      <c r="Q308" s="53" t="str">
        <f>IF(O308&lt;0,IF(P308=0,0,IF(OR(O308=0,F308=0),"N.M.",IF(ABS(P308/O308)&gt;=10,"N.M.",P308/(-O308)))),IF(P308=0,0,IF(OR(O308=0,F308=0),"N.M.",IF(ABS(P308/O308)&gt;=10,"N.M.",P308/O308))))</f>
        <v>N.M.</v>
      </c>
    </row>
    <row r="309" spans="1:17" ht="12.75" collapsed="1">
      <c r="A309" s="11" t="s">
        <v>266</v>
      </c>
      <c r="C309" s="228" t="s">
        <v>197</v>
      </c>
      <c r="E309" s="11"/>
      <c r="F309" s="18">
        <v>0</v>
      </c>
      <c r="G309" s="18">
        <v>0</v>
      </c>
      <c r="H309" s="51">
        <f>+F309-G309</f>
        <v>0</v>
      </c>
      <c r="I309" s="136">
        <f>IF(G309&lt;0,IF(H309=0,0,IF(OR(G309=0,F309=0),"N.M.",IF(ABS(H309/G309)&gt;=10,"N.M.",H309/(-G309)))),IF(H309=0,0,IF(OR(G309=0,F309=0),"N.M.",IF(ABS(H309/G309)&gt;=10,"N.M.",H309/G309))))</f>
        <v>0</v>
      </c>
      <c r="J309" s="166"/>
      <c r="K309" s="18">
        <v>0</v>
      </c>
      <c r="L309" s="51">
        <f>+F309-K309</f>
        <v>0</v>
      </c>
      <c r="M309" s="136">
        <f>IF(K309&lt;0,IF(L309=0,0,IF(OR(K309=0,N309=0),"N.M.",IF(ABS(L309/K309)&gt;=10,"N.M.",L309/(-K309)))),IF(L309=0,0,IF(OR(K309=0,N309=0),"N.M.",IF(ABS(L309/K309)&gt;=10,"N.M.",L309/K309))))</f>
        <v>0</v>
      </c>
      <c r="N309" s="166"/>
      <c r="O309" s="18">
        <v>485336.84</v>
      </c>
      <c r="P309" s="51">
        <f>+F309-O309</f>
        <v>-485336.84</v>
      </c>
      <c r="Q309" s="136" t="str">
        <f>IF(O309&lt;0,IF(P309=0,0,IF(OR(O309=0,F309=0),"N.M.",IF(ABS(P309/O309)&gt;=10,"N.M.",P309/(-O309)))),IF(P309=0,0,IF(OR(O309=0,F309=0),"N.M.",IF(ABS(P309/O309)&gt;=10,"N.M.",P309/O309))))</f>
        <v>N.M.</v>
      </c>
    </row>
    <row r="310" spans="3:17" ht="0.75" customHeight="1" hidden="1" outlineLevel="1">
      <c r="C310" s="228"/>
      <c r="E310" s="11"/>
      <c r="H310" s="51"/>
      <c r="I310" s="136"/>
      <c r="J310" s="166"/>
      <c r="K310" s="18"/>
      <c r="L310" s="51"/>
      <c r="M310" s="136"/>
      <c r="N310" s="166"/>
      <c r="O310" s="18"/>
      <c r="P310" s="51"/>
      <c r="Q310" s="136"/>
    </row>
    <row r="311" spans="1:17" s="15" customFormat="1" ht="12.75" hidden="1" outlineLevel="2">
      <c r="A311" s="15" t="s">
        <v>863</v>
      </c>
      <c r="B311" s="15" t="s">
        <v>864</v>
      </c>
      <c r="C311" s="134" t="s">
        <v>865</v>
      </c>
      <c r="D311" s="16"/>
      <c r="E311" s="16"/>
      <c r="F311" s="16">
        <v>6784001.802</v>
      </c>
      <c r="G311" s="16">
        <v>7268746.222</v>
      </c>
      <c r="H311" s="16">
        <f aca="true" t="shared" si="92" ref="H311:H330">+F311-G311</f>
        <v>-484744.4199999999</v>
      </c>
      <c r="I311" s="53">
        <f aca="true" t="shared" si="93" ref="I311:I330">IF(G311&lt;0,IF(H311=0,0,IF(OR(G311=0,F311=0),"N.M.",IF(ABS(H311/G311)&gt;=10,"N.M.",H311/(-G311)))),IF(H311=0,0,IF(OR(G311=0,F311=0),"N.M.",IF(ABS(H311/G311)&gt;=10,"N.M.",H311/G311))))</f>
        <v>-0.06668886286507636</v>
      </c>
      <c r="J311" s="174"/>
      <c r="K311" s="256">
        <v>2499568.342</v>
      </c>
      <c r="L311" s="16">
        <f aca="true" t="shared" si="94" ref="L311:L330">+F311-K311</f>
        <v>4284433.46</v>
      </c>
      <c r="M311" s="53" t="str">
        <f aca="true" t="shared" si="95" ref="M311:M330">IF(K311&lt;0,IF(L311=0,0,IF(OR(K311=0,N311=0),"N.M.",IF(ABS(L311/K311)&gt;=10,"N.M.",L311/(-K311)))),IF(L311=0,0,IF(OR(K311=0,N311=0),"N.M.",IF(ABS(L311/K311)&gt;=10,"N.M.",L311/K311))))</f>
        <v>N.M.</v>
      </c>
      <c r="N311" s="174"/>
      <c r="O311" s="256">
        <v>7623949.072</v>
      </c>
      <c r="P311" s="16">
        <f aca="true" t="shared" si="96" ref="P311:P330">+F311-O311</f>
        <v>-839947.2699999996</v>
      </c>
      <c r="Q311" s="53">
        <f aca="true" t="shared" si="97" ref="Q311:Q330">IF(O311&lt;0,IF(P311=0,0,IF(OR(O311=0,F311=0),"N.M.",IF(ABS(P311/O311)&gt;=10,"N.M.",P311/(-O311)))),IF(P311=0,0,IF(OR(O311=0,F311=0),"N.M.",IF(ABS(P311/O311)&gt;=10,"N.M.",P311/O311))))</f>
        <v>-0.11017220367916954</v>
      </c>
    </row>
    <row r="312" spans="1:17" s="15" customFormat="1" ht="12.75" hidden="1" outlineLevel="2">
      <c r="A312" s="15" t="s">
        <v>866</v>
      </c>
      <c r="B312" s="15" t="s">
        <v>867</v>
      </c>
      <c r="C312" s="134" t="s">
        <v>868</v>
      </c>
      <c r="D312" s="16"/>
      <c r="E312" s="16"/>
      <c r="F312" s="16">
        <v>4145527.61</v>
      </c>
      <c r="G312" s="16">
        <v>2718362.75</v>
      </c>
      <c r="H312" s="16">
        <f t="shared" si="92"/>
        <v>1427164.8599999999</v>
      </c>
      <c r="I312" s="53">
        <f t="shared" si="93"/>
        <v>0.5250089819690179</v>
      </c>
      <c r="J312" s="174"/>
      <c r="K312" s="256">
        <v>3161651.21</v>
      </c>
      <c r="L312" s="16">
        <f t="shared" si="94"/>
        <v>983876.3999999999</v>
      </c>
      <c r="M312" s="53" t="str">
        <f t="shared" si="95"/>
        <v>N.M.</v>
      </c>
      <c r="N312" s="174"/>
      <c r="O312" s="256">
        <v>19565726.5</v>
      </c>
      <c r="P312" s="16">
        <f t="shared" si="96"/>
        <v>-15420198.89</v>
      </c>
      <c r="Q312" s="53">
        <f t="shared" si="97"/>
        <v>-0.7881229909863046</v>
      </c>
    </row>
    <row r="313" spans="1:17" s="15" customFormat="1" ht="12.75" hidden="1" outlineLevel="2">
      <c r="A313" s="15" t="s">
        <v>869</v>
      </c>
      <c r="B313" s="15" t="s">
        <v>870</v>
      </c>
      <c r="C313" s="134" t="s">
        <v>871</v>
      </c>
      <c r="D313" s="16"/>
      <c r="E313" s="16"/>
      <c r="F313" s="16">
        <v>120925.24</v>
      </c>
      <c r="G313" s="16">
        <v>190655.74</v>
      </c>
      <c r="H313" s="16">
        <f t="shared" si="92"/>
        <v>-69730.49999999999</v>
      </c>
      <c r="I313" s="53">
        <f t="shared" si="93"/>
        <v>-0.3657403653307264</v>
      </c>
      <c r="J313" s="174"/>
      <c r="K313" s="256">
        <v>120925.24</v>
      </c>
      <c r="L313" s="16">
        <f t="shared" si="94"/>
        <v>0</v>
      </c>
      <c r="M313" s="53">
        <f t="shared" si="95"/>
        <v>0</v>
      </c>
      <c r="N313" s="174"/>
      <c r="O313" s="256">
        <v>191541.57</v>
      </c>
      <c r="P313" s="16">
        <f t="shared" si="96"/>
        <v>-70616.33</v>
      </c>
      <c r="Q313" s="53">
        <f t="shared" si="97"/>
        <v>-0.36867365136455754</v>
      </c>
    </row>
    <row r="314" spans="1:17" s="15" customFormat="1" ht="12.75" hidden="1" outlineLevel="2">
      <c r="A314" s="15" t="s">
        <v>872</v>
      </c>
      <c r="B314" s="15" t="s">
        <v>873</v>
      </c>
      <c r="C314" s="134" t="s">
        <v>874</v>
      </c>
      <c r="D314" s="16"/>
      <c r="E314" s="16"/>
      <c r="F314" s="16">
        <v>0</v>
      </c>
      <c r="G314" s="16">
        <v>0</v>
      </c>
      <c r="H314" s="16">
        <f t="shared" si="92"/>
        <v>0</v>
      </c>
      <c r="I314" s="53">
        <f t="shared" si="93"/>
        <v>0</v>
      </c>
      <c r="J314" s="174"/>
      <c r="K314" s="256">
        <v>0</v>
      </c>
      <c r="L314" s="16">
        <f t="shared" si="94"/>
        <v>0</v>
      </c>
      <c r="M314" s="53">
        <f t="shared" si="95"/>
        <v>0</v>
      </c>
      <c r="N314" s="174"/>
      <c r="O314" s="256">
        <v>441600</v>
      </c>
      <c r="P314" s="16">
        <f t="shared" si="96"/>
        <v>-441600</v>
      </c>
      <c r="Q314" s="53" t="str">
        <f t="shared" si="97"/>
        <v>N.M.</v>
      </c>
    </row>
    <row r="315" spans="1:17" s="15" customFormat="1" ht="12.75" hidden="1" outlineLevel="2">
      <c r="A315" s="15" t="s">
        <v>875</v>
      </c>
      <c r="B315" s="15" t="s">
        <v>876</v>
      </c>
      <c r="C315" s="134" t="s">
        <v>877</v>
      </c>
      <c r="D315" s="16"/>
      <c r="E315" s="16"/>
      <c r="F315" s="16">
        <v>19078382.99</v>
      </c>
      <c r="G315" s="16">
        <v>8444362.74</v>
      </c>
      <c r="H315" s="16">
        <f t="shared" si="92"/>
        <v>10634020.249999998</v>
      </c>
      <c r="I315" s="53">
        <f t="shared" si="93"/>
        <v>1.2593040561400608</v>
      </c>
      <c r="J315" s="174"/>
      <c r="K315" s="256">
        <v>15443665.28</v>
      </c>
      <c r="L315" s="16">
        <f t="shared" si="94"/>
        <v>3634717.709999999</v>
      </c>
      <c r="M315" s="53" t="str">
        <f t="shared" si="95"/>
        <v>N.M.</v>
      </c>
      <c r="N315" s="174"/>
      <c r="O315" s="256">
        <v>8293879.38</v>
      </c>
      <c r="P315" s="16">
        <f t="shared" si="96"/>
        <v>10784503.61</v>
      </c>
      <c r="Q315" s="53">
        <f t="shared" si="97"/>
        <v>1.30029665442277</v>
      </c>
    </row>
    <row r="316" spans="1:17" s="15" customFormat="1" ht="12.75" hidden="1" outlineLevel="2">
      <c r="A316" s="15" t="s">
        <v>878</v>
      </c>
      <c r="B316" s="15" t="s">
        <v>879</v>
      </c>
      <c r="C316" s="134" t="s">
        <v>481</v>
      </c>
      <c r="D316" s="16"/>
      <c r="E316" s="16"/>
      <c r="F316" s="16">
        <v>336852.52</v>
      </c>
      <c r="G316" s="16">
        <v>139579.95</v>
      </c>
      <c r="H316" s="16">
        <f t="shared" si="92"/>
        <v>197272.57</v>
      </c>
      <c r="I316" s="53">
        <f t="shared" si="93"/>
        <v>1.4133302813190576</v>
      </c>
      <c r="J316" s="174"/>
      <c r="K316" s="256">
        <v>363467.72000000003</v>
      </c>
      <c r="L316" s="16">
        <f t="shared" si="94"/>
        <v>-26615.20000000001</v>
      </c>
      <c r="M316" s="53" t="str">
        <f t="shared" si="95"/>
        <v>N.M.</v>
      </c>
      <c r="N316" s="174"/>
      <c r="O316" s="256">
        <v>284612.5</v>
      </c>
      <c r="P316" s="16">
        <f t="shared" si="96"/>
        <v>52240.02000000002</v>
      </c>
      <c r="Q316" s="53">
        <f t="shared" si="97"/>
        <v>0.18354787649874837</v>
      </c>
    </row>
    <row r="317" spans="1:17" s="15" customFormat="1" ht="12.75" hidden="1" outlineLevel="2">
      <c r="A317" s="15" t="s">
        <v>880</v>
      </c>
      <c r="B317" s="15" t="s">
        <v>881</v>
      </c>
      <c r="C317" s="134" t="s">
        <v>882</v>
      </c>
      <c r="D317" s="16"/>
      <c r="E317" s="16"/>
      <c r="F317" s="16">
        <v>2230434.259</v>
      </c>
      <c r="G317" s="16">
        <v>2506657.753</v>
      </c>
      <c r="H317" s="16">
        <f t="shared" si="92"/>
        <v>-276223.49399999995</v>
      </c>
      <c r="I317" s="53">
        <f t="shared" si="93"/>
        <v>-0.11019593467413417</v>
      </c>
      <c r="J317" s="174"/>
      <c r="K317" s="256">
        <v>2605397.949</v>
      </c>
      <c r="L317" s="16">
        <f t="shared" si="94"/>
        <v>-374963.68999999994</v>
      </c>
      <c r="M317" s="53" t="str">
        <f t="shared" si="95"/>
        <v>N.M.</v>
      </c>
      <c r="N317" s="174"/>
      <c r="O317" s="256">
        <v>3256899.271</v>
      </c>
      <c r="P317" s="16">
        <f t="shared" si="96"/>
        <v>-1026465.0120000001</v>
      </c>
      <c r="Q317" s="53">
        <f t="shared" si="97"/>
        <v>-0.31516633662570526</v>
      </c>
    </row>
    <row r="318" spans="1:17" s="15" customFormat="1" ht="12.75" hidden="1" outlineLevel="2">
      <c r="A318" s="15" t="s">
        <v>883</v>
      </c>
      <c r="B318" s="15" t="s">
        <v>884</v>
      </c>
      <c r="C318" s="134" t="s">
        <v>885</v>
      </c>
      <c r="D318" s="16"/>
      <c r="E318" s="16"/>
      <c r="F318" s="16">
        <v>1134234.83</v>
      </c>
      <c r="G318" s="16">
        <v>1085987.68</v>
      </c>
      <c r="H318" s="16">
        <f t="shared" si="92"/>
        <v>48247.15000000014</v>
      </c>
      <c r="I318" s="53">
        <f t="shared" si="93"/>
        <v>0.04442697729314953</v>
      </c>
      <c r="J318" s="174"/>
      <c r="K318" s="256">
        <v>890521.63</v>
      </c>
      <c r="L318" s="16">
        <f t="shared" si="94"/>
        <v>243713.20000000007</v>
      </c>
      <c r="M318" s="53" t="str">
        <f t="shared" si="95"/>
        <v>N.M.</v>
      </c>
      <c r="N318" s="174"/>
      <c r="O318" s="256">
        <v>732586.47</v>
      </c>
      <c r="P318" s="16">
        <f t="shared" si="96"/>
        <v>401648.3600000001</v>
      </c>
      <c r="Q318" s="53">
        <f t="shared" si="97"/>
        <v>0.5482606851857367</v>
      </c>
    </row>
    <row r="319" spans="1:17" s="15" customFormat="1" ht="12.75" hidden="1" outlineLevel="2">
      <c r="A319" s="15" t="s">
        <v>886</v>
      </c>
      <c r="B319" s="15" t="s">
        <v>887</v>
      </c>
      <c r="C319" s="134" t="s">
        <v>888</v>
      </c>
      <c r="D319" s="16"/>
      <c r="E319" s="16"/>
      <c r="F319" s="16">
        <v>-27.42</v>
      </c>
      <c r="G319" s="16">
        <v>2257.35</v>
      </c>
      <c r="H319" s="16">
        <f t="shared" si="92"/>
        <v>-2284.77</v>
      </c>
      <c r="I319" s="53">
        <f t="shared" si="93"/>
        <v>-1.0121469865107315</v>
      </c>
      <c r="J319" s="174"/>
      <c r="K319" s="256">
        <v>2769.58</v>
      </c>
      <c r="L319" s="16">
        <f t="shared" si="94"/>
        <v>-2797</v>
      </c>
      <c r="M319" s="53" t="str">
        <f t="shared" si="95"/>
        <v>N.M.</v>
      </c>
      <c r="N319" s="174"/>
      <c r="O319" s="256">
        <v>2257.34</v>
      </c>
      <c r="P319" s="16">
        <f t="shared" si="96"/>
        <v>-2284.76</v>
      </c>
      <c r="Q319" s="53">
        <f t="shared" si="97"/>
        <v>-1.0121470403217947</v>
      </c>
    </row>
    <row r="320" spans="1:17" s="15" customFormat="1" ht="12.75" hidden="1" outlineLevel="2">
      <c r="A320" s="15" t="s">
        <v>889</v>
      </c>
      <c r="B320" s="15" t="s">
        <v>890</v>
      </c>
      <c r="C320" s="134" t="s">
        <v>891</v>
      </c>
      <c r="D320" s="16"/>
      <c r="E320" s="16"/>
      <c r="F320" s="16">
        <v>0.002</v>
      </c>
      <c r="G320" s="16">
        <v>17041.252</v>
      </c>
      <c r="H320" s="16">
        <f t="shared" si="92"/>
        <v>-17041.25</v>
      </c>
      <c r="I320" s="53">
        <f t="shared" si="93"/>
        <v>-0.9999998826377311</v>
      </c>
      <c r="J320" s="174"/>
      <c r="K320" s="256">
        <v>0.002</v>
      </c>
      <c r="L320" s="16">
        <f t="shared" si="94"/>
        <v>0</v>
      </c>
      <c r="M320" s="53">
        <f t="shared" si="95"/>
        <v>0</v>
      </c>
      <c r="N320" s="174"/>
      <c r="O320" s="256">
        <v>156.722</v>
      </c>
      <c r="P320" s="16">
        <f t="shared" si="96"/>
        <v>-156.72</v>
      </c>
      <c r="Q320" s="53">
        <f t="shared" si="97"/>
        <v>-0.9999872385497888</v>
      </c>
    </row>
    <row r="321" spans="1:17" s="15" customFormat="1" ht="12.75" hidden="1" outlineLevel="2">
      <c r="A321" s="15" t="s">
        <v>892</v>
      </c>
      <c r="B321" s="15" t="s">
        <v>893</v>
      </c>
      <c r="C321" s="134" t="s">
        <v>894</v>
      </c>
      <c r="D321" s="16"/>
      <c r="E321" s="16"/>
      <c r="F321" s="16">
        <v>8390.941</v>
      </c>
      <c r="G321" s="16">
        <v>9436.37</v>
      </c>
      <c r="H321" s="16">
        <f t="shared" si="92"/>
        <v>-1045.429</v>
      </c>
      <c r="I321" s="53">
        <f t="shared" si="93"/>
        <v>-0.11078719889109902</v>
      </c>
      <c r="J321" s="174"/>
      <c r="K321" s="256">
        <v>10798.661</v>
      </c>
      <c r="L321" s="16">
        <f t="shared" si="94"/>
        <v>-2407.7199999999993</v>
      </c>
      <c r="M321" s="53" t="str">
        <f t="shared" si="95"/>
        <v>N.M.</v>
      </c>
      <c r="N321" s="174"/>
      <c r="O321" s="256">
        <v>11607.94</v>
      </c>
      <c r="P321" s="16">
        <f t="shared" si="96"/>
        <v>-3216.999</v>
      </c>
      <c r="Q321" s="53">
        <f t="shared" si="97"/>
        <v>-0.2771378039514332</v>
      </c>
    </row>
    <row r="322" spans="1:17" s="15" customFormat="1" ht="12.75" hidden="1" outlineLevel="2">
      <c r="A322" s="15" t="s">
        <v>895</v>
      </c>
      <c r="B322" s="15" t="s">
        <v>896</v>
      </c>
      <c r="C322" s="134" t="s">
        <v>897</v>
      </c>
      <c r="D322" s="16"/>
      <c r="E322" s="16"/>
      <c r="F322" s="16">
        <v>0</v>
      </c>
      <c r="G322" s="16">
        <v>636.21</v>
      </c>
      <c r="H322" s="16">
        <f t="shared" si="92"/>
        <v>-636.21</v>
      </c>
      <c r="I322" s="53" t="str">
        <f t="shared" si="93"/>
        <v>N.M.</v>
      </c>
      <c r="J322" s="174"/>
      <c r="K322" s="256">
        <v>821.63</v>
      </c>
      <c r="L322" s="16">
        <f t="shared" si="94"/>
        <v>-821.63</v>
      </c>
      <c r="M322" s="53" t="str">
        <f t="shared" si="95"/>
        <v>N.M.</v>
      </c>
      <c r="N322" s="174"/>
      <c r="O322" s="256">
        <v>1348.53</v>
      </c>
      <c r="P322" s="16">
        <f t="shared" si="96"/>
        <v>-1348.53</v>
      </c>
      <c r="Q322" s="53" t="str">
        <f t="shared" si="97"/>
        <v>N.M.</v>
      </c>
    </row>
    <row r="323" spans="1:17" s="15" customFormat="1" ht="12.75" hidden="1" outlineLevel="2">
      <c r="A323" s="15" t="s">
        <v>898</v>
      </c>
      <c r="B323" s="15" t="s">
        <v>899</v>
      </c>
      <c r="C323" s="134" t="s">
        <v>900</v>
      </c>
      <c r="D323" s="16"/>
      <c r="E323" s="16"/>
      <c r="F323" s="16">
        <v>7158</v>
      </c>
      <c r="G323" s="16">
        <v>7449</v>
      </c>
      <c r="H323" s="16">
        <f t="shared" si="92"/>
        <v>-291</v>
      </c>
      <c r="I323" s="53">
        <f t="shared" si="93"/>
        <v>-0.039065646395489324</v>
      </c>
      <c r="J323" s="174"/>
      <c r="K323" s="256">
        <v>8730</v>
      </c>
      <c r="L323" s="16">
        <f t="shared" si="94"/>
        <v>-1572</v>
      </c>
      <c r="M323" s="53" t="str">
        <f t="shared" si="95"/>
        <v>N.M.</v>
      </c>
      <c r="N323" s="174"/>
      <c r="O323" s="256">
        <v>11272.5</v>
      </c>
      <c r="P323" s="16">
        <f t="shared" si="96"/>
        <v>-4114.5</v>
      </c>
      <c r="Q323" s="53">
        <f t="shared" si="97"/>
        <v>-0.36500332667997337</v>
      </c>
    </row>
    <row r="324" spans="1:17" s="15" customFormat="1" ht="12.75" hidden="1" outlineLevel="2">
      <c r="A324" s="15" t="s">
        <v>901</v>
      </c>
      <c r="B324" s="15" t="s">
        <v>902</v>
      </c>
      <c r="C324" s="134" t="s">
        <v>903</v>
      </c>
      <c r="D324" s="16"/>
      <c r="E324" s="16"/>
      <c r="F324" s="16">
        <v>152890.25</v>
      </c>
      <c r="G324" s="16">
        <v>167905.21</v>
      </c>
      <c r="H324" s="16">
        <f t="shared" si="92"/>
        <v>-15014.959999999992</v>
      </c>
      <c r="I324" s="53">
        <f t="shared" si="93"/>
        <v>-0.08942521795482102</v>
      </c>
      <c r="J324" s="174"/>
      <c r="K324" s="256">
        <v>146578.9</v>
      </c>
      <c r="L324" s="16">
        <f t="shared" si="94"/>
        <v>6311.350000000006</v>
      </c>
      <c r="M324" s="53" t="str">
        <f t="shared" si="95"/>
        <v>N.M.</v>
      </c>
      <c r="N324" s="174"/>
      <c r="O324" s="256">
        <v>483880.39</v>
      </c>
      <c r="P324" s="16">
        <f t="shared" si="96"/>
        <v>-330990.14</v>
      </c>
      <c r="Q324" s="53">
        <f t="shared" si="97"/>
        <v>-0.6840329693873315</v>
      </c>
    </row>
    <row r="325" spans="1:17" s="15" customFormat="1" ht="12.75" hidden="1" outlineLevel="2">
      <c r="A325" s="15" t="s">
        <v>904</v>
      </c>
      <c r="B325" s="15" t="s">
        <v>905</v>
      </c>
      <c r="C325" s="134" t="s">
        <v>906</v>
      </c>
      <c r="D325" s="16"/>
      <c r="E325" s="16"/>
      <c r="F325" s="16">
        <v>967289.044</v>
      </c>
      <c r="G325" s="16">
        <v>442097.114</v>
      </c>
      <c r="H325" s="16">
        <f t="shared" si="92"/>
        <v>525191.9299999999</v>
      </c>
      <c r="I325" s="53">
        <f t="shared" si="93"/>
        <v>1.1879560245217975</v>
      </c>
      <c r="J325" s="174"/>
      <c r="K325" s="256">
        <v>995340.264</v>
      </c>
      <c r="L325" s="16">
        <f t="shared" si="94"/>
        <v>-28051.219999999972</v>
      </c>
      <c r="M325" s="53" t="str">
        <f t="shared" si="95"/>
        <v>N.M.</v>
      </c>
      <c r="N325" s="174"/>
      <c r="O325" s="256">
        <v>911849.894</v>
      </c>
      <c r="P325" s="16">
        <f t="shared" si="96"/>
        <v>55439.15000000002</v>
      </c>
      <c r="Q325" s="53">
        <f t="shared" si="97"/>
        <v>0.060798548494430185</v>
      </c>
    </row>
    <row r="326" spans="1:17" s="15" customFormat="1" ht="12.75" hidden="1" outlineLevel="2">
      <c r="A326" s="15" t="s">
        <v>907</v>
      </c>
      <c r="B326" s="15" t="s">
        <v>908</v>
      </c>
      <c r="C326" s="134" t="s">
        <v>909</v>
      </c>
      <c r="D326" s="16"/>
      <c r="E326" s="16"/>
      <c r="F326" s="16">
        <v>-0.002</v>
      </c>
      <c r="G326" s="16">
        <v>33.858000000000004</v>
      </c>
      <c r="H326" s="16">
        <f t="shared" si="92"/>
        <v>-33.86000000000001</v>
      </c>
      <c r="I326" s="53">
        <f t="shared" si="93"/>
        <v>-1.000059070234509</v>
      </c>
      <c r="J326" s="174"/>
      <c r="K326" s="256">
        <v>-0.002</v>
      </c>
      <c r="L326" s="16">
        <f t="shared" si="94"/>
        <v>0</v>
      </c>
      <c r="M326" s="53">
        <f t="shared" si="95"/>
        <v>0</v>
      </c>
      <c r="N326" s="174"/>
      <c r="O326" s="256">
        <v>39.228</v>
      </c>
      <c r="P326" s="16">
        <f t="shared" si="96"/>
        <v>-39.230000000000004</v>
      </c>
      <c r="Q326" s="53">
        <f t="shared" si="97"/>
        <v>-1.000050983991027</v>
      </c>
    </row>
    <row r="327" spans="1:17" s="15" customFormat="1" ht="12.75" hidden="1" outlineLevel="2">
      <c r="A327" s="15" t="s">
        <v>910</v>
      </c>
      <c r="B327" s="15" t="s">
        <v>911</v>
      </c>
      <c r="C327" s="134" t="s">
        <v>912</v>
      </c>
      <c r="D327" s="16"/>
      <c r="E327" s="16"/>
      <c r="F327" s="16">
        <v>0</v>
      </c>
      <c r="G327" s="16">
        <v>0</v>
      </c>
      <c r="H327" s="16">
        <f t="shared" si="92"/>
        <v>0</v>
      </c>
      <c r="I327" s="53">
        <f t="shared" si="93"/>
        <v>0</v>
      </c>
      <c r="J327" s="174"/>
      <c r="K327" s="256">
        <v>0</v>
      </c>
      <c r="L327" s="16">
        <f t="shared" si="94"/>
        <v>0</v>
      </c>
      <c r="M327" s="53">
        <f t="shared" si="95"/>
        <v>0</v>
      </c>
      <c r="N327" s="174"/>
      <c r="O327" s="256">
        <v>9389.47</v>
      </c>
      <c r="P327" s="16">
        <f t="shared" si="96"/>
        <v>-9389.47</v>
      </c>
      <c r="Q327" s="53" t="str">
        <f t="shared" si="97"/>
        <v>N.M.</v>
      </c>
    </row>
    <row r="328" spans="1:17" s="15" customFormat="1" ht="12.75" hidden="1" outlineLevel="2">
      <c r="A328" s="15" t="s">
        <v>913</v>
      </c>
      <c r="B328" s="15" t="s">
        <v>914</v>
      </c>
      <c r="C328" s="134" t="s">
        <v>915</v>
      </c>
      <c r="D328" s="16"/>
      <c r="E328" s="16"/>
      <c r="F328" s="16">
        <v>1141362.92</v>
      </c>
      <c r="G328" s="16">
        <v>92238.94</v>
      </c>
      <c r="H328" s="16">
        <f t="shared" si="92"/>
        <v>1049123.98</v>
      </c>
      <c r="I328" s="53" t="str">
        <f t="shared" si="93"/>
        <v>N.M.</v>
      </c>
      <c r="J328" s="174"/>
      <c r="K328" s="256">
        <v>909781.76</v>
      </c>
      <c r="L328" s="16">
        <f t="shared" si="94"/>
        <v>231581.15999999992</v>
      </c>
      <c r="M328" s="53" t="str">
        <f t="shared" si="95"/>
        <v>N.M.</v>
      </c>
      <c r="N328" s="174"/>
      <c r="O328" s="256">
        <v>0</v>
      </c>
      <c r="P328" s="16">
        <f t="shared" si="96"/>
        <v>1141362.92</v>
      </c>
      <c r="Q328" s="53" t="str">
        <f t="shared" si="97"/>
        <v>N.M.</v>
      </c>
    </row>
    <row r="329" spans="1:17" s="15" customFormat="1" ht="12.75" hidden="1" outlineLevel="2">
      <c r="A329" s="15" t="s">
        <v>916</v>
      </c>
      <c r="B329" s="15" t="s">
        <v>917</v>
      </c>
      <c r="C329" s="134" t="s">
        <v>504</v>
      </c>
      <c r="D329" s="16"/>
      <c r="E329" s="16"/>
      <c r="F329" s="16">
        <v>642465.68</v>
      </c>
      <c r="G329" s="16">
        <v>208074.95</v>
      </c>
      <c r="H329" s="16">
        <f t="shared" si="92"/>
        <v>434390.73000000004</v>
      </c>
      <c r="I329" s="53">
        <f t="shared" si="93"/>
        <v>2.087664709279036</v>
      </c>
      <c r="J329" s="174"/>
      <c r="K329" s="256">
        <v>670296.48</v>
      </c>
      <c r="L329" s="16">
        <f t="shared" si="94"/>
        <v>-27830.79999999993</v>
      </c>
      <c r="M329" s="53" t="str">
        <f t="shared" si="95"/>
        <v>N.M.</v>
      </c>
      <c r="N329" s="174"/>
      <c r="O329" s="256">
        <v>298002.44</v>
      </c>
      <c r="P329" s="16">
        <f t="shared" si="96"/>
        <v>344463.24000000005</v>
      </c>
      <c r="Q329" s="53">
        <f t="shared" si="97"/>
        <v>1.1559074482745848</v>
      </c>
    </row>
    <row r="330" spans="1:17" s="15" customFormat="1" ht="12.75" hidden="1" outlineLevel="2">
      <c r="A330" s="15" t="s">
        <v>918</v>
      </c>
      <c r="B330" s="15" t="s">
        <v>919</v>
      </c>
      <c r="C330" s="134" t="s">
        <v>920</v>
      </c>
      <c r="D330" s="16"/>
      <c r="E330" s="16"/>
      <c r="F330" s="16">
        <v>520295.85000000003</v>
      </c>
      <c r="G330" s="16">
        <v>534579.39</v>
      </c>
      <c r="H330" s="16">
        <f t="shared" si="92"/>
        <v>-14283.539999999979</v>
      </c>
      <c r="I330" s="53">
        <f t="shared" si="93"/>
        <v>-0.026719211902277</v>
      </c>
      <c r="J330" s="174"/>
      <c r="K330" s="256">
        <v>486496.89</v>
      </c>
      <c r="L330" s="16">
        <f t="shared" si="94"/>
        <v>33798.96000000002</v>
      </c>
      <c r="M330" s="53" t="str">
        <f t="shared" si="95"/>
        <v>N.M.</v>
      </c>
      <c r="N330" s="174"/>
      <c r="O330" s="256">
        <v>474031.38</v>
      </c>
      <c r="P330" s="16">
        <f t="shared" si="96"/>
        <v>46264.47000000003</v>
      </c>
      <c r="Q330" s="53">
        <f t="shared" si="97"/>
        <v>0.0975979058601564</v>
      </c>
    </row>
    <row r="331" spans="1:17" ht="12.75" collapsed="1">
      <c r="A331" s="11" t="s">
        <v>267</v>
      </c>
      <c r="C331" s="228" t="s">
        <v>198</v>
      </c>
      <c r="E331" s="11"/>
      <c r="F331" s="18">
        <v>37270184.515999995</v>
      </c>
      <c r="G331" s="18">
        <v>23836102.479000002</v>
      </c>
      <c r="H331" s="51">
        <f>+F331-G331</f>
        <v>13434082.036999993</v>
      </c>
      <c r="I331" s="136">
        <f>IF(G331&lt;0,IF(H331=0,0,IF(OR(G331=0,F331=0),"N.M.",IF(ABS(H331/G331)&gt;=10,"N.M.",H331/(-G331)))),IF(H331=0,0,IF(OR(G331=0,F331=0),"N.M.",IF(ABS(H331/G331)&gt;=10,"N.M.",H331/G331))))</f>
        <v>0.5636022939923018</v>
      </c>
      <c r="J331" s="166"/>
      <c r="K331" s="18">
        <v>28316811.535999995</v>
      </c>
      <c r="L331" s="51">
        <f>+F331-K331</f>
        <v>8953372.98</v>
      </c>
      <c r="M331" s="136" t="str">
        <f>IF(K331&lt;0,IF(L331=0,0,IF(OR(K331=0,N331=0),"N.M.",IF(ABS(L331/K331)&gt;=10,"N.M.",L331/(-K331)))),IF(L331=0,0,IF(OR(K331=0,N331=0),"N.M.",IF(ABS(L331/K331)&gt;=10,"N.M.",L331/K331))))</f>
        <v>N.M.</v>
      </c>
      <c r="N331" s="166"/>
      <c r="O331" s="18">
        <v>42594630.597</v>
      </c>
      <c r="P331" s="51">
        <f>+F331-O331</f>
        <v>-5324446.081000008</v>
      </c>
      <c r="Q331" s="136">
        <f>IF(O331&lt;0,IF(P331=0,0,IF(OR(O331=0,F331=0),"N.M.",IF(ABS(P331/O331)&gt;=10,"N.M.",P331/(-O331)))),IF(P331=0,0,IF(OR(O331=0,F331=0),"N.M.",IF(ABS(P331/O331)&gt;=10,"N.M.",P331/O331))))</f>
        <v>-0.12500275284404075</v>
      </c>
    </row>
    <row r="332" spans="3:17" ht="0.75" customHeight="1" hidden="1" outlineLevel="1">
      <c r="C332" s="228"/>
      <c r="E332" s="11"/>
      <c r="H332" s="51"/>
      <c r="I332" s="136"/>
      <c r="J332" s="166"/>
      <c r="K332" s="18"/>
      <c r="L332" s="51"/>
      <c r="M332" s="136"/>
      <c r="N332" s="166"/>
      <c r="O332" s="18"/>
      <c r="P332" s="51"/>
      <c r="Q332" s="136"/>
    </row>
    <row r="333" spans="1:17" s="15" customFormat="1" ht="12.75" hidden="1" outlineLevel="2">
      <c r="A333" s="15" t="s">
        <v>921</v>
      </c>
      <c r="B333" s="15" t="s">
        <v>922</v>
      </c>
      <c r="C333" s="134" t="s">
        <v>923</v>
      </c>
      <c r="D333" s="16"/>
      <c r="E333" s="16"/>
      <c r="F333" s="16">
        <v>12310811.81</v>
      </c>
      <c r="G333" s="16">
        <v>9119384.48</v>
      </c>
      <c r="H333" s="16">
        <f aca="true" t="shared" si="98" ref="H333:H344">+F333-G333</f>
        <v>3191427.33</v>
      </c>
      <c r="I333" s="53">
        <f aca="true" t="shared" si="99" ref="I333:I344">IF(G333&lt;0,IF(H333=0,0,IF(OR(G333=0,F333=0),"N.M.",IF(ABS(H333/G333)&gt;=10,"N.M.",H333/(-G333)))),IF(H333=0,0,IF(OR(G333=0,F333=0),"N.M.",IF(ABS(H333/G333)&gt;=10,"N.M.",H333/G333))))</f>
        <v>0.3499608265228006</v>
      </c>
      <c r="J333" s="174"/>
      <c r="K333" s="256">
        <v>13036233.465</v>
      </c>
      <c r="L333" s="16">
        <f aca="true" t="shared" si="100" ref="L333:L344">+F333-K333</f>
        <v>-725421.6549999993</v>
      </c>
      <c r="M333" s="53" t="str">
        <f aca="true" t="shared" si="101" ref="M333:M344">IF(K333&lt;0,IF(L333=0,0,IF(OR(K333=0,N333=0),"N.M.",IF(ABS(L333/K333)&gt;=10,"N.M.",L333/(-K333)))),IF(L333=0,0,IF(OR(K333=0,N333=0),"N.M.",IF(ABS(L333/K333)&gt;=10,"N.M.",L333/K333))))</f>
        <v>N.M.</v>
      </c>
      <c r="N333" s="174"/>
      <c r="O333" s="256">
        <v>12478213.72</v>
      </c>
      <c r="P333" s="16">
        <f aca="true" t="shared" si="102" ref="P333:P344">+F333-O333</f>
        <v>-167401.91000000015</v>
      </c>
      <c r="Q333" s="53">
        <f aca="true" t="shared" si="103" ref="Q333:Q344">IF(O333&lt;0,IF(P333=0,0,IF(OR(O333=0,F333=0),"N.M.",IF(ABS(P333/O333)&gt;=10,"N.M.",P333/(-O333)))),IF(P333=0,0,IF(OR(O333=0,F333=0),"N.M.",IF(ABS(P333/O333)&gt;=10,"N.M.",P333/O333))))</f>
        <v>-0.013415534767743995</v>
      </c>
    </row>
    <row r="334" spans="1:17" s="15" customFormat="1" ht="12.75" hidden="1" outlineLevel="2">
      <c r="A334" s="15" t="s">
        <v>924</v>
      </c>
      <c r="B334" s="15" t="s">
        <v>925</v>
      </c>
      <c r="C334" s="134" t="s">
        <v>926</v>
      </c>
      <c r="D334" s="16"/>
      <c r="E334" s="16"/>
      <c r="F334" s="16">
        <v>0</v>
      </c>
      <c r="G334" s="16">
        <v>0</v>
      </c>
      <c r="H334" s="16">
        <f t="shared" si="98"/>
        <v>0</v>
      </c>
      <c r="I334" s="53">
        <f t="shared" si="99"/>
        <v>0</v>
      </c>
      <c r="J334" s="174"/>
      <c r="K334" s="256">
        <v>0</v>
      </c>
      <c r="L334" s="16">
        <f t="shared" si="100"/>
        <v>0</v>
      </c>
      <c r="M334" s="53">
        <f t="shared" si="101"/>
        <v>0</v>
      </c>
      <c r="N334" s="174"/>
      <c r="O334" s="256">
        <v>6338684.45</v>
      </c>
      <c r="P334" s="16">
        <f t="shared" si="102"/>
        <v>-6338684.45</v>
      </c>
      <c r="Q334" s="53" t="str">
        <f t="shared" si="103"/>
        <v>N.M.</v>
      </c>
    </row>
    <row r="335" spans="1:17" s="15" customFormat="1" ht="12.75" hidden="1" outlineLevel="2">
      <c r="A335" s="15" t="s">
        <v>927</v>
      </c>
      <c r="B335" s="15" t="s">
        <v>928</v>
      </c>
      <c r="C335" s="134" t="s">
        <v>929</v>
      </c>
      <c r="D335" s="16"/>
      <c r="E335" s="16"/>
      <c r="F335" s="16">
        <v>53028</v>
      </c>
      <c r="G335" s="16">
        <v>2336773</v>
      </c>
      <c r="H335" s="16">
        <f t="shared" si="98"/>
        <v>-2283745</v>
      </c>
      <c r="I335" s="53">
        <f t="shared" si="99"/>
        <v>-0.9773071667637379</v>
      </c>
      <c r="J335" s="174"/>
      <c r="K335" s="256">
        <v>188111</v>
      </c>
      <c r="L335" s="16">
        <f t="shared" si="100"/>
        <v>-135083</v>
      </c>
      <c r="M335" s="53" t="str">
        <f t="shared" si="101"/>
        <v>N.M.</v>
      </c>
      <c r="N335" s="174"/>
      <c r="O335" s="256">
        <v>4464362</v>
      </c>
      <c r="P335" s="16">
        <f t="shared" si="102"/>
        <v>-4411334</v>
      </c>
      <c r="Q335" s="53">
        <f t="shared" si="103"/>
        <v>-0.9881219309724435</v>
      </c>
    </row>
    <row r="336" spans="1:17" s="15" customFormat="1" ht="12.75" hidden="1" outlineLevel="2">
      <c r="A336" s="15" t="s">
        <v>930</v>
      </c>
      <c r="B336" s="15" t="s">
        <v>931</v>
      </c>
      <c r="C336" s="134" t="s">
        <v>932</v>
      </c>
      <c r="D336" s="16"/>
      <c r="E336" s="16"/>
      <c r="F336" s="16">
        <v>48559.01</v>
      </c>
      <c r="G336" s="16">
        <v>21360.46</v>
      </c>
      <c r="H336" s="16">
        <f t="shared" si="98"/>
        <v>27198.550000000003</v>
      </c>
      <c r="I336" s="53">
        <f t="shared" si="99"/>
        <v>1.2733129342720149</v>
      </c>
      <c r="J336" s="174"/>
      <c r="K336" s="256">
        <v>16973.15</v>
      </c>
      <c r="L336" s="16">
        <f t="shared" si="100"/>
        <v>31585.86</v>
      </c>
      <c r="M336" s="53" t="str">
        <f t="shared" si="101"/>
        <v>N.M.</v>
      </c>
      <c r="N336" s="174"/>
      <c r="O336" s="256">
        <v>39405.61</v>
      </c>
      <c r="P336" s="16">
        <f t="shared" si="102"/>
        <v>9153.400000000001</v>
      </c>
      <c r="Q336" s="53">
        <f t="shared" si="103"/>
        <v>0.2322867226265499</v>
      </c>
    </row>
    <row r="337" spans="1:17" s="15" customFormat="1" ht="12.75" hidden="1" outlineLevel="2">
      <c r="A337" s="15" t="s">
        <v>933</v>
      </c>
      <c r="B337" s="15" t="s">
        <v>934</v>
      </c>
      <c r="C337" s="134" t="s">
        <v>935</v>
      </c>
      <c r="D337" s="16"/>
      <c r="E337" s="16"/>
      <c r="F337" s="16">
        <v>193544.92</v>
      </c>
      <c r="G337" s="16">
        <v>-315554.54</v>
      </c>
      <c r="H337" s="16">
        <f t="shared" si="98"/>
        <v>509099.45999999996</v>
      </c>
      <c r="I337" s="53">
        <f t="shared" si="99"/>
        <v>1.6133485514104788</v>
      </c>
      <c r="J337" s="174"/>
      <c r="K337" s="256">
        <v>188833.01</v>
      </c>
      <c r="L337" s="16">
        <f t="shared" si="100"/>
        <v>4711.9100000000035</v>
      </c>
      <c r="M337" s="53" t="str">
        <f t="shared" si="101"/>
        <v>N.M.</v>
      </c>
      <c r="N337" s="174"/>
      <c r="O337" s="256">
        <v>586843.51</v>
      </c>
      <c r="P337" s="16">
        <f t="shared" si="102"/>
        <v>-393298.58999999997</v>
      </c>
      <c r="Q337" s="53">
        <f t="shared" si="103"/>
        <v>-0.670193302470023</v>
      </c>
    </row>
    <row r="338" spans="1:17" s="15" customFormat="1" ht="12.75" hidden="1" outlineLevel="2">
      <c r="A338" s="15" t="s">
        <v>936</v>
      </c>
      <c r="B338" s="15" t="s">
        <v>937</v>
      </c>
      <c r="C338" s="134" t="s">
        <v>938</v>
      </c>
      <c r="D338" s="16"/>
      <c r="E338" s="16"/>
      <c r="F338" s="16">
        <v>2693580.7800000003</v>
      </c>
      <c r="G338" s="16">
        <v>2745544.8200000003</v>
      </c>
      <c r="H338" s="16">
        <f t="shared" si="98"/>
        <v>-51964.04000000004</v>
      </c>
      <c r="I338" s="53">
        <f t="shared" si="99"/>
        <v>-0.01892667700103327</v>
      </c>
      <c r="J338" s="174"/>
      <c r="K338" s="256">
        <v>2657455</v>
      </c>
      <c r="L338" s="16">
        <f t="shared" si="100"/>
        <v>36125.78000000026</v>
      </c>
      <c r="M338" s="53" t="str">
        <f t="shared" si="101"/>
        <v>N.M.</v>
      </c>
      <c r="N338" s="174"/>
      <c r="O338" s="256">
        <v>3389351.642</v>
      </c>
      <c r="P338" s="16">
        <f t="shared" si="102"/>
        <v>-695770.8619999997</v>
      </c>
      <c r="Q338" s="53">
        <f t="shared" si="103"/>
        <v>-0.20528140349268598</v>
      </c>
    </row>
    <row r="339" spans="1:17" s="15" customFormat="1" ht="12.75" hidden="1" outlineLevel="2">
      <c r="A339" s="15" t="s">
        <v>939</v>
      </c>
      <c r="B339" s="15" t="s">
        <v>940</v>
      </c>
      <c r="C339" s="134" t="s">
        <v>941</v>
      </c>
      <c r="D339" s="16"/>
      <c r="E339" s="16"/>
      <c r="F339" s="16">
        <v>41207.6</v>
      </c>
      <c r="G339" s="16">
        <v>8295.97</v>
      </c>
      <c r="H339" s="16">
        <f t="shared" si="98"/>
        <v>32911.63</v>
      </c>
      <c r="I339" s="53">
        <f t="shared" si="99"/>
        <v>3.96718286107592</v>
      </c>
      <c r="J339" s="174"/>
      <c r="K339" s="256">
        <v>89867.14</v>
      </c>
      <c r="L339" s="16">
        <f t="shared" si="100"/>
        <v>-48659.54</v>
      </c>
      <c r="M339" s="53" t="str">
        <f t="shared" si="101"/>
        <v>N.M.</v>
      </c>
      <c r="N339" s="174"/>
      <c r="O339" s="256">
        <v>29898.81</v>
      </c>
      <c r="P339" s="16">
        <f t="shared" si="102"/>
        <v>11308.789999999997</v>
      </c>
      <c r="Q339" s="53">
        <f t="shared" si="103"/>
        <v>0.3782354548558955</v>
      </c>
    </row>
    <row r="340" spans="1:17" s="15" customFormat="1" ht="12.75" hidden="1" outlineLevel="2">
      <c r="A340" s="15" t="s">
        <v>942</v>
      </c>
      <c r="B340" s="15" t="s">
        <v>943</v>
      </c>
      <c r="C340" s="134" t="s">
        <v>944</v>
      </c>
      <c r="D340" s="16"/>
      <c r="E340" s="16"/>
      <c r="F340" s="16">
        <v>394.14</v>
      </c>
      <c r="G340" s="16">
        <v>119.12</v>
      </c>
      <c r="H340" s="16">
        <f t="shared" si="98"/>
        <v>275.02</v>
      </c>
      <c r="I340" s="53">
        <f t="shared" si="99"/>
        <v>2.308764271323035</v>
      </c>
      <c r="J340" s="174"/>
      <c r="K340" s="256">
        <v>520.97</v>
      </c>
      <c r="L340" s="16">
        <f t="shared" si="100"/>
        <v>-126.83000000000004</v>
      </c>
      <c r="M340" s="53" t="str">
        <f t="shared" si="101"/>
        <v>N.M.</v>
      </c>
      <c r="N340" s="174"/>
      <c r="O340" s="256">
        <v>383.29</v>
      </c>
      <c r="P340" s="16">
        <f t="shared" si="102"/>
        <v>10.849999999999966</v>
      </c>
      <c r="Q340" s="53">
        <f t="shared" si="103"/>
        <v>0.028307547809752316</v>
      </c>
    </row>
    <row r="341" spans="1:17" s="15" customFormat="1" ht="12.75" hidden="1" outlineLevel="2">
      <c r="A341" s="15" t="s">
        <v>945</v>
      </c>
      <c r="B341" s="15" t="s">
        <v>946</v>
      </c>
      <c r="C341" s="134" t="s">
        <v>947</v>
      </c>
      <c r="D341" s="16"/>
      <c r="E341" s="16"/>
      <c r="F341" s="16">
        <v>4397.64</v>
      </c>
      <c r="G341" s="16">
        <v>1822.04</v>
      </c>
      <c r="H341" s="16">
        <f t="shared" si="98"/>
        <v>2575.6000000000004</v>
      </c>
      <c r="I341" s="53">
        <f t="shared" si="99"/>
        <v>1.413580382428487</v>
      </c>
      <c r="J341" s="174"/>
      <c r="K341" s="256">
        <v>8015.64</v>
      </c>
      <c r="L341" s="16">
        <f t="shared" si="100"/>
        <v>-3618</v>
      </c>
      <c r="M341" s="53" t="str">
        <f t="shared" si="101"/>
        <v>N.M.</v>
      </c>
      <c r="N341" s="174"/>
      <c r="O341" s="256">
        <v>742.42</v>
      </c>
      <c r="P341" s="16">
        <f t="shared" si="102"/>
        <v>3655.2200000000003</v>
      </c>
      <c r="Q341" s="53">
        <f t="shared" si="103"/>
        <v>4.923385684652892</v>
      </c>
    </row>
    <row r="342" spans="1:17" s="15" customFormat="1" ht="12.75" hidden="1" outlineLevel="2">
      <c r="A342" s="15" t="s">
        <v>948</v>
      </c>
      <c r="B342" s="15" t="s">
        <v>949</v>
      </c>
      <c r="C342" s="134" t="s">
        <v>950</v>
      </c>
      <c r="D342" s="16"/>
      <c r="E342" s="16"/>
      <c r="F342" s="16">
        <v>2547.43</v>
      </c>
      <c r="G342" s="16">
        <v>7612.2</v>
      </c>
      <c r="H342" s="16">
        <f t="shared" si="98"/>
        <v>-5064.77</v>
      </c>
      <c r="I342" s="53">
        <f t="shared" si="99"/>
        <v>-0.6653490449541526</v>
      </c>
      <c r="J342" s="174"/>
      <c r="K342" s="256">
        <v>2183.13</v>
      </c>
      <c r="L342" s="16">
        <f t="shared" si="100"/>
        <v>364.2999999999997</v>
      </c>
      <c r="M342" s="53" t="str">
        <f t="shared" si="101"/>
        <v>N.M.</v>
      </c>
      <c r="N342" s="174"/>
      <c r="O342" s="256">
        <v>12713.64</v>
      </c>
      <c r="P342" s="16">
        <f t="shared" si="102"/>
        <v>-10166.21</v>
      </c>
      <c r="Q342" s="53">
        <f t="shared" si="103"/>
        <v>-0.7996301609924459</v>
      </c>
    </row>
    <row r="343" spans="1:17" s="15" customFormat="1" ht="12.75" hidden="1" outlineLevel="2">
      <c r="A343" s="15" t="s">
        <v>951</v>
      </c>
      <c r="B343" s="15" t="s">
        <v>952</v>
      </c>
      <c r="C343" s="134" t="s">
        <v>953</v>
      </c>
      <c r="D343" s="16"/>
      <c r="E343" s="16"/>
      <c r="F343" s="16">
        <v>437500</v>
      </c>
      <c r="G343" s="16">
        <v>437500</v>
      </c>
      <c r="H343" s="16">
        <f t="shared" si="98"/>
        <v>0</v>
      </c>
      <c r="I343" s="53">
        <f t="shared" si="99"/>
        <v>0</v>
      </c>
      <c r="J343" s="174"/>
      <c r="K343" s="256">
        <v>350000</v>
      </c>
      <c r="L343" s="16">
        <f t="shared" si="100"/>
        <v>87500</v>
      </c>
      <c r="M343" s="53" t="str">
        <f t="shared" si="101"/>
        <v>N.M.</v>
      </c>
      <c r="N343" s="174"/>
      <c r="O343" s="256">
        <v>87500</v>
      </c>
      <c r="P343" s="16">
        <f t="shared" si="102"/>
        <v>350000</v>
      </c>
      <c r="Q343" s="53">
        <f t="shared" si="103"/>
        <v>4</v>
      </c>
    </row>
    <row r="344" spans="1:17" s="15" customFormat="1" ht="12.75" hidden="1" outlineLevel="2">
      <c r="A344" s="15" t="s">
        <v>954</v>
      </c>
      <c r="B344" s="15" t="s">
        <v>955</v>
      </c>
      <c r="C344" s="134" t="s">
        <v>956</v>
      </c>
      <c r="D344" s="16"/>
      <c r="E344" s="16"/>
      <c r="F344" s="16">
        <v>1024</v>
      </c>
      <c r="G344" s="16">
        <v>0</v>
      </c>
      <c r="H344" s="16">
        <f t="shared" si="98"/>
        <v>1024</v>
      </c>
      <c r="I344" s="53" t="str">
        <f t="shared" si="99"/>
        <v>N.M.</v>
      </c>
      <c r="J344" s="174"/>
      <c r="K344" s="256">
        <v>589</v>
      </c>
      <c r="L344" s="16">
        <f t="shared" si="100"/>
        <v>435</v>
      </c>
      <c r="M344" s="53" t="str">
        <f t="shared" si="101"/>
        <v>N.M.</v>
      </c>
      <c r="N344" s="174"/>
      <c r="O344" s="256">
        <v>0</v>
      </c>
      <c r="P344" s="16">
        <f t="shared" si="102"/>
        <v>1024</v>
      </c>
      <c r="Q344" s="53" t="str">
        <f t="shared" si="103"/>
        <v>N.M.</v>
      </c>
    </row>
    <row r="345" spans="1:17" ht="12.75" collapsed="1">
      <c r="A345" s="11" t="s">
        <v>268</v>
      </c>
      <c r="C345" s="228" t="s">
        <v>199</v>
      </c>
      <c r="E345" s="11"/>
      <c r="F345" s="18">
        <v>15786595.33</v>
      </c>
      <c r="G345" s="18">
        <v>14362857.55</v>
      </c>
      <c r="H345" s="51">
        <f>+F345-G345</f>
        <v>1423737.7799999993</v>
      </c>
      <c r="I345" s="136">
        <f>IF(G345&lt;0,IF(H345=0,0,IF(OR(G345=0,F345=0),"N.M.",IF(ABS(H345/G345)&gt;=10,"N.M.",H345/(-G345)))),IF(H345=0,0,IF(OR(G345=0,F345=0),"N.M.",IF(ABS(H345/G345)&gt;=10,"N.M.",H345/G345))))</f>
        <v>0.09912635943395534</v>
      </c>
      <c r="J345" s="166"/>
      <c r="K345" s="18">
        <v>16538781.505000003</v>
      </c>
      <c r="L345" s="51">
        <f>+F345-K345</f>
        <v>-752186.1750000026</v>
      </c>
      <c r="M345" s="136" t="str">
        <f>IF(K345&lt;0,IF(L345=0,0,IF(OR(K345=0,N345=0),"N.M.",IF(ABS(L345/K345)&gt;=10,"N.M.",L345/(-K345)))),IF(L345=0,0,IF(OR(K345=0,N345=0),"N.M.",IF(ABS(L345/K345)&gt;=10,"N.M.",L345/K345))))</f>
        <v>N.M.</v>
      </c>
      <c r="N345" s="166"/>
      <c r="O345" s="18">
        <v>27428099.092000004</v>
      </c>
      <c r="P345" s="51">
        <f>+F345-O345</f>
        <v>-11641503.762000004</v>
      </c>
      <c r="Q345" s="136">
        <f>IF(O345&lt;0,IF(P345=0,0,IF(OR(O345=0,F345=0),"N.M.",IF(ABS(P345/O345)&gt;=10,"N.M.",P345/(-O345)))),IF(P345=0,0,IF(OR(O345=0,F345=0),"N.M.",IF(ABS(P345/O345)&gt;=10,"N.M.",P345/O345))))</f>
        <v>-0.4244371337201235</v>
      </c>
    </row>
    <row r="346" spans="3:17" ht="0.75" customHeight="1" hidden="1" outlineLevel="1">
      <c r="C346" s="228"/>
      <c r="E346" s="11"/>
      <c r="H346" s="51"/>
      <c r="I346" s="136"/>
      <c r="J346" s="166"/>
      <c r="K346" s="18"/>
      <c r="L346" s="51"/>
      <c r="M346" s="136"/>
      <c r="N346" s="166"/>
      <c r="O346" s="18"/>
      <c r="P346" s="51"/>
      <c r="Q346" s="136"/>
    </row>
    <row r="347" spans="1:17" s="15" customFormat="1" ht="12.75" hidden="1" outlineLevel="2">
      <c r="A347" s="15" t="s">
        <v>957</v>
      </c>
      <c r="B347" s="15" t="s">
        <v>958</v>
      </c>
      <c r="C347" s="134" t="s">
        <v>959</v>
      </c>
      <c r="D347" s="16"/>
      <c r="E347" s="16"/>
      <c r="F347" s="16">
        <v>18992050.77</v>
      </c>
      <c r="G347" s="16">
        <v>17488032.83</v>
      </c>
      <c r="H347" s="16">
        <f>+F347-G347</f>
        <v>1504017.9400000013</v>
      </c>
      <c r="I347" s="53">
        <f>IF(G347&lt;0,IF(H347=0,0,IF(OR(G347=0,F347=0),"N.M.",IF(ABS(H347/G347)&gt;=10,"N.M.",H347/(-G347)))),IF(H347=0,0,IF(OR(G347=0,F347=0),"N.M.",IF(ABS(H347/G347)&gt;=10,"N.M.",H347/G347))))</f>
        <v>0.08600269422069706</v>
      </c>
      <c r="J347" s="174"/>
      <c r="K347" s="256">
        <v>18828968.23</v>
      </c>
      <c r="L347" s="16">
        <f>+F347-K347</f>
        <v>163082.5399999991</v>
      </c>
      <c r="M347" s="53" t="str">
        <f>IF(K347&lt;0,IF(L347=0,0,IF(OR(K347=0,N347=0),"N.M.",IF(ABS(L347/K347)&gt;=10,"N.M.",L347/(-K347)))),IF(L347=0,0,IF(OR(K347=0,N347=0),"N.M.",IF(ABS(L347/K347)&gt;=10,"N.M.",L347/K347))))</f>
        <v>N.M.</v>
      </c>
      <c r="N347" s="174"/>
      <c r="O347" s="256">
        <v>18049036.2</v>
      </c>
      <c r="P347" s="16">
        <f>+F347-O347</f>
        <v>943014.5700000003</v>
      </c>
      <c r="Q347" s="53">
        <f>IF(O347&lt;0,IF(P347=0,0,IF(OR(O347=0,F347=0),"N.M.",IF(ABS(P347/O347)&gt;=10,"N.M.",P347/(-O347)))),IF(P347=0,0,IF(OR(O347=0,F347=0),"N.M.",IF(ABS(P347/O347)&gt;=10,"N.M.",P347/O347))))</f>
        <v>0.052247364321868904</v>
      </c>
    </row>
    <row r="348" spans="1:17" s="15" customFormat="1" ht="12.75" hidden="1" outlineLevel="2">
      <c r="A348" s="15" t="s">
        <v>960</v>
      </c>
      <c r="B348" s="15" t="s">
        <v>961</v>
      </c>
      <c r="C348" s="134" t="s">
        <v>962</v>
      </c>
      <c r="D348" s="16"/>
      <c r="E348" s="16"/>
      <c r="F348" s="16">
        <v>1355461.4</v>
      </c>
      <c r="G348" s="16">
        <v>1872761.286</v>
      </c>
      <c r="H348" s="16">
        <f>+F348-G348</f>
        <v>-517299.8860000002</v>
      </c>
      <c r="I348" s="53">
        <f>IF(G348&lt;0,IF(H348=0,0,IF(OR(G348=0,F348=0),"N.M.",IF(ABS(H348/G348)&gt;=10,"N.M.",H348/(-G348)))),IF(H348=0,0,IF(OR(G348=0,F348=0),"N.M.",IF(ABS(H348/G348)&gt;=10,"N.M.",H348/G348))))</f>
        <v>-0.2762230775844862</v>
      </c>
      <c r="J348" s="174"/>
      <c r="K348" s="256">
        <v>1616880.46</v>
      </c>
      <c r="L348" s="16">
        <f>+F348-K348</f>
        <v>-261419.06000000006</v>
      </c>
      <c r="M348" s="53" t="str">
        <f>IF(K348&lt;0,IF(L348=0,0,IF(OR(K348=0,N348=0),"N.M.",IF(ABS(L348/K348)&gt;=10,"N.M.",L348/(-K348)))),IF(L348=0,0,IF(OR(K348=0,N348=0),"N.M.",IF(ABS(L348/K348)&gt;=10,"N.M.",L348/K348))))</f>
        <v>N.M.</v>
      </c>
      <c r="N348" s="174"/>
      <c r="O348" s="256">
        <v>972831.178</v>
      </c>
      <c r="P348" s="16">
        <f>+F348-O348</f>
        <v>382630.22199999995</v>
      </c>
      <c r="Q348" s="53">
        <f>IF(O348&lt;0,IF(P348=0,0,IF(OR(O348=0,F348=0),"N.M.",IF(ABS(P348/O348)&gt;=10,"N.M.",P348/(-O348)))),IF(P348=0,0,IF(OR(O348=0,F348=0),"N.M.",IF(ABS(P348/O348)&gt;=10,"N.M.",P348/O348))))</f>
        <v>0.39331615870559605</v>
      </c>
    </row>
    <row r="349" spans="1:17" s="15" customFormat="1" ht="12.75" hidden="1" outlineLevel="2">
      <c r="A349" s="15" t="s">
        <v>963</v>
      </c>
      <c r="B349" s="15" t="s">
        <v>964</v>
      </c>
      <c r="C349" s="134" t="s">
        <v>965</v>
      </c>
      <c r="D349" s="16"/>
      <c r="E349" s="16"/>
      <c r="F349" s="16">
        <v>-1102584</v>
      </c>
      <c r="G349" s="16">
        <v>-1510183</v>
      </c>
      <c r="H349" s="16">
        <f>+F349-G349</f>
        <v>407599</v>
      </c>
      <c r="I349" s="53">
        <f>IF(G349&lt;0,IF(H349=0,0,IF(OR(G349=0,F349=0),"N.M.",IF(ABS(H349/G349)&gt;=10,"N.M.",H349/(-G349)))),IF(H349=0,0,IF(OR(G349=0,F349=0),"N.M.",IF(ABS(H349/G349)&gt;=10,"N.M.",H349/G349))))</f>
        <v>0.2699004027988661</v>
      </c>
      <c r="J349" s="174"/>
      <c r="K349" s="256">
        <v>-1307921</v>
      </c>
      <c r="L349" s="16">
        <f>+F349-K349</f>
        <v>205337</v>
      </c>
      <c r="M349" s="53" t="str">
        <f>IF(K349&lt;0,IF(L349=0,0,IF(OR(K349=0,N349=0),"N.M.",IF(ABS(L349/K349)&gt;=10,"N.M.",L349/(-K349)))),IF(L349=0,0,IF(OR(K349=0,N349=0),"N.M.",IF(ABS(L349/K349)&gt;=10,"N.M.",L349/K349))))</f>
        <v>N.M.</v>
      </c>
      <c r="N349" s="174"/>
      <c r="O349" s="256">
        <v>-763538</v>
      </c>
      <c r="P349" s="16">
        <f>+F349-O349</f>
        <v>-339046</v>
      </c>
      <c r="Q349" s="53">
        <f>IF(O349&lt;0,IF(P349=0,0,IF(OR(O349=0,F349=0),"N.M.",IF(ABS(P349/O349)&gt;=10,"N.M.",P349/(-O349)))),IF(P349=0,0,IF(OR(O349=0,F349=0),"N.M.",IF(ABS(P349/O349)&gt;=10,"N.M.",P349/O349))))</f>
        <v>-0.44404600687850504</v>
      </c>
    </row>
    <row r="350" spans="1:17" ht="12.75" collapsed="1">
      <c r="A350" s="11" t="s">
        <v>269</v>
      </c>
      <c r="C350" s="228" t="s">
        <v>200</v>
      </c>
      <c r="E350" s="11"/>
      <c r="F350" s="18">
        <v>19244928.169999998</v>
      </c>
      <c r="G350" s="18">
        <v>17850611.115999997</v>
      </c>
      <c r="H350" s="51">
        <f>+F350-G350</f>
        <v>1394317.0540000014</v>
      </c>
      <c r="I350" s="136">
        <f>IF(G350&lt;0,IF(H350=0,0,IF(OR(G350=0,F350=0),"N.M.",IF(ABS(H350/G350)&gt;=10,"N.M.",H350/(-G350)))),IF(H350=0,0,IF(OR(G350=0,F350=0),"N.M.",IF(ABS(H350/G350)&gt;=10,"N.M.",H350/G350))))</f>
        <v>0.07811032602408981</v>
      </c>
      <c r="J350" s="166"/>
      <c r="K350" s="18">
        <v>19137927.69</v>
      </c>
      <c r="L350" s="51">
        <f>+F350-K350</f>
        <v>107000.47999999672</v>
      </c>
      <c r="M350" s="136" t="str">
        <f>IF(K350&lt;0,IF(L350=0,0,IF(OR(K350=0,N350=0),"N.M.",IF(ABS(L350/K350)&gt;=10,"N.M.",L350/(-K350)))),IF(L350=0,0,IF(OR(K350=0,N350=0),"N.M.",IF(ABS(L350/K350)&gt;=10,"N.M.",L350/K350))))</f>
        <v>N.M.</v>
      </c>
      <c r="N350" s="166"/>
      <c r="O350" s="18">
        <v>18258329.378</v>
      </c>
      <c r="P350" s="51">
        <f>+F350-O350</f>
        <v>986598.7919999994</v>
      </c>
      <c r="Q350" s="136">
        <f>IF(O350&lt;0,IF(P350=0,0,IF(OR(O350=0,F350=0),"N.M.",IF(ABS(P350/O350)&gt;=10,"N.M.",P350/(-O350)))),IF(P350=0,0,IF(OR(O350=0,F350=0),"N.M.",IF(ABS(P350/O350)&gt;=10,"N.M.",P350/O350))))</f>
        <v>0.05403554572680574</v>
      </c>
    </row>
    <row r="351" spans="3:17" ht="0.75" customHeight="1" hidden="1" outlineLevel="1">
      <c r="C351" s="228"/>
      <c r="E351" s="11"/>
      <c r="H351" s="51"/>
      <c r="I351" s="136"/>
      <c r="J351" s="166"/>
      <c r="K351" s="18"/>
      <c r="L351" s="51"/>
      <c r="M351" s="136"/>
      <c r="N351" s="166"/>
      <c r="O351" s="18"/>
      <c r="P351" s="51"/>
      <c r="Q351" s="136"/>
    </row>
    <row r="352" spans="1:17" s="15" customFormat="1" ht="12.75" hidden="1" outlineLevel="2">
      <c r="A352" s="15" t="s">
        <v>966</v>
      </c>
      <c r="B352" s="15" t="s">
        <v>967</v>
      </c>
      <c r="C352" s="134" t="s">
        <v>968</v>
      </c>
      <c r="D352" s="16"/>
      <c r="E352" s="16"/>
      <c r="F352" s="16">
        <v>-1987621.32</v>
      </c>
      <c r="G352" s="16">
        <v>-4601696.58</v>
      </c>
      <c r="H352" s="16">
        <f aca="true" t="shared" si="104" ref="H352:H380">+F352-G352</f>
        <v>2614075.26</v>
      </c>
      <c r="I352" s="53">
        <f aca="true" t="shared" si="105" ref="I352:I380">IF(G352&lt;0,IF(H352=0,0,IF(OR(G352=0,F352=0),"N.M.",IF(ABS(H352/G352)&gt;=10,"N.M.",H352/(-G352)))),IF(H352=0,0,IF(OR(G352=0,F352=0),"N.M.",IF(ABS(H352/G352)&gt;=10,"N.M.",H352/G352))))</f>
        <v>0.5680677147122986</v>
      </c>
      <c r="J352" s="174"/>
      <c r="K352" s="256">
        <v>-3382423.42</v>
      </c>
      <c r="L352" s="16">
        <f aca="true" t="shared" si="106" ref="L352:L380">+F352-K352</f>
        <v>1394802.0999999999</v>
      </c>
      <c r="M352" s="53" t="str">
        <f aca="true" t="shared" si="107" ref="M352:M380">IF(K352&lt;0,IF(L352=0,0,IF(OR(K352=0,N352=0),"N.M.",IF(ABS(L352/K352)&gt;=10,"N.M.",L352/(-K352)))),IF(L352=0,0,IF(OR(K352=0,N352=0),"N.M.",IF(ABS(L352/K352)&gt;=10,"N.M.",L352/K352))))</f>
        <v>N.M.</v>
      </c>
      <c r="N352" s="174"/>
      <c r="O352" s="256">
        <v>-24771724.67</v>
      </c>
      <c r="P352" s="16">
        <f aca="true" t="shared" si="108" ref="P352:P380">+F352-O352</f>
        <v>22784103.35</v>
      </c>
      <c r="Q352" s="53">
        <f aca="true" t="shared" si="109" ref="Q352:Q380">IF(O352&lt;0,IF(P352=0,0,IF(OR(O352=0,F352=0),"N.M.",IF(ABS(P352/O352)&gt;=10,"N.M.",P352/(-O352)))),IF(P352=0,0,IF(OR(O352=0,F352=0),"N.M.",IF(ABS(P352/O352)&gt;=10,"N.M.",P352/O352))))</f>
        <v>0.9197624975055885</v>
      </c>
    </row>
    <row r="353" spans="1:17" s="15" customFormat="1" ht="12.75" hidden="1" outlineLevel="2">
      <c r="A353" s="15" t="s">
        <v>969</v>
      </c>
      <c r="B353" s="15" t="s">
        <v>970</v>
      </c>
      <c r="C353" s="134" t="s">
        <v>971</v>
      </c>
      <c r="D353" s="16"/>
      <c r="E353" s="16"/>
      <c r="F353" s="16">
        <v>0</v>
      </c>
      <c r="G353" s="16">
        <v>-194681.06</v>
      </c>
      <c r="H353" s="16">
        <f t="shared" si="104"/>
        <v>194681.06</v>
      </c>
      <c r="I353" s="53" t="str">
        <f t="shared" si="105"/>
        <v>N.M.</v>
      </c>
      <c r="J353" s="174"/>
      <c r="K353" s="256">
        <v>0</v>
      </c>
      <c r="L353" s="16">
        <f t="shared" si="106"/>
        <v>0</v>
      </c>
      <c r="M353" s="53">
        <f t="shared" si="107"/>
        <v>0</v>
      </c>
      <c r="N353" s="174"/>
      <c r="O353" s="256">
        <v>0</v>
      </c>
      <c r="P353" s="16">
        <f t="shared" si="108"/>
        <v>0</v>
      </c>
      <c r="Q353" s="53">
        <f t="shared" si="109"/>
        <v>0</v>
      </c>
    </row>
    <row r="354" spans="1:17" s="15" customFormat="1" ht="12.75" hidden="1" outlineLevel="2">
      <c r="A354" s="15" t="s">
        <v>972</v>
      </c>
      <c r="B354" s="15" t="s">
        <v>973</v>
      </c>
      <c r="C354" s="134" t="s">
        <v>971</v>
      </c>
      <c r="D354" s="16"/>
      <c r="E354" s="16"/>
      <c r="F354" s="16">
        <v>-4725396.5600000005</v>
      </c>
      <c r="G354" s="16">
        <v>-2210477.76</v>
      </c>
      <c r="H354" s="16">
        <f t="shared" si="104"/>
        <v>-2514918.8000000007</v>
      </c>
      <c r="I354" s="53">
        <f t="shared" si="105"/>
        <v>-1.137726352876765</v>
      </c>
      <c r="J354" s="174"/>
      <c r="K354" s="256">
        <v>-4725396.5600000005</v>
      </c>
      <c r="L354" s="16">
        <f t="shared" si="106"/>
        <v>0</v>
      </c>
      <c r="M354" s="53">
        <f t="shared" si="107"/>
        <v>0</v>
      </c>
      <c r="N354" s="174"/>
      <c r="O354" s="256">
        <v>-4725396.5600000005</v>
      </c>
      <c r="P354" s="16">
        <f t="shared" si="108"/>
        <v>0</v>
      </c>
      <c r="Q354" s="53">
        <f t="shared" si="109"/>
        <v>0</v>
      </c>
    </row>
    <row r="355" spans="1:17" s="15" customFormat="1" ht="12.75" hidden="1" outlineLevel="2">
      <c r="A355" s="15" t="s">
        <v>974</v>
      </c>
      <c r="B355" s="15" t="s">
        <v>975</v>
      </c>
      <c r="C355" s="134" t="s">
        <v>971</v>
      </c>
      <c r="D355" s="16"/>
      <c r="E355" s="16"/>
      <c r="F355" s="16">
        <v>726359.13</v>
      </c>
      <c r="G355" s="16">
        <v>0</v>
      </c>
      <c r="H355" s="16">
        <f t="shared" si="104"/>
        <v>726359.13</v>
      </c>
      <c r="I355" s="53" t="str">
        <f t="shared" si="105"/>
        <v>N.M.</v>
      </c>
      <c r="J355" s="174"/>
      <c r="K355" s="256">
        <v>517122.58</v>
      </c>
      <c r="L355" s="16">
        <f t="shared" si="106"/>
        <v>209236.55</v>
      </c>
      <c r="M355" s="53" t="str">
        <f t="shared" si="107"/>
        <v>N.M.</v>
      </c>
      <c r="N355" s="174"/>
      <c r="O355" s="256">
        <v>0</v>
      </c>
      <c r="P355" s="16">
        <f t="shared" si="108"/>
        <v>726359.13</v>
      </c>
      <c r="Q355" s="53" t="str">
        <f t="shared" si="109"/>
        <v>N.M.</v>
      </c>
    </row>
    <row r="356" spans="1:17" s="15" customFormat="1" ht="12.75" hidden="1" outlineLevel="2">
      <c r="A356" s="15" t="s">
        <v>976</v>
      </c>
      <c r="B356" s="15" t="s">
        <v>977</v>
      </c>
      <c r="C356" s="134" t="s">
        <v>978</v>
      </c>
      <c r="D356" s="16"/>
      <c r="E356" s="16"/>
      <c r="F356" s="16">
        <v>88997.63</v>
      </c>
      <c r="G356" s="16">
        <v>88535.61</v>
      </c>
      <c r="H356" s="16">
        <f t="shared" si="104"/>
        <v>462.0200000000041</v>
      </c>
      <c r="I356" s="53">
        <f t="shared" si="105"/>
        <v>0.005218465202871524</v>
      </c>
      <c r="J356" s="174"/>
      <c r="K356" s="256">
        <v>81762.14</v>
      </c>
      <c r="L356" s="16">
        <f t="shared" si="106"/>
        <v>7235.490000000005</v>
      </c>
      <c r="M356" s="53" t="str">
        <f t="shared" si="107"/>
        <v>N.M.</v>
      </c>
      <c r="N356" s="174"/>
      <c r="O356" s="256">
        <v>170270.83000000002</v>
      </c>
      <c r="P356" s="16">
        <f t="shared" si="108"/>
        <v>-81273.20000000001</v>
      </c>
      <c r="Q356" s="53">
        <f t="shared" si="109"/>
        <v>-0.4773172245651237</v>
      </c>
    </row>
    <row r="357" spans="1:17" s="15" customFormat="1" ht="12.75" hidden="1" outlineLevel="2">
      <c r="A357" s="15" t="s">
        <v>979</v>
      </c>
      <c r="B357" s="15" t="s">
        <v>980</v>
      </c>
      <c r="C357" s="134" t="s">
        <v>981</v>
      </c>
      <c r="D357" s="16"/>
      <c r="E357" s="16"/>
      <c r="F357" s="16">
        <v>1478.26</v>
      </c>
      <c r="G357" s="16">
        <v>150.89000000000001</v>
      </c>
      <c r="H357" s="16">
        <f t="shared" si="104"/>
        <v>1327.37</v>
      </c>
      <c r="I357" s="53">
        <f t="shared" si="105"/>
        <v>8.796938166876531</v>
      </c>
      <c r="J357" s="174"/>
      <c r="K357" s="256">
        <v>1343.04</v>
      </c>
      <c r="L357" s="16">
        <f t="shared" si="106"/>
        <v>135.22000000000003</v>
      </c>
      <c r="M357" s="53" t="str">
        <f t="shared" si="107"/>
        <v>N.M.</v>
      </c>
      <c r="N357" s="174"/>
      <c r="O357" s="256">
        <v>5059.02</v>
      </c>
      <c r="P357" s="16">
        <f t="shared" si="108"/>
        <v>-3580.76</v>
      </c>
      <c r="Q357" s="53">
        <f t="shared" si="109"/>
        <v>-0.707797162296255</v>
      </c>
    </row>
    <row r="358" spans="1:17" s="15" customFormat="1" ht="12.75" hidden="1" outlineLevel="2">
      <c r="A358" s="15" t="s">
        <v>982</v>
      </c>
      <c r="B358" s="15" t="s">
        <v>983</v>
      </c>
      <c r="C358" s="134" t="s">
        <v>984</v>
      </c>
      <c r="D358" s="16"/>
      <c r="E358" s="16"/>
      <c r="F358" s="16">
        <v>319.34000000000003</v>
      </c>
      <c r="G358" s="16">
        <v>100.38</v>
      </c>
      <c r="H358" s="16">
        <f t="shared" si="104"/>
        <v>218.96000000000004</v>
      </c>
      <c r="I358" s="53">
        <f t="shared" si="105"/>
        <v>2.1813110181311024</v>
      </c>
      <c r="J358" s="174"/>
      <c r="K358" s="256">
        <v>1956.83</v>
      </c>
      <c r="L358" s="16">
        <f t="shared" si="106"/>
        <v>-1637.4899999999998</v>
      </c>
      <c r="M358" s="53" t="str">
        <f t="shared" si="107"/>
        <v>N.M.</v>
      </c>
      <c r="N358" s="174"/>
      <c r="O358" s="256">
        <v>4809.54</v>
      </c>
      <c r="P358" s="16">
        <f t="shared" si="108"/>
        <v>-4490.2</v>
      </c>
      <c r="Q358" s="53">
        <f t="shared" si="109"/>
        <v>-0.9336027977727599</v>
      </c>
    </row>
    <row r="359" spans="1:17" s="15" customFormat="1" ht="12.75" hidden="1" outlineLevel="2">
      <c r="A359" s="15" t="s">
        <v>985</v>
      </c>
      <c r="B359" s="15" t="s">
        <v>986</v>
      </c>
      <c r="C359" s="134" t="s">
        <v>987</v>
      </c>
      <c r="D359" s="16"/>
      <c r="E359" s="16"/>
      <c r="F359" s="16">
        <v>0</v>
      </c>
      <c r="G359" s="16">
        <v>32345.34</v>
      </c>
      <c r="H359" s="16">
        <f t="shared" si="104"/>
        <v>-32345.34</v>
      </c>
      <c r="I359" s="53" t="str">
        <f t="shared" si="105"/>
        <v>N.M.</v>
      </c>
      <c r="J359" s="174"/>
      <c r="K359" s="256">
        <v>0</v>
      </c>
      <c r="L359" s="16">
        <f t="shared" si="106"/>
        <v>0</v>
      </c>
      <c r="M359" s="53">
        <f t="shared" si="107"/>
        <v>0</v>
      </c>
      <c r="N359" s="174"/>
      <c r="O359" s="256">
        <v>65729.17</v>
      </c>
      <c r="P359" s="16">
        <f t="shared" si="108"/>
        <v>-65729.17</v>
      </c>
      <c r="Q359" s="53" t="str">
        <f t="shared" si="109"/>
        <v>N.M.</v>
      </c>
    </row>
    <row r="360" spans="1:17" s="15" customFormat="1" ht="12.75" hidden="1" outlineLevel="2">
      <c r="A360" s="15" t="s">
        <v>988</v>
      </c>
      <c r="B360" s="15" t="s">
        <v>989</v>
      </c>
      <c r="C360" s="134" t="s">
        <v>987</v>
      </c>
      <c r="D360" s="16"/>
      <c r="E360" s="16"/>
      <c r="F360" s="16">
        <v>30330.31</v>
      </c>
      <c r="G360" s="16">
        <v>0</v>
      </c>
      <c r="H360" s="16">
        <f t="shared" si="104"/>
        <v>30330.31</v>
      </c>
      <c r="I360" s="53" t="str">
        <f t="shared" si="105"/>
        <v>N.M.</v>
      </c>
      <c r="J360" s="174"/>
      <c r="K360" s="256">
        <v>21652.87</v>
      </c>
      <c r="L360" s="16">
        <f t="shared" si="106"/>
        <v>8677.440000000002</v>
      </c>
      <c r="M360" s="53" t="str">
        <f t="shared" si="107"/>
        <v>N.M.</v>
      </c>
      <c r="N360" s="174"/>
      <c r="O360" s="256">
        <v>0</v>
      </c>
      <c r="P360" s="16">
        <f t="shared" si="108"/>
        <v>30330.31</v>
      </c>
      <c r="Q360" s="53" t="str">
        <f t="shared" si="109"/>
        <v>N.M.</v>
      </c>
    </row>
    <row r="361" spans="1:17" s="15" customFormat="1" ht="12.75" hidden="1" outlineLevel="2">
      <c r="A361" s="15" t="s">
        <v>990</v>
      </c>
      <c r="B361" s="15" t="s">
        <v>991</v>
      </c>
      <c r="C361" s="134" t="s">
        <v>992</v>
      </c>
      <c r="D361" s="16"/>
      <c r="E361" s="16"/>
      <c r="F361" s="16">
        <v>164590.69</v>
      </c>
      <c r="G361" s="16">
        <v>6225818.84</v>
      </c>
      <c r="H361" s="16">
        <f t="shared" si="104"/>
        <v>-6061228.149999999</v>
      </c>
      <c r="I361" s="53">
        <f t="shared" si="105"/>
        <v>-0.9735632060247997</v>
      </c>
      <c r="J361" s="174"/>
      <c r="K361" s="256">
        <v>165000</v>
      </c>
      <c r="L361" s="16">
        <f t="shared" si="106"/>
        <v>-409.3099999999977</v>
      </c>
      <c r="M361" s="53" t="str">
        <f t="shared" si="107"/>
        <v>N.M.</v>
      </c>
      <c r="N361" s="174"/>
      <c r="O361" s="256">
        <v>2477010.54</v>
      </c>
      <c r="P361" s="16">
        <f t="shared" si="108"/>
        <v>-2312419.85</v>
      </c>
      <c r="Q361" s="53">
        <f t="shared" si="109"/>
        <v>-0.9335526888795557</v>
      </c>
    </row>
    <row r="362" spans="1:17" s="15" customFormat="1" ht="12.75" hidden="1" outlineLevel="2">
      <c r="A362" s="15" t="s">
        <v>993</v>
      </c>
      <c r="B362" s="15" t="s">
        <v>994</v>
      </c>
      <c r="C362" s="134" t="s">
        <v>992</v>
      </c>
      <c r="D362" s="16"/>
      <c r="E362" s="16"/>
      <c r="F362" s="16">
        <v>6048898.84</v>
      </c>
      <c r="G362" s="16">
        <v>0</v>
      </c>
      <c r="H362" s="16">
        <f t="shared" si="104"/>
        <v>6048898.84</v>
      </c>
      <c r="I362" s="53" t="str">
        <f t="shared" si="105"/>
        <v>N.M.</v>
      </c>
      <c r="J362" s="174"/>
      <c r="K362" s="256">
        <v>9323500</v>
      </c>
      <c r="L362" s="16">
        <f t="shared" si="106"/>
        <v>-3274601.16</v>
      </c>
      <c r="M362" s="53" t="str">
        <f t="shared" si="107"/>
        <v>N.M.</v>
      </c>
      <c r="N362" s="174"/>
      <c r="O362" s="256">
        <v>9323500</v>
      </c>
      <c r="P362" s="16">
        <f t="shared" si="108"/>
        <v>-3274601.16</v>
      </c>
      <c r="Q362" s="53">
        <f t="shared" si="109"/>
        <v>-0.3512201598112297</v>
      </c>
    </row>
    <row r="363" spans="1:17" s="15" customFormat="1" ht="12.75" hidden="1" outlineLevel="2">
      <c r="A363" s="15" t="s">
        <v>995</v>
      </c>
      <c r="B363" s="15" t="s">
        <v>996</v>
      </c>
      <c r="C363" s="134" t="s">
        <v>997</v>
      </c>
      <c r="D363" s="16"/>
      <c r="E363" s="16"/>
      <c r="F363" s="16">
        <v>1312</v>
      </c>
      <c r="G363" s="16">
        <v>0</v>
      </c>
      <c r="H363" s="16">
        <f t="shared" si="104"/>
        <v>1312</v>
      </c>
      <c r="I363" s="53" t="str">
        <f t="shared" si="105"/>
        <v>N.M.</v>
      </c>
      <c r="J363" s="174"/>
      <c r="K363" s="256">
        <v>0</v>
      </c>
      <c r="L363" s="16">
        <f t="shared" si="106"/>
        <v>1312</v>
      </c>
      <c r="M363" s="53" t="str">
        <f t="shared" si="107"/>
        <v>N.M.</v>
      </c>
      <c r="N363" s="174"/>
      <c r="O363" s="256">
        <v>0</v>
      </c>
      <c r="P363" s="16">
        <f t="shared" si="108"/>
        <v>1312</v>
      </c>
      <c r="Q363" s="53" t="str">
        <f t="shared" si="109"/>
        <v>N.M.</v>
      </c>
    </row>
    <row r="364" spans="1:17" s="15" customFormat="1" ht="12.75" hidden="1" outlineLevel="2">
      <c r="A364" s="15" t="s">
        <v>998</v>
      </c>
      <c r="B364" s="15" t="s">
        <v>999</v>
      </c>
      <c r="C364" s="134" t="s">
        <v>1000</v>
      </c>
      <c r="D364" s="16"/>
      <c r="E364" s="16"/>
      <c r="F364" s="16">
        <v>0</v>
      </c>
      <c r="G364" s="16">
        <v>-41123</v>
      </c>
      <c r="H364" s="16">
        <f t="shared" si="104"/>
        <v>41123</v>
      </c>
      <c r="I364" s="53" t="str">
        <f t="shared" si="105"/>
        <v>N.M.</v>
      </c>
      <c r="J364" s="174"/>
      <c r="K364" s="256">
        <v>0</v>
      </c>
      <c r="L364" s="16">
        <f t="shared" si="106"/>
        <v>0</v>
      </c>
      <c r="M364" s="53">
        <f t="shared" si="107"/>
        <v>0</v>
      </c>
      <c r="N364" s="174"/>
      <c r="O364" s="256">
        <v>0</v>
      </c>
      <c r="P364" s="16">
        <f t="shared" si="108"/>
        <v>0</v>
      </c>
      <c r="Q364" s="53">
        <f t="shared" si="109"/>
        <v>0</v>
      </c>
    </row>
    <row r="365" spans="1:17" s="15" customFormat="1" ht="12.75" hidden="1" outlineLevel="2">
      <c r="A365" s="15" t="s">
        <v>1001</v>
      </c>
      <c r="B365" s="15" t="s">
        <v>1002</v>
      </c>
      <c r="C365" s="134" t="s">
        <v>1000</v>
      </c>
      <c r="D365" s="16"/>
      <c r="E365" s="16"/>
      <c r="F365" s="16">
        <v>-25500</v>
      </c>
      <c r="G365" s="16">
        <v>-25500</v>
      </c>
      <c r="H365" s="16">
        <f t="shared" si="104"/>
        <v>0</v>
      </c>
      <c r="I365" s="53">
        <f t="shared" si="105"/>
        <v>0</v>
      </c>
      <c r="J365" s="174"/>
      <c r="K365" s="256">
        <v>-25500</v>
      </c>
      <c r="L365" s="16">
        <f t="shared" si="106"/>
        <v>0</v>
      </c>
      <c r="M365" s="53">
        <f t="shared" si="107"/>
        <v>0</v>
      </c>
      <c r="N365" s="174"/>
      <c r="O365" s="256">
        <v>-25500</v>
      </c>
      <c r="P365" s="16">
        <f t="shared" si="108"/>
        <v>0</v>
      </c>
      <c r="Q365" s="53">
        <f t="shared" si="109"/>
        <v>0</v>
      </c>
    </row>
    <row r="366" spans="1:17" s="15" customFormat="1" ht="12.75" hidden="1" outlineLevel="2">
      <c r="A366" s="15" t="s">
        <v>1003</v>
      </c>
      <c r="B366" s="15" t="s">
        <v>1004</v>
      </c>
      <c r="C366" s="134" t="s">
        <v>1000</v>
      </c>
      <c r="D366" s="16"/>
      <c r="E366" s="16"/>
      <c r="F366" s="16">
        <v>80100</v>
      </c>
      <c r="G366" s="16">
        <v>0</v>
      </c>
      <c r="H366" s="16">
        <f t="shared" si="104"/>
        <v>80100</v>
      </c>
      <c r="I366" s="53" t="str">
        <f t="shared" si="105"/>
        <v>N.M.</v>
      </c>
      <c r="J366" s="174"/>
      <c r="K366" s="256">
        <v>80100</v>
      </c>
      <c r="L366" s="16">
        <f t="shared" si="106"/>
        <v>0</v>
      </c>
      <c r="M366" s="53">
        <f t="shared" si="107"/>
        <v>0</v>
      </c>
      <c r="N366" s="174"/>
      <c r="O366" s="256">
        <v>0</v>
      </c>
      <c r="P366" s="16">
        <f t="shared" si="108"/>
        <v>80100</v>
      </c>
      <c r="Q366" s="53" t="str">
        <f t="shared" si="109"/>
        <v>N.M.</v>
      </c>
    </row>
    <row r="367" spans="1:17" s="15" customFormat="1" ht="12.75" hidden="1" outlineLevel="2">
      <c r="A367" s="15" t="s">
        <v>1005</v>
      </c>
      <c r="B367" s="15" t="s">
        <v>1006</v>
      </c>
      <c r="C367" s="134" t="s">
        <v>1007</v>
      </c>
      <c r="D367" s="16"/>
      <c r="E367" s="16"/>
      <c r="F367" s="16">
        <v>0</v>
      </c>
      <c r="G367" s="16">
        <v>55668</v>
      </c>
      <c r="H367" s="16">
        <f t="shared" si="104"/>
        <v>-55668</v>
      </c>
      <c r="I367" s="53" t="str">
        <f t="shared" si="105"/>
        <v>N.M.</v>
      </c>
      <c r="J367" s="174"/>
      <c r="K367" s="256">
        <v>0</v>
      </c>
      <c r="L367" s="16">
        <f t="shared" si="106"/>
        <v>0</v>
      </c>
      <c r="M367" s="53">
        <f t="shared" si="107"/>
        <v>0</v>
      </c>
      <c r="N367" s="174"/>
      <c r="O367" s="256">
        <v>41747</v>
      </c>
      <c r="P367" s="16">
        <f t="shared" si="108"/>
        <v>-41747</v>
      </c>
      <c r="Q367" s="53" t="str">
        <f t="shared" si="109"/>
        <v>N.M.</v>
      </c>
    </row>
    <row r="368" spans="1:17" s="15" customFormat="1" ht="12.75" hidden="1" outlineLevel="2">
      <c r="A368" s="15" t="s">
        <v>1008</v>
      </c>
      <c r="B368" s="15" t="s">
        <v>1009</v>
      </c>
      <c r="C368" s="134" t="s">
        <v>1007</v>
      </c>
      <c r="D368" s="16"/>
      <c r="E368" s="16"/>
      <c r="F368" s="16">
        <v>86288</v>
      </c>
      <c r="G368" s="16">
        <v>0</v>
      </c>
      <c r="H368" s="16">
        <f t="shared" si="104"/>
        <v>86288</v>
      </c>
      <c r="I368" s="53" t="str">
        <f t="shared" si="105"/>
        <v>N.M.</v>
      </c>
      <c r="J368" s="174"/>
      <c r="K368" s="256">
        <v>64716</v>
      </c>
      <c r="L368" s="16">
        <f t="shared" si="106"/>
        <v>21572</v>
      </c>
      <c r="M368" s="53" t="str">
        <f t="shared" si="107"/>
        <v>N.M.</v>
      </c>
      <c r="N368" s="174"/>
      <c r="O368" s="256">
        <v>0</v>
      </c>
      <c r="P368" s="16">
        <f t="shared" si="108"/>
        <v>86288</v>
      </c>
      <c r="Q368" s="53" t="str">
        <f t="shared" si="109"/>
        <v>N.M.</v>
      </c>
    </row>
    <row r="369" spans="1:17" s="15" customFormat="1" ht="12.75" hidden="1" outlineLevel="2">
      <c r="A369" s="15" t="s">
        <v>1010</v>
      </c>
      <c r="B369" s="15" t="s">
        <v>1011</v>
      </c>
      <c r="C369" s="134" t="s">
        <v>1012</v>
      </c>
      <c r="D369" s="16"/>
      <c r="E369" s="16"/>
      <c r="F369" s="16">
        <v>-3339.56</v>
      </c>
      <c r="G369" s="16">
        <v>-754.9300000000001</v>
      </c>
      <c r="H369" s="16">
        <f t="shared" si="104"/>
        <v>-2584.63</v>
      </c>
      <c r="I369" s="53">
        <f t="shared" si="105"/>
        <v>-3.423668419588571</v>
      </c>
      <c r="J369" s="174"/>
      <c r="K369" s="256">
        <v>-3339.56</v>
      </c>
      <c r="L369" s="16">
        <f t="shared" si="106"/>
        <v>0</v>
      </c>
      <c r="M369" s="53">
        <f t="shared" si="107"/>
        <v>0</v>
      </c>
      <c r="N369" s="174"/>
      <c r="O369" s="256">
        <v>-2776.35</v>
      </c>
      <c r="P369" s="16">
        <f t="shared" si="108"/>
        <v>-563.21</v>
      </c>
      <c r="Q369" s="53">
        <f t="shared" si="109"/>
        <v>-0.20285986997316624</v>
      </c>
    </row>
    <row r="370" spans="1:17" s="15" customFormat="1" ht="12.75" hidden="1" outlineLevel="2">
      <c r="A370" s="15" t="s">
        <v>1013</v>
      </c>
      <c r="B370" s="15" t="s">
        <v>1014</v>
      </c>
      <c r="C370" s="134" t="s">
        <v>1012</v>
      </c>
      <c r="D370" s="16"/>
      <c r="E370" s="16"/>
      <c r="F370" s="16">
        <v>106300</v>
      </c>
      <c r="G370" s="16">
        <v>0</v>
      </c>
      <c r="H370" s="16">
        <f t="shared" si="104"/>
        <v>106300</v>
      </c>
      <c r="I370" s="53" t="str">
        <f t="shared" si="105"/>
        <v>N.M.</v>
      </c>
      <c r="J370" s="174"/>
      <c r="K370" s="256">
        <v>106300</v>
      </c>
      <c r="L370" s="16">
        <f t="shared" si="106"/>
        <v>0</v>
      </c>
      <c r="M370" s="53">
        <f t="shared" si="107"/>
        <v>0</v>
      </c>
      <c r="N370" s="174"/>
      <c r="O370" s="256">
        <v>0</v>
      </c>
      <c r="P370" s="16">
        <f t="shared" si="108"/>
        <v>106300</v>
      </c>
      <c r="Q370" s="53" t="str">
        <f t="shared" si="109"/>
        <v>N.M.</v>
      </c>
    </row>
    <row r="371" spans="1:17" s="15" customFormat="1" ht="12.75" hidden="1" outlineLevel="2">
      <c r="A371" s="15" t="s">
        <v>1015</v>
      </c>
      <c r="B371" s="15" t="s">
        <v>1016</v>
      </c>
      <c r="C371" s="134" t="s">
        <v>1017</v>
      </c>
      <c r="D371" s="16"/>
      <c r="E371" s="16"/>
      <c r="F371" s="16">
        <v>-14699.81</v>
      </c>
      <c r="G371" s="16">
        <v>8517.85</v>
      </c>
      <c r="H371" s="16">
        <f t="shared" si="104"/>
        <v>-23217.66</v>
      </c>
      <c r="I371" s="53">
        <f t="shared" si="105"/>
        <v>-2.7257653046249932</v>
      </c>
      <c r="J371" s="174"/>
      <c r="K371" s="256">
        <v>-14699.81</v>
      </c>
      <c r="L371" s="16">
        <f t="shared" si="106"/>
        <v>0</v>
      </c>
      <c r="M371" s="53">
        <f t="shared" si="107"/>
        <v>0</v>
      </c>
      <c r="N371" s="174"/>
      <c r="O371" s="256">
        <v>-14660.81</v>
      </c>
      <c r="P371" s="16">
        <f t="shared" si="108"/>
        <v>-39</v>
      </c>
      <c r="Q371" s="53">
        <f t="shared" si="109"/>
        <v>-0.002660153156612766</v>
      </c>
    </row>
    <row r="372" spans="1:17" s="15" customFormat="1" ht="12.75" hidden="1" outlineLevel="2">
      <c r="A372" s="15" t="s">
        <v>1018</v>
      </c>
      <c r="B372" s="15" t="s">
        <v>1019</v>
      </c>
      <c r="C372" s="134" t="s">
        <v>1017</v>
      </c>
      <c r="D372" s="16"/>
      <c r="E372" s="16"/>
      <c r="F372" s="16">
        <v>18018.11</v>
      </c>
      <c r="G372" s="16">
        <v>0</v>
      </c>
      <c r="H372" s="16">
        <f t="shared" si="104"/>
        <v>18018.11</v>
      </c>
      <c r="I372" s="53" t="str">
        <f t="shared" si="105"/>
        <v>N.M.</v>
      </c>
      <c r="J372" s="174"/>
      <c r="K372" s="256">
        <v>20025</v>
      </c>
      <c r="L372" s="16">
        <f t="shared" si="106"/>
        <v>-2006.8899999999994</v>
      </c>
      <c r="M372" s="53" t="str">
        <f t="shared" si="107"/>
        <v>N.M.</v>
      </c>
      <c r="N372" s="174"/>
      <c r="O372" s="256">
        <v>0</v>
      </c>
      <c r="P372" s="16">
        <f t="shared" si="108"/>
        <v>18018.11</v>
      </c>
      <c r="Q372" s="53" t="str">
        <f t="shared" si="109"/>
        <v>N.M.</v>
      </c>
    </row>
    <row r="373" spans="1:17" s="15" customFormat="1" ht="12.75" hidden="1" outlineLevel="2">
      <c r="A373" s="15" t="s">
        <v>1020</v>
      </c>
      <c r="B373" s="15" t="s">
        <v>1021</v>
      </c>
      <c r="C373" s="134" t="s">
        <v>1022</v>
      </c>
      <c r="D373" s="16"/>
      <c r="E373" s="16"/>
      <c r="F373" s="16">
        <v>120224.14</v>
      </c>
      <c r="G373" s="16">
        <v>44771.17</v>
      </c>
      <c r="H373" s="16">
        <f t="shared" si="104"/>
        <v>75452.97</v>
      </c>
      <c r="I373" s="53">
        <f t="shared" si="105"/>
        <v>1.685302617733689</v>
      </c>
      <c r="J373" s="174"/>
      <c r="K373" s="256">
        <v>90165.99</v>
      </c>
      <c r="L373" s="16">
        <f t="shared" si="106"/>
        <v>30058.149999999994</v>
      </c>
      <c r="M373" s="53" t="str">
        <f t="shared" si="107"/>
        <v>N.M.</v>
      </c>
      <c r="N373" s="174"/>
      <c r="O373" s="256">
        <v>40894.76</v>
      </c>
      <c r="P373" s="16">
        <f t="shared" si="108"/>
        <v>79329.38</v>
      </c>
      <c r="Q373" s="53">
        <f t="shared" si="109"/>
        <v>1.9398421704883462</v>
      </c>
    </row>
    <row r="374" spans="1:17" s="15" customFormat="1" ht="12.75" hidden="1" outlineLevel="2">
      <c r="A374" s="15" t="s">
        <v>1023</v>
      </c>
      <c r="B374" s="15" t="s">
        <v>1024</v>
      </c>
      <c r="C374" s="134" t="s">
        <v>1025</v>
      </c>
      <c r="D374" s="16"/>
      <c r="E374" s="16"/>
      <c r="F374" s="16">
        <v>3209.985</v>
      </c>
      <c r="G374" s="16">
        <v>0</v>
      </c>
      <c r="H374" s="16">
        <f t="shared" si="104"/>
        <v>3209.985</v>
      </c>
      <c r="I374" s="53" t="str">
        <f t="shared" si="105"/>
        <v>N.M.</v>
      </c>
      <c r="J374" s="174"/>
      <c r="K374" s="256">
        <v>3991.465</v>
      </c>
      <c r="L374" s="16">
        <f t="shared" si="106"/>
        <v>-781.48</v>
      </c>
      <c r="M374" s="53" t="str">
        <f t="shared" si="107"/>
        <v>N.M.</v>
      </c>
      <c r="N374" s="174"/>
      <c r="O374" s="256">
        <v>0</v>
      </c>
      <c r="P374" s="16">
        <f t="shared" si="108"/>
        <v>3209.985</v>
      </c>
      <c r="Q374" s="53" t="str">
        <f t="shared" si="109"/>
        <v>N.M.</v>
      </c>
    </row>
    <row r="375" spans="1:17" s="15" customFormat="1" ht="12.75" hidden="1" outlineLevel="2">
      <c r="A375" s="15" t="s">
        <v>1026</v>
      </c>
      <c r="B375" s="15" t="s">
        <v>1027</v>
      </c>
      <c r="C375" s="134" t="s">
        <v>1028</v>
      </c>
      <c r="D375" s="16"/>
      <c r="E375" s="16"/>
      <c r="F375" s="16">
        <v>495839</v>
      </c>
      <c r="G375" s="16">
        <v>0</v>
      </c>
      <c r="H375" s="16">
        <f t="shared" si="104"/>
        <v>495839</v>
      </c>
      <c r="I375" s="53" t="str">
        <f t="shared" si="105"/>
        <v>N.M.</v>
      </c>
      <c r="J375" s="174"/>
      <c r="K375" s="256">
        <v>495839</v>
      </c>
      <c r="L375" s="16">
        <f t="shared" si="106"/>
        <v>0</v>
      </c>
      <c r="M375" s="53">
        <f t="shared" si="107"/>
        <v>0</v>
      </c>
      <c r="N375" s="174"/>
      <c r="O375" s="256">
        <v>495839</v>
      </c>
      <c r="P375" s="16">
        <f t="shared" si="108"/>
        <v>0</v>
      </c>
      <c r="Q375" s="53">
        <f t="shared" si="109"/>
        <v>0</v>
      </c>
    </row>
    <row r="376" spans="1:17" s="15" customFormat="1" ht="12.75" hidden="1" outlineLevel="2">
      <c r="A376" s="15" t="s">
        <v>1029</v>
      </c>
      <c r="B376" s="15" t="s">
        <v>1030</v>
      </c>
      <c r="C376" s="134" t="s">
        <v>1031</v>
      </c>
      <c r="D376" s="16"/>
      <c r="E376" s="16"/>
      <c r="F376" s="16">
        <v>211473</v>
      </c>
      <c r="G376" s="16">
        <v>0</v>
      </c>
      <c r="H376" s="16">
        <f t="shared" si="104"/>
        <v>211473</v>
      </c>
      <c r="I376" s="53" t="str">
        <f t="shared" si="105"/>
        <v>N.M.</v>
      </c>
      <c r="J376" s="174"/>
      <c r="K376" s="256">
        <v>211473</v>
      </c>
      <c r="L376" s="16">
        <f t="shared" si="106"/>
        <v>0</v>
      </c>
      <c r="M376" s="53">
        <f t="shared" si="107"/>
        <v>0</v>
      </c>
      <c r="N376" s="174"/>
      <c r="O376" s="256">
        <v>0</v>
      </c>
      <c r="P376" s="16">
        <f t="shared" si="108"/>
        <v>211473</v>
      </c>
      <c r="Q376" s="53" t="str">
        <f t="shared" si="109"/>
        <v>N.M.</v>
      </c>
    </row>
    <row r="377" spans="1:17" s="15" customFormat="1" ht="12.75" hidden="1" outlineLevel="2">
      <c r="A377" s="15" t="s">
        <v>1032</v>
      </c>
      <c r="B377" s="15" t="s">
        <v>1033</v>
      </c>
      <c r="C377" s="134" t="s">
        <v>1034</v>
      </c>
      <c r="D377" s="16"/>
      <c r="E377" s="16"/>
      <c r="F377" s="16">
        <v>1130375.06</v>
      </c>
      <c r="G377" s="16">
        <v>2053994.06</v>
      </c>
      <c r="H377" s="16">
        <f t="shared" si="104"/>
        <v>-923619</v>
      </c>
      <c r="I377" s="53">
        <f t="shared" si="105"/>
        <v>-0.44966975220950733</v>
      </c>
      <c r="J377" s="174"/>
      <c r="K377" s="256">
        <v>1130375.06</v>
      </c>
      <c r="L377" s="16">
        <f t="shared" si="106"/>
        <v>0</v>
      </c>
      <c r="M377" s="53">
        <f t="shared" si="107"/>
        <v>0</v>
      </c>
      <c r="N377" s="174"/>
      <c r="O377" s="256">
        <v>1242187.06</v>
      </c>
      <c r="P377" s="16">
        <f t="shared" si="108"/>
        <v>-111812</v>
      </c>
      <c r="Q377" s="53">
        <f t="shared" si="109"/>
        <v>-0.09001220798419844</v>
      </c>
    </row>
    <row r="378" spans="1:17" s="15" customFormat="1" ht="12.75" hidden="1" outlineLevel="2">
      <c r="A378" s="15" t="s">
        <v>1035</v>
      </c>
      <c r="B378" s="15" t="s">
        <v>1036</v>
      </c>
      <c r="C378" s="134" t="s">
        <v>1037</v>
      </c>
      <c r="D378" s="16"/>
      <c r="E378" s="16"/>
      <c r="F378" s="16">
        <v>738115</v>
      </c>
      <c r="G378" s="16">
        <v>1154283</v>
      </c>
      <c r="H378" s="16">
        <f t="shared" si="104"/>
        <v>-416168</v>
      </c>
      <c r="I378" s="53">
        <f t="shared" si="105"/>
        <v>-0.36054243196859004</v>
      </c>
      <c r="J378" s="174"/>
      <c r="K378" s="256">
        <v>738115</v>
      </c>
      <c r="L378" s="16">
        <f t="shared" si="106"/>
        <v>0</v>
      </c>
      <c r="M378" s="53">
        <f t="shared" si="107"/>
        <v>0</v>
      </c>
      <c r="N378" s="174"/>
      <c r="O378" s="256">
        <v>965474</v>
      </c>
      <c r="P378" s="16">
        <f t="shared" si="108"/>
        <v>-227359</v>
      </c>
      <c r="Q378" s="53">
        <f t="shared" si="109"/>
        <v>-0.23548951085166456</v>
      </c>
    </row>
    <row r="379" spans="1:17" s="15" customFormat="1" ht="12.75" hidden="1" outlineLevel="2">
      <c r="A379" s="15" t="s">
        <v>1038</v>
      </c>
      <c r="B379" s="15" t="s">
        <v>1039</v>
      </c>
      <c r="C379" s="134" t="s">
        <v>1040</v>
      </c>
      <c r="D379" s="16"/>
      <c r="E379" s="16"/>
      <c r="F379" s="16">
        <v>-1697535</v>
      </c>
      <c r="G379" s="16">
        <v>-1840134</v>
      </c>
      <c r="H379" s="16">
        <f t="shared" si="104"/>
        <v>142599</v>
      </c>
      <c r="I379" s="53">
        <f t="shared" si="105"/>
        <v>0.0774938129505786</v>
      </c>
      <c r="J379" s="174"/>
      <c r="K379" s="256">
        <v>-1697535</v>
      </c>
      <c r="L379" s="16">
        <f t="shared" si="106"/>
        <v>0</v>
      </c>
      <c r="M379" s="53">
        <f t="shared" si="107"/>
        <v>0</v>
      </c>
      <c r="N379" s="174"/>
      <c r="O379" s="256">
        <v>-1809347</v>
      </c>
      <c r="P379" s="16">
        <f t="shared" si="108"/>
        <v>111812</v>
      </c>
      <c r="Q379" s="53">
        <f t="shared" si="109"/>
        <v>0.06179688031096302</v>
      </c>
    </row>
    <row r="380" spans="1:17" s="15" customFormat="1" ht="12.75" hidden="1" outlineLevel="2">
      <c r="A380" s="15" t="s">
        <v>1041</v>
      </c>
      <c r="B380" s="15" t="s">
        <v>1042</v>
      </c>
      <c r="C380" s="134" t="s">
        <v>1043</v>
      </c>
      <c r="D380" s="16"/>
      <c r="E380" s="16"/>
      <c r="F380" s="16">
        <v>-244199</v>
      </c>
      <c r="G380" s="16">
        <v>-292353</v>
      </c>
      <c r="H380" s="16">
        <f t="shared" si="104"/>
        <v>48154</v>
      </c>
      <c r="I380" s="53">
        <f t="shared" si="105"/>
        <v>0.16471183808614928</v>
      </c>
      <c r="J380" s="174"/>
      <c r="K380" s="256">
        <v>-244199</v>
      </c>
      <c r="L380" s="16">
        <f t="shared" si="106"/>
        <v>0</v>
      </c>
      <c r="M380" s="53">
        <f t="shared" si="107"/>
        <v>0</v>
      </c>
      <c r="N380" s="174"/>
      <c r="O380" s="256">
        <v>-260095</v>
      </c>
      <c r="P380" s="16">
        <f t="shared" si="108"/>
        <v>15896</v>
      </c>
      <c r="Q380" s="53">
        <f t="shared" si="109"/>
        <v>0.06111613064457218</v>
      </c>
    </row>
    <row r="381" spans="1:17" ht="12.75" collapsed="1">
      <c r="A381" s="11" t="s">
        <v>270</v>
      </c>
      <c r="C381" s="228" t="s">
        <v>201</v>
      </c>
      <c r="E381" s="11"/>
      <c r="F381" s="18">
        <v>1353937.2449999982</v>
      </c>
      <c r="G381" s="18">
        <v>457464.81000000006</v>
      </c>
      <c r="H381" s="51">
        <f>+F381-G381</f>
        <v>896472.4349999982</v>
      </c>
      <c r="I381" s="136">
        <f>IF(G381&lt;0,IF(H381=0,0,IF(OR(G381=0,F381=0),"N.M.",IF(ABS(H381/G381)&gt;=10,"N.M.",H381/(-G381)))),IF(H381=0,0,IF(OR(G381=0,F381=0),"N.M.",IF(ABS(H381/G381)&gt;=10,"N.M.",H381/G381))))</f>
        <v>1.9596533228424675</v>
      </c>
      <c r="J381" s="166"/>
      <c r="K381" s="18">
        <v>2960344.625</v>
      </c>
      <c r="L381" s="51">
        <f>+F381-K381</f>
        <v>-1606407.3800000018</v>
      </c>
      <c r="M381" s="136" t="str">
        <f>IF(K381&lt;0,IF(L381=0,0,IF(OR(K381=0,N381=0),"N.M.",IF(ABS(L381/K381)&gt;=10,"N.M.",L381/(-K381)))),IF(L381=0,0,IF(OR(K381=0,N381=0),"N.M.",IF(ABS(L381/K381)&gt;=10,"N.M.",L381/K381))))</f>
        <v>N.M.</v>
      </c>
      <c r="N381" s="166"/>
      <c r="O381" s="18">
        <v>-16776979.470000004</v>
      </c>
      <c r="P381" s="51">
        <f>+F381-O381</f>
        <v>18130916.715000004</v>
      </c>
      <c r="Q381" s="136">
        <f>IF(O381&lt;0,IF(P381=0,0,IF(OR(O381=0,F381=0),"N.M.",IF(ABS(P381/O381)&gt;=10,"N.M.",P381/(-O381)))),IF(P381=0,0,IF(OR(O381=0,F381=0),"N.M.",IF(ABS(P381/O381)&gt;=10,"N.M.",P381/O381))))</f>
        <v>1.08070208629754</v>
      </c>
    </row>
    <row r="382" spans="3:17" ht="0.75" customHeight="1" hidden="1" outlineLevel="1">
      <c r="C382" s="228"/>
      <c r="E382" s="11"/>
      <c r="H382" s="51"/>
      <c r="I382" s="136"/>
      <c r="J382" s="166"/>
      <c r="K382" s="18"/>
      <c r="L382" s="51"/>
      <c r="M382" s="136"/>
      <c r="N382" s="166"/>
      <c r="O382" s="18"/>
      <c r="P382" s="51"/>
      <c r="Q382" s="136"/>
    </row>
    <row r="383" spans="1:17" s="15" customFormat="1" ht="12.75" hidden="1" outlineLevel="2">
      <c r="A383" s="15" t="s">
        <v>1044</v>
      </c>
      <c r="B383" s="15" t="s">
        <v>1045</v>
      </c>
      <c r="C383" s="134" t="s">
        <v>1046</v>
      </c>
      <c r="D383" s="16"/>
      <c r="E383" s="16"/>
      <c r="F383" s="16">
        <v>8013009.76</v>
      </c>
      <c r="G383" s="16">
        <v>8013009.73</v>
      </c>
      <c r="H383" s="16">
        <f aca="true" t="shared" si="110" ref="H383:H388">+F383-G383</f>
        <v>0.029999999329447746</v>
      </c>
      <c r="I383" s="53">
        <f aca="true" t="shared" si="111" ref="I383:I388">IF(G383&lt;0,IF(H383=0,0,IF(OR(G383=0,F383=0),"N.M.",IF(ABS(H383/G383)&gt;=10,"N.M.",H383/(-G383)))),IF(H383=0,0,IF(OR(G383=0,F383=0),"N.M.",IF(ABS(H383/G383)&gt;=10,"N.M.",H383/G383))))</f>
        <v>3.743911506450616E-09</v>
      </c>
      <c r="J383" s="174"/>
      <c r="K383" s="256">
        <v>5187530.59</v>
      </c>
      <c r="L383" s="16">
        <f aca="true" t="shared" si="112" ref="L383:L388">+F383-K383</f>
        <v>2825479.17</v>
      </c>
      <c r="M383" s="53" t="str">
        <f aca="true" t="shared" si="113" ref="M383:M388">IF(K383&lt;0,IF(L383=0,0,IF(OR(K383=0,N383=0),"N.M.",IF(ABS(L383/K383)&gt;=10,"N.M.",L383/(-K383)))),IF(L383=0,0,IF(OR(K383=0,N383=0),"N.M.",IF(ABS(L383/K383)&gt;=10,"N.M.",L383/K383))))</f>
        <v>N.M.</v>
      </c>
      <c r="N383" s="174"/>
      <c r="O383" s="256">
        <v>6461093.06</v>
      </c>
      <c r="P383" s="16">
        <f aca="true" t="shared" si="114" ref="P383:P388">+F383-O383</f>
        <v>1551916.7000000002</v>
      </c>
      <c r="Q383" s="53">
        <f aca="true" t="shared" si="115" ref="Q383:Q388">IF(O383&lt;0,IF(P383=0,0,IF(OR(O383=0,F383=0),"N.M.",IF(ABS(P383/O383)&gt;=10,"N.M.",P383/(-O383)))),IF(P383=0,0,IF(OR(O383=0,F383=0),"N.M.",IF(ABS(P383/O383)&gt;=10,"N.M.",P383/O383))))</f>
        <v>0.2401941413919211</v>
      </c>
    </row>
    <row r="384" spans="1:17" s="15" customFormat="1" ht="12.75" hidden="1" outlineLevel="2">
      <c r="A384" s="15" t="s">
        <v>1047</v>
      </c>
      <c r="B384" s="15" t="s">
        <v>1048</v>
      </c>
      <c r="C384" s="134" t="s">
        <v>1049</v>
      </c>
      <c r="D384" s="16"/>
      <c r="E384" s="16"/>
      <c r="F384" s="16">
        <v>844588.8</v>
      </c>
      <c r="G384" s="16">
        <v>756085.27</v>
      </c>
      <c r="H384" s="16">
        <f t="shared" si="110"/>
        <v>88503.53000000003</v>
      </c>
      <c r="I384" s="53">
        <f t="shared" si="111"/>
        <v>0.11705495862920333</v>
      </c>
      <c r="J384" s="174"/>
      <c r="K384" s="256">
        <v>759660.11</v>
      </c>
      <c r="L384" s="16">
        <f t="shared" si="112"/>
        <v>84928.69000000006</v>
      </c>
      <c r="M384" s="53" t="str">
        <f t="shared" si="113"/>
        <v>N.M.</v>
      </c>
      <c r="N384" s="174"/>
      <c r="O384" s="256">
        <v>915060.68</v>
      </c>
      <c r="P384" s="16">
        <f t="shared" si="114"/>
        <v>-70471.88</v>
      </c>
      <c r="Q384" s="53">
        <f t="shared" si="115"/>
        <v>-0.07701334079833919</v>
      </c>
    </row>
    <row r="385" spans="1:17" s="15" customFormat="1" ht="12.75" hidden="1" outlineLevel="2">
      <c r="A385" s="15" t="s">
        <v>1050</v>
      </c>
      <c r="B385" s="15" t="s">
        <v>1051</v>
      </c>
      <c r="C385" s="134" t="s">
        <v>1052</v>
      </c>
      <c r="D385" s="16"/>
      <c r="E385" s="16"/>
      <c r="F385" s="16">
        <v>2953.164</v>
      </c>
      <c r="G385" s="16">
        <v>2453.664</v>
      </c>
      <c r="H385" s="16">
        <f t="shared" si="110"/>
        <v>499.5</v>
      </c>
      <c r="I385" s="53">
        <f t="shared" si="111"/>
        <v>0.20357310536405962</v>
      </c>
      <c r="J385" s="174"/>
      <c r="K385" s="256">
        <v>2837.5040000000004</v>
      </c>
      <c r="L385" s="16">
        <f t="shared" si="112"/>
        <v>115.65999999999985</v>
      </c>
      <c r="M385" s="53" t="str">
        <f t="shared" si="113"/>
        <v>N.M.</v>
      </c>
      <c r="N385" s="174"/>
      <c r="O385" s="256">
        <v>2466.694</v>
      </c>
      <c r="P385" s="16">
        <f t="shared" si="114"/>
        <v>486.47000000000025</v>
      </c>
      <c r="Q385" s="53">
        <f t="shared" si="115"/>
        <v>0.197215382207927</v>
      </c>
    </row>
    <row r="386" spans="1:17" s="15" customFormat="1" ht="12.75" hidden="1" outlineLevel="2">
      <c r="A386" s="15" t="s">
        <v>1053</v>
      </c>
      <c r="B386" s="15" t="s">
        <v>1054</v>
      </c>
      <c r="C386" s="134" t="s">
        <v>1055</v>
      </c>
      <c r="D386" s="16"/>
      <c r="E386" s="16"/>
      <c r="F386" s="16">
        <v>727519</v>
      </c>
      <c r="G386" s="16">
        <v>573180</v>
      </c>
      <c r="H386" s="16">
        <f t="shared" si="110"/>
        <v>154339</v>
      </c>
      <c r="I386" s="53">
        <f t="shared" si="111"/>
        <v>0.2692679437523989</v>
      </c>
      <c r="J386" s="174"/>
      <c r="K386" s="256">
        <v>727519</v>
      </c>
      <c r="L386" s="16">
        <f t="shared" si="112"/>
        <v>0</v>
      </c>
      <c r="M386" s="53">
        <f t="shared" si="113"/>
        <v>0</v>
      </c>
      <c r="N386" s="174"/>
      <c r="O386" s="256">
        <v>0</v>
      </c>
      <c r="P386" s="16">
        <f t="shared" si="114"/>
        <v>727519</v>
      </c>
      <c r="Q386" s="53" t="str">
        <f t="shared" si="115"/>
        <v>N.M.</v>
      </c>
    </row>
    <row r="387" spans="1:17" s="15" customFormat="1" ht="12.75" hidden="1" outlineLevel="2">
      <c r="A387" s="15" t="s">
        <v>1056</v>
      </c>
      <c r="B387" s="15" t="s">
        <v>1057</v>
      </c>
      <c r="C387" s="134" t="s">
        <v>1058</v>
      </c>
      <c r="D387" s="16"/>
      <c r="E387" s="16"/>
      <c r="F387" s="16">
        <v>456864</v>
      </c>
      <c r="G387" s="16">
        <v>143993</v>
      </c>
      <c r="H387" s="16">
        <f t="shared" si="110"/>
        <v>312871</v>
      </c>
      <c r="I387" s="53">
        <f t="shared" si="111"/>
        <v>2.1728209010160215</v>
      </c>
      <c r="J387" s="174"/>
      <c r="K387" s="256">
        <v>456864</v>
      </c>
      <c r="L387" s="16">
        <f t="shared" si="112"/>
        <v>0</v>
      </c>
      <c r="M387" s="53">
        <f t="shared" si="113"/>
        <v>0</v>
      </c>
      <c r="N387" s="174"/>
      <c r="O387" s="256">
        <v>388706</v>
      </c>
      <c r="P387" s="16">
        <f t="shared" si="114"/>
        <v>68158</v>
      </c>
      <c r="Q387" s="53">
        <f t="shared" si="115"/>
        <v>0.17534589123913705</v>
      </c>
    </row>
    <row r="388" spans="1:17" ht="12.75" collapsed="1">
      <c r="A388" s="11" t="s">
        <v>271</v>
      </c>
      <c r="C388" s="228" t="s">
        <v>202</v>
      </c>
      <c r="E388" s="11"/>
      <c r="F388" s="18">
        <v>10044934.724000001</v>
      </c>
      <c r="G388" s="18">
        <v>9488721.664</v>
      </c>
      <c r="H388" s="51">
        <f t="shared" si="110"/>
        <v>556213.0600000005</v>
      </c>
      <c r="I388" s="136">
        <f t="shared" si="111"/>
        <v>0.05861833444965095</v>
      </c>
      <c r="J388" s="166"/>
      <c r="K388" s="18">
        <v>7134411.204</v>
      </c>
      <c r="L388" s="51">
        <f t="shared" si="112"/>
        <v>2910523.5200000014</v>
      </c>
      <c r="M388" s="136" t="str">
        <f t="shared" si="113"/>
        <v>N.M.</v>
      </c>
      <c r="N388" s="166"/>
      <c r="O388" s="18">
        <v>7767326.433999999</v>
      </c>
      <c r="P388" s="51">
        <f t="shared" si="114"/>
        <v>2277608.290000002</v>
      </c>
      <c r="Q388" s="136">
        <f t="shared" si="115"/>
        <v>0.29322937684583505</v>
      </c>
    </row>
    <row r="389" spans="3:17" ht="0.75" customHeight="1" hidden="1" outlineLevel="1">
      <c r="C389" s="228"/>
      <c r="E389" s="11"/>
      <c r="H389" s="51"/>
      <c r="I389" s="136"/>
      <c r="J389" s="166"/>
      <c r="K389" s="18"/>
      <c r="L389" s="51"/>
      <c r="M389" s="136"/>
      <c r="N389" s="166"/>
      <c r="O389" s="18"/>
      <c r="P389" s="51"/>
      <c r="Q389" s="136"/>
    </row>
    <row r="390" spans="1:17" ht="12.75" collapsed="1">
      <c r="A390" s="11" t="s">
        <v>272</v>
      </c>
      <c r="C390" s="228" t="s">
        <v>203</v>
      </c>
      <c r="E390" s="11"/>
      <c r="F390" s="18">
        <v>0</v>
      </c>
      <c r="G390" s="18">
        <v>0</v>
      </c>
      <c r="H390" s="51">
        <f>+F390-G390</f>
        <v>0</v>
      </c>
      <c r="I390" s="136">
        <f>IF(G390&lt;0,IF(H390=0,0,IF(OR(G390=0,F390=0),"N.M.",IF(ABS(H390/G390)&gt;=10,"N.M.",H390/(-G390)))),IF(H390=0,0,IF(OR(G390=0,F390=0),"N.M.",IF(ABS(H390/G390)&gt;=10,"N.M.",H390/G390))))</f>
        <v>0</v>
      </c>
      <c r="J390" s="166"/>
      <c r="K390" s="18">
        <v>0</v>
      </c>
      <c r="L390" s="51">
        <f>+F390-K390</f>
        <v>0</v>
      </c>
      <c r="M390" s="136">
        <f>IF(K390&lt;0,IF(L390=0,0,IF(OR(K390=0,N390=0),"N.M.",IF(ABS(L390/K390)&gt;=10,"N.M.",L390/(-K390)))),IF(L390=0,0,IF(OR(K390=0,N390=0),"N.M.",IF(ABS(L390/K390)&gt;=10,"N.M.",L390/K390))))</f>
        <v>0</v>
      </c>
      <c r="N390" s="166"/>
      <c r="O390" s="18">
        <v>0</v>
      </c>
      <c r="P390" s="51">
        <f>+F390-O390</f>
        <v>0</v>
      </c>
      <c r="Q390" s="136">
        <f>IF(O390&lt;0,IF(P390=0,0,IF(OR(O390=0,F390=0),"N.M.",IF(ABS(P390/O390)&gt;=10,"N.M.",P390/(-O390)))),IF(P390=0,0,IF(OR(O390=0,F390=0),"N.M.",IF(ABS(P390/O390)&gt;=10,"N.M.",P390/O390))))</f>
        <v>0</v>
      </c>
    </row>
    <row r="391" spans="3:17" ht="0.75" customHeight="1" hidden="1" outlineLevel="1">
      <c r="C391" s="228"/>
      <c r="E391" s="11"/>
      <c r="H391" s="51"/>
      <c r="I391" s="136"/>
      <c r="J391" s="166"/>
      <c r="K391" s="18"/>
      <c r="L391" s="51"/>
      <c r="M391" s="136"/>
      <c r="N391" s="166"/>
      <c r="O391" s="18"/>
      <c r="P391" s="51"/>
      <c r="Q391" s="136"/>
    </row>
    <row r="392" spans="1:17" s="15" customFormat="1" ht="12.75" hidden="1" outlineLevel="2">
      <c r="A392" s="15" t="s">
        <v>1059</v>
      </c>
      <c r="B392" s="15" t="s">
        <v>1060</v>
      </c>
      <c r="C392" s="134" t="s">
        <v>1061</v>
      </c>
      <c r="D392" s="16"/>
      <c r="E392" s="16"/>
      <c r="F392" s="16">
        <v>1709778.27</v>
      </c>
      <c r="G392" s="16">
        <v>775813.36</v>
      </c>
      <c r="H392" s="16">
        <f>+F392-G392</f>
        <v>933964.91</v>
      </c>
      <c r="I392" s="53">
        <f>IF(G392&lt;0,IF(H392=0,0,IF(OR(G392=0,F392=0),"N.M.",IF(ABS(H392/G392)&gt;=10,"N.M.",H392/(-G392)))),IF(H392=0,0,IF(OR(G392=0,F392=0),"N.M.",IF(ABS(H392/G392)&gt;=10,"N.M.",H392/G392))))</f>
        <v>1.2038525735107217</v>
      </c>
      <c r="J392" s="174"/>
      <c r="K392" s="256">
        <v>1733673.83</v>
      </c>
      <c r="L392" s="16">
        <f>+F392-K392</f>
        <v>-23895.560000000056</v>
      </c>
      <c r="M392" s="53" t="str">
        <f>IF(K392&lt;0,IF(L392=0,0,IF(OR(K392=0,N392=0),"N.M.",IF(ABS(L392/K392)&gt;=10,"N.M.",L392/(-K392)))),IF(L392=0,0,IF(OR(K392=0,N392=0),"N.M.",IF(ABS(L392/K392)&gt;=10,"N.M.",L392/K392))))</f>
        <v>N.M.</v>
      </c>
      <c r="N392" s="174"/>
      <c r="O392" s="256">
        <v>639400.16</v>
      </c>
      <c r="P392" s="16">
        <f>+F392-O392</f>
        <v>1070378.1099999999</v>
      </c>
      <c r="Q392" s="53">
        <f>IF(O392&lt;0,IF(P392=0,0,IF(OR(O392=0,F392=0),"N.M.",IF(ABS(P392/O392)&gt;=10,"N.M.",P392/(-O392)))),IF(P392=0,0,IF(OR(O392=0,F392=0),"N.M.",IF(ABS(P392/O392)&gt;=10,"N.M.",P392/O392))))</f>
        <v>1.6740347859781577</v>
      </c>
    </row>
    <row r="393" spans="1:17" s="15" customFormat="1" ht="12.75" hidden="1" outlineLevel="2">
      <c r="A393" s="15" t="s">
        <v>1062</v>
      </c>
      <c r="B393" s="15" t="s">
        <v>1063</v>
      </c>
      <c r="C393" s="134" t="s">
        <v>1064</v>
      </c>
      <c r="D393" s="16"/>
      <c r="E393" s="16"/>
      <c r="F393" s="16">
        <v>25.51</v>
      </c>
      <c r="G393" s="16">
        <v>4113.87</v>
      </c>
      <c r="H393" s="16">
        <f>+F393-G393</f>
        <v>-4088.3599999999997</v>
      </c>
      <c r="I393" s="53">
        <f>IF(G393&lt;0,IF(H393=0,0,IF(OR(G393=0,F393=0),"N.M.",IF(ABS(H393/G393)&gt;=10,"N.M.",H393/(-G393)))),IF(H393=0,0,IF(OR(G393=0,F393=0),"N.M.",IF(ABS(H393/G393)&gt;=10,"N.M.",H393/G393))))</f>
        <v>-0.9937990262210521</v>
      </c>
      <c r="J393" s="174"/>
      <c r="K393" s="256">
        <v>4660.7300000000005</v>
      </c>
      <c r="L393" s="16">
        <f>+F393-K393</f>
        <v>-4635.22</v>
      </c>
      <c r="M393" s="53" t="str">
        <f>IF(K393&lt;0,IF(L393=0,0,IF(OR(K393=0,N393=0),"N.M.",IF(ABS(L393/K393)&gt;=10,"N.M.",L393/(-K393)))),IF(L393=0,0,IF(OR(K393=0,N393=0),"N.M.",IF(ABS(L393/K393)&gt;=10,"N.M.",L393/K393))))</f>
        <v>N.M.</v>
      </c>
      <c r="N393" s="174"/>
      <c r="O393" s="256">
        <v>302.72</v>
      </c>
      <c r="P393" s="16">
        <f>+F393-O393</f>
        <v>-277.21000000000004</v>
      </c>
      <c r="Q393" s="53">
        <f>IF(O393&lt;0,IF(P393=0,0,IF(OR(O393=0,F393=0),"N.M.",IF(ABS(P393/O393)&gt;=10,"N.M.",P393/(-O393)))),IF(P393=0,0,IF(OR(O393=0,F393=0),"N.M.",IF(ABS(P393/O393)&gt;=10,"N.M.",P393/O393))))</f>
        <v>-0.9157307082452432</v>
      </c>
    </row>
    <row r="394" spans="1:17" ht="12.75" collapsed="1">
      <c r="A394" s="11" t="s">
        <v>273</v>
      </c>
      <c r="C394" s="228" t="s">
        <v>204</v>
      </c>
      <c r="E394" s="11"/>
      <c r="F394" s="18">
        <v>1709803.78</v>
      </c>
      <c r="G394" s="18">
        <v>779927.23</v>
      </c>
      <c r="H394" s="51">
        <f>+F394-G394</f>
        <v>929876.55</v>
      </c>
      <c r="I394" s="136">
        <f>IF(G394&lt;0,IF(H394=0,0,IF(OR(G394=0,F394=0),"N.M.",IF(ABS(H394/G394)&gt;=10,"N.M.",H394/(-G394)))),IF(H394=0,0,IF(OR(G394=0,F394=0),"N.M.",IF(ABS(H394/G394)&gt;=10,"N.M.",H394/G394))))</f>
        <v>1.1922606548818664</v>
      </c>
      <c r="J394" s="166"/>
      <c r="K394" s="18">
        <v>1738334.56</v>
      </c>
      <c r="L394" s="51">
        <f>+F394-K394</f>
        <v>-28530.780000000028</v>
      </c>
      <c r="M394" s="136" t="str">
        <f>IF(K394&lt;0,IF(L394=0,0,IF(OR(K394=0,N394=0),"N.M.",IF(ABS(L394/K394)&gt;=10,"N.M.",L394/(-K394)))),IF(L394=0,0,IF(OR(K394=0,N394=0),"N.M.",IF(ABS(L394/K394)&gt;=10,"N.M.",L394/K394))))</f>
        <v>N.M.</v>
      </c>
      <c r="N394" s="166"/>
      <c r="O394" s="18">
        <v>639702.88</v>
      </c>
      <c r="P394" s="51">
        <f>+F394-O394</f>
        <v>1070100.9</v>
      </c>
      <c r="Q394" s="136">
        <f>IF(O394&lt;0,IF(P394=0,0,IF(OR(O394=0,F394=0),"N.M.",IF(ABS(P394/O394)&gt;=10,"N.M.",P394/(-O394)))),IF(P394=0,0,IF(OR(O394=0,F394=0),"N.M.",IF(ABS(P394/O394)&gt;=10,"N.M.",P394/O394))))</f>
        <v>1.6728092579480023</v>
      </c>
    </row>
    <row r="395" spans="3:17" ht="0.75" customHeight="1" hidden="1" outlineLevel="1">
      <c r="C395" s="228"/>
      <c r="E395" s="11"/>
      <c r="H395" s="51"/>
      <c r="I395" s="136"/>
      <c r="J395" s="166"/>
      <c r="K395" s="18"/>
      <c r="L395" s="51"/>
      <c r="M395" s="136"/>
      <c r="N395" s="166"/>
      <c r="O395" s="18"/>
      <c r="P395" s="51"/>
      <c r="Q395" s="136"/>
    </row>
    <row r="396" spans="1:17" s="15" customFormat="1" ht="12.75" hidden="1" outlineLevel="2">
      <c r="A396" s="15" t="s">
        <v>1065</v>
      </c>
      <c r="B396" s="15" t="s">
        <v>1066</v>
      </c>
      <c r="C396" s="134" t="s">
        <v>1067</v>
      </c>
      <c r="D396" s="16"/>
      <c r="E396" s="16"/>
      <c r="F396" s="16">
        <v>12261925.13</v>
      </c>
      <c r="G396" s="16">
        <v>9299861.79</v>
      </c>
      <c r="H396" s="16">
        <f aca="true" t="shared" si="116" ref="H396:H401">+F396-G396</f>
        <v>2962063.3400000017</v>
      </c>
      <c r="I396" s="53">
        <f aca="true" t="shared" si="117" ref="I396:I401">IF(G396&lt;0,IF(H396=0,0,IF(OR(G396=0,F396=0),"N.M.",IF(ABS(H396/G396)&gt;=10,"N.M.",H396/(-G396)))),IF(H396=0,0,IF(OR(G396=0,F396=0),"N.M.",IF(ABS(H396/G396)&gt;=10,"N.M.",H396/G396))))</f>
        <v>0.31850616782123187</v>
      </c>
      <c r="J396" s="174"/>
      <c r="K396" s="256">
        <v>10115181.75</v>
      </c>
      <c r="L396" s="16">
        <f aca="true" t="shared" si="118" ref="L396:L401">+F396-K396</f>
        <v>2146743.380000001</v>
      </c>
      <c r="M396" s="53" t="str">
        <f aca="true" t="shared" si="119" ref="M396:M401">IF(K396&lt;0,IF(L396=0,0,IF(OR(K396=0,N396=0),"N.M.",IF(ABS(L396/K396)&gt;=10,"N.M.",L396/(-K396)))),IF(L396=0,0,IF(OR(K396=0,N396=0),"N.M.",IF(ABS(L396/K396)&gt;=10,"N.M.",L396/K396))))</f>
        <v>N.M.</v>
      </c>
      <c r="N396" s="174"/>
      <c r="O396" s="256">
        <v>8456385.992</v>
      </c>
      <c r="P396" s="16">
        <f aca="true" t="shared" si="120" ref="P396:P401">+F396-O396</f>
        <v>3805539.1380000003</v>
      </c>
      <c r="Q396" s="53">
        <f aca="true" t="shared" si="121" ref="Q396:Q401">IF(O396&lt;0,IF(P396=0,0,IF(OR(O396=0,F396=0),"N.M.",IF(ABS(P396/O396)&gt;=10,"N.M.",P396/(-O396)))),IF(P396=0,0,IF(OR(O396=0,F396=0),"N.M.",IF(ABS(P396/O396)&gt;=10,"N.M.",P396/O396))))</f>
        <v>0.4500195641022248</v>
      </c>
    </row>
    <row r="397" spans="1:17" s="15" customFormat="1" ht="12.75" hidden="1" outlineLevel="2">
      <c r="A397" s="15" t="s">
        <v>1068</v>
      </c>
      <c r="B397" s="15" t="s">
        <v>1069</v>
      </c>
      <c r="C397" s="134" t="s">
        <v>1070</v>
      </c>
      <c r="D397" s="16"/>
      <c r="E397" s="16"/>
      <c r="F397" s="16">
        <v>131704</v>
      </c>
      <c r="G397" s="16">
        <v>103168.41</v>
      </c>
      <c r="H397" s="16">
        <f t="shared" si="116"/>
        <v>28535.589999999997</v>
      </c>
      <c r="I397" s="53">
        <f t="shared" si="117"/>
        <v>0.2765923212347655</v>
      </c>
      <c r="J397" s="174"/>
      <c r="K397" s="256">
        <v>151940.16</v>
      </c>
      <c r="L397" s="16">
        <f t="shared" si="118"/>
        <v>-20236.160000000003</v>
      </c>
      <c r="M397" s="53" t="str">
        <f t="shared" si="119"/>
        <v>N.M.</v>
      </c>
      <c r="N397" s="174"/>
      <c r="O397" s="256">
        <v>108999.26000000001</v>
      </c>
      <c r="P397" s="16">
        <f t="shared" si="120"/>
        <v>22704.73999999999</v>
      </c>
      <c r="Q397" s="53">
        <f t="shared" si="121"/>
        <v>0.20830178113135803</v>
      </c>
    </row>
    <row r="398" spans="1:17" s="15" customFormat="1" ht="12.75" hidden="1" outlineLevel="2">
      <c r="A398" s="15" t="s">
        <v>1071</v>
      </c>
      <c r="B398" s="15" t="s">
        <v>1072</v>
      </c>
      <c r="C398" s="134" t="s">
        <v>1073</v>
      </c>
      <c r="D398" s="16"/>
      <c r="E398" s="16"/>
      <c r="F398" s="16">
        <v>67545.68000000001</v>
      </c>
      <c r="G398" s="16">
        <v>16207.48</v>
      </c>
      <c r="H398" s="16">
        <f t="shared" si="116"/>
        <v>51338.20000000001</v>
      </c>
      <c r="I398" s="53">
        <f t="shared" si="117"/>
        <v>3.1675621379757994</v>
      </c>
      <c r="J398" s="174"/>
      <c r="K398" s="256">
        <v>43085.87</v>
      </c>
      <c r="L398" s="16">
        <f t="shared" si="118"/>
        <v>24459.810000000005</v>
      </c>
      <c r="M398" s="53" t="str">
        <f t="shared" si="119"/>
        <v>N.M.</v>
      </c>
      <c r="N398" s="174"/>
      <c r="O398" s="256">
        <v>23583.87</v>
      </c>
      <c r="P398" s="16">
        <f t="shared" si="120"/>
        <v>43961.81000000001</v>
      </c>
      <c r="Q398" s="53">
        <f t="shared" si="121"/>
        <v>1.8640625987168356</v>
      </c>
    </row>
    <row r="399" spans="1:17" s="15" customFormat="1" ht="12.75" hidden="1" outlineLevel="2">
      <c r="A399" s="15" t="s">
        <v>1074</v>
      </c>
      <c r="B399" s="15" t="s">
        <v>1075</v>
      </c>
      <c r="C399" s="134" t="s">
        <v>1076</v>
      </c>
      <c r="D399" s="16"/>
      <c r="E399" s="16"/>
      <c r="F399" s="16">
        <v>-4646499</v>
      </c>
      <c r="G399" s="16">
        <v>-4096867</v>
      </c>
      <c r="H399" s="16">
        <f t="shared" si="116"/>
        <v>-549632</v>
      </c>
      <c r="I399" s="53">
        <f t="shared" si="117"/>
        <v>-0.13415910255324373</v>
      </c>
      <c r="J399" s="174"/>
      <c r="K399" s="256">
        <v>-5394938</v>
      </c>
      <c r="L399" s="16">
        <f t="shared" si="118"/>
        <v>748439</v>
      </c>
      <c r="M399" s="53" t="str">
        <f t="shared" si="119"/>
        <v>N.M.</v>
      </c>
      <c r="N399" s="174"/>
      <c r="O399" s="256">
        <v>-4096078</v>
      </c>
      <c r="P399" s="16">
        <f t="shared" si="120"/>
        <v>-550421</v>
      </c>
      <c r="Q399" s="53">
        <f t="shared" si="121"/>
        <v>-0.13437756800529677</v>
      </c>
    </row>
    <row r="400" spans="1:17" s="15" customFormat="1" ht="12.75" hidden="1" outlineLevel="2">
      <c r="A400" s="15" t="s">
        <v>1077</v>
      </c>
      <c r="B400" s="15" t="s">
        <v>1078</v>
      </c>
      <c r="C400" s="134" t="s">
        <v>1079</v>
      </c>
      <c r="D400" s="16"/>
      <c r="E400" s="16"/>
      <c r="F400" s="16">
        <v>524503</v>
      </c>
      <c r="G400" s="16">
        <v>694377.58</v>
      </c>
      <c r="H400" s="16">
        <f t="shared" si="116"/>
        <v>-169874.57999999996</v>
      </c>
      <c r="I400" s="53">
        <f t="shared" si="117"/>
        <v>-0.24464295059756966</v>
      </c>
      <c r="J400" s="174"/>
      <c r="K400" s="256">
        <v>658412</v>
      </c>
      <c r="L400" s="16">
        <f t="shared" si="118"/>
        <v>-133909</v>
      </c>
      <c r="M400" s="53" t="str">
        <f t="shared" si="119"/>
        <v>N.M.</v>
      </c>
      <c r="N400" s="174"/>
      <c r="O400" s="256">
        <v>697404.62</v>
      </c>
      <c r="P400" s="16">
        <f t="shared" si="120"/>
        <v>-172901.62</v>
      </c>
      <c r="Q400" s="53">
        <f t="shared" si="121"/>
        <v>-0.24792152939852907</v>
      </c>
    </row>
    <row r="401" spans="1:17" ht="12.75" collapsed="1">
      <c r="A401" s="11" t="s">
        <v>274</v>
      </c>
      <c r="C401" s="228" t="s">
        <v>205</v>
      </c>
      <c r="E401" s="11"/>
      <c r="F401" s="18">
        <v>8339178.8100000005</v>
      </c>
      <c r="G401" s="18">
        <v>6016748.26</v>
      </c>
      <c r="H401" s="51">
        <f t="shared" si="116"/>
        <v>2322430.5500000007</v>
      </c>
      <c r="I401" s="136">
        <f t="shared" si="117"/>
        <v>0.3859943028429115</v>
      </c>
      <c r="J401" s="166"/>
      <c r="K401" s="18">
        <v>5573681.779999999</v>
      </c>
      <c r="L401" s="51">
        <f t="shared" si="118"/>
        <v>2765497.030000001</v>
      </c>
      <c r="M401" s="136" t="str">
        <f t="shared" si="119"/>
        <v>N.M.</v>
      </c>
      <c r="N401" s="166"/>
      <c r="O401" s="18">
        <v>5190295.742</v>
      </c>
      <c r="P401" s="51">
        <f t="shared" si="120"/>
        <v>3148883.068000001</v>
      </c>
      <c r="Q401" s="136">
        <f t="shared" si="121"/>
        <v>0.6066866368556154</v>
      </c>
    </row>
    <row r="402" spans="3:17" ht="0.75" customHeight="1" hidden="1" outlineLevel="1">
      <c r="C402" s="228"/>
      <c r="E402" s="11"/>
      <c r="H402" s="18"/>
      <c r="I402" s="141"/>
      <c r="J402" s="166"/>
      <c r="K402" s="18"/>
      <c r="L402" s="18"/>
      <c r="M402" s="141"/>
      <c r="N402" s="166"/>
      <c r="O402" s="18"/>
      <c r="P402" s="18"/>
      <c r="Q402" s="141"/>
    </row>
    <row r="403" spans="1:17" s="15" customFormat="1" ht="12.75" hidden="1" outlineLevel="2">
      <c r="A403" s="15" t="s">
        <v>1080</v>
      </c>
      <c r="B403" s="15" t="s">
        <v>1081</v>
      </c>
      <c r="C403" s="134" t="s">
        <v>1082</v>
      </c>
      <c r="D403" s="16"/>
      <c r="E403" s="16"/>
      <c r="F403" s="16">
        <v>0</v>
      </c>
      <c r="G403" s="16">
        <v>0</v>
      </c>
      <c r="H403" s="16">
        <f aca="true" t="shared" si="122" ref="H403:H410">+F403-G403</f>
        <v>0</v>
      </c>
      <c r="I403" s="53">
        <f aca="true" t="shared" si="123" ref="I403:I410">IF(G403&lt;0,IF(H403=0,0,IF(OR(G403=0,F403=0),"N.M.",IF(ABS(H403/G403)&gt;=10,"N.M.",H403/(-G403)))),IF(H403=0,0,IF(OR(G403=0,F403=0),"N.M.",IF(ABS(H403/G403)&gt;=10,"N.M.",H403/G403))))</f>
        <v>0</v>
      </c>
      <c r="J403" s="174"/>
      <c r="K403" s="256">
        <v>0</v>
      </c>
      <c r="L403" s="16">
        <f aca="true" t="shared" si="124" ref="L403:L410">+F403-K403</f>
        <v>0</v>
      </c>
      <c r="M403" s="53">
        <f aca="true" t="shared" si="125" ref="M403:M410">IF(K403&lt;0,IF(L403=0,0,IF(OR(K403=0,N403=0),"N.M.",IF(ABS(L403/K403)&gt;=10,"N.M.",L403/(-K403)))),IF(L403=0,0,IF(OR(K403=0,N403=0),"N.M.",IF(ABS(L403/K403)&gt;=10,"N.M.",L403/K403))))</f>
        <v>0</v>
      </c>
      <c r="N403" s="174"/>
      <c r="O403" s="256">
        <v>308741.29</v>
      </c>
      <c r="P403" s="16">
        <f aca="true" t="shared" si="126" ref="P403:P410">+F403-O403</f>
        <v>-308741.29</v>
      </c>
      <c r="Q403" s="53" t="str">
        <f aca="true" t="shared" si="127" ref="Q403:Q410">IF(O403&lt;0,IF(P403=0,0,IF(OR(O403=0,F403=0),"N.M.",IF(ABS(P403/O403)&gt;=10,"N.M.",P403/(-O403)))),IF(P403=0,0,IF(OR(O403=0,F403=0),"N.M.",IF(ABS(P403/O403)&gt;=10,"N.M.",P403/O403))))</f>
        <v>N.M.</v>
      </c>
    </row>
    <row r="404" spans="1:17" s="15" customFormat="1" ht="12.75" hidden="1" outlineLevel="2">
      <c r="A404" s="15" t="s">
        <v>1083</v>
      </c>
      <c r="B404" s="15" t="s">
        <v>1084</v>
      </c>
      <c r="C404" s="134" t="s">
        <v>1085</v>
      </c>
      <c r="D404" s="16"/>
      <c r="E404" s="16"/>
      <c r="F404" s="16">
        <v>68728.88</v>
      </c>
      <c r="G404" s="16">
        <v>69621.16</v>
      </c>
      <c r="H404" s="16">
        <f t="shared" si="122"/>
        <v>-892.2799999999988</v>
      </c>
      <c r="I404" s="53">
        <f t="shared" si="123"/>
        <v>-0.012816218517473693</v>
      </c>
      <c r="J404" s="174"/>
      <c r="K404" s="256">
        <v>128033.42</v>
      </c>
      <c r="L404" s="16">
        <f t="shared" si="124"/>
        <v>-59304.53999999999</v>
      </c>
      <c r="M404" s="53" t="str">
        <f t="shared" si="125"/>
        <v>N.M.</v>
      </c>
      <c r="N404" s="174"/>
      <c r="O404" s="256">
        <v>180727.34</v>
      </c>
      <c r="P404" s="16">
        <f t="shared" si="126"/>
        <v>-111998.45999999999</v>
      </c>
      <c r="Q404" s="53">
        <f t="shared" si="127"/>
        <v>-0.6197095580557983</v>
      </c>
    </row>
    <row r="405" spans="1:17" s="15" customFormat="1" ht="12.75" hidden="1" outlineLevel="2">
      <c r="A405" s="15" t="s">
        <v>1086</v>
      </c>
      <c r="B405" s="15" t="s">
        <v>1087</v>
      </c>
      <c r="C405" s="134" t="s">
        <v>1088</v>
      </c>
      <c r="D405" s="16"/>
      <c r="E405" s="16"/>
      <c r="F405" s="16">
        <v>5571.95</v>
      </c>
      <c r="G405" s="16">
        <v>6528.28</v>
      </c>
      <c r="H405" s="16">
        <f t="shared" si="122"/>
        <v>-956.3299999999999</v>
      </c>
      <c r="I405" s="53">
        <f t="shared" si="123"/>
        <v>-0.14649034661503488</v>
      </c>
      <c r="J405" s="174"/>
      <c r="K405" s="256">
        <v>43803.63</v>
      </c>
      <c r="L405" s="16">
        <f t="shared" si="124"/>
        <v>-38231.68</v>
      </c>
      <c r="M405" s="53" t="str">
        <f t="shared" si="125"/>
        <v>N.M.</v>
      </c>
      <c r="N405" s="174"/>
      <c r="O405" s="256">
        <v>24296.58</v>
      </c>
      <c r="P405" s="16">
        <f t="shared" si="126"/>
        <v>-18724.63</v>
      </c>
      <c r="Q405" s="53">
        <f t="shared" si="127"/>
        <v>-0.770669369927784</v>
      </c>
    </row>
    <row r="406" spans="1:17" s="15" customFormat="1" ht="12.75" hidden="1" outlineLevel="2">
      <c r="A406" s="15" t="s">
        <v>1089</v>
      </c>
      <c r="B406" s="15" t="s">
        <v>1090</v>
      </c>
      <c r="C406" s="134" t="s">
        <v>1091</v>
      </c>
      <c r="D406" s="16"/>
      <c r="E406" s="16"/>
      <c r="F406" s="16">
        <v>710965.08</v>
      </c>
      <c r="G406" s="16">
        <v>641016.1900000001</v>
      </c>
      <c r="H406" s="16">
        <f t="shared" si="122"/>
        <v>69948.8899999999</v>
      </c>
      <c r="I406" s="53">
        <f t="shared" si="123"/>
        <v>0.10912187724930925</v>
      </c>
      <c r="J406" s="174"/>
      <c r="K406" s="256">
        <v>687281.81</v>
      </c>
      <c r="L406" s="16">
        <f t="shared" si="124"/>
        <v>23683.269999999902</v>
      </c>
      <c r="M406" s="53" t="str">
        <f t="shared" si="125"/>
        <v>N.M.</v>
      </c>
      <c r="N406" s="174"/>
      <c r="O406" s="256">
        <v>657728.64</v>
      </c>
      <c r="P406" s="16">
        <f t="shared" si="126"/>
        <v>53236.439999999944</v>
      </c>
      <c r="Q406" s="53">
        <f t="shared" si="127"/>
        <v>0.08093982345059499</v>
      </c>
    </row>
    <row r="407" spans="1:17" s="15" customFormat="1" ht="12.75" hidden="1" outlineLevel="2">
      <c r="A407" s="15" t="s">
        <v>1092</v>
      </c>
      <c r="B407" s="15" t="s">
        <v>1093</v>
      </c>
      <c r="C407" s="134" t="s">
        <v>1094</v>
      </c>
      <c r="D407" s="16"/>
      <c r="E407" s="16"/>
      <c r="F407" s="16">
        <v>0</v>
      </c>
      <c r="G407" s="16">
        <v>0</v>
      </c>
      <c r="H407" s="16">
        <f t="shared" si="122"/>
        <v>0</v>
      </c>
      <c r="I407" s="53">
        <f t="shared" si="123"/>
        <v>0</v>
      </c>
      <c r="J407" s="174"/>
      <c r="K407" s="256">
        <v>0</v>
      </c>
      <c r="L407" s="16">
        <f t="shared" si="124"/>
        <v>0</v>
      </c>
      <c r="M407" s="53">
        <f t="shared" si="125"/>
        <v>0</v>
      </c>
      <c r="N407" s="174"/>
      <c r="O407" s="256">
        <v>124630.26000000001</v>
      </c>
      <c r="P407" s="16">
        <f t="shared" si="126"/>
        <v>-124630.26000000001</v>
      </c>
      <c r="Q407" s="53" t="str">
        <f t="shared" si="127"/>
        <v>N.M.</v>
      </c>
    </row>
    <row r="408" spans="1:17" s="15" customFormat="1" ht="12.75" hidden="1" outlineLevel="2">
      <c r="A408" s="15" t="s">
        <v>1095</v>
      </c>
      <c r="B408" s="15" t="s">
        <v>1096</v>
      </c>
      <c r="C408" s="134" t="s">
        <v>1097</v>
      </c>
      <c r="D408" s="16"/>
      <c r="E408" s="16"/>
      <c r="F408" s="16">
        <v>0</v>
      </c>
      <c r="G408" s="16">
        <v>683312.88</v>
      </c>
      <c r="H408" s="16">
        <f t="shared" si="122"/>
        <v>-683312.88</v>
      </c>
      <c r="I408" s="53" t="str">
        <f t="shared" si="123"/>
        <v>N.M.</v>
      </c>
      <c r="J408" s="174"/>
      <c r="K408" s="256">
        <v>0</v>
      </c>
      <c r="L408" s="16">
        <f t="shared" si="124"/>
        <v>0</v>
      </c>
      <c r="M408" s="53">
        <f t="shared" si="125"/>
        <v>0</v>
      </c>
      <c r="N408" s="174"/>
      <c r="O408" s="256">
        <v>878196.0800000001</v>
      </c>
      <c r="P408" s="16">
        <f t="shared" si="126"/>
        <v>-878196.0800000001</v>
      </c>
      <c r="Q408" s="53" t="str">
        <f t="shared" si="127"/>
        <v>N.M.</v>
      </c>
    </row>
    <row r="409" spans="1:17" s="15" customFormat="1" ht="12.75" hidden="1" outlineLevel="2">
      <c r="A409" s="15" t="s">
        <v>1098</v>
      </c>
      <c r="B409" s="15" t="s">
        <v>1099</v>
      </c>
      <c r="C409" s="134" t="s">
        <v>1100</v>
      </c>
      <c r="D409" s="16"/>
      <c r="E409" s="16"/>
      <c r="F409" s="16">
        <v>73033.52</v>
      </c>
      <c r="G409" s="16">
        <v>59242.58</v>
      </c>
      <c r="H409" s="16">
        <f t="shared" si="122"/>
        <v>13790.940000000002</v>
      </c>
      <c r="I409" s="53">
        <f t="shared" si="123"/>
        <v>0.23278763348929102</v>
      </c>
      <c r="J409" s="174"/>
      <c r="K409" s="256">
        <v>193226.11000000002</v>
      </c>
      <c r="L409" s="16">
        <f t="shared" si="124"/>
        <v>-120192.59000000001</v>
      </c>
      <c r="M409" s="53" t="str">
        <f t="shared" si="125"/>
        <v>N.M.</v>
      </c>
      <c r="N409" s="174"/>
      <c r="O409" s="256">
        <v>137579.28</v>
      </c>
      <c r="P409" s="16">
        <f t="shared" si="126"/>
        <v>-64545.759999999995</v>
      </c>
      <c r="Q409" s="53">
        <f t="shared" si="127"/>
        <v>-0.46915320388360804</v>
      </c>
    </row>
    <row r="410" spans="1:17" s="15" customFormat="1" ht="12.75" hidden="1" outlineLevel="2">
      <c r="A410" s="15" t="s">
        <v>1101</v>
      </c>
      <c r="B410" s="15" t="s">
        <v>1102</v>
      </c>
      <c r="C410" s="134" t="s">
        <v>1103</v>
      </c>
      <c r="D410" s="16"/>
      <c r="E410" s="16"/>
      <c r="F410" s="16">
        <v>831228.12</v>
      </c>
      <c r="G410" s="16">
        <v>0</v>
      </c>
      <c r="H410" s="16">
        <f t="shared" si="122"/>
        <v>831228.12</v>
      </c>
      <c r="I410" s="53" t="str">
        <f t="shared" si="123"/>
        <v>N.M.</v>
      </c>
      <c r="J410" s="174"/>
      <c r="K410" s="256">
        <v>874077.7000000001</v>
      </c>
      <c r="L410" s="16">
        <f t="shared" si="124"/>
        <v>-42849.580000000075</v>
      </c>
      <c r="M410" s="53" t="str">
        <f t="shared" si="125"/>
        <v>N.M.</v>
      </c>
      <c r="N410" s="174"/>
      <c r="O410" s="256">
        <v>0</v>
      </c>
      <c r="P410" s="16">
        <f t="shared" si="126"/>
        <v>831228.12</v>
      </c>
      <c r="Q410" s="53" t="str">
        <f t="shared" si="127"/>
        <v>N.M.</v>
      </c>
    </row>
    <row r="411" spans="1:17" s="1" customFormat="1" ht="12.75" hidden="1" outlineLevel="1">
      <c r="A411" s="1" t="s">
        <v>275</v>
      </c>
      <c r="C411" s="114" t="s">
        <v>207</v>
      </c>
      <c r="D411" s="34"/>
      <c r="F411" s="34">
        <v>1689527.5499999998</v>
      </c>
      <c r="G411" s="34">
        <v>1459721.0900000003</v>
      </c>
      <c r="H411" s="51">
        <f aca="true" t="shared" si="128" ref="H411:H432">+F411-G411</f>
        <v>229806.4599999995</v>
      </c>
      <c r="I411" s="136">
        <f aca="true" t="shared" si="129" ref="I411:I432">IF(G411&lt;0,IF(H411=0,0,IF(OR(G411=0,F411=0),"N.M.",IF(ABS(H411/G411)&gt;=10,"N.M.",H411/(-G411)))),IF(H411=0,0,IF(OR(G411=0,F411=0),"N.M.",IF(ABS(H411/G411)&gt;=10,"N.M.",H411/G411))))</f>
        <v>0.15743175978912483</v>
      </c>
      <c r="J411" s="167"/>
      <c r="K411" s="34">
        <v>1926422.6700000004</v>
      </c>
      <c r="L411" s="51">
        <f aca="true" t="shared" si="130" ref="L411:L432">+F411-K411</f>
        <v>-236895.12000000058</v>
      </c>
      <c r="M411" s="136" t="str">
        <f aca="true" t="shared" si="131" ref="M411:M432">IF(K411&lt;0,IF(L411=0,0,IF(OR(K411=0,N411=0),"N.M.",IF(ABS(L411/K411)&gt;=10,"N.M.",L411/(-K411)))),IF(L411=0,0,IF(OR(K411=0,N411=0),"N.M.",IF(ABS(L411/K411)&gt;=10,"N.M.",L411/K411))))</f>
        <v>N.M.</v>
      </c>
      <c r="N411" s="167"/>
      <c r="O411" s="34">
        <v>2311899.47</v>
      </c>
      <c r="P411" s="51">
        <f aca="true" t="shared" si="132" ref="P411:P432">+F411-O411</f>
        <v>-622371.9200000004</v>
      </c>
      <c r="Q411" s="136">
        <f aca="true" t="shared" si="133" ref="Q411:Q432">IF(O411&lt;0,IF(P411=0,0,IF(OR(O411=0,F411=0),"N.M.",IF(ABS(P411/O411)&gt;=10,"N.M.",P411/(-O411)))),IF(P411=0,0,IF(OR(O411=0,F411=0),"N.M.",IF(ABS(P411/O411)&gt;=10,"N.M.",P411/O411))))</f>
        <v>-0.2692037123915255</v>
      </c>
    </row>
    <row r="412" spans="1:17" s="15" customFormat="1" ht="12.75" hidden="1" outlineLevel="2">
      <c r="A412" s="15" t="s">
        <v>1104</v>
      </c>
      <c r="B412" s="15" t="s">
        <v>1105</v>
      </c>
      <c r="C412" s="134" t="s">
        <v>1106</v>
      </c>
      <c r="D412" s="16"/>
      <c r="E412" s="16"/>
      <c r="F412" s="16">
        <v>1954516.63</v>
      </c>
      <c r="G412" s="16">
        <v>2404879.0300000003</v>
      </c>
      <c r="H412" s="16">
        <f t="shared" si="128"/>
        <v>-450362.4000000004</v>
      </c>
      <c r="I412" s="53">
        <f t="shared" si="129"/>
        <v>-0.18727029275979853</v>
      </c>
      <c r="J412" s="174"/>
      <c r="K412" s="256">
        <v>1978242.55</v>
      </c>
      <c r="L412" s="16">
        <f t="shared" si="130"/>
        <v>-23725.92000000016</v>
      </c>
      <c r="M412" s="53" t="str">
        <f t="shared" si="131"/>
        <v>N.M.</v>
      </c>
      <c r="N412" s="174"/>
      <c r="O412" s="256">
        <v>2428009.0300000003</v>
      </c>
      <c r="P412" s="16">
        <f t="shared" si="132"/>
        <v>-473492.4000000004</v>
      </c>
      <c r="Q412" s="53">
        <f t="shared" si="133"/>
        <v>-0.19501261904285436</v>
      </c>
    </row>
    <row r="413" spans="1:17" s="1" customFormat="1" ht="12.75" hidden="1" outlineLevel="1">
      <c r="A413" s="1" t="s">
        <v>276</v>
      </c>
      <c r="C413" s="114" t="s">
        <v>208</v>
      </c>
      <c r="D413" s="34"/>
      <c r="F413" s="34">
        <v>1954516.63</v>
      </c>
      <c r="G413" s="34">
        <v>2404879.0300000003</v>
      </c>
      <c r="H413" s="51">
        <f t="shared" si="128"/>
        <v>-450362.4000000004</v>
      </c>
      <c r="I413" s="136">
        <f t="shared" si="129"/>
        <v>-0.18727029275979853</v>
      </c>
      <c r="J413" s="167"/>
      <c r="K413" s="34">
        <v>1978242.55</v>
      </c>
      <c r="L413" s="51">
        <f t="shared" si="130"/>
        <v>-23725.92000000016</v>
      </c>
      <c r="M413" s="136" t="str">
        <f t="shared" si="131"/>
        <v>N.M.</v>
      </c>
      <c r="N413" s="167"/>
      <c r="O413" s="34">
        <v>2428009.0300000003</v>
      </c>
      <c r="P413" s="51">
        <f t="shared" si="132"/>
        <v>-473492.4000000004</v>
      </c>
      <c r="Q413" s="136">
        <f t="shared" si="133"/>
        <v>-0.19501261904285436</v>
      </c>
    </row>
    <row r="414" spans="1:17" s="1" customFormat="1" ht="12.75" hidden="1" outlineLevel="1">
      <c r="A414" s="1" t="s">
        <v>277</v>
      </c>
      <c r="C414" s="124" t="s">
        <v>209</v>
      </c>
      <c r="D414" s="34"/>
      <c r="F414" s="34">
        <v>0</v>
      </c>
      <c r="G414" s="34">
        <v>0</v>
      </c>
      <c r="H414" s="51">
        <f t="shared" si="128"/>
        <v>0</v>
      </c>
      <c r="I414" s="136">
        <f t="shared" si="129"/>
        <v>0</v>
      </c>
      <c r="J414" s="167"/>
      <c r="K414" s="34">
        <v>0</v>
      </c>
      <c r="L414" s="51">
        <f t="shared" si="130"/>
        <v>0</v>
      </c>
      <c r="M414" s="136">
        <f t="shared" si="131"/>
        <v>0</v>
      </c>
      <c r="N414" s="167"/>
      <c r="O414" s="34">
        <v>0</v>
      </c>
      <c r="P414" s="51">
        <f t="shared" si="132"/>
        <v>0</v>
      </c>
      <c r="Q414" s="136">
        <f t="shared" si="133"/>
        <v>0</v>
      </c>
    </row>
    <row r="415" spans="1:17" s="15" customFormat="1" ht="12.75" hidden="1" outlineLevel="2">
      <c r="A415" s="15" t="s">
        <v>1107</v>
      </c>
      <c r="B415" s="15" t="s">
        <v>1108</v>
      </c>
      <c r="C415" s="134" t="s">
        <v>1109</v>
      </c>
      <c r="D415" s="16"/>
      <c r="E415" s="16"/>
      <c r="F415" s="16">
        <v>1158.31</v>
      </c>
      <c r="G415" s="16">
        <v>6833.34</v>
      </c>
      <c r="H415" s="16">
        <f t="shared" si="128"/>
        <v>-5675.030000000001</v>
      </c>
      <c r="I415" s="53">
        <f t="shared" si="129"/>
        <v>-0.8304913848864538</v>
      </c>
      <c r="J415" s="174"/>
      <c r="K415" s="256">
        <v>0</v>
      </c>
      <c r="L415" s="16">
        <f t="shared" si="130"/>
        <v>1158.31</v>
      </c>
      <c r="M415" s="53" t="str">
        <f t="shared" si="131"/>
        <v>N.M.</v>
      </c>
      <c r="N415" s="174"/>
      <c r="O415" s="256">
        <v>475</v>
      </c>
      <c r="P415" s="16">
        <f t="shared" si="132"/>
        <v>683.31</v>
      </c>
      <c r="Q415" s="53">
        <f t="shared" si="133"/>
        <v>1.4385473684210526</v>
      </c>
    </row>
    <row r="416" spans="1:17" s="1" customFormat="1" ht="12.75" hidden="1" outlineLevel="1">
      <c r="A416" s="1" t="s">
        <v>278</v>
      </c>
      <c r="B416" s="86"/>
      <c r="C416" s="125" t="s">
        <v>210</v>
      </c>
      <c r="D416" s="34"/>
      <c r="F416" s="197">
        <v>1158.31</v>
      </c>
      <c r="G416" s="197">
        <v>6833.34</v>
      </c>
      <c r="H416" s="197">
        <f t="shared" si="128"/>
        <v>-5675.030000000001</v>
      </c>
      <c r="I416" s="138">
        <f t="shared" si="129"/>
        <v>-0.8304913848864538</v>
      </c>
      <c r="J416" s="167"/>
      <c r="K416" s="197">
        <v>0</v>
      </c>
      <c r="L416" s="197">
        <f t="shared" si="130"/>
        <v>1158.31</v>
      </c>
      <c r="M416" s="138" t="str">
        <f t="shared" si="131"/>
        <v>N.M.</v>
      </c>
      <c r="N416" s="167"/>
      <c r="O416" s="197">
        <v>475</v>
      </c>
      <c r="P416" s="197">
        <f t="shared" si="132"/>
        <v>683.31</v>
      </c>
      <c r="Q416" s="138">
        <f t="shared" si="133"/>
        <v>1.4385473684210526</v>
      </c>
    </row>
    <row r="417" spans="1:17" s="1" customFormat="1" ht="12.75" hidden="1" outlineLevel="1">
      <c r="A417" s="1" t="s">
        <v>279</v>
      </c>
      <c r="B417" s="86"/>
      <c r="C417" s="114" t="s">
        <v>211</v>
      </c>
      <c r="D417" s="34"/>
      <c r="F417" s="34">
        <v>1158.31</v>
      </c>
      <c r="G417" s="34">
        <v>6833.34</v>
      </c>
      <c r="H417" s="51">
        <f t="shared" si="128"/>
        <v>-5675.030000000001</v>
      </c>
      <c r="I417" s="136">
        <f t="shared" si="129"/>
        <v>-0.8304913848864538</v>
      </c>
      <c r="J417" s="167"/>
      <c r="K417" s="34">
        <v>0</v>
      </c>
      <c r="L417" s="51">
        <f t="shared" si="130"/>
        <v>1158.31</v>
      </c>
      <c r="M417" s="136" t="str">
        <f t="shared" si="131"/>
        <v>N.M.</v>
      </c>
      <c r="N417" s="167"/>
      <c r="O417" s="34">
        <v>475</v>
      </c>
      <c r="P417" s="51">
        <f t="shared" si="132"/>
        <v>683.31</v>
      </c>
      <c r="Q417" s="136">
        <f t="shared" si="133"/>
        <v>1.4385473684210526</v>
      </c>
    </row>
    <row r="418" spans="1:17" s="15" customFormat="1" ht="12.75" hidden="1" outlineLevel="2">
      <c r="A418" s="15" t="s">
        <v>1110</v>
      </c>
      <c r="B418" s="15" t="s">
        <v>1111</v>
      </c>
      <c r="C418" s="134" t="s">
        <v>1112</v>
      </c>
      <c r="D418" s="16"/>
      <c r="E418" s="16"/>
      <c r="F418" s="16">
        <v>1013537.28</v>
      </c>
      <c r="G418" s="16">
        <v>1210162.92</v>
      </c>
      <c r="H418" s="16">
        <f t="shared" si="128"/>
        <v>-196625.6399999999</v>
      </c>
      <c r="I418" s="53">
        <f t="shared" si="129"/>
        <v>-0.1624786520479407</v>
      </c>
      <c r="J418" s="174"/>
      <c r="K418" s="256">
        <v>1201453.216</v>
      </c>
      <c r="L418" s="16">
        <f t="shared" si="130"/>
        <v>-187915.936</v>
      </c>
      <c r="M418" s="53" t="str">
        <f t="shared" si="131"/>
        <v>N.M.</v>
      </c>
      <c r="N418" s="174"/>
      <c r="O418" s="256">
        <v>0</v>
      </c>
      <c r="P418" s="16">
        <f t="shared" si="132"/>
        <v>1013537.28</v>
      </c>
      <c r="Q418" s="53" t="str">
        <f t="shared" si="133"/>
        <v>N.M.</v>
      </c>
    </row>
    <row r="419" spans="1:17" s="15" customFormat="1" ht="12.75" hidden="1" outlineLevel="2">
      <c r="A419" s="15" t="s">
        <v>1113</v>
      </c>
      <c r="B419" s="15" t="s">
        <v>1114</v>
      </c>
      <c r="C419" s="134" t="s">
        <v>1115</v>
      </c>
      <c r="D419" s="16"/>
      <c r="E419" s="16"/>
      <c r="F419" s="16">
        <v>1947484.796</v>
      </c>
      <c r="G419" s="16">
        <v>2149285.101</v>
      </c>
      <c r="H419" s="16">
        <f t="shared" si="128"/>
        <v>-201800.3049999997</v>
      </c>
      <c r="I419" s="53">
        <f t="shared" si="129"/>
        <v>-0.09389182705733544</v>
      </c>
      <c r="J419" s="174"/>
      <c r="K419" s="256">
        <v>1726004.706</v>
      </c>
      <c r="L419" s="16">
        <f t="shared" si="130"/>
        <v>221480.09000000008</v>
      </c>
      <c r="M419" s="53" t="str">
        <f t="shared" si="131"/>
        <v>N.M.</v>
      </c>
      <c r="N419" s="174"/>
      <c r="O419" s="256">
        <v>3349606.111</v>
      </c>
      <c r="P419" s="16">
        <f t="shared" si="132"/>
        <v>-1402121.315</v>
      </c>
      <c r="Q419" s="53">
        <f t="shared" si="133"/>
        <v>-0.4185928937720403</v>
      </c>
    </row>
    <row r="420" spans="1:17" s="1" customFormat="1" ht="12.75" hidden="1" outlineLevel="1">
      <c r="A420" s="1" t="s">
        <v>280</v>
      </c>
      <c r="C420" s="124" t="s">
        <v>212</v>
      </c>
      <c r="D420" s="34"/>
      <c r="F420" s="34">
        <v>2961022.0760000004</v>
      </c>
      <c r="G420" s="34">
        <v>3359448.0209999997</v>
      </c>
      <c r="H420" s="51">
        <f t="shared" si="128"/>
        <v>-398425.94499999937</v>
      </c>
      <c r="I420" s="136">
        <f t="shared" si="129"/>
        <v>-0.1185986336176146</v>
      </c>
      <c r="J420" s="167"/>
      <c r="K420" s="34">
        <v>2927457.9220000003</v>
      </c>
      <c r="L420" s="51">
        <f t="shared" si="130"/>
        <v>33564.1540000001</v>
      </c>
      <c r="M420" s="136" t="str">
        <f t="shared" si="131"/>
        <v>N.M.</v>
      </c>
      <c r="N420" s="167"/>
      <c r="O420" s="34">
        <v>3349606.111</v>
      </c>
      <c r="P420" s="51">
        <f t="shared" si="132"/>
        <v>-388584.0349999997</v>
      </c>
      <c r="Q420" s="136">
        <f t="shared" si="133"/>
        <v>-0.11600887451330533</v>
      </c>
    </row>
    <row r="421" spans="1:17" s="15" customFormat="1" ht="12.75" hidden="1" outlineLevel="2">
      <c r="A421" s="15" t="s">
        <v>1116</v>
      </c>
      <c r="B421" s="15" t="s">
        <v>1117</v>
      </c>
      <c r="C421" s="134" t="s">
        <v>1118</v>
      </c>
      <c r="D421" s="16"/>
      <c r="E421" s="16"/>
      <c r="F421" s="16">
        <v>512333.806</v>
      </c>
      <c r="G421" s="16">
        <v>156825.593</v>
      </c>
      <c r="H421" s="16">
        <f t="shared" si="128"/>
        <v>355508.213</v>
      </c>
      <c r="I421" s="53">
        <f t="shared" si="129"/>
        <v>2.2669017613725844</v>
      </c>
      <c r="J421" s="174"/>
      <c r="K421" s="256">
        <v>311303.756</v>
      </c>
      <c r="L421" s="16">
        <f t="shared" si="130"/>
        <v>201030.05</v>
      </c>
      <c r="M421" s="53" t="str">
        <f t="shared" si="131"/>
        <v>N.M.</v>
      </c>
      <c r="N421" s="174"/>
      <c r="O421" s="256">
        <v>32059.222999999998</v>
      </c>
      <c r="P421" s="16">
        <f t="shared" si="132"/>
        <v>480274.583</v>
      </c>
      <c r="Q421" s="53" t="str">
        <f t="shared" si="133"/>
        <v>N.M.</v>
      </c>
    </row>
    <row r="422" spans="1:17" s="15" customFormat="1" ht="12.75" hidden="1" outlineLevel="2">
      <c r="A422" s="15" t="s">
        <v>1119</v>
      </c>
      <c r="B422" s="15" t="s">
        <v>1120</v>
      </c>
      <c r="C422" s="134" t="s">
        <v>841</v>
      </c>
      <c r="D422" s="16"/>
      <c r="E422" s="16"/>
      <c r="F422" s="16">
        <v>0</v>
      </c>
      <c r="G422" s="16">
        <v>0</v>
      </c>
      <c r="H422" s="16">
        <f t="shared" si="128"/>
        <v>0</v>
      </c>
      <c r="I422" s="53">
        <f t="shared" si="129"/>
        <v>0</v>
      </c>
      <c r="J422" s="174"/>
      <c r="K422" s="256">
        <v>108195.06</v>
      </c>
      <c r="L422" s="16">
        <f t="shared" si="130"/>
        <v>-108195.06</v>
      </c>
      <c r="M422" s="53" t="str">
        <f t="shared" si="131"/>
        <v>N.M.</v>
      </c>
      <c r="N422" s="174"/>
      <c r="O422" s="256">
        <v>62724.11</v>
      </c>
      <c r="P422" s="16">
        <f t="shared" si="132"/>
        <v>-62724.11</v>
      </c>
      <c r="Q422" s="53" t="str">
        <f t="shared" si="133"/>
        <v>N.M.</v>
      </c>
    </row>
    <row r="423" spans="1:17" s="1" customFormat="1" ht="12.75" hidden="1" outlineLevel="1">
      <c r="A423" s="1" t="s">
        <v>281</v>
      </c>
      <c r="C423" s="125" t="s">
        <v>213</v>
      </c>
      <c r="D423" s="34"/>
      <c r="F423" s="197">
        <v>512333.806</v>
      </c>
      <c r="G423" s="197">
        <v>156825.593</v>
      </c>
      <c r="H423" s="197">
        <f t="shared" si="128"/>
        <v>355508.213</v>
      </c>
      <c r="I423" s="138">
        <f t="shared" si="129"/>
        <v>2.2669017613725844</v>
      </c>
      <c r="J423" s="167"/>
      <c r="K423" s="197">
        <v>419498.816</v>
      </c>
      <c r="L423" s="197">
        <f t="shared" si="130"/>
        <v>92834.98999999999</v>
      </c>
      <c r="M423" s="138" t="str">
        <f t="shared" si="131"/>
        <v>N.M.</v>
      </c>
      <c r="N423" s="167"/>
      <c r="O423" s="197">
        <v>94783.333</v>
      </c>
      <c r="P423" s="197">
        <f t="shared" si="132"/>
        <v>417550.473</v>
      </c>
      <c r="Q423" s="138">
        <f t="shared" si="133"/>
        <v>4.405315362775858</v>
      </c>
    </row>
    <row r="424" spans="1:17" s="1" customFormat="1" ht="12.75" hidden="1" outlineLevel="1">
      <c r="A424" s="1" t="s">
        <v>282</v>
      </c>
      <c r="C424" s="114" t="s">
        <v>214</v>
      </c>
      <c r="D424" s="34"/>
      <c r="F424" s="34">
        <v>3473355.8819999998</v>
      </c>
      <c r="G424" s="34">
        <v>3516273.614</v>
      </c>
      <c r="H424" s="51">
        <f t="shared" si="128"/>
        <v>-42917.73200000031</v>
      </c>
      <c r="I424" s="136">
        <f t="shared" si="129"/>
        <v>-0.01220545859375786</v>
      </c>
      <c r="J424" s="167"/>
      <c r="K424" s="34">
        <v>3346956.738</v>
      </c>
      <c r="L424" s="51">
        <f t="shared" si="130"/>
        <v>126399.14399999985</v>
      </c>
      <c r="M424" s="136" t="str">
        <f t="shared" si="131"/>
        <v>N.M.</v>
      </c>
      <c r="N424" s="167"/>
      <c r="O424" s="34">
        <v>3444389.444</v>
      </c>
      <c r="P424" s="51">
        <f t="shared" si="132"/>
        <v>28966.437999999616</v>
      </c>
      <c r="Q424" s="136">
        <f t="shared" si="133"/>
        <v>0.008409745317986063</v>
      </c>
    </row>
    <row r="425" spans="1:17" s="15" customFormat="1" ht="12.75" hidden="1" outlineLevel="2">
      <c r="A425" s="15" t="s">
        <v>1121</v>
      </c>
      <c r="B425" s="15" t="s">
        <v>1122</v>
      </c>
      <c r="C425" s="134" t="s">
        <v>1123</v>
      </c>
      <c r="D425" s="16"/>
      <c r="E425" s="16"/>
      <c r="F425" s="16">
        <v>85521.16</v>
      </c>
      <c r="G425" s="16">
        <v>88309.76</v>
      </c>
      <c r="H425" s="16">
        <f t="shared" si="128"/>
        <v>-2788.5999999999913</v>
      </c>
      <c r="I425" s="53">
        <f t="shared" si="129"/>
        <v>-0.03157748362128933</v>
      </c>
      <c r="J425" s="174"/>
      <c r="K425" s="256">
        <v>85610.26</v>
      </c>
      <c r="L425" s="16">
        <f t="shared" si="130"/>
        <v>-89.09999999999127</v>
      </c>
      <c r="M425" s="53" t="str">
        <f t="shared" si="131"/>
        <v>N.M.</v>
      </c>
      <c r="N425" s="174"/>
      <c r="O425" s="256">
        <v>87634.66</v>
      </c>
      <c r="P425" s="16">
        <f t="shared" si="132"/>
        <v>-2113.5</v>
      </c>
      <c r="Q425" s="53">
        <f t="shared" si="133"/>
        <v>-0.024117170078596754</v>
      </c>
    </row>
    <row r="426" spans="1:17" s="15" customFormat="1" ht="12.75" hidden="1" outlineLevel="2">
      <c r="A426" s="15" t="s">
        <v>1124</v>
      </c>
      <c r="B426" s="15" t="s">
        <v>1125</v>
      </c>
      <c r="C426" s="134" t="s">
        <v>1126</v>
      </c>
      <c r="D426" s="16"/>
      <c r="E426" s="16"/>
      <c r="F426" s="16">
        <v>7474.17</v>
      </c>
      <c r="G426" s="16">
        <v>7353.9800000000005</v>
      </c>
      <c r="H426" s="16">
        <f t="shared" si="128"/>
        <v>120.1899999999996</v>
      </c>
      <c r="I426" s="53">
        <f t="shared" si="129"/>
        <v>0.01634353098594225</v>
      </c>
      <c r="J426" s="174"/>
      <c r="K426" s="256">
        <v>7511.85</v>
      </c>
      <c r="L426" s="16">
        <f t="shared" si="130"/>
        <v>-37.68000000000029</v>
      </c>
      <c r="M426" s="53" t="str">
        <f t="shared" si="131"/>
        <v>N.M.</v>
      </c>
      <c r="N426" s="174"/>
      <c r="O426" s="256">
        <v>7238.32</v>
      </c>
      <c r="P426" s="16">
        <f t="shared" si="132"/>
        <v>235.85000000000036</v>
      </c>
      <c r="Q426" s="53">
        <f t="shared" si="133"/>
        <v>0.032583527669404</v>
      </c>
    </row>
    <row r="427" spans="1:17" s="15" customFormat="1" ht="12.75" hidden="1" outlineLevel="2">
      <c r="A427" s="15" t="s">
        <v>1127</v>
      </c>
      <c r="B427" s="15" t="s">
        <v>1128</v>
      </c>
      <c r="C427" s="134" t="s">
        <v>1129</v>
      </c>
      <c r="D427" s="16"/>
      <c r="E427" s="16"/>
      <c r="F427" s="16">
        <v>0</v>
      </c>
      <c r="G427" s="16">
        <v>440</v>
      </c>
      <c r="H427" s="16">
        <f t="shared" si="128"/>
        <v>-440</v>
      </c>
      <c r="I427" s="53" t="str">
        <f t="shared" si="129"/>
        <v>N.M.</v>
      </c>
      <c r="J427" s="174"/>
      <c r="K427" s="256">
        <v>0</v>
      </c>
      <c r="L427" s="16">
        <f t="shared" si="130"/>
        <v>0</v>
      </c>
      <c r="M427" s="53">
        <f t="shared" si="131"/>
        <v>0</v>
      </c>
      <c r="N427" s="174"/>
      <c r="O427" s="256">
        <v>0</v>
      </c>
      <c r="P427" s="16">
        <f t="shared" si="132"/>
        <v>0</v>
      </c>
      <c r="Q427" s="53">
        <f t="shared" si="133"/>
        <v>0</v>
      </c>
    </row>
    <row r="428" spans="1:17" s="15" customFormat="1" ht="12.75" hidden="1" outlineLevel="2">
      <c r="A428" s="15" t="s">
        <v>1130</v>
      </c>
      <c r="B428" s="15" t="s">
        <v>1131</v>
      </c>
      <c r="C428" s="134" t="s">
        <v>1132</v>
      </c>
      <c r="D428" s="16"/>
      <c r="E428" s="16"/>
      <c r="F428" s="16">
        <v>57569.39</v>
      </c>
      <c r="G428" s="16">
        <v>27808.79</v>
      </c>
      <c r="H428" s="16">
        <f t="shared" si="128"/>
        <v>29760.6</v>
      </c>
      <c r="I428" s="53">
        <f t="shared" si="129"/>
        <v>1.0701868006482842</v>
      </c>
      <c r="J428" s="174"/>
      <c r="K428" s="256">
        <v>60317.62</v>
      </c>
      <c r="L428" s="16">
        <f t="shared" si="130"/>
        <v>-2748.230000000003</v>
      </c>
      <c r="M428" s="53" t="str">
        <f t="shared" si="131"/>
        <v>N.M.</v>
      </c>
      <c r="N428" s="174"/>
      <c r="O428" s="256">
        <v>27682.89</v>
      </c>
      <c r="P428" s="16">
        <f t="shared" si="132"/>
        <v>29886.5</v>
      </c>
      <c r="Q428" s="53">
        <f t="shared" si="133"/>
        <v>1.0796018768271665</v>
      </c>
    </row>
    <row r="429" spans="1:17" s="15" customFormat="1" ht="12.75" hidden="1" outlineLevel="2">
      <c r="A429" s="15" t="s">
        <v>1133</v>
      </c>
      <c r="B429" s="15" t="s">
        <v>1134</v>
      </c>
      <c r="C429" s="134" t="s">
        <v>1135</v>
      </c>
      <c r="D429" s="16"/>
      <c r="E429" s="16"/>
      <c r="F429" s="16">
        <v>0</v>
      </c>
      <c r="G429" s="16">
        <v>0</v>
      </c>
      <c r="H429" s="16">
        <f t="shared" si="128"/>
        <v>0</v>
      </c>
      <c r="I429" s="53">
        <f t="shared" si="129"/>
        <v>0</v>
      </c>
      <c r="J429" s="174"/>
      <c r="K429" s="256">
        <v>500</v>
      </c>
      <c r="L429" s="16">
        <f t="shared" si="130"/>
        <v>-500</v>
      </c>
      <c r="M429" s="53" t="str">
        <f t="shared" si="131"/>
        <v>N.M.</v>
      </c>
      <c r="N429" s="174"/>
      <c r="O429" s="256">
        <v>0</v>
      </c>
      <c r="P429" s="16">
        <f t="shared" si="132"/>
        <v>0</v>
      </c>
      <c r="Q429" s="53">
        <f t="shared" si="133"/>
        <v>0</v>
      </c>
    </row>
    <row r="430" spans="1:17" s="1" customFormat="1" ht="12.75" hidden="1" outlineLevel="1">
      <c r="A430" s="1" t="s">
        <v>283</v>
      </c>
      <c r="C430" s="114" t="s">
        <v>215</v>
      </c>
      <c r="D430" s="34"/>
      <c r="F430" s="34">
        <v>150564.72</v>
      </c>
      <c r="G430" s="34">
        <v>123912.53</v>
      </c>
      <c r="H430" s="51">
        <f t="shared" si="128"/>
        <v>26652.190000000002</v>
      </c>
      <c r="I430" s="136">
        <f t="shared" si="129"/>
        <v>0.21508874042035944</v>
      </c>
      <c r="J430" s="167"/>
      <c r="K430" s="34">
        <v>153939.73</v>
      </c>
      <c r="L430" s="51">
        <f t="shared" si="130"/>
        <v>-3375.0100000000093</v>
      </c>
      <c r="M430" s="136" t="str">
        <f t="shared" si="131"/>
        <v>N.M.</v>
      </c>
      <c r="N430" s="167"/>
      <c r="O430" s="34">
        <v>122555.87000000001</v>
      </c>
      <c r="P430" s="51">
        <f t="shared" si="132"/>
        <v>28008.84999999999</v>
      </c>
      <c r="Q430" s="136">
        <f t="shared" si="133"/>
        <v>0.22853944082808916</v>
      </c>
    </row>
    <row r="431" spans="1:17" s="15" customFormat="1" ht="12.75" hidden="1" outlineLevel="2">
      <c r="A431" s="15" t="s">
        <v>1136</v>
      </c>
      <c r="B431" s="15" t="s">
        <v>1137</v>
      </c>
      <c r="C431" s="134" t="s">
        <v>1138</v>
      </c>
      <c r="D431" s="16"/>
      <c r="E431" s="16"/>
      <c r="F431" s="16">
        <v>593709.56</v>
      </c>
      <c r="G431" s="16">
        <v>1486898.13</v>
      </c>
      <c r="H431" s="16">
        <f t="shared" si="128"/>
        <v>-893188.5699999998</v>
      </c>
      <c r="I431" s="53">
        <f t="shared" si="129"/>
        <v>-0.6007059609389649</v>
      </c>
      <c r="J431" s="174"/>
      <c r="K431" s="256">
        <v>602130.89</v>
      </c>
      <c r="L431" s="16">
        <f t="shared" si="130"/>
        <v>-8421.329999999958</v>
      </c>
      <c r="M431" s="53" t="str">
        <f t="shared" si="131"/>
        <v>N.M.</v>
      </c>
      <c r="N431" s="174"/>
      <c r="O431" s="256">
        <v>1350278.04</v>
      </c>
      <c r="P431" s="16">
        <f t="shared" si="132"/>
        <v>-756568.48</v>
      </c>
      <c r="Q431" s="53">
        <f t="shared" si="133"/>
        <v>-0.5603056982249374</v>
      </c>
    </row>
    <row r="432" spans="1:17" s="1" customFormat="1" ht="12.75" hidden="1" outlineLevel="1">
      <c r="A432" s="1" t="s">
        <v>284</v>
      </c>
      <c r="C432" s="114" t="s">
        <v>216</v>
      </c>
      <c r="D432" s="34"/>
      <c r="F432" s="34">
        <v>593709.56</v>
      </c>
      <c r="G432" s="34">
        <v>1486898.13</v>
      </c>
      <c r="H432" s="51">
        <f t="shared" si="128"/>
        <v>-893188.5699999998</v>
      </c>
      <c r="I432" s="136">
        <f t="shared" si="129"/>
        <v>-0.6007059609389649</v>
      </c>
      <c r="J432" s="167"/>
      <c r="K432" s="34">
        <v>602130.89</v>
      </c>
      <c r="L432" s="51">
        <f t="shared" si="130"/>
        <v>-8421.329999999958</v>
      </c>
      <c r="M432" s="136" t="str">
        <f t="shared" si="131"/>
        <v>N.M.</v>
      </c>
      <c r="N432" s="167"/>
      <c r="O432" s="34">
        <v>1350278.04</v>
      </c>
      <c r="P432" s="51">
        <f t="shared" si="132"/>
        <v>-756568.48</v>
      </c>
      <c r="Q432" s="136">
        <f t="shared" si="133"/>
        <v>-0.5603056982249374</v>
      </c>
    </row>
    <row r="433" spans="1:17" s="15" customFormat="1" ht="12.75" hidden="1" outlineLevel="2">
      <c r="A433" s="15" t="s">
        <v>1139</v>
      </c>
      <c r="B433" s="15" t="s">
        <v>1140</v>
      </c>
      <c r="C433" s="134" t="s">
        <v>1141</v>
      </c>
      <c r="D433" s="16"/>
      <c r="E433" s="16"/>
      <c r="F433" s="16">
        <v>1273428</v>
      </c>
      <c r="G433" s="16">
        <v>977963</v>
      </c>
      <c r="H433" s="16">
        <f aca="true" t="shared" si="134" ref="H433:H456">+F433-G433</f>
        <v>295465</v>
      </c>
      <c r="I433" s="53">
        <f aca="true" t="shared" si="135" ref="I433:I456">IF(G433&lt;0,IF(H433=0,0,IF(OR(G433=0,F433=0),"N.M.",IF(ABS(H433/G433)&gt;=10,"N.M.",H433/(-G433)))),IF(H433=0,0,IF(OR(G433=0,F433=0),"N.M.",IF(ABS(H433/G433)&gt;=10,"N.M.",H433/G433))))</f>
        <v>0.3021228819495216</v>
      </c>
      <c r="J433" s="174"/>
      <c r="K433" s="256">
        <v>1273428</v>
      </c>
      <c r="L433" s="16">
        <f aca="true" t="shared" si="136" ref="L433:L456">+F433-K433</f>
        <v>0</v>
      </c>
      <c r="M433" s="53">
        <f aca="true" t="shared" si="137" ref="M433:M456">IF(K433&lt;0,IF(L433=0,0,IF(OR(K433=0,N433=0),"N.M.",IF(ABS(L433/K433)&gt;=10,"N.M.",L433/(-K433)))),IF(L433=0,0,IF(OR(K433=0,N433=0),"N.M.",IF(ABS(L433/K433)&gt;=10,"N.M.",L433/K433))))</f>
        <v>0</v>
      </c>
      <c r="N433" s="174"/>
      <c r="O433" s="256">
        <v>977963</v>
      </c>
      <c r="P433" s="16">
        <f aca="true" t="shared" si="138" ref="P433:P456">+F433-O433</f>
        <v>295465</v>
      </c>
      <c r="Q433" s="53">
        <f aca="true" t="shared" si="139" ref="Q433:Q456">IF(O433&lt;0,IF(P433=0,0,IF(OR(O433=0,F433=0),"N.M.",IF(ABS(P433/O433)&gt;=10,"N.M.",P433/(-O433)))),IF(P433=0,0,IF(OR(O433=0,F433=0),"N.M.",IF(ABS(P433/O433)&gt;=10,"N.M.",P433/O433))))</f>
        <v>0.3021228819495216</v>
      </c>
    </row>
    <row r="434" spans="1:17" s="15" customFormat="1" ht="12.75" hidden="1" outlineLevel="2">
      <c r="A434" s="15" t="s">
        <v>1142</v>
      </c>
      <c r="B434" s="15" t="s">
        <v>1143</v>
      </c>
      <c r="C434" s="134" t="s">
        <v>1144</v>
      </c>
      <c r="D434" s="16"/>
      <c r="E434" s="16"/>
      <c r="F434" s="16">
        <v>194</v>
      </c>
      <c r="G434" s="16">
        <v>123</v>
      </c>
      <c r="H434" s="16">
        <f t="shared" si="134"/>
        <v>71</v>
      </c>
      <c r="I434" s="53">
        <f t="shared" si="135"/>
        <v>0.5772357723577236</v>
      </c>
      <c r="J434" s="174"/>
      <c r="K434" s="256">
        <v>194</v>
      </c>
      <c r="L434" s="16">
        <f t="shared" si="136"/>
        <v>0</v>
      </c>
      <c r="M434" s="53">
        <f t="shared" si="137"/>
        <v>0</v>
      </c>
      <c r="N434" s="174"/>
      <c r="O434" s="256">
        <v>194</v>
      </c>
      <c r="P434" s="16">
        <f t="shared" si="138"/>
        <v>0</v>
      </c>
      <c r="Q434" s="53">
        <f t="shared" si="139"/>
        <v>0</v>
      </c>
    </row>
    <row r="435" spans="1:17" s="15" customFormat="1" ht="12.75" hidden="1" outlineLevel="2">
      <c r="A435" s="15" t="s">
        <v>1145</v>
      </c>
      <c r="B435" s="15" t="s">
        <v>1146</v>
      </c>
      <c r="C435" s="134" t="s">
        <v>1147</v>
      </c>
      <c r="D435" s="16"/>
      <c r="E435" s="16"/>
      <c r="F435" s="16">
        <v>3631.91</v>
      </c>
      <c r="G435" s="16">
        <v>4357.15</v>
      </c>
      <c r="H435" s="16">
        <f t="shared" si="134"/>
        <v>-725.2399999999998</v>
      </c>
      <c r="I435" s="53">
        <f t="shared" si="135"/>
        <v>-0.16644825172417746</v>
      </c>
      <c r="J435" s="174"/>
      <c r="K435" s="256">
        <v>3658.2000000000003</v>
      </c>
      <c r="L435" s="16">
        <f t="shared" si="136"/>
        <v>-26.29000000000042</v>
      </c>
      <c r="M435" s="53" t="str">
        <f t="shared" si="137"/>
        <v>N.M.</v>
      </c>
      <c r="N435" s="174"/>
      <c r="O435" s="256">
        <v>4296.21</v>
      </c>
      <c r="P435" s="16">
        <f t="shared" si="138"/>
        <v>-664.3000000000002</v>
      </c>
      <c r="Q435" s="53">
        <f t="shared" si="139"/>
        <v>-0.15462465754700078</v>
      </c>
    </row>
    <row r="436" spans="1:17" s="15" customFormat="1" ht="12.75" hidden="1" outlineLevel="2">
      <c r="A436" s="15" t="s">
        <v>1148</v>
      </c>
      <c r="B436" s="15" t="s">
        <v>1149</v>
      </c>
      <c r="C436" s="134" t="s">
        <v>1150</v>
      </c>
      <c r="D436" s="16"/>
      <c r="E436" s="16"/>
      <c r="F436" s="16">
        <v>2241.07</v>
      </c>
      <c r="G436" s="16">
        <v>0</v>
      </c>
      <c r="H436" s="16">
        <f t="shared" si="134"/>
        <v>2241.07</v>
      </c>
      <c r="I436" s="53" t="str">
        <f t="shared" si="135"/>
        <v>N.M.</v>
      </c>
      <c r="J436" s="174"/>
      <c r="K436" s="256">
        <v>5932.27</v>
      </c>
      <c r="L436" s="16">
        <f t="shared" si="136"/>
        <v>-3691.2000000000003</v>
      </c>
      <c r="M436" s="53" t="str">
        <f t="shared" si="137"/>
        <v>N.M.</v>
      </c>
      <c r="N436" s="174"/>
      <c r="O436" s="256">
        <v>0</v>
      </c>
      <c r="P436" s="16">
        <f t="shared" si="138"/>
        <v>2241.07</v>
      </c>
      <c r="Q436" s="53" t="str">
        <f t="shared" si="139"/>
        <v>N.M.</v>
      </c>
    </row>
    <row r="437" spans="1:17" s="15" customFormat="1" ht="12.75" hidden="1" outlineLevel="2">
      <c r="A437" s="15" t="s">
        <v>1151</v>
      </c>
      <c r="B437" s="15" t="s">
        <v>1152</v>
      </c>
      <c r="C437" s="134" t="s">
        <v>1153</v>
      </c>
      <c r="D437" s="16"/>
      <c r="E437" s="16"/>
      <c r="F437" s="16">
        <v>64555.26</v>
      </c>
      <c r="G437" s="16">
        <v>22838.64</v>
      </c>
      <c r="H437" s="16">
        <f t="shared" si="134"/>
        <v>41716.62</v>
      </c>
      <c r="I437" s="53">
        <f t="shared" si="135"/>
        <v>1.8265807421107387</v>
      </c>
      <c r="J437" s="174"/>
      <c r="K437" s="256">
        <v>48415.33</v>
      </c>
      <c r="L437" s="16">
        <f t="shared" si="136"/>
        <v>16139.93</v>
      </c>
      <c r="M437" s="53" t="str">
        <f t="shared" si="137"/>
        <v>N.M.</v>
      </c>
      <c r="N437" s="174"/>
      <c r="O437" s="256">
        <v>20801.15</v>
      </c>
      <c r="P437" s="16">
        <f t="shared" si="138"/>
        <v>43754.11</v>
      </c>
      <c r="Q437" s="53">
        <f t="shared" si="139"/>
        <v>2.10344668443812</v>
      </c>
    </row>
    <row r="438" spans="1:17" s="15" customFormat="1" ht="12.75" hidden="1" outlineLevel="2">
      <c r="A438" s="15" t="s">
        <v>1154</v>
      </c>
      <c r="B438" s="15" t="s">
        <v>1155</v>
      </c>
      <c r="C438" s="134" t="s">
        <v>1156</v>
      </c>
      <c r="D438" s="16"/>
      <c r="E438" s="16"/>
      <c r="F438" s="16">
        <v>90325</v>
      </c>
      <c r="G438" s="16">
        <v>367691</v>
      </c>
      <c r="H438" s="16">
        <f t="shared" si="134"/>
        <v>-277366</v>
      </c>
      <c r="I438" s="53">
        <f t="shared" si="135"/>
        <v>-0.754345360642496</v>
      </c>
      <c r="J438" s="174"/>
      <c r="K438" s="256">
        <v>90325</v>
      </c>
      <c r="L438" s="16">
        <f t="shared" si="136"/>
        <v>0</v>
      </c>
      <c r="M438" s="53">
        <f t="shared" si="137"/>
        <v>0</v>
      </c>
      <c r="N438" s="174"/>
      <c r="O438" s="256">
        <v>505228</v>
      </c>
      <c r="P438" s="16">
        <f t="shared" si="138"/>
        <v>-414903</v>
      </c>
      <c r="Q438" s="53">
        <f t="shared" si="139"/>
        <v>-0.8212193306784263</v>
      </c>
    </row>
    <row r="439" spans="1:17" s="15" customFormat="1" ht="12.75" hidden="1" outlineLevel="2">
      <c r="A439" s="15" t="s">
        <v>1157</v>
      </c>
      <c r="B439" s="15" t="s">
        <v>1158</v>
      </c>
      <c r="C439" s="134" t="s">
        <v>1159</v>
      </c>
      <c r="D439" s="16"/>
      <c r="E439" s="16"/>
      <c r="F439" s="16">
        <v>3624499.202</v>
      </c>
      <c r="G439" s="16">
        <v>1783392.802</v>
      </c>
      <c r="H439" s="16">
        <f t="shared" si="134"/>
        <v>1841106.4000000001</v>
      </c>
      <c r="I439" s="53">
        <f t="shared" si="135"/>
        <v>1.0323616860712217</v>
      </c>
      <c r="J439" s="174"/>
      <c r="K439" s="256">
        <v>932604.772</v>
      </c>
      <c r="L439" s="16">
        <f t="shared" si="136"/>
        <v>2691894.43</v>
      </c>
      <c r="M439" s="53" t="str">
        <f t="shared" si="137"/>
        <v>N.M.</v>
      </c>
      <c r="N439" s="174"/>
      <c r="O439" s="256">
        <v>1243360.152</v>
      </c>
      <c r="P439" s="16">
        <f t="shared" si="138"/>
        <v>2381139.05</v>
      </c>
      <c r="Q439" s="53">
        <f t="shared" si="139"/>
        <v>1.9150839329777716</v>
      </c>
    </row>
    <row r="440" spans="1:17" s="15" customFormat="1" ht="12.75" hidden="1" outlineLevel="2">
      <c r="A440" s="15" t="s">
        <v>1160</v>
      </c>
      <c r="B440" s="15" t="s">
        <v>1161</v>
      </c>
      <c r="C440" s="134" t="s">
        <v>1162</v>
      </c>
      <c r="D440" s="16"/>
      <c r="E440" s="16"/>
      <c r="F440" s="16">
        <v>745.4240000000001</v>
      </c>
      <c r="G440" s="16">
        <v>513.544</v>
      </c>
      <c r="H440" s="16">
        <f t="shared" si="134"/>
        <v>231.8800000000001</v>
      </c>
      <c r="I440" s="53">
        <f t="shared" si="135"/>
        <v>0.45152898291090954</v>
      </c>
      <c r="J440" s="174"/>
      <c r="K440" s="256">
        <v>27097.744</v>
      </c>
      <c r="L440" s="16">
        <f t="shared" si="136"/>
        <v>-26352.32</v>
      </c>
      <c r="M440" s="53" t="str">
        <f t="shared" si="137"/>
        <v>N.M.</v>
      </c>
      <c r="N440" s="174"/>
      <c r="O440" s="256">
        <v>513.544</v>
      </c>
      <c r="P440" s="16">
        <f t="shared" si="138"/>
        <v>231.8800000000001</v>
      </c>
      <c r="Q440" s="53">
        <f t="shared" si="139"/>
        <v>0.45152898291090954</v>
      </c>
    </row>
    <row r="441" spans="1:17" s="15" customFormat="1" ht="12.75" hidden="1" outlineLevel="2">
      <c r="A441" s="15" t="s">
        <v>1163</v>
      </c>
      <c r="B441" s="15" t="s">
        <v>1164</v>
      </c>
      <c r="C441" s="134" t="s">
        <v>1165</v>
      </c>
      <c r="D441" s="16"/>
      <c r="E441" s="16"/>
      <c r="F441" s="16">
        <v>61760.130000000005</v>
      </c>
      <c r="G441" s="16">
        <v>53292.78</v>
      </c>
      <c r="H441" s="16">
        <f t="shared" si="134"/>
        <v>8467.350000000006</v>
      </c>
      <c r="I441" s="53">
        <f t="shared" si="135"/>
        <v>0.15888362363532182</v>
      </c>
      <c r="J441" s="174"/>
      <c r="K441" s="256">
        <v>82916.31</v>
      </c>
      <c r="L441" s="16">
        <f t="shared" si="136"/>
        <v>-21156.179999999993</v>
      </c>
      <c r="M441" s="53" t="str">
        <f t="shared" si="137"/>
        <v>N.M.</v>
      </c>
      <c r="N441" s="174"/>
      <c r="O441" s="256">
        <v>81474.54000000001</v>
      </c>
      <c r="P441" s="16">
        <f t="shared" si="138"/>
        <v>-19714.410000000003</v>
      </c>
      <c r="Q441" s="53">
        <f t="shared" si="139"/>
        <v>-0.2419701909332658</v>
      </c>
    </row>
    <row r="442" spans="1:17" s="15" customFormat="1" ht="12.75" hidden="1" outlineLevel="2">
      <c r="A442" s="15" t="s">
        <v>1166</v>
      </c>
      <c r="B442" s="15" t="s">
        <v>1167</v>
      </c>
      <c r="C442" s="134" t="s">
        <v>1168</v>
      </c>
      <c r="D442" s="16"/>
      <c r="E442" s="16"/>
      <c r="F442" s="16">
        <v>1637459.9100000001</v>
      </c>
      <c r="G442" s="16">
        <v>709717.62</v>
      </c>
      <c r="H442" s="16">
        <f t="shared" si="134"/>
        <v>927742.2900000002</v>
      </c>
      <c r="I442" s="53">
        <f t="shared" si="135"/>
        <v>1.307199178738158</v>
      </c>
      <c r="J442" s="174"/>
      <c r="K442" s="256">
        <v>1648033.32</v>
      </c>
      <c r="L442" s="16">
        <f t="shared" si="136"/>
        <v>-10573.409999999916</v>
      </c>
      <c r="M442" s="53" t="str">
        <f t="shared" si="137"/>
        <v>N.M.</v>
      </c>
      <c r="N442" s="174"/>
      <c r="O442" s="256">
        <v>1056510.93</v>
      </c>
      <c r="P442" s="16">
        <f t="shared" si="138"/>
        <v>580948.9800000002</v>
      </c>
      <c r="Q442" s="53">
        <f t="shared" si="139"/>
        <v>0.5498750306350358</v>
      </c>
    </row>
    <row r="443" spans="1:17" s="15" customFormat="1" ht="12.75" hidden="1" outlineLevel="2">
      <c r="A443" s="15" t="s">
        <v>1169</v>
      </c>
      <c r="B443" s="15" t="s">
        <v>1170</v>
      </c>
      <c r="C443" s="134" t="s">
        <v>1171</v>
      </c>
      <c r="D443" s="16"/>
      <c r="E443" s="16"/>
      <c r="F443" s="16">
        <v>0</v>
      </c>
      <c r="G443" s="16">
        <v>3837.03</v>
      </c>
      <c r="H443" s="16">
        <f t="shared" si="134"/>
        <v>-3837.03</v>
      </c>
      <c r="I443" s="53" t="str">
        <f t="shared" si="135"/>
        <v>N.M.</v>
      </c>
      <c r="J443" s="174"/>
      <c r="K443" s="256">
        <v>0</v>
      </c>
      <c r="L443" s="16">
        <f t="shared" si="136"/>
        <v>0</v>
      </c>
      <c r="M443" s="53">
        <f t="shared" si="137"/>
        <v>0</v>
      </c>
      <c r="N443" s="174"/>
      <c r="O443" s="256">
        <v>3454.5</v>
      </c>
      <c r="P443" s="16">
        <f t="shared" si="138"/>
        <v>-3454.5</v>
      </c>
      <c r="Q443" s="53" t="str">
        <f t="shared" si="139"/>
        <v>N.M.</v>
      </c>
    </row>
    <row r="444" spans="1:17" s="15" customFormat="1" ht="12.75" hidden="1" outlineLevel="2">
      <c r="A444" s="15" t="s">
        <v>1172</v>
      </c>
      <c r="B444" s="15" t="s">
        <v>1173</v>
      </c>
      <c r="C444" s="134" t="s">
        <v>1174</v>
      </c>
      <c r="D444" s="16"/>
      <c r="E444" s="16"/>
      <c r="F444" s="16">
        <v>2376.4700000000003</v>
      </c>
      <c r="G444" s="16">
        <v>0</v>
      </c>
      <c r="H444" s="16">
        <f t="shared" si="134"/>
        <v>2376.4700000000003</v>
      </c>
      <c r="I444" s="53" t="str">
        <f t="shared" si="135"/>
        <v>N.M.</v>
      </c>
      <c r="J444" s="174"/>
      <c r="K444" s="256">
        <v>2355.92</v>
      </c>
      <c r="L444" s="16">
        <f t="shared" si="136"/>
        <v>20.550000000000182</v>
      </c>
      <c r="M444" s="53" t="str">
        <f t="shared" si="137"/>
        <v>N.M.</v>
      </c>
      <c r="N444" s="174"/>
      <c r="O444" s="256">
        <v>0</v>
      </c>
      <c r="P444" s="16">
        <f t="shared" si="138"/>
        <v>2376.4700000000003</v>
      </c>
      <c r="Q444" s="53" t="str">
        <f t="shared" si="139"/>
        <v>N.M.</v>
      </c>
    </row>
    <row r="445" spans="1:17" s="15" customFormat="1" ht="12.75" hidden="1" outlineLevel="2">
      <c r="A445" s="15" t="s">
        <v>1175</v>
      </c>
      <c r="B445" s="15" t="s">
        <v>1176</v>
      </c>
      <c r="C445" s="134" t="s">
        <v>1177</v>
      </c>
      <c r="D445" s="16"/>
      <c r="E445" s="16"/>
      <c r="F445" s="16">
        <v>1028651.4</v>
      </c>
      <c r="G445" s="16">
        <v>1157668.16</v>
      </c>
      <c r="H445" s="16">
        <f t="shared" si="134"/>
        <v>-129016.7599999999</v>
      </c>
      <c r="I445" s="53">
        <f t="shared" si="135"/>
        <v>-0.11144537308515068</v>
      </c>
      <c r="J445" s="174"/>
      <c r="K445" s="256">
        <v>920814.9</v>
      </c>
      <c r="L445" s="16">
        <f t="shared" si="136"/>
        <v>107836.5</v>
      </c>
      <c r="M445" s="53" t="str">
        <f t="shared" si="137"/>
        <v>N.M.</v>
      </c>
      <c r="N445" s="174"/>
      <c r="O445" s="256">
        <v>909950.4400000001</v>
      </c>
      <c r="P445" s="16">
        <f t="shared" si="138"/>
        <v>118700.95999999996</v>
      </c>
      <c r="Q445" s="53">
        <f t="shared" si="139"/>
        <v>0.1304477197681227</v>
      </c>
    </row>
    <row r="446" spans="1:17" s="15" customFormat="1" ht="12.75" hidden="1" outlineLevel="2">
      <c r="A446" s="15" t="s">
        <v>1178</v>
      </c>
      <c r="B446" s="15" t="s">
        <v>1179</v>
      </c>
      <c r="C446" s="134" t="s">
        <v>1180</v>
      </c>
      <c r="D446" s="16"/>
      <c r="E446" s="16"/>
      <c r="F446" s="16">
        <v>872790.21</v>
      </c>
      <c r="G446" s="16">
        <v>308247.31</v>
      </c>
      <c r="H446" s="16">
        <f t="shared" si="134"/>
        <v>564542.8999999999</v>
      </c>
      <c r="I446" s="53">
        <f t="shared" si="135"/>
        <v>1.831460913641063</v>
      </c>
      <c r="J446" s="174"/>
      <c r="K446" s="256">
        <v>654590.14</v>
      </c>
      <c r="L446" s="16">
        <f t="shared" si="136"/>
        <v>218200.06999999995</v>
      </c>
      <c r="M446" s="53" t="str">
        <f t="shared" si="137"/>
        <v>N.M.</v>
      </c>
      <c r="N446" s="174"/>
      <c r="O446" s="256">
        <v>324067.19</v>
      </c>
      <c r="P446" s="16">
        <f t="shared" si="138"/>
        <v>548723.02</v>
      </c>
      <c r="Q446" s="53">
        <f t="shared" si="139"/>
        <v>1.6932384299687975</v>
      </c>
    </row>
    <row r="447" spans="1:17" s="15" customFormat="1" ht="12.75" hidden="1" outlineLevel="2">
      <c r="A447" s="15" t="s">
        <v>1181</v>
      </c>
      <c r="B447" s="15" t="s">
        <v>1182</v>
      </c>
      <c r="C447" s="134" t="s">
        <v>1183</v>
      </c>
      <c r="D447" s="16"/>
      <c r="E447" s="16"/>
      <c r="F447" s="16">
        <v>103390</v>
      </c>
      <c r="G447" s="16">
        <v>36380</v>
      </c>
      <c r="H447" s="16">
        <f t="shared" si="134"/>
        <v>67010</v>
      </c>
      <c r="I447" s="53">
        <f t="shared" si="135"/>
        <v>1.8419461242440902</v>
      </c>
      <c r="J447" s="174"/>
      <c r="K447" s="256">
        <v>77530</v>
      </c>
      <c r="L447" s="16">
        <f t="shared" si="136"/>
        <v>25860</v>
      </c>
      <c r="M447" s="53" t="str">
        <f t="shared" si="137"/>
        <v>N.M.</v>
      </c>
      <c r="N447" s="174"/>
      <c r="O447" s="256">
        <v>38330</v>
      </c>
      <c r="P447" s="16">
        <f t="shared" si="138"/>
        <v>65060</v>
      </c>
      <c r="Q447" s="53">
        <f t="shared" si="139"/>
        <v>1.6973649882598487</v>
      </c>
    </row>
    <row r="448" spans="1:17" s="15" customFormat="1" ht="12.75" hidden="1" outlineLevel="2">
      <c r="A448" s="15" t="s">
        <v>1184</v>
      </c>
      <c r="B448" s="15" t="s">
        <v>1185</v>
      </c>
      <c r="C448" s="134" t="s">
        <v>1186</v>
      </c>
      <c r="D448" s="16"/>
      <c r="E448" s="16"/>
      <c r="F448" s="16">
        <v>475520</v>
      </c>
      <c r="G448" s="16">
        <v>181490</v>
      </c>
      <c r="H448" s="16">
        <f t="shared" si="134"/>
        <v>294030</v>
      </c>
      <c r="I448" s="53">
        <f t="shared" si="135"/>
        <v>1.620089261116315</v>
      </c>
      <c r="J448" s="174"/>
      <c r="K448" s="256">
        <v>356640</v>
      </c>
      <c r="L448" s="16">
        <f t="shared" si="136"/>
        <v>118880</v>
      </c>
      <c r="M448" s="53" t="str">
        <f t="shared" si="137"/>
        <v>N.M.</v>
      </c>
      <c r="N448" s="174"/>
      <c r="O448" s="256">
        <v>127820</v>
      </c>
      <c r="P448" s="16">
        <f t="shared" si="138"/>
        <v>347700</v>
      </c>
      <c r="Q448" s="53">
        <f t="shared" si="139"/>
        <v>2.7202315756532625</v>
      </c>
    </row>
    <row r="449" spans="1:17" s="15" customFormat="1" ht="12.75" hidden="1" outlineLevel="2">
      <c r="A449" s="15" t="s">
        <v>1187</v>
      </c>
      <c r="B449" s="15" t="s">
        <v>1188</v>
      </c>
      <c r="C449" s="134" t="s">
        <v>1189</v>
      </c>
      <c r="D449" s="16"/>
      <c r="E449" s="16"/>
      <c r="F449" s="16">
        <v>109449.75</v>
      </c>
      <c r="G449" s="16">
        <v>-58791.19</v>
      </c>
      <c r="H449" s="16">
        <f t="shared" si="134"/>
        <v>168240.94</v>
      </c>
      <c r="I449" s="53">
        <f t="shared" si="135"/>
        <v>2.861669239898019</v>
      </c>
      <c r="J449" s="174"/>
      <c r="K449" s="256">
        <v>96449.75</v>
      </c>
      <c r="L449" s="16">
        <f t="shared" si="136"/>
        <v>13000</v>
      </c>
      <c r="M449" s="53" t="str">
        <f t="shared" si="137"/>
        <v>N.M.</v>
      </c>
      <c r="N449" s="174"/>
      <c r="O449" s="256">
        <v>15300.75</v>
      </c>
      <c r="P449" s="16">
        <f t="shared" si="138"/>
        <v>94149</v>
      </c>
      <c r="Q449" s="53">
        <f t="shared" si="139"/>
        <v>6.1532277829518165</v>
      </c>
    </row>
    <row r="450" spans="1:17" s="15" customFormat="1" ht="12.75" hidden="1" outlineLevel="2">
      <c r="A450" s="15" t="s">
        <v>1190</v>
      </c>
      <c r="B450" s="15" t="s">
        <v>1191</v>
      </c>
      <c r="C450" s="134" t="s">
        <v>1192</v>
      </c>
      <c r="D450" s="16"/>
      <c r="E450" s="16"/>
      <c r="F450" s="16">
        <v>46677.91</v>
      </c>
      <c r="G450" s="16">
        <v>0</v>
      </c>
      <c r="H450" s="16">
        <f t="shared" si="134"/>
        <v>46677.91</v>
      </c>
      <c r="I450" s="53" t="str">
        <f t="shared" si="135"/>
        <v>N.M.</v>
      </c>
      <c r="J450" s="174"/>
      <c r="K450" s="256">
        <v>57519.79</v>
      </c>
      <c r="L450" s="16">
        <f t="shared" si="136"/>
        <v>-10841.879999999997</v>
      </c>
      <c r="M450" s="53" t="str">
        <f t="shared" si="137"/>
        <v>N.M.</v>
      </c>
      <c r="N450" s="174"/>
      <c r="O450" s="256">
        <v>0</v>
      </c>
      <c r="P450" s="16">
        <f t="shared" si="138"/>
        <v>46677.91</v>
      </c>
      <c r="Q450" s="53" t="str">
        <f t="shared" si="139"/>
        <v>N.M.</v>
      </c>
    </row>
    <row r="451" spans="1:17" s="15" customFormat="1" ht="12.75" hidden="1" outlineLevel="2">
      <c r="A451" s="15" t="s">
        <v>1193</v>
      </c>
      <c r="B451" s="15" t="s">
        <v>1194</v>
      </c>
      <c r="C451" s="134" t="s">
        <v>1195</v>
      </c>
      <c r="D451" s="16"/>
      <c r="E451" s="16"/>
      <c r="F451" s="16">
        <v>116643.68000000001</v>
      </c>
      <c r="G451" s="16">
        <v>0</v>
      </c>
      <c r="H451" s="16">
        <f t="shared" si="134"/>
        <v>116643.68000000001</v>
      </c>
      <c r="I451" s="53" t="str">
        <f t="shared" si="135"/>
        <v>N.M.</v>
      </c>
      <c r="J451" s="174"/>
      <c r="K451" s="256">
        <v>124937.51000000001</v>
      </c>
      <c r="L451" s="16">
        <f t="shared" si="136"/>
        <v>-8293.830000000002</v>
      </c>
      <c r="M451" s="53" t="str">
        <f t="shared" si="137"/>
        <v>N.M.</v>
      </c>
      <c r="N451" s="174"/>
      <c r="O451" s="256">
        <v>0</v>
      </c>
      <c r="P451" s="16">
        <f t="shared" si="138"/>
        <v>116643.68000000001</v>
      </c>
      <c r="Q451" s="53" t="str">
        <f t="shared" si="139"/>
        <v>N.M.</v>
      </c>
    </row>
    <row r="452" spans="1:17" s="15" customFormat="1" ht="12.75" hidden="1" outlineLevel="2">
      <c r="A452" s="15" t="s">
        <v>1196</v>
      </c>
      <c r="B452" s="15" t="s">
        <v>1197</v>
      </c>
      <c r="C452" s="134" t="s">
        <v>1198</v>
      </c>
      <c r="D452" s="16"/>
      <c r="E452" s="16"/>
      <c r="F452" s="16">
        <v>291227.46</v>
      </c>
      <c r="G452" s="16">
        <v>255371.9</v>
      </c>
      <c r="H452" s="16">
        <f t="shared" si="134"/>
        <v>35855.56000000003</v>
      </c>
      <c r="I452" s="53">
        <f t="shared" si="135"/>
        <v>0.14040526776830195</v>
      </c>
      <c r="J452" s="174"/>
      <c r="K452" s="256">
        <v>293909.31</v>
      </c>
      <c r="L452" s="16">
        <f t="shared" si="136"/>
        <v>-2681.8499999999767</v>
      </c>
      <c r="M452" s="53" t="str">
        <f t="shared" si="137"/>
        <v>N.M.</v>
      </c>
      <c r="N452" s="174"/>
      <c r="O452" s="256">
        <v>457034.9</v>
      </c>
      <c r="P452" s="16">
        <f t="shared" si="138"/>
        <v>-165807.44</v>
      </c>
      <c r="Q452" s="53">
        <f t="shared" si="139"/>
        <v>-0.3627894499960506</v>
      </c>
    </row>
    <row r="453" spans="1:17" s="15" customFormat="1" ht="12.75" hidden="1" outlineLevel="2">
      <c r="A453" s="15" t="s">
        <v>1199</v>
      </c>
      <c r="B453" s="15" t="s">
        <v>1200</v>
      </c>
      <c r="C453" s="134" t="s">
        <v>1201</v>
      </c>
      <c r="D453" s="16"/>
      <c r="E453" s="16"/>
      <c r="F453" s="16">
        <v>42482</v>
      </c>
      <c r="G453" s="16">
        <v>11448.56</v>
      </c>
      <c r="H453" s="16">
        <f t="shared" si="134"/>
        <v>31033.440000000002</v>
      </c>
      <c r="I453" s="53">
        <f t="shared" si="135"/>
        <v>2.7106850119141623</v>
      </c>
      <c r="J453" s="174"/>
      <c r="K453" s="256">
        <v>42482</v>
      </c>
      <c r="L453" s="16">
        <f t="shared" si="136"/>
        <v>0</v>
      </c>
      <c r="M453" s="53">
        <f t="shared" si="137"/>
        <v>0</v>
      </c>
      <c r="N453" s="174"/>
      <c r="O453" s="256">
        <v>42482</v>
      </c>
      <c r="P453" s="16">
        <f t="shared" si="138"/>
        <v>0</v>
      </c>
      <c r="Q453" s="53">
        <f t="shared" si="139"/>
        <v>0</v>
      </c>
    </row>
    <row r="454" spans="1:17" s="15" customFormat="1" ht="12.75" hidden="1" outlineLevel="2">
      <c r="A454" s="15" t="s">
        <v>1202</v>
      </c>
      <c r="B454" s="15" t="s">
        <v>1203</v>
      </c>
      <c r="C454" s="134" t="s">
        <v>1204</v>
      </c>
      <c r="D454" s="16"/>
      <c r="E454" s="16"/>
      <c r="F454" s="16">
        <v>139470</v>
      </c>
      <c r="G454" s="16">
        <v>54080</v>
      </c>
      <c r="H454" s="16">
        <f t="shared" si="134"/>
        <v>85390</v>
      </c>
      <c r="I454" s="53">
        <f t="shared" si="135"/>
        <v>1.578957100591716</v>
      </c>
      <c r="J454" s="174"/>
      <c r="K454" s="256">
        <v>104590</v>
      </c>
      <c r="L454" s="16">
        <f t="shared" si="136"/>
        <v>34880</v>
      </c>
      <c r="M454" s="53" t="str">
        <f t="shared" si="137"/>
        <v>N.M.</v>
      </c>
      <c r="N454" s="174"/>
      <c r="O454" s="256">
        <v>43030</v>
      </c>
      <c r="P454" s="16">
        <f t="shared" si="138"/>
        <v>96440</v>
      </c>
      <c r="Q454" s="53">
        <f t="shared" si="139"/>
        <v>2.2412270508947247</v>
      </c>
    </row>
    <row r="455" spans="1:17" s="15" customFormat="1" ht="12.75" hidden="1" outlineLevel="2">
      <c r="A455" s="15" t="s">
        <v>1205</v>
      </c>
      <c r="B455" s="15" t="s">
        <v>1206</v>
      </c>
      <c r="C455" s="134" t="s">
        <v>1207</v>
      </c>
      <c r="D455" s="16"/>
      <c r="E455" s="16"/>
      <c r="F455" s="16">
        <v>12240</v>
      </c>
      <c r="G455" s="16">
        <v>5030</v>
      </c>
      <c r="H455" s="16">
        <f t="shared" si="134"/>
        <v>7210</v>
      </c>
      <c r="I455" s="53">
        <f t="shared" si="135"/>
        <v>1.4333996023856859</v>
      </c>
      <c r="J455" s="174"/>
      <c r="K455" s="256">
        <v>9180</v>
      </c>
      <c r="L455" s="16">
        <f t="shared" si="136"/>
        <v>3060</v>
      </c>
      <c r="M455" s="53" t="str">
        <f t="shared" si="137"/>
        <v>N.M.</v>
      </c>
      <c r="N455" s="174"/>
      <c r="O455" s="256">
        <v>4230</v>
      </c>
      <c r="P455" s="16">
        <f t="shared" si="138"/>
        <v>8010</v>
      </c>
      <c r="Q455" s="53">
        <f t="shared" si="139"/>
        <v>1.8936170212765957</v>
      </c>
    </row>
    <row r="456" spans="1:17" s="15" customFormat="1" ht="12.75" hidden="1" outlineLevel="2">
      <c r="A456" s="15" t="s">
        <v>1208</v>
      </c>
      <c r="B456" s="15" t="s">
        <v>1209</v>
      </c>
      <c r="C456" s="134" t="s">
        <v>1210</v>
      </c>
      <c r="D456" s="16"/>
      <c r="E456" s="16"/>
      <c r="F456" s="16">
        <v>333697.81</v>
      </c>
      <c r="G456" s="16">
        <v>21078.33</v>
      </c>
      <c r="H456" s="16">
        <f t="shared" si="134"/>
        <v>312619.48</v>
      </c>
      <c r="I456" s="53" t="str">
        <f t="shared" si="135"/>
        <v>N.M.</v>
      </c>
      <c r="J456" s="174"/>
      <c r="K456" s="256">
        <v>333697.81</v>
      </c>
      <c r="L456" s="16">
        <f t="shared" si="136"/>
        <v>0</v>
      </c>
      <c r="M456" s="53">
        <f t="shared" si="137"/>
        <v>0</v>
      </c>
      <c r="N456" s="174"/>
      <c r="O456" s="256">
        <v>345407.3</v>
      </c>
      <c r="P456" s="16">
        <f t="shared" si="138"/>
        <v>-11709.48999999999</v>
      </c>
      <c r="Q456" s="53">
        <f t="shared" si="139"/>
        <v>-0.03390052844858806</v>
      </c>
    </row>
    <row r="457" spans="1:17" s="1" customFormat="1" ht="12.75" hidden="1" outlineLevel="1">
      <c r="A457" s="1" t="s">
        <v>285</v>
      </c>
      <c r="C457" s="115" t="s">
        <v>217</v>
      </c>
      <c r="D457" s="34"/>
      <c r="F457" s="197">
        <v>10333456.596</v>
      </c>
      <c r="G457" s="197">
        <v>5895729.635999999</v>
      </c>
      <c r="H457" s="197">
        <f>+F457-G457</f>
        <v>4437726.960000002</v>
      </c>
      <c r="I457" s="138">
        <f>IF(G457&lt;0,IF(H457=0,0,IF(OR(G457=0,F457=0),"N.M.",IF(ABS(H457/G457)&gt;=10,"N.M.",H457/(-G457)))),IF(H457=0,0,IF(OR(G457=0,F457=0),"N.M.",IF(ABS(H457/G457)&gt;=10,"N.M.",H457/G457))))</f>
        <v>0.7527019103628385</v>
      </c>
      <c r="J457" s="167"/>
      <c r="K457" s="197">
        <v>7187302.075999999</v>
      </c>
      <c r="L457" s="197">
        <f>+F457-K457</f>
        <v>3146154.5200000014</v>
      </c>
      <c r="M457" s="138" t="str">
        <f>IF(K457&lt;0,IF(L457=0,0,IF(OR(K457=0,N457=0),"N.M.",IF(ABS(L457/K457)&gt;=10,"N.M.",L457/(-K457)))),IF(L457=0,0,IF(OR(K457=0,N457=0),"N.M.",IF(ABS(L457/K457)&gt;=10,"N.M.",L457/K457))))</f>
        <v>N.M.</v>
      </c>
      <c r="N457" s="167"/>
      <c r="O457" s="197">
        <v>6201448.606000002</v>
      </c>
      <c r="P457" s="197">
        <f>+F457-O457</f>
        <v>4132007.9899999993</v>
      </c>
      <c r="Q457" s="138">
        <f>IF(O457&lt;0,IF(P457=0,0,IF(OR(O457=0,F457=0),"N.M.",IF(ABS(P457/O457)&gt;=10,"N.M.",P457/(-O457)))),IF(P457=0,0,IF(OR(O457=0,F457=0),"N.M.",IF(ABS(P457/O457)&gt;=10,"N.M.",P457/O457))))</f>
        <v>0.6662972238457664</v>
      </c>
    </row>
    <row r="458" spans="1:17" ht="12.75" collapsed="1">
      <c r="A458" s="11" t="s">
        <v>345</v>
      </c>
      <c r="C458" s="230" t="s">
        <v>206</v>
      </c>
      <c r="D458" s="117"/>
      <c r="E458" s="118"/>
      <c r="F458" s="235">
        <v>18196289.247999996</v>
      </c>
      <c r="G458" s="235">
        <v>14894247.370000001</v>
      </c>
      <c r="H458" s="197">
        <f>+F458-G458</f>
        <v>3302041.877999995</v>
      </c>
      <c r="I458" s="138">
        <f>IF(G458&lt;0,IF(H458=0,0,IF(OR(G458=0,F458=0),"N.M.",IF(ABS(H458/G458)&gt;=10,"N.M.",H458/(-G458)))),IF(H458=0,0,IF(OR(G458=0,F458=0),"N.M.",IF(ABS(H458/G458)&gt;=10,"N.M.",H458/G458))))</f>
        <v>0.22169914302960814</v>
      </c>
      <c r="J458" s="166"/>
      <c r="K458" s="235">
        <v>15194994.654</v>
      </c>
      <c r="L458" s="197">
        <f>+F458-K458</f>
        <v>3001294.593999997</v>
      </c>
      <c r="M458" s="138" t="str">
        <f>IF(K458&lt;0,IF(L458=0,0,IF(OR(K458=0,N458=0),"N.M.",IF(ABS(L458/K458)&gt;=10,"N.M.",L458/(-K458)))),IF(L458=0,0,IF(OR(K458=0,N458=0),"N.M.",IF(ABS(L458/K458)&gt;=10,"N.M.",L458/K458))))</f>
        <v>N.M.</v>
      </c>
      <c r="N458" s="166"/>
      <c r="O458" s="235">
        <v>15859055.459999999</v>
      </c>
      <c r="P458" s="197">
        <f>+F458-O458</f>
        <v>2337233.787999997</v>
      </c>
      <c r="Q458" s="138">
        <f>IF(O458&lt;0,IF(P458=0,0,IF(OR(O458=0,F458=0),"N.M.",IF(ABS(P458/O458)&gt;=10,"N.M.",P458/(-O458)))),IF(P458=0,0,IF(OR(O458=0,F458=0),"N.M.",IF(ABS(P458/O458)&gt;=10,"N.M.",P458/O458))))</f>
        <v>0.1473753461481367</v>
      </c>
    </row>
    <row r="459" spans="1:17" s="13" customFormat="1" ht="12.75">
      <c r="A459" s="13" t="s">
        <v>286</v>
      </c>
      <c r="C459" s="110" t="s">
        <v>227</v>
      </c>
      <c r="D459" s="33"/>
      <c r="F459" s="33">
        <v>111945851.823</v>
      </c>
      <c r="G459" s="33">
        <v>87686680.47899999</v>
      </c>
      <c r="H459" s="74">
        <f>+F459-G459</f>
        <v>24259171.34400001</v>
      </c>
      <c r="I459" s="137">
        <f>IF(G459&lt;0,IF(H459=0,0,IF(OR(G459=0,F459=0),"N.M.",IF(ABS(H459/G459)&gt;=10,"N.M.",H459/(-G459)))),IF(H459=0,0,IF(OR(G459=0,F459=0),"N.M.",IF(ABS(H459/G459)&gt;=10,"N.M.",H459/G459))))</f>
        <v>0.27665742632154744</v>
      </c>
      <c r="J459" s="168"/>
      <c r="K459" s="33">
        <v>96595287.554</v>
      </c>
      <c r="L459" s="74">
        <f>+F459-K459</f>
        <v>15350564.268999994</v>
      </c>
      <c r="M459" s="137" t="str">
        <f>IF(K459&lt;0,IF(L459=0,0,IF(OR(K459=0,N459=0),"N.M.",IF(ABS(L459/K459)&gt;=10,"N.M.",L459/(-K459)))),IF(L459=0,0,IF(OR(K459=0,N459=0),"N.M.",IF(ABS(L459/K459)&gt;=10,"N.M.",L459/K459))))</f>
        <v>N.M.</v>
      </c>
      <c r="N459" s="168"/>
      <c r="O459" s="33">
        <v>101445796.95300002</v>
      </c>
      <c r="P459" s="74">
        <f>+F459-O459</f>
        <v>10500054.869999975</v>
      </c>
      <c r="Q459" s="137">
        <f>IF(O459&lt;0,IF(P459=0,0,IF(OR(O459=0,F459=0),"N.M.",IF(ABS(P459/O459)&gt;=10,"N.M.",P459/(-O459)))),IF(P459=0,0,IF(OR(O459=0,F459=0),"N.M.",IF(ABS(P459/O459)&gt;=10,"N.M.",P459/O459))))</f>
        <v>0.10350408972453205</v>
      </c>
    </row>
    <row r="460" spans="3:17" ht="12.75">
      <c r="C460" s="126"/>
      <c r="D460" s="106"/>
      <c r="E460" s="11"/>
      <c r="F460" s="233" t="str">
        <f>IF(ABS(+F300+F302+F304+F306+F331+F345+F309+F350+F381+F388+F390+F394+F401+F458-F459)&gt;$C$575,$J$184," ")</f>
        <v> </v>
      </c>
      <c r="G460" s="233" t="str">
        <f>IF(ABS(+G300+G302+G304+G306+G331+G345+G309+G350+G381+G388+G390+G394+G401+G458-G459)&gt;$C$575,$J$184," ")</f>
        <v> </v>
      </c>
      <c r="H460" s="233" t="str">
        <f>IF(ABS(+H300+H302+H304+H306+H331+H345+H309+H350+H381+H388+H390+H394+H401+H458-H459)&gt;$C$575,$J$184," ")</f>
        <v> </v>
      </c>
      <c r="I460" s="141"/>
      <c r="J460" s="166"/>
      <c r="K460" s="233" t="str">
        <f>IF(ABS(+K300+K302+K304+K306+K331+K345+K309+K350+K381+K388+K390+K394+K401+K458-K459)&gt;$C$575,$J$184," ")</f>
        <v> </v>
      </c>
      <c r="L460" s="233" t="str">
        <f>IF(ABS(+L300+L302+L304+L306+L331+L345+L309+L350+L381+L388+L390+L394+L401+L458-L459)&gt;$C$575,$J$184," ")</f>
        <v> </v>
      </c>
      <c r="M460" s="141"/>
      <c r="N460" s="166"/>
      <c r="O460" s="233" t="str">
        <f>IF(ABS(+O300+O302+O304+O306+O331+O345+O309+O350+O381+O388+O390+O394+O401+O458-O459)&gt;$C$575,$J$184," ")</f>
        <v> </v>
      </c>
      <c r="P460" s="233" t="str">
        <f>IF(ABS(+P300+P302+P304+P306+P331+P345+P309+P350+P381+P388+P390+P394+P401+P458-P459)&gt;$C$575,$J$184," ")</f>
        <v> </v>
      </c>
      <c r="Q460" s="141"/>
    </row>
    <row r="461" spans="3:17" ht="12.75">
      <c r="C461" s="127"/>
      <c r="D461" s="103"/>
      <c r="E461" s="104"/>
      <c r="F461" s="103"/>
      <c r="G461" s="103"/>
      <c r="H461" s="103"/>
      <c r="I461" s="141"/>
      <c r="J461" s="166"/>
      <c r="K461" s="103"/>
      <c r="L461" s="103"/>
      <c r="M461" s="141"/>
      <c r="N461" s="166"/>
      <c r="O461" s="103"/>
      <c r="P461" s="103"/>
      <c r="Q461" s="141"/>
    </row>
    <row r="462" spans="3:17" ht="0.75" customHeight="1" hidden="1" outlineLevel="1">
      <c r="C462" s="127"/>
      <c r="D462" s="103"/>
      <c r="E462" s="104"/>
      <c r="F462" s="103"/>
      <c r="G462" s="103"/>
      <c r="H462" s="103"/>
      <c r="I462" s="141"/>
      <c r="J462" s="166"/>
      <c r="K462" s="103"/>
      <c r="L462" s="103"/>
      <c r="M462" s="141"/>
      <c r="N462" s="166"/>
      <c r="O462" s="103"/>
      <c r="P462" s="103"/>
      <c r="Q462" s="141"/>
    </row>
    <row r="463" spans="1:17" s="15" customFormat="1" ht="12.75" hidden="1" outlineLevel="2">
      <c r="A463" s="15" t="s">
        <v>1211</v>
      </c>
      <c r="B463" s="15" t="s">
        <v>1212</v>
      </c>
      <c r="C463" s="134" t="s">
        <v>1213</v>
      </c>
      <c r="D463" s="16"/>
      <c r="E463" s="16"/>
      <c r="F463" s="16">
        <v>30007688.9</v>
      </c>
      <c r="G463" s="16">
        <v>31486878.85</v>
      </c>
      <c r="H463" s="16">
        <f aca="true" t="shared" si="140" ref="H463:H471">+F463-G463</f>
        <v>-1479189.950000003</v>
      </c>
      <c r="I463" s="53">
        <f aca="true" t="shared" si="141" ref="I463:I471">IF(G463&lt;0,IF(H463=0,0,IF(OR(G463=0,F463=0),"N.M.",IF(ABS(H463/G463)&gt;=10,"N.M.",H463/(-G463)))),IF(H463=0,0,IF(OR(G463=0,F463=0),"N.M.",IF(ABS(H463/G463)&gt;=10,"N.M.",H463/G463))))</f>
        <v>-0.04697797952749461</v>
      </c>
      <c r="J463" s="174"/>
      <c r="K463" s="256">
        <v>30143138.9</v>
      </c>
      <c r="L463" s="16">
        <f aca="true" t="shared" si="142" ref="L463:L471">+F463-K463</f>
        <v>-135450</v>
      </c>
      <c r="M463" s="53" t="str">
        <f aca="true" t="shared" si="143" ref="M463:M471">IF(K463&lt;0,IF(L463=0,0,IF(OR(K463=0,N463=0),"N.M.",IF(ABS(L463/K463)&gt;=10,"N.M.",L463/(-K463)))),IF(L463=0,0,IF(OR(K463=0,N463=0),"N.M.",IF(ABS(L463/K463)&gt;=10,"N.M.",L463/K463))))</f>
        <v>N.M.</v>
      </c>
      <c r="N463" s="174"/>
      <c r="O463" s="256">
        <v>31362188.9</v>
      </c>
      <c r="P463" s="16">
        <f aca="true" t="shared" si="144" ref="P463:P471">+F463-O463</f>
        <v>-1354500</v>
      </c>
      <c r="Q463" s="53">
        <f aca="true" t="shared" si="145" ref="Q463:Q471">IF(O463&lt;0,IF(P463=0,0,IF(OR(O463=0,F463=0),"N.M.",IF(ABS(P463/O463)&gt;=10,"N.M.",P463/(-O463)))),IF(P463=0,0,IF(OR(O463=0,F463=0),"N.M.",IF(ABS(P463/O463)&gt;=10,"N.M.",P463/O463))))</f>
        <v>-0.043188949735584306</v>
      </c>
    </row>
    <row r="464" spans="1:17" s="15" customFormat="1" ht="12.75" hidden="1" outlineLevel="2">
      <c r="A464" s="15" t="s">
        <v>1214</v>
      </c>
      <c r="B464" s="15" t="s">
        <v>1215</v>
      </c>
      <c r="C464" s="134" t="s">
        <v>1216</v>
      </c>
      <c r="D464" s="16"/>
      <c r="E464" s="16"/>
      <c r="F464" s="16">
        <v>168569323.56</v>
      </c>
      <c r="G464" s="16">
        <v>152906609.61</v>
      </c>
      <c r="H464" s="16">
        <f t="shared" si="140"/>
        <v>15662713.949999988</v>
      </c>
      <c r="I464" s="53">
        <f t="shared" si="141"/>
        <v>0.10243320409725215</v>
      </c>
      <c r="J464" s="174"/>
      <c r="K464" s="256">
        <v>167934821.67</v>
      </c>
      <c r="L464" s="16">
        <f t="shared" si="142"/>
        <v>634501.8900000155</v>
      </c>
      <c r="M464" s="53" t="str">
        <f t="shared" si="143"/>
        <v>N.M.</v>
      </c>
      <c r="N464" s="174"/>
      <c r="O464" s="256">
        <v>162185879.69</v>
      </c>
      <c r="P464" s="16">
        <f t="shared" si="144"/>
        <v>6383443.870000005</v>
      </c>
      <c r="Q464" s="53">
        <f t="shared" si="145"/>
        <v>0.039358813986773926</v>
      </c>
    </row>
    <row r="465" spans="1:17" s="15" customFormat="1" ht="12.75" hidden="1" outlineLevel="2">
      <c r="A465" s="15" t="s">
        <v>1217</v>
      </c>
      <c r="B465" s="15" t="s">
        <v>1218</v>
      </c>
      <c r="C465" s="134" t="s">
        <v>1219</v>
      </c>
      <c r="D465" s="16"/>
      <c r="E465" s="16"/>
      <c r="F465" s="16">
        <v>50329335.66</v>
      </c>
      <c r="G465" s="16">
        <v>52589182.29</v>
      </c>
      <c r="H465" s="16">
        <f t="shared" si="140"/>
        <v>-2259846.6300000027</v>
      </c>
      <c r="I465" s="53">
        <f t="shared" si="141"/>
        <v>-0.04297170124338898</v>
      </c>
      <c r="J465" s="174"/>
      <c r="K465" s="256">
        <v>50436924.92</v>
      </c>
      <c r="L465" s="16">
        <f t="shared" si="142"/>
        <v>-107589.26000000536</v>
      </c>
      <c r="M465" s="53" t="str">
        <f t="shared" si="143"/>
        <v>N.M.</v>
      </c>
      <c r="N465" s="174"/>
      <c r="O465" s="256">
        <v>51641596.78</v>
      </c>
      <c r="P465" s="16">
        <f t="shared" si="144"/>
        <v>-1312261.1200000048</v>
      </c>
      <c r="Q465" s="53">
        <f t="shared" si="145"/>
        <v>-0.02541093230696196</v>
      </c>
    </row>
    <row r="466" spans="1:17" s="15" customFormat="1" ht="12.75" hidden="1" outlineLevel="2">
      <c r="A466" s="15" t="s">
        <v>1220</v>
      </c>
      <c r="B466" s="15" t="s">
        <v>1221</v>
      </c>
      <c r="C466" s="134" t="s">
        <v>1222</v>
      </c>
      <c r="D466" s="16"/>
      <c r="E466" s="16"/>
      <c r="F466" s="16">
        <v>-724819</v>
      </c>
      <c r="G466" s="16">
        <v>-824825</v>
      </c>
      <c r="H466" s="16">
        <f t="shared" si="140"/>
        <v>100006</v>
      </c>
      <c r="I466" s="53">
        <f t="shared" si="141"/>
        <v>0.12124511259964235</v>
      </c>
      <c r="J466" s="174"/>
      <c r="K466" s="256">
        <v>-732163</v>
      </c>
      <c r="L466" s="16">
        <f t="shared" si="142"/>
        <v>7344</v>
      </c>
      <c r="M466" s="53" t="str">
        <f t="shared" si="143"/>
        <v>N.M.</v>
      </c>
      <c r="N466" s="174"/>
      <c r="O466" s="256">
        <v>-798259</v>
      </c>
      <c r="P466" s="16">
        <f t="shared" si="144"/>
        <v>73440</v>
      </c>
      <c r="Q466" s="53">
        <f t="shared" si="145"/>
        <v>0.09200021546891422</v>
      </c>
    </row>
    <row r="467" spans="1:17" s="15" customFormat="1" ht="12.75" hidden="1" outlineLevel="2">
      <c r="A467" s="15" t="s">
        <v>1223</v>
      </c>
      <c r="B467" s="15" t="s">
        <v>1224</v>
      </c>
      <c r="C467" s="134" t="s">
        <v>779</v>
      </c>
      <c r="D467" s="16"/>
      <c r="E467" s="16"/>
      <c r="F467" s="16">
        <v>6739.5</v>
      </c>
      <c r="G467" s="16">
        <v>266668.61</v>
      </c>
      <c r="H467" s="16">
        <f t="shared" si="140"/>
        <v>-259929.11</v>
      </c>
      <c r="I467" s="53">
        <f t="shared" si="141"/>
        <v>-0.9747270591765562</v>
      </c>
      <c r="J467" s="174"/>
      <c r="K467" s="256">
        <v>8095.09</v>
      </c>
      <c r="L467" s="16">
        <f t="shared" si="142"/>
        <v>-1355.5900000000001</v>
      </c>
      <c r="M467" s="53" t="str">
        <f t="shared" si="143"/>
        <v>N.M.</v>
      </c>
      <c r="N467" s="174"/>
      <c r="O467" s="256">
        <v>178797.73</v>
      </c>
      <c r="P467" s="16">
        <f t="shared" si="144"/>
        <v>-172058.23</v>
      </c>
      <c r="Q467" s="53">
        <f t="shared" si="145"/>
        <v>-0.962306568433503</v>
      </c>
    </row>
    <row r="468" spans="1:17" s="15" customFormat="1" ht="12.75" hidden="1" outlineLevel="2">
      <c r="A468" s="15" t="s">
        <v>1225</v>
      </c>
      <c r="B468" s="15" t="s">
        <v>1226</v>
      </c>
      <c r="C468" s="134" t="s">
        <v>785</v>
      </c>
      <c r="D468" s="16"/>
      <c r="E468" s="16"/>
      <c r="F468" s="16">
        <v>15933659.94</v>
      </c>
      <c r="G468" s="16">
        <v>15230464.19</v>
      </c>
      <c r="H468" s="16">
        <f t="shared" si="140"/>
        <v>703195.75</v>
      </c>
      <c r="I468" s="53">
        <f t="shared" si="141"/>
        <v>0.046170342625650465</v>
      </c>
      <c r="J468" s="174"/>
      <c r="K468" s="256">
        <v>17197998.08</v>
      </c>
      <c r="L468" s="16">
        <f t="shared" si="142"/>
        <v>-1264338.1399999987</v>
      </c>
      <c r="M468" s="53" t="str">
        <f t="shared" si="143"/>
        <v>N.M.</v>
      </c>
      <c r="N468" s="174"/>
      <c r="O468" s="256">
        <v>21654672.13</v>
      </c>
      <c r="P468" s="16">
        <f t="shared" si="144"/>
        <v>-5721012.1899999995</v>
      </c>
      <c r="Q468" s="53">
        <f t="shared" si="145"/>
        <v>-0.26419297210573833</v>
      </c>
    </row>
    <row r="469" spans="1:17" s="15" customFormat="1" ht="12.75" hidden="1" outlineLevel="2">
      <c r="A469" s="15" t="s">
        <v>1227</v>
      </c>
      <c r="B469" s="15" t="s">
        <v>1228</v>
      </c>
      <c r="C469" s="134" t="s">
        <v>1229</v>
      </c>
      <c r="D469" s="16"/>
      <c r="E469" s="16"/>
      <c r="F469" s="16">
        <v>41185.94</v>
      </c>
      <c r="G469" s="16">
        <v>1655141.77</v>
      </c>
      <c r="H469" s="16">
        <f t="shared" si="140"/>
        <v>-1613955.83</v>
      </c>
      <c r="I469" s="53">
        <f t="shared" si="141"/>
        <v>-0.9751163672221262</v>
      </c>
      <c r="J469" s="174"/>
      <c r="K469" s="256">
        <v>54934.99</v>
      </c>
      <c r="L469" s="16">
        <f t="shared" si="142"/>
        <v>-13749.049999999996</v>
      </c>
      <c r="M469" s="53" t="str">
        <f t="shared" si="143"/>
        <v>N.M.</v>
      </c>
      <c r="N469" s="174"/>
      <c r="O469" s="256">
        <v>292452.69</v>
      </c>
      <c r="P469" s="16">
        <f t="shared" si="144"/>
        <v>-251266.75</v>
      </c>
      <c r="Q469" s="53">
        <f t="shared" si="145"/>
        <v>-0.8591705892669341</v>
      </c>
    </row>
    <row r="470" spans="1:17" s="15" customFormat="1" ht="12.75" hidden="1" outlineLevel="2">
      <c r="A470" s="15" t="s">
        <v>1230</v>
      </c>
      <c r="B470" s="15" t="s">
        <v>1231</v>
      </c>
      <c r="C470" s="134" t="s">
        <v>1232</v>
      </c>
      <c r="D470" s="16"/>
      <c r="E470" s="16"/>
      <c r="F470" s="16">
        <v>41074502.51</v>
      </c>
      <c r="G470" s="16">
        <v>39751258.25</v>
      </c>
      <c r="H470" s="16">
        <f t="shared" si="140"/>
        <v>1323244.259999998</v>
      </c>
      <c r="I470" s="53">
        <f t="shared" si="141"/>
        <v>0.033288110068817704</v>
      </c>
      <c r="J470" s="174"/>
      <c r="K470" s="256">
        <v>41107818.49</v>
      </c>
      <c r="L470" s="16">
        <f t="shared" si="142"/>
        <v>-33315.98000000417</v>
      </c>
      <c r="M470" s="53" t="str">
        <f t="shared" si="143"/>
        <v>N.M.</v>
      </c>
      <c r="N470" s="174"/>
      <c r="O470" s="256">
        <v>40623807.62</v>
      </c>
      <c r="P470" s="16">
        <f t="shared" si="144"/>
        <v>450694.8900000006</v>
      </c>
      <c r="Q470" s="53">
        <f t="shared" si="145"/>
        <v>0.011094353690718877</v>
      </c>
    </row>
    <row r="471" spans="1:17" s="15" customFormat="1" ht="12.75" hidden="1" outlineLevel="2">
      <c r="A471" s="15" t="s">
        <v>1233</v>
      </c>
      <c r="B471" s="15" t="s">
        <v>1234</v>
      </c>
      <c r="C471" s="134" t="s">
        <v>1235</v>
      </c>
      <c r="D471" s="16"/>
      <c r="E471" s="16"/>
      <c r="F471" s="16">
        <v>37671563</v>
      </c>
      <c r="G471" s="16">
        <v>32668589</v>
      </c>
      <c r="H471" s="16">
        <f t="shared" si="140"/>
        <v>5002974</v>
      </c>
      <c r="I471" s="53">
        <f t="shared" si="141"/>
        <v>0.15314325329447195</v>
      </c>
      <c r="J471" s="174"/>
      <c r="K471" s="256">
        <v>37640547</v>
      </c>
      <c r="L471" s="16">
        <f t="shared" si="142"/>
        <v>31016</v>
      </c>
      <c r="M471" s="53" t="str">
        <f t="shared" si="143"/>
        <v>N.M.</v>
      </c>
      <c r="N471" s="174"/>
      <c r="O471" s="256">
        <v>36824251</v>
      </c>
      <c r="P471" s="16">
        <f t="shared" si="144"/>
        <v>847312</v>
      </c>
      <c r="Q471" s="53">
        <f t="shared" si="145"/>
        <v>0.023009619394566912</v>
      </c>
    </row>
    <row r="472" spans="1:17" s="13" customFormat="1" ht="12.75" collapsed="1">
      <c r="A472" s="13" t="s">
        <v>287</v>
      </c>
      <c r="C472" s="110" t="s">
        <v>218</v>
      </c>
      <c r="D472" s="33"/>
      <c r="F472" s="33">
        <v>342909180.01</v>
      </c>
      <c r="G472" s="33">
        <v>325729967.57000005</v>
      </c>
      <c r="H472" s="74">
        <f>+F472-G472</f>
        <v>17179212.439999938</v>
      </c>
      <c r="I472" s="137">
        <f>IF(G472&lt;0,IF(H472=0,0,IF(OR(G472=0,F472=0),"N.M.",IF(ABS(H472/G472)&gt;=10,"N.M.",H472/(-G472)))),IF(H472=0,0,IF(OR(G472=0,F472=0),"N.M.",IF(ABS(H472/G472)&gt;=10,"N.M.",H472/G472))))</f>
        <v>0.05274065683351069</v>
      </c>
      <c r="J472" s="168"/>
      <c r="K472" s="33">
        <v>343792116.14000005</v>
      </c>
      <c r="L472" s="74">
        <f>+F472-K472</f>
        <v>-882936.1300000548</v>
      </c>
      <c r="M472" s="137" t="str">
        <f>IF(K472&lt;0,IF(L472=0,0,IF(OR(K472=0,N472=0),"N.M.",IF(ABS(L472/K472)&gt;=10,"N.M.",L472/(-K472)))),IF(L472=0,0,IF(OR(K472=0,N472=0),"N.M.",IF(ABS(L472/K472)&gt;=10,"N.M.",L472/K472))))</f>
        <v>N.M.</v>
      </c>
      <c r="N472" s="168"/>
      <c r="O472" s="33">
        <v>343965387.53999996</v>
      </c>
      <c r="P472" s="74">
        <f>+F472-O472</f>
        <v>-1056207.5299999714</v>
      </c>
      <c r="Q472" s="137">
        <f>IF(O472&lt;0,IF(P472=0,0,IF(OR(O472=0,F472=0),"N.M.",IF(ABS(P472/O472)&gt;=10,"N.M.",P472/(-O472)))),IF(P472=0,0,IF(OR(O472=0,F472=0),"N.M.",IF(ABS(P472/O472)&gt;=10,"N.M.",P472/O472))))</f>
        <v>-0.00307067969121499</v>
      </c>
    </row>
    <row r="473" spans="3:17" s="13" customFormat="1" ht="0.75" customHeight="1" hidden="1" outlineLevel="1">
      <c r="C473" s="110"/>
      <c r="D473" s="33"/>
      <c r="F473" s="33"/>
      <c r="G473" s="33"/>
      <c r="H473" s="74"/>
      <c r="I473" s="137"/>
      <c r="J473" s="168"/>
      <c r="K473" s="33"/>
      <c r="L473" s="74"/>
      <c r="M473" s="137"/>
      <c r="N473" s="168"/>
      <c r="O473" s="33"/>
      <c r="P473" s="74"/>
      <c r="Q473" s="137"/>
    </row>
    <row r="474" spans="1:17" s="15" customFormat="1" ht="12.75" hidden="1" outlineLevel="2">
      <c r="A474" s="15" t="s">
        <v>1236</v>
      </c>
      <c r="B474" s="15" t="s">
        <v>1237</v>
      </c>
      <c r="C474" s="134" t="s">
        <v>1238</v>
      </c>
      <c r="D474" s="16"/>
      <c r="E474" s="16"/>
      <c r="F474" s="16">
        <v>1110494</v>
      </c>
      <c r="G474" s="16">
        <v>1834360</v>
      </c>
      <c r="H474" s="16">
        <f>+F474-G474</f>
        <v>-723866</v>
      </c>
      <c r="I474" s="53">
        <f>IF(G474&lt;0,IF(H474=0,0,IF(OR(G474=0,F474=0),"N.M.",IF(ABS(H474/G474)&gt;=10,"N.M.",H474/(-G474)))),IF(H474=0,0,IF(OR(G474=0,F474=0),"N.M.",IF(ABS(H474/G474)&gt;=10,"N.M.",H474/G474))))</f>
        <v>-0.3946150155912689</v>
      </c>
      <c r="J474" s="174"/>
      <c r="K474" s="256">
        <v>1169181</v>
      </c>
      <c r="L474" s="16">
        <f>+F474-K474</f>
        <v>-58687</v>
      </c>
      <c r="M474" s="53" t="str">
        <f>IF(K474&lt;0,IF(L474=0,0,IF(OR(K474=0,N474=0),"N.M.",IF(ABS(L474/K474)&gt;=10,"N.M.",L474/(-K474)))),IF(L474=0,0,IF(OR(K474=0,N474=0),"N.M.",IF(ABS(L474/K474)&gt;=10,"N.M.",L474/K474))))</f>
        <v>N.M.</v>
      </c>
      <c r="N474" s="174"/>
      <c r="O474" s="256">
        <v>1697364</v>
      </c>
      <c r="P474" s="16">
        <f>+F474-O474</f>
        <v>-586870</v>
      </c>
      <c r="Q474" s="53">
        <f>IF(O474&lt;0,IF(P474=0,0,IF(OR(O474=0,F474=0),"N.M.",IF(ABS(P474/O474)&gt;=10,"N.M.",P474/(-O474)))),IF(P474=0,0,IF(OR(O474=0,F474=0),"N.M.",IF(ABS(P474/O474)&gt;=10,"N.M.",P474/O474))))</f>
        <v>-0.3457537687850102</v>
      </c>
    </row>
    <row r="475" spans="1:17" s="13" customFormat="1" ht="12.75" collapsed="1">
      <c r="A475" s="13" t="s">
        <v>288</v>
      </c>
      <c r="C475" s="110" t="s">
        <v>219</v>
      </c>
      <c r="D475" s="33"/>
      <c r="F475" s="33">
        <v>1110494</v>
      </c>
      <c r="G475" s="33">
        <v>1834360</v>
      </c>
      <c r="H475" s="74">
        <f>+F475-G475</f>
        <v>-723866</v>
      </c>
      <c r="I475" s="137">
        <f>IF(G475&lt;0,IF(H475=0,0,IF(OR(G475=0,F475=0),"N.M.",IF(ABS(H475/G475)&gt;=10,"N.M.",H475/(-G475)))),IF(H475=0,0,IF(OR(G475=0,F475=0),"N.M.",IF(ABS(H475/G475)&gt;=10,"N.M.",H475/G475))))</f>
        <v>-0.3946150155912689</v>
      </c>
      <c r="J475" s="168"/>
      <c r="K475" s="33">
        <v>1169181</v>
      </c>
      <c r="L475" s="74">
        <f>+F475-K475</f>
        <v>-58687</v>
      </c>
      <c r="M475" s="137" t="str">
        <f>IF(K475&lt;0,IF(L475=0,0,IF(OR(K475=0,N475=0),"N.M.",IF(ABS(L475/K475)&gt;=10,"N.M.",L475/(-K475)))),IF(L475=0,0,IF(OR(K475=0,N475=0),"N.M.",IF(ABS(L475/K475)&gt;=10,"N.M.",L475/K475))))</f>
        <v>N.M.</v>
      </c>
      <c r="N475" s="168"/>
      <c r="O475" s="33">
        <v>1697364</v>
      </c>
      <c r="P475" s="74">
        <f>+F475-O475</f>
        <v>-586870</v>
      </c>
      <c r="Q475" s="137">
        <f>IF(O475&lt;0,IF(P475=0,0,IF(OR(O475=0,F475=0),"N.M.",IF(ABS(P475/O475)&gt;=10,"N.M.",P475/(-O475)))),IF(P475=0,0,IF(OR(O475=0,F475=0),"N.M.",IF(ABS(P475/O475)&gt;=10,"N.M.",P475/O475))))</f>
        <v>-0.3457537687850102</v>
      </c>
    </row>
    <row r="476" spans="3:17" s="13" customFormat="1" ht="0.75" customHeight="1" hidden="1" outlineLevel="1">
      <c r="C476" s="110"/>
      <c r="D476" s="33"/>
      <c r="F476" s="33"/>
      <c r="G476" s="33"/>
      <c r="H476" s="74"/>
      <c r="I476" s="137"/>
      <c r="J476" s="168"/>
      <c r="K476" s="33"/>
      <c r="L476" s="74"/>
      <c r="M476" s="137"/>
      <c r="N476" s="168"/>
      <c r="O476" s="33"/>
      <c r="P476" s="74"/>
      <c r="Q476" s="137"/>
    </row>
    <row r="477" spans="1:17" s="15" customFormat="1" ht="12.75" hidden="1" outlineLevel="2">
      <c r="A477" s="15" t="s">
        <v>1239</v>
      </c>
      <c r="B477" s="15" t="s">
        <v>1240</v>
      </c>
      <c r="C477" s="134" t="s">
        <v>1241</v>
      </c>
      <c r="D477" s="16"/>
      <c r="E477" s="16"/>
      <c r="F477" s="16">
        <v>1278980.88</v>
      </c>
      <c r="G477" s="16">
        <v>4302156.88</v>
      </c>
      <c r="H477" s="16">
        <f aca="true" t="shared" si="146" ref="H477:H490">+F477-G477</f>
        <v>-3023176</v>
      </c>
      <c r="I477" s="53">
        <f aca="true" t="shared" si="147" ref="I477:I490">IF(G477&lt;0,IF(H477=0,0,IF(OR(G477=0,F477=0),"N.M.",IF(ABS(H477/G477)&gt;=10,"N.M.",H477/(-G477)))),IF(H477=0,0,IF(OR(G477=0,F477=0),"N.M.",IF(ABS(H477/G477)&gt;=10,"N.M.",H477/G477))))</f>
        <v>-0.7027117058548549</v>
      </c>
      <c r="J477" s="174"/>
      <c r="K477" s="256">
        <v>1540844.88</v>
      </c>
      <c r="L477" s="16">
        <f>+F477-K477</f>
        <v>-261864</v>
      </c>
      <c r="M477" s="53" t="str">
        <f>IF(K477&lt;0,IF(L477=0,0,IF(OR(K477=0,N477=0),"N.M.",IF(ABS(L477/K477)&gt;=10,"N.M.",L477/(-K477)))),IF(L477=0,0,IF(OR(K477=0,N477=0),"N.M.",IF(ABS(L477/K477)&gt;=10,"N.M.",L477/K477))))</f>
        <v>N.M.</v>
      </c>
      <c r="N477" s="174"/>
      <c r="O477" s="256">
        <v>1786709.88</v>
      </c>
      <c r="P477" s="16">
        <f>+F477-O477</f>
        <v>-507729</v>
      </c>
      <c r="Q477" s="53">
        <f>IF(O477&lt;0,IF(P477=0,0,IF(OR(O477=0,F477=0),"N.M.",IF(ABS(P477/O477)&gt;=10,"N.M.",P477/(-O477)))),IF(P477=0,0,IF(OR(O477=0,F477=0),"N.M.",IF(ABS(P477/O477)&gt;=10,"N.M.",P477/O477))))</f>
        <v>-0.28416980601237846</v>
      </c>
    </row>
    <row r="478" spans="1:17" s="13" customFormat="1" ht="12.75" hidden="1" outlineLevel="1">
      <c r="A478" s="11" t="s">
        <v>289</v>
      </c>
      <c r="B478" s="11"/>
      <c r="C478" s="123" t="s">
        <v>229</v>
      </c>
      <c r="D478" s="18"/>
      <c r="E478" s="11"/>
      <c r="F478" s="18">
        <v>1278980.88</v>
      </c>
      <c r="G478" s="18">
        <v>4302156.88</v>
      </c>
      <c r="H478" s="51">
        <f t="shared" si="146"/>
        <v>-3023176</v>
      </c>
      <c r="I478" s="136">
        <f t="shared" si="147"/>
        <v>-0.7027117058548549</v>
      </c>
      <c r="J478" s="168"/>
      <c r="K478" s="18">
        <v>1540844.88</v>
      </c>
      <c r="L478" s="51">
        <f aca="true" t="shared" si="148" ref="L478:L490">+F478-K478</f>
        <v>-261864</v>
      </c>
      <c r="M478" s="136" t="str">
        <f aca="true" t="shared" si="149" ref="M478:M490">IF(K478&lt;0,IF(L478=0,0,IF(OR(K478=0,N478=0),"N.M.",IF(ABS(L478/K478)&gt;=10,"N.M.",L478/(-K478)))),IF(L478=0,0,IF(OR(K478=0,N478=0),"N.M.",IF(ABS(L478/K478)&gt;=10,"N.M.",L478/K478))))</f>
        <v>N.M.</v>
      </c>
      <c r="N478" s="168"/>
      <c r="O478" s="18">
        <v>1786709.88</v>
      </c>
      <c r="P478" s="51">
        <f aca="true" t="shared" si="150" ref="P478:P490">+F478-O478</f>
        <v>-507729</v>
      </c>
      <c r="Q478" s="136">
        <f aca="true" t="shared" si="151" ref="Q478:Q490">IF(O478&lt;0,IF(P478=0,0,IF(OR(O478=0,F478=0),"N.M.",IF(ABS(P478/O478)&gt;=10,"N.M.",P478/(-O478)))),IF(P478=0,0,IF(OR(O478=0,F478=0),"N.M.",IF(ABS(P478/O478)&gt;=10,"N.M.",P478/O478))))</f>
        <v>-0.28416980601237846</v>
      </c>
    </row>
    <row r="479" spans="1:17" s="13" customFormat="1" ht="12.75" hidden="1" outlineLevel="1">
      <c r="A479" s="11" t="s">
        <v>290</v>
      </c>
      <c r="B479" s="11"/>
      <c r="C479" s="123" t="s">
        <v>230</v>
      </c>
      <c r="D479" s="18"/>
      <c r="E479" s="11"/>
      <c r="F479" s="18">
        <v>0</v>
      </c>
      <c r="G479" s="18">
        <v>0</v>
      </c>
      <c r="H479" s="51">
        <f t="shared" si="146"/>
        <v>0</v>
      </c>
      <c r="I479" s="136">
        <f t="shared" si="147"/>
        <v>0</v>
      </c>
      <c r="J479" s="168"/>
      <c r="K479" s="18">
        <v>0</v>
      </c>
      <c r="L479" s="51">
        <f t="shared" si="148"/>
        <v>0</v>
      </c>
      <c r="M479" s="136">
        <f t="shared" si="149"/>
        <v>0</v>
      </c>
      <c r="N479" s="168"/>
      <c r="O479" s="18">
        <v>0</v>
      </c>
      <c r="P479" s="51">
        <f t="shared" si="150"/>
        <v>0</v>
      </c>
      <c r="Q479" s="136">
        <f t="shared" si="151"/>
        <v>0</v>
      </c>
    </row>
    <row r="480" spans="1:17" s="13" customFormat="1" ht="12.75" hidden="1" outlineLevel="1">
      <c r="A480" s="11" t="s">
        <v>291</v>
      </c>
      <c r="B480" s="11"/>
      <c r="C480" s="123" t="s">
        <v>231</v>
      </c>
      <c r="D480" s="18"/>
      <c r="E480" s="11"/>
      <c r="F480" s="18">
        <v>0</v>
      </c>
      <c r="G480" s="18">
        <v>0</v>
      </c>
      <c r="H480" s="51">
        <f t="shared" si="146"/>
        <v>0</v>
      </c>
      <c r="I480" s="136">
        <f t="shared" si="147"/>
        <v>0</v>
      </c>
      <c r="J480" s="168"/>
      <c r="K480" s="18">
        <v>0</v>
      </c>
      <c r="L480" s="51">
        <f t="shared" si="148"/>
        <v>0</v>
      </c>
      <c r="M480" s="136">
        <f t="shared" si="149"/>
        <v>0</v>
      </c>
      <c r="N480" s="168"/>
      <c r="O480" s="18">
        <v>0</v>
      </c>
      <c r="P480" s="51">
        <f t="shared" si="150"/>
        <v>0</v>
      </c>
      <c r="Q480" s="136">
        <f t="shared" si="151"/>
        <v>0</v>
      </c>
    </row>
    <row r="481" spans="1:17" s="15" customFormat="1" ht="12.75" hidden="1" outlineLevel="2">
      <c r="A481" s="15" t="s">
        <v>1242</v>
      </c>
      <c r="B481" s="15" t="s">
        <v>1243</v>
      </c>
      <c r="C481" s="134" t="s">
        <v>1244</v>
      </c>
      <c r="D481" s="16"/>
      <c r="E481" s="16"/>
      <c r="F481" s="16">
        <v>6804028.66</v>
      </c>
      <c r="G481" s="16">
        <v>10754774.84</v>
      </c>
      <c r="H481" s="16">
        <f t="shared" si="146"/>
        <v>-3950746.1799999997</v>
      </c>
      <c r="I481" s="53">
        <f t="shared" si="147"/>
        <v>-0.3673481071222501</v>
      </c>
      <c r="J481" s="174"/>
      <c r="K481" s="256">
        <v>6981446.9</v>
      </c>
      <c r="L481" s="16">
        <f>+F481-K481</f>
        <v>-177418.24000000022</v>
      </c>
      <c r="M481" s="53" t="str">
        <f>IF(K481&lt;0,IF(L481=0,0,IF(OR(K481=0,N481=0),"N.M.",IF(ABS(L481/K481)&gt;=10,"N.M.",L481/(-K481)))),IF(L481=0,0,IF(OR(K481=0,N481=0),"N.M.",IF(ABS(L481/K481)&gt;=10,"N.M.",L481/K481))))</f>
        <v>N.M.</v>
      </c>
      <c r="N481" s="174"/>
      <c r="O481" s="256">
        <v>8977202.37</v>
      </c>
      <c r="P481" s="16">
        <f>+F481-O481</f>
        <v>-2173173.709999999</v>
      </c>
      <c r="Q481" s="53">
        <f>IF(O481&lt;0,IF(P481=0,0,IF(OR(O481=0,F481=0),"N.M.",IF(ABS(P481/O481)&gt;=10,"N.M.",P481/(-O481)))),IF(P481=0,0,IF(OR(O481=0,F481=0),"N.M.",IF(ABS(P481/O481)&gt;=10,"N.M.",P481/O481))))</f>
        <v>-0.24207694339857008</v>
      </c>
    </row>
    <row r="482" spans="1:17" s="15" customFormat="1" ht="12.75" hidden="1" outlineLevel="2">
      <c r="A482" s="15" t="s">
        <v>1245</v>
      </c>
      <c r="B482" s="15" t="s">
        <v>1246</v>
      </c>
      <c r="C482" s="134" t="s">
        <v>1247</v>
      </c>
      <c r="D482" s="16"/>
      <c r="E482" s="16"/>
      <c r="F482" s="16">
        <v>367345</v>
      </c>
      <c r="G482" s="16">
        <v>0</v>
      </c>
      <c r="H482" s="16">
        <f t="shared" si="146"/>
        <v>367345</v>
      </c>
      <c r="I482" s="53" t="str">
        <f t="shared" si="147"/>
        <v>N.M.</v>
      </c>
      <c r="J482" s="174"/>
      <c r="K482" s="256">
        <v>914288</v>
      </c>
      <c r="L482" s="16">
        <f>+F482-K482</f>
        <v>-546943</v>
      </c>
      <c r="M482" s="53" t="str">
        <f>IF(K482&lt;0,IF(L482=0,0,IF(OR(K482=0,N482=0),"N.M.",IF(ABS(L482/K482)&gt;=10,"N.M.",L482/(-K482)))),IF(L482=0,0,IF(OR(K482=0,N482=0),"N.M.",IF(ABS(L482/K482)&gt;=10,"N.M.",L482/K482))))</f>
        <v>N.M.</v>
      </c>
      <c r="N482" s="174"/>
      <c r="O482" s="256">
        <v>0</v>
      </c>
      <c r="P482" s="16">
        <f>+F482-O482</f>
        <v>367345</v>
      </c>
      <c r="Q482" s="53" t="str">
        <f>IF(O482&lt;0,IF(P482=0,0,IF(OR(O482=0,F482=0),"N.M.",IF(ABS(P482/O482)&gt;=10,"N.M.",P482/(-O482)))),IF(P482=0,0,IF(OR(O482=0,F482=0),"N.M.",IF(ABS(P482/O482)&gt;=10,"N.M.",P482/O482))))</f>
        <v>N.M.</v>
      </c>
    </row>
    <row r="483" spans="1:17" s="15" customFormat="1" ht="12.75" hidden="1" outlineLevel="2">
      <c r="A483" s="15" t="s">
        <v>1248</v>
      </c>
      <c r="B483" s="15" t="s">
        <v>1249</v>
      </c>
      <c r="C483" s="134" t="s">
        <v>1250</v>
      </c>
      <c r="D483" s="16"/>
      <c r="E483" s="16"/>
      <c r="F483" s="16">
        <v>127467.73</v>
      </c>
      <c r="G483" s="16">
        <v>9154.36</v>
      </c>
      <c r="H483" s="16">
        <f t="shared" si="146"/>
        <v>118313.37</v>
      </c>
      <c r="I483" s="53" t="str">
        <f t="shared" si="147"/>
        <v>N.M.</v>
      </c>
      <c r="J483" s="174"/>
      <c r="K483" s="256">
        <v>90749.26</v>
      </c>
      <c r="L483" s="16">
        <f>+F483-K483</f>
        <v>36718.47</v>
      </c>
      <c r="M483" s="53" t="str">
        <f>IF(K483&lt;0,IF(L483=0,0,IF(OR(K483=0,N483=0),"N.M.",IF(ABS(L483/K483)&gt;=10,"N.M.",L483/(-K483)))),IF(L483=0,0,IF(OR(K483=0,N483=0),"N.M.",IF(ABS(L483/K483)&gt;=10,"N.M.",L483/K483))))</f>
        <v>N.M.</v>
      </c>
      <c r="N483" s="174"/>
      <c r="O483" s="256">
        <v>23529.72</v>
      </c>
      <c r="P483" s="16">
        <f>+F483-O483</f>
        <v>103938.01</v>
      </c>
      <c r="Q483" s="53">
        <f>IF(O483&lt;0,IF(P483=0,0,IF(OR(O483=0,F483=0),"N.M.",IF(ABS(P483/O483)&gt;=10,"N.M.",P483/(-O483)))),IF(P483=0,0,IF(OR(O483=0,F483=0),"N.M.",IF(ABS(P483/O483)&gt;=10,"N.M.",P483/O483))))</f>
        <v>4.417307558270986</v>
      </c>
    </row>
    <row r="484" spans="1:17" s="15" customFormat="1" ht="12.75" hidden="1" outlineLevel="2">
      <c r="A484" s="15" t="s">
        <v>1251</v>
      </c>
      <c r="B484" s="15" t="s">
        <v>1252</v>
      </c>
      <c r="C484" s="134" t="s">
        <v>1253</v>
      </c>
      <c r="D484" s="16"/>
      <c r="E484" s="16"/>
      <c r="F484" s="16">
        <v>564</v>
      </c>
      <c r="G484" s="16">
        <v>476</v>
      </c>
      <c r="H484" s="16">
        <f t="shared" si="146"/>
        <v>88</v>
      </c>
      <c r="I484" s="53">
        <f t="shared" si="147"/>
        <v>0.18487394957983194</v>
      </c>
      <c r="J484" s="174"/>
      <c r="K484" s="256">
        <v>560</v>
      </c>
      <c r="L484" s="16">
        <f>+F484-K484</f>
        <v>4</v>
      </c>
      <c r="M484" s="53" t="str">
        <f>IF(K484&lt;0,IF(L484=0,0,IF(OR(K484=0,N484=0),"N.M.",IF(ABS(L484/K484)&gt;=10,"N.M.",L484/(-K484)))),IF(L484=0,0,IF(OR(K484=0,N484=0),"N.M.",IF(ABS(L484/K484)&gt;=10,"N.M.",L484/K484))))</f>
        <v>N.M.</v>
      </c>
      <c r="N484" s="174"/>
      <c r="O484" s="256">
        <v>520</v>
      </c>
      <c r="P484" s="16">
        <f>+F484-O484</f>
        <v>44</v>
      </c>
      <c r="Q484" s="53">
        <f>IF(O484&lt;0,IF(P484=0,0,IF(OR(O484=0,F484=0),"N.M.",IF(ABS(P484/O484)&gt;=10,"N.M.",P484/(-O484)))),IF(P484=0,0,IF(OR(O484=0,F484=0),"N.M.",IF(ABS(P484/O484)&gt;=10,"N.M.",P484/O484))))</f>
        <v>0.08461538461538462</v>
      </c>
    </row>
    <row r="485" spans="1:17" s="13" customFormat="1" ht="12.75" hidden="1" outlineLevel="1">
      <c r="A485" s="11" t="s">
        <v>292</v>
      </c>
      <c r="B485" s="11"/>
      <c r="C485" s="123" t="s">
        <v>232</v>
      </c>
      <c r="D485" s="18"/>
      <c r="E485" s="11"/>
      <c r="F485" s="18">
        <v>7299405.390000001</v>
      </c>
      <c r="G485" s="18">
        <v>10764405.2</v>
      </c>
      <c r="H485" s="51">
        <f t="shared" si="146"/>
        <v>-3464999.8099999987</v>
      </c>
      <c r="I485" s="136">
        <f t="shared" si="147"/>
        <v>-0.3218942194780998</v>
      </c>
      <c r="J485" s="168"/>
      <c r="K485" s="18">
        <v>7987044.16</v>
      </c>
      <c r="L485" s="51">
        <f t="shared" si="148"/>
        <v>-687638.7699999996</v>
      </c>
      <c r="M485" s="136" t="str">
        <f t="shared" si="149"/>
        <v>N.M.</v>
      </c>
      <c r="N485" s="168"/>
      <c r="O485" s="18">
        <v>9001252.09</v>
      </c>
      <c r="P485" s="51">
        <f t="shared" si="150"/>
        <v>-1701846.6999999993</v>
      </c>
      <c r="Q485" s="136">
        <f t="shared" si="151"/>
        <v>-0.18906777445891967</v>
      </c>
    </row>
    <row r="486" spans="1:17" s="15" customFormat="1" ht="12.75" hidden="1" outlineLevel="2">
      <c r="A486" s="15" t="s">
        <v>1254</v>
      </c>
      <c r="B486" s="15" t="s">
        <v>1255</v>
      </c>
      <c r="C486" s="134" t="s">
        <v>1256</v>
      </c>
      <c r="D486" s="16"/>
      <c r="E486" s="16"/>
      <c r="F486" s="16">
        <v>597958.3</v>
      </c>
      <c r="G486" s="16">
        <v>987732.3</v>
      </c>
      <c r="H486" s="16">
        <f t="shared" si="146"/>
        <v>-389774</v>
      </c>
      <c r="I486" s="53">
        <f t="shared" si="147"/>
        <v>-0.3946150186644701</v>
      </c>
      <c r="J486" s="174"/>
      <c r="K486" s="256">
        <v>629559</v>
      </c>
      <c r="L486" s="16">
        <f>+F486-K486</f>
        <v>-31600.699999999953</v>
      </c>
      <c r="M486" s="53" t="str">
        <f>IF(K486&lt;0,IF(L486=0,0,IF(OR(K486=0,N486=0),"N.M.",IF(ABS(L486/K486)&gt;=10,"N.M.",L486/(-K486)))),IF(L486=0,0,IF(OR(K486=0,N486=0),"N.M.",IF(ABS(L486/K486)&gt;=10,"N.M.",L486/K486))))</f>
        <v>N.M.</v>
      </c>
      <c r="N486" s="174"/>
      <c r="O486" s="256">
        <v>913965.23</v>
      </c>
      <c r="P486" s="16">
        <f>+F486-O486</f>
        <v>-316006.92999999993</v>
      </c>
      <c r="Q486" s="53">
        <f>IF(O486&lt;0,IF(P486=0,0,IF(OR(O486=0,F486=0),"N.M.",IF(ABS(P486/O486)&gt;=10,"N.M.",P486/(-O486)))),IF(P486=0,0,IF(OR(O486=0,F486=0),"N.M.",IF(ABS(P486/O486)&gt;=10,"N.M.",P486/O486))))</f>
        <v>-0.3457537766507813</v>
      </c>
    </row>
    <row r="487" spans="1:17" s="15" customFormat="1" ht="12.75" hidden="1" outlineLevel="2">
      <c r="A487" s="15" t="s">
        <v>1257</v>
      </c>
      <c r="B487" s="15" t="s">
        <v>1258</v>
      </c>
      <c r="C487" s="134" t="s">
        <v>1259</v>
      </c>
      <c r="D487" s="16"/>
      <c r="E487" s="16"/>
      <c r="F487" s="16">
        <v>1115106.13</v>
      </c>
      <c r="G487" s="16">
        <v>1268961.52</v>
      </c>
      <c r="H487" s="16">
        <f t="shared" si="146"/>
        <v>-153855.39000000013</v>
      </c>
      <c r="I487" s="53">
        <f t="shared" si="147"/>
        <v>-0.12124511860690632</v>
      </c>
      <c r="J487" s="174"/>
      <c r="K487" s="256">
        <v>1126404.6</v>
      </c>
      <c r="L487" s="16">
        <f>+F487-K487</f>
        <v>-11298.470000000205</v>
      </c>
      <c r="M487" s="53" t="str">
        <f>IF(K487&lt;0,IF(L487=0,0,IF(OR(K487=0,N487=0),"N.M.",IF(ABS(L487/K487)&gt;=10,"N.M.",L487/(-K487)))),IF(L487=0,0,IF(OR(K487=0,N487=0),"N.M.",IF(ABS(L487/K487)&gt;=10,"N.M.",L487/K487))))</f>
        <v>N.M.</v>
      </c>
      <c r="N487" s="174"/>
      <c r="O487" s="256">
        <v>1228090.75</v>
      </c>
      <c r="P487" s="16">
        <f>+F487-O487</f>
        <v>-112984.62000000011</v>
      </c>
      <c r="Q487" s="53">
        <f>IF(O487&lt;0,IF(P487=0,0,IF(OR(O487=0,F487=0),"N.M.",IF(ABS(P487/O487)&gt;=10,"N.M.",P487/(-O487)))),IF(P487=0,0,IF(OR(O487=0,F487=0),"N.M.",IF(ABS(P487/O487)&gt;=10,"N.M.",P487/O487))))</f>
        <v>-0.09200022066773168</v>
      </c>
    </row>
    <row r="488" spans="1:17" s="13" customFormat="1" ht="12.75" hidden="1" outlineLevel="1">
      <c r="A488" s="11" t="s">
        <v>293</v>
      </c>
      <c r="B488" s="11"/>
      <c r="C488" s="123" t="s">
        <v>233</v>
      </c>
      <c r="D488" s="18"/>
      <c r="E488" s="11"/>
      <c r="F488" s="18">
        <v>1713064.43</v>
      </c>
      <c r="G488" s="18">
        <v>2256693.8200000003</v>
      </c>
      <c r="H488" s="51">
        <f t="shared" si="146"/>
        <v>-543629.3900000004</v>
      </c>
      <c r="I488" s="136">
        <f t="shared" si="147"/>
        <v>-0.24089638797344706</v>
      </c>
      <c r="J488" s="168"/>
      <c r="K488" s="18">
        <v>1755963.6</v>
      </c>
      <c r="L488" s="51">
        <f t="shared" si="148"/>
        <v>-42899.17000000016</v>
      </c>
      <c r="M488" s="136" t="str">
        <f t="shared" si="149"/>
        <v>N.M.</v>
      </c>
      <c r="N488" s="168"/>
      <c r="O488" s="18">
        <v>2142055.98</v>
      </c>
      <c r="P488" s="51">
        <f t="shared" si="150"/>
        <v>-428991.55000000005</v>
      </c>
      <c r="Q488" s="136">
        <f t="shared" si="151"/>
        <v>-0.2002709331620736</v>
      </c>
    </row>
    <row r="489" spans="1:17" s="13" customFormat="1" ht="12.75" hidden="1" outlineLevel="1">
      <c r="A489" s="11" t="s">
        <v>294</v>
      </c>
      <c r="B489" s="11"/>
      <c r="C489" s="123" t="s">
        <v>234</v>
      </c>
      <c r="D489" s="18"/>
      <c r="E489" s="11"/>
      <c r="F489" s="18">
        <v>0</v>
      </c>
      <c r="G489" s="18">
        <v>0</v>
      </c>
      <c r="H489" s="51">
        <f t="shared" si="146"/>
        <v>0</v>
      </c>
      <c r="I489" s="136">
        <f t="shared" si="147"/>
        <v>0</v>
      </c>
      <c r="J489" s="168"/>
      <c r="K489" s="18">
        <v>0</v>
      </c>
      <c r="L489" s="51">
        <f t="shared" si="148"/>
        <v>0</v>
      </c>
      <c r="M489" s="136">
        <f t="shared" si="149"/>
        <v>0</v>
      </c>
      <c r="N489" s="168"/>
      <c r="O489" s="18">
        <v>0</v>
      </c>
      <c r="P489" s="51">
        <f t="shared" si="150"/>
        <v>0</v>
      </c>
      <c r="Q489" s="136">
        <f t="shared" si="151"/>
        <v>0</v>
      </c>
    </row>
    <row r="490" spans="1:17" s="13" customFormat="1" ht="12.75" collapsed="1">
      <c r="A490" s="13" t="s">
        <v>346</v>
      </c>
      <c r="C490" s="110" t="s">
        <v>220</v>
      </c>
      <c r="D490" s="33"/>
      <c r="F490" s="33">
        <v>10291450.7</v>
      </c>
      <c r="G490" s="33">
        <v>17323255.9</v>
      </c>
      <c r="H490" s="74">
        <f t="shared" si="146"/>
        <v>-7031805.199999999</v>
      </c>
      <c r="I490" s="137">
        <f t="shared" si="147"/>
        <v>-0.4059170655096078</v>
      </c>
      <c r="J490" s="168"/>
      <c r="K490" s="33">
        <v>11283852.639999999</v>
      </c>
      <c r="L490" s="74">
        <f t="shared" si="148"/>
        <v>-992401.9399999995</v>
      </c>
      <c r="M490" s="137" t="str">
        <f t="shared" si="149"/>
        <v>N.M.</v>
      </c>
      <c r="N490" s="168"/>
      <c r="O490" s="33">
        <v>12930017.95</v>
      </c>
      <c r="P490" s="74">
        <f t="shared" si="150"/>
        <v>-2638567.25</v>
      </c>
      <c r="Q490" s="137">
        <f t="shared" si="151"/>
        <v>-0.20406524261631054</v>
      </c>
    </row>
    <row r="491" spans="3:17" ht="12.75">
      <c r="C491" s="126"/>
      <c r="E491" s="11"/>
      <c r="H491" s="18"/>
      <c r="I491" s="141"/>
      <c r="J491" s="166"/>
      <c r="K491" s="18"/>
      <c r="L491" s="18"/>
      <c r="M491" s="141"/>
      <c r="N491" s="166"/>
      <c r="O491" s="18"/>
      <c r="P491" s="18"/>
      <c r="Q491" s="141"/>
    </row>
    <row r="492" spans="3:17" ht="0.75" customHeight="1" hidden="1" outlineLevel="1">
      <c r="C492" s="126"/>
      <c r="E492" s="11"/>
      <c r="H492" s="18"/>
      <c r="I492" s="141"/>
      <c r="J492" s="166"/>
      <c r="K492" s="18"/>
      <c r="L492" s="18"/>
      <c r="M492" s="141"/>
      <c r="N492" s="166"/>
      <c r="O492" s="18"/>
      <c r="P492" s="18"/>
      <c r="Q492" s="141"/>
    </row>
    <row r="493" spans="1:17" s="15" customFormat="1" ht="12.75" hidden="1" outlineLevel="2">
      <c r="A493" s="15" t="s">
        <v>1260</v>
      </c>
      <c r="B493" s="15" t="s">
        <v>1261</v>
      </c>
      <c r="C493" s="134" t="s">
        <v>1262</v>
      </c>
      <c r="D493" s="16"/>
      <c r="E493" s="16"/>
      <c r="F493" s="16">
        <v>6663478</v>
      </c>
      <c r="G493" s="16">
        <v>6781313.26</v>
      </c>
      <c r="H493" s="16">
        <f aca="true" t="shared" si="152" ref="H493:H498">+F493-G493</f>
        <v>-117835.25999999978</v>
      </c>
      <c r="I493" s="53">
        <f aca="true" t="shared" si="153" ref="I493:I498">IF(G493&lt;0,IF(H493=0,0,IF(OR(G493=0,F493=0),"N.M.",IF(ABS(H493/G493)&gt;=10,"N.M.",H493/(-G493)))),IF(H493=0,0,IF(OR(G493=0,F493=0),"N.M.",IF(ABS(H493/G493)&gt;=10,"N.M.",H493/G493))))</f>
        <v>-0.017376466103558204</v>
      </c>
      <c r="J493" s="174"/>
      <c r="K493" s="256">
        <v>7625544.14</v>
      </c>
      <c r="L493" s="16">
        <f aca="true" t="shared" si="154" ref="L493:L498">+F493-K493</f>
        <v>-962066.1399999997</v>
      </c>
      <c r="M493" s="53" t="str">
        <f aca="true" t="shared" si="155" ref="M493:M498">IF(K493&lt;0,IF(L493=0,0,IF(OR(K493=0,N493=0),"N.M.",IF(ABS(L493/K493)&gt;=10,"N.M.",L493/(-K493)))),IF(L493=0,0,IF(OR(K493=0,N493=0),"N.M.",IF(ABS(L493/K493)&gt;=10,"N.M.",L493/K493))))</f>
        <v>N.M.</v>
      </c>
      <c r="N493" s="174"/>
      <c r="O493" s="256">
        <v>6097603.01</v>
      </c>
      <c r="P493" s="16">
        <f aca="true" t="shared" si="156" ref="P493:P498">+F493-O493</f>
        <v>565874.9900000002</v>
      </c>
      <c r="Q493" s="53">
        <f aca="true" t="shared" si="157" ref="Q493:Q498">IF(O493&lt;0,IF(P493=0,0,IF(OR(O493=0,F493=0),"N.M.",IF(ABS(P493/O493)&gt;=10,"N.M.",P493/(-O493)))),IF(P493=0,0,IF(OR(O493=0,F493=0),"N.M.",IF(ABS(P493/O493)&gt;=10,"N.M.",P493/O493))))</f>
        <v>0.0928028586105018</v>
      </c>
    </row>
    <row r="494" spans="1:17" s="15" customFormat="1" ht="12.75" hidden="1" outlineLevel="2">
      <c r="A494" s="15" t="s">
        <v>1263</v>
      </c>
      <c r="B494" s="15" t="s">
        <v>1264</v>
      </c>
      <c r="C494" s="134" t="s">
        <v>1265</v>
      </c>
      <c r="D494" s="16"/>
      <c r="E494" s="16"/>
      <c r="F494" s="16">
        <v>16200</v>
      </c>
      <c r="G494" s="16">
        <v>194272.74</v>
      </c>
      <c r="H494" s="16">
        <f t="shared" si="152"/>
        <v>-178072.74</v>
      </c>
      <c r="I494" s="53">
        <f t="shared" si="153"/>
        <v>-0.9166120784624749</v>
      </c>
      <c r="J494" s="174"/>
      <c r="K494" s="256">
        <v>24454</v>
      </c>
      <c r="L494" s="16">
        <f t="shared" si="154"/>
        <v>-8254</v>
      </c>
      <c r="M494" s="53" t="str">
        <f t="shared" si="155"/>
        <v>N.M.</v>
      </c>
      <c r="N494" s="174"/>
      <c r="O494" s="256">
        <v>297632</v>
      </c>
      <c r="P494" s="16">
        <f t="shared" si="156"/>
        <v>-281432</v>
      </c>
      <c r="Q494" s="53">
        <f t="shared" si="157"/>
        <v>-0.9455703687775509</v>
      </c>
    </row>
    <row r="495" spans="1:17" s="15" customFormat="1" ht="12.75" hidden="1" outlineLevel="2">
      <c r="A495" s="15" t="s">
        <v>1266</v>
      </c>
      <c r="B495" s="15" t="s">
        <v>1267</v>
      </c>
      <c r="C495" s="134" t="s">
        <v>1268</v>
      </c>
      <c r="D495" s="16"/>
      <c r="E495" s="16"/>
      <c r="F495" s="16">
        <v>13053.78</v>
      </c>
      <c r="G495" s="16">
        <v>5789.4400000000005</v>
      </c>
      <c r="H495" s="16">
        <f t="shared" si="152"/>
        <v>7264.34</v>
      </c>
      <c r="I495" s="53">
        <f t="shared" si="153"/>
        <v>1.2547569367676321</v>
      </c>
      <c r="J495" s="174"/>
      <c r="K495" s="256">
        <v>6905.37</v>
      </c>
      <c r="L495" s="16">
        <f t="shared" si="154"/>
        <v>6148.410000000001</v>
      </c>
      <c r="M495" s="53" t="str">
        <f t="shared" si="155"/>
        <v>N.M.</v>
      </c>
      <c r="N495" s="174"/>
      <c r="O495" s="256">
        <v>0</v>
      </c>
      <c r="P495" s="16">
        <f t="shared" si="156"/>
        <v>13053.78</v>
      </c>
      <c r="Q495" s="53" t="str">
        <f t="shared" si="157"/>
        <v>N.M.</v>
      </c>
    </row>
    <row r="496" spans="1:17" s="15" customFormat="1" ht="12.75" hidden="1" outlineLevel="2">
      <c r="A496" s="15" t="s">
        <v>1269</v>
      </c>
      <c r="B496" s="15" t="s">
        <v>1270</v>
      </c>
      <c r="C496" s="134" t="s">
        <v>1271</v>
      </c>
      <c r="D496" s="16"/>
      <c r="E496" s="16"/>
      <c r="F496" s="16">
        <v>-3098535</v>
      </c>
      <c r="G496" s="16">
        <v>-2670965</v>
      </c>
      <c r="H496" s="16">
        <f t="shared" si="152"/>
        <v>-427570</v>
      </c>
      <c r="I496" s="53">
        <f t="shared" si="153"/>
        <v>-0.1600807198896279</v>
      </c>
      <c r="J496" s="174"/>
      <c r="K496" s="256">
        <v>-4321309</v>
      </c>
      <c r="L496" s="16">
        <f t="shared" si="154"/>
        <v>1222774</v>
      </c>
      <c r="M496" s="53" t="str">
        <f t="shared" si="155"/>
        <v>N.M.</v>
      </c>
      <c r="N496" s="174"/>
      <c r="O496" s="256">
        <v>-2310049</v>
      </c>
      <c r="P496" s="16">
        <f t="shared" si="156"/>
        <v>-788486</v>
      </c>
      <c r="Q496" s="53">
        <f t="shared" si="157"/>
        <v>-0.34132869043037617</v>
      </c>
    </row>
    <row r="497" spans="1:17" s="15" customFormat="1" ht="12.75" hidden="1" outlineLevel="2">
      <c r="A497" s="15" t="s">
        <v>1272</v>
      </c>
      <c r="B497" s="15" t="s">
        <v>1273</v>
      </c>
      <c r="C497" s="134" t="s">
        <v>1274</v>
      </c>
      <c r="D497" s="16"/>
      <c r="E497" s="16"/>
      <c r="F497" s="16">
        <v>22769</v>
      </c>
      <c r="G497" s="16">
        <v>138253</v>
      </c>
      <c r="H497" s="16">
        <f t="shared" si="152"/>
        <v>-115484</v>
      </c>
      <c r="I497" s="53">
        <f t="shared" si="153"/>
        <v>-0.835309179547641</v>
      </c>
      <c r="J497" s="174"/>
      <c r="K497" s="256">
        <v>40523</v>
      </c>
      <c r="L497" s="16">
        <f t="shared" si="154"/>
        <v>-17754</v>
      </c>
      <c r="M497" s="53" t="str">
        <f t="shared" si="155"/>
        <v>N.M.</v>
      </c>
      <c r="N497" s="174"/>
      <c r="O497" s="256">
        <v>16187</v>
      </c>
      <c r="P497" s="16">
        <f t="shared" si="156"/>
        <v>6582</v>
      </c>
      <c r="Q497" s="53">
        <f t="shared" si="157"/>
        <v>0.4066225983814172</v>
      </c>
    </row>
    <row r="498" spans="1:17" ht="12.75" collapsed="1">
      <c r="A498" s="11" t="s">
        <v>295</v>
      </c>
      <c r="C498" s="128" t="s">
        <v>221</v>
      </c>
      <c r="E498" s="11"/>
      <c r="F498" s="18">
        <v>3616965.7800000003</v>
      </c>
      <c r="G498" s="18">
        <v>4448663.44</v>
      </c>
      <c r="H498" s="51">
        <f t="shared" si="152"/>
        <v>-831697.6600000001</v>
      </c>
      <c r="I498" s="136">
        <f t="shared" si="153"/>
        <v>-0.18695450245163975</v>
      </c>
      <c r="J498" s="166"/>
      <c r="K498" s="18">
        <v>3376117.51</v>
      </c>
      <c r="L498" s="51">
        <f t="shared" si="154"/>
        <v>240848.27000000048</v>
      </c>
      <c r="M498" s="136" t="str">
        <f t="shared" si="155"/>
        <v>N.M.</v>
      </c>
      <c r="N498" s="166"/>
      <c r="O498" s="18">
        <v>4101373.01</v>
      </c>
      <c r="P498" s="51">
        <f t="shared" si="156"/>
        <v>-484407.2299999995</v>
      </c>
      <c r="Q498" s="136">
        <f t="shared" si="157"/>
        <v>-0.11810855262833056</v>
      </c>
    </row>
    <row r="499" spans="3:17" ht="0.75" customHeight="1" hidden="1" outlineLevel="1">
      <c r="C499" s="128"/>
      <c r="E499" s="11"/>
      <c r="H499" s="51"/>
      <c r="I499" s="136"/>
      <c r="J499" s="166"/>
      <c r="K499" s="18"/>
      <c r="L499" s="51"/>
      <c r="M499" s="136"/>
      <c r="N499" s="166"/>
      <c r="O499" s="18"/>
      <c r="P499" s="51"/>
      <c r="Q499" s="136"/>
    </row>
    <row r="500" spans="1:17" s="15" customFormat="1" ht="12.75" hidden="1" outlineLevel="2">
      <c r="A500" s="15" t="s">
        <v>1275</v>
      </c>
      <c r="B500" s="15" t="s">
        <v>1276</v>
      </c>
      <c r="C500" s="134" t="s">
        <v>1277</v>
      </c>
      <c r="D500" s="16"/>
      <c r="E500" s="16"/>
      <c r="F500" s="16">
        <v>62895.1</v>
      </c>
      <c r="G500" s="16">
        <v>57712.43</v>
      </c>
      <c r="H500" s="16">
        <f>+F500-G500</f>
        <v>5182.669999999998</v>
      </c>
      <c r="I500" s="53">
        <f>IF(G500&lt;0,IF(H500=0,0,IF(OR(G500=0,F500=0),"N.M.",IF(ABS(H500/G500)&gt;=10,"N.M.",H500/(-G500)))),IF(H500=0,0,IF(OR(G500=0,F500=0),"N.M.",IF(ABS(H500/G500)&gt;=10,"N.M.",H500/G500))))</f>
        <v>0.08980162505720168</v>
      </c>
      <c r="J500" s="174"/>
      <c r="K500" s="256">
        <v>50431.270000000004</v>
      </c>
      <c r="L500" s="16">
        <f>+F500-K500</f>
        <v>12463.829999999994</v>
      </c>
      <c r="M500" s="53" t="str">
        <f>IF(K500&lt;0,IF(L500=0,0,IF(OR(K500=0,N500=0),"N.M.",IF(ABS(L500/K500)&gt;=10,"N.M.",L500/(-K500)))),IF(L500=0,0,IF(OR(K500=0,N500=0),"N.M.",IF(ABS(L500/K500)&gt;=10,"N.M.",L500/K500))))</f>
        <v>N.M.</v>
      </c>
      <c r="N500" s="174"/>
      <c r="O500" s="256">
        <v>55422.520000000004</v>
      </c>
      <c r="P500" s="16">
        <f>+F500-O500</f>
        <v>7472.5799999999945</v>
      </c>
      <c r="Q500" s="53">
        <f>IF(O500&lt;0,IF(P500=0,0,IF(OR(O500=0,F500=0),"N.M.",IF(ABS(P500/O500)&gt;=10,"N.M.",P500/(-O500)))),IF(P500=0,0,IF(OR(O500=0,F500=0),"N.M.",IF(ABS(P500/O500)&gt;=10,"N.M.",P500/O500))))</f>
        <v>0.13482930765327875</v>
      </c>
    </row>
    <row r="501" spans="1:17" ht="12.75" collapsed="1">
      <c r="A501" s="11" t="s">
        <v>296</v>
      </c>
      <c r="C501" s="128" t="s">
        <v>222</v>
      </c>
      <c r="E501" s="11"/>
      <c r="F501" s="18">
        <v>62895.1</v>
      </c>
      <c r="G501" s="18">
        <v>57712.43</v>
      </c>
      <c r="H501" s="51">
        <f>+F501-G501</f>
        <v>5182.669999999998</v>
      </c>
      <c r="I501" s="136">
        <f>IF(G501&lt;0,IF(H501=0,0,IF(OR(G501=0,F501=0),"N.M.",IF(ABS(H501/G501)&gt;=10,"N.M.",H501/(-G501)))),IF(H501=0,0,IF(OR(G501=0,F501=0),"N.M.",IF(ABS(H501/G501)&gt;=10,"N.M.",H501/G501))))</f>
        <v>0.08980162505720168</v>
      </c>
      <c r="J501" s="166"/>
      <c r="K501" s="18">
        <v>50431.270000000004</v>
      </c>
      <c r="L501" s="51">
        <f>+F501-K501</f>
        <v>12463.829999999994</v>
      </c>
      <c r="M501" s="136" t="str">
        <f>IF(K501&lt;0,IF(L501=0,0,IF(OR(K501=0,N501=0),"N.M.",IF(ABS(L501/K501)&gt;=10,"N.M.",L501/(-K501)))),IF(L501=0,0,IF(OR(K501=0,N501=0),"N.M.",IF(ABS(L501/K501)&gt;=10,"N.M.",L501/K501))))</f>
        <v>N.M.</v>
      </c>
      <c r="N501" s="166"/>
      <c r="O501" s="18">
        <v>55422.520000000004</v>
      </c>
      <c r="P501" s="51">
        <f>+F501-O501</f>
        <v>7472.5799999999945</v>
      </c>
      <c r="Q501" s="136">
        <f>IF(O501&lt;0,IF(P501=0,0,IF(OR(O501=0,F501=0),"N.M.",IF(ABS(P501/O501)&gt;=10,"N.M.",P501/(-O501)))),IF(P501=0,0,IF(OR(O501=0,F501=0),"N.M.",IF(ABS(P501/O501)&gt;=10,"N.M.",P501/O501))))</f>
        <v>0.13482930765327875</v>
      </c>
    </row>
    <row r="502" spans="3:17" ht="0.75" customHeight="1" hidden="1" outlineLevel="1">
      <c r="C502" s="128"/>
      <c r="E502" s="11"/>
      <c r="H502" s="51"/>
      <c r="I502" s="136"/>
      <c r="J502" s="166"/>
      <c r="K502" s="18"/>
      <c r="L502" s="51"/>
      <c r="M502" s="136"/>
      <c r="N502" s="166"/>
      <c r="O502" s="18"/>
      <c r="P502" s="51"/>
      <c r="Q502" s="136"/>
    </row>
    <row r="503" spans="1:17" ht="12.75" collapsed="1">
      <c r="A503" s="11" t="s">
        <v>297</v>
      </c>
      <c r="C503" s="128" t="s">
        <v>223</v>
      </c>
      <c r="E503" s="11"/>
      <c r="F503" s="18">
        <v>0</v>
      </c>
      <c r="G503" s="18">
        <v>0</v>
      </c>
      <c r="H503" s="51">
        <f>+F503-G503</f>
        <v>0</v>
      </c>
      <c r="I503" s="136">
        <f>IF(G503&lt;0,IF(H503=0,0,IF(OR(G503=0,F503=0),"N.M.",IF(ABS(H503/G503)&gt;=10,"N.M.",H503/(-G503)))),IF(H503=0,0,IF(OR(G503=0,F503=0),"N.M.",IF(ABS(H503/G503)&gt;=10,"N.M.",H503/G503))))</f>
        <v>0</v>
      </c>
      <c r="J503" s="166"/>
      <c r="K503" s="18">
        <v>0</v>
      </c>
      <c r="L503" s="51">
        <f>+F503-K503</f>
        <v>0</v>
      </c>
      <c r="M503" s="136">
        <f>IF(K503&lt;0,IF(L503=0,0,IF(OR(K503=0,N503=0),"N.M.",IF(ABS(L503/K503)&gt;=10,"N.M.",L503/(-K503)))),IF(L503=0,0,IF(OR(K503=0,N503=0),"N.M.",IF(ABS(L503/K503)&gt;=10,"N.M.",L503/K503))))</f>
        <v>0</v>
      </c>
      <c r="N503" s="166"/>
      <c r="O503" s="18">
        <v>0</v>
      </c>
      <c r="P503" s="51">
        <f>+F503-O503</f>
        <v>0</v>
      </c>
      <c r="Q503" s="136">
        <f>IF(O503&lt;0,IF(P503=0,0,IF(OR(O503=0,F503=0),"N.M.",IF(ABS(P503/O503)&gt;=10,"N.M.",P503/(-O503)))),IF(P503=0,0,IF(OR(O503=0,F503=0),"N.M.",IF(ABS(P503/O503)&gt;=10,"N.M.",P503/O503))))</f>
        <v>0</v>
      </c>
    </row>
    <row r="504" spans="3:17" ht="0.75" customHeight="1" hidden="1" outlineLevel="1">
      <c r="C504" s="128"/>
      <c r="E504" s="11"/>
      <c r="H504" s="51"/>
      <c r="I504" s="136"/>
      <c r="J504" s="166"/>
      <c r="K504" s="18"/>
      <c r="L504" s="51"/>
      <c r="M504" s="136"/>
      <c r="N504" s="166"/>
      <c r="O504" s="18"/>
      <c r="P504" s="51"/>
      <c r="Q504" s="136"/>
    </row>
    <row r="505" spans="1:17" ht="12.75" collapsed="1">
      <c r="A505" s="11" t="s">
        <v>298</v>
      </c>
      <c r="C505" s="128" t="s">
        <v>224</v>
      </c>
      <c r="E505" s="11"/>
      <c r="F505" s="18">
        <v>0</v>
      </c>
      <c r="G505" s="18">
        <v>0</v>
      </c>
      <c r="H505" s="51">
        <f>+F505-G505</f>
        <v>0</v>
      </c>
      <c r="I505" s="136">
        <f>IF(G505&lt;0,IF(H505=0,0,IF(OR(G505=0,F505=0),"N.M.",IF(ABS(H505/G505)&gt;=10,"N.M.",H505/(-G505)))),IF(H505=0,0,IF(OR(G505=0,F505=0),"N.M.",IF(ABS(H505/G505)&gt;=10,"N.M.",H505/G505))))</f>
        <v>0</v>
      </c>
      <c r="J505" s="166"/>
      <c r="K505" s="18">
        <v>0</v>
      </c>
      <c r="L505" s="51">
        <f>+F505-K505</f>
        <v>0</v>
      </c>
      <c r="M505" s="136">
        <f>IF(K505&lt;0,IF(L505=0,0,IF(OR(K505=0,N505=0),"N.M.",IF(ABS(L505/K505)&gt;=10,"N.M.",L505/(-K505)))),IF(L505=0,0,IF(OR(K505=0,N505=0),"N.M.",IF(ABS(L505/K505)&gt;=10,"N.M.",L505/K505))))</f>
        <v>0</v>
      </c>
      <c r="N505" s="166"/>
      <c r="O505" s="18">
        <v>0</v>
      </c>
      <c r="P505" s="51">
        <f>+F505-O505</f>
        <v>0</v>
      </c>
      <c r="Q505" s="136">
        <f>IF(O505&lt;0,IF(P505=0,0,IF(OR(O505=0,F505=0),"N.M.",IF(ABS(P505/O505)&gt;=10,"N.M.",P505/(-O505)))),IF(P505=0,0,IF(OR(O505=0,F505=0),"N.M.",IF(ABS(P505/O505)&gt;=10,"N.M.",P505/O505))))</f>
        <v>0</v>
      </c>
    </row>
    <row r="506" spans="3:17" ht="0.75" customHeight="1" hidden="1" outlineLevel="1">
      <c r="C506" s="128"/>
      <c r="E506" s="11"/>
      <c r="H506" s="51"/>
      <c r="I506" s="136"/>
      <c r="J506" s="166"/>
      <c r="K506" s="18"/>
      <c r="L506" s="51"/>
      <c r="M506" s="136"/>
      <c r="N506" s="166"/>
      <c r="O506" s="18"/>
      <c r="P506" s="51"/>
      <c r="Q506" s="136"/>
    </row>
    <row r="507" spans="1:17" s="15" customFormat="1" ht="12.75" hidden="1" outlineLevel="2">
      <c r="A507" s="15" t="s">
        <v>1278</v>
      </c>
      <c r="B507" s="15" t="s">
        <v>1279</v>
      </c>
      <c r="C507" s="134" t="s">
        <v>225</v>
      </c>
      <c r="D507" s="16"/>
      <c r="E507" s="16"/>
      <c r="F507" s="16">
        <v>295032.14</v>
      </c>
      <c r="G507" s="16">
        <v>293026.86</v>
      </c>
      <c r="H507" s="16">
        <f aca="true" t="shared" si="158" ref="H507:H517">+F507-G507</f>
        <v>2005.280000000028</v>
      </c>
      <c r="I507" s="53">
        <f aca="true" t="shared" si="159" ref="I507:I517">IF(G507&lt;0,IF(H507=0,0,IF(OR(G507=0,F507=0),"N.M.",IF(ABS(H507/G507)&gt;=10,"N.M.",H507/(-G507)))),IF(H507=0,0,IF(OR(G507=0,F507=0),"N.M.",IF(ABS(H507/G507)&gt;=10,"N.M.",H507/G507))))</f>
        <v>0.006843331700036058</v>
      </c>
      <c r="J507" s="174"/>
      <c r="K507" s="256">
        <v>295032.14</v>
      </c>
      <c r="L507" s="16">
        <f aca="true" t="shared" si="160" ref="L507:L517">+F507-K507</f>
        <v>0</v>
      </c>
      <c r="M507" s="53">
        <f aca="true" t="shared" si="161" ref="M507:M517">IF(K507&lt;0,IF(L507=0,0,IF(OR(K507=0,N507=0),"N.M.",IF(ABS(L507/K507)&gt;=10,"N.M.",L507/(-K507)))),IF(L507=0,0,IF(OR(K507=0,N507=0),"N.M.",IF(ABS(L507/K507)&gt;=10,"N.M.",L507/K507))))</f>
        <v>0</v>
      </c>
      <c r="N507" s="174"/>
      <c r="O507" s="256">
        <v>295032.14</v>
      </c>
      <c r="P507" s="16">
        <f aca="true" t="shared" si="162" ref="P507:P517">+F507-O507</f>
        <v>0</v>
      </c>
      <c r="Q507" s="53">
        <f aca="true" t="shared" si="163" ref="Q507:Q517">IF(O507&lt;0,IF(P507=0,0,IF(OR(O507=0,F507=0),"N.M.",IF(ABS(P507/O507)&gt;=10,"N.M.",P507/(-O507)))),IF(P507=0,0,IF(OR(O507=0,F507=0),"N.M.",IF(ABS(P507/O507)&gt;=10,"N.M.",P507/O507))))</f>
        <v>0</v>
      </c>
    </row>
    <row r="508" spans="1:17" s="15" customFormat="1" ht="12.75" hidden="1" outlineLevel="2">
      <c r="A508" s="15" t="s">
        <v>1280</v>
      </c>
      <c r="B508" s="15" t="s">
        <v>1281</v>
      </c>
      <c r="C508" s="134" t="s">
        <v>1282</v>
      </c>
      <c r="D508" s="16"/>
      <c r="E508" s="16"/>
      <c r="F508" s="16">
        <v>980242.3200000001</v>
      </c>
      <c r="G508" s="16">
        <v>1445040.05</v>
      </c>
      <c r="H508" s="16">
        <f t="shared" si="158"/>
        <v>-464797.73</v>
      </c>
      <c r="I508" s="53">
        <f t="shared" si="159"/>
        <v>-0.3216504137722688</v>
      </c>
      <c r="J508" s="174"/>
      <c r="K508" s="256">
        <v>854587.9</v>
      </c>
      <c r="L508" s="16">
        <f t="shared" si="160"/>
        <v>125654.42000000004</v>
      </c>
      <c r="M508" s="53" t="str">
        <f t="shared" si="161"/>
        <v>N.M.</v>
      </c>
      <c r="N508" s="174"/>
      <c r="O508" s="256">
        <v>1816076.08</v>
      </c>
      <c r="P508" s="16">
        <f t="shared" si="162"/>
        <v>-835833.76</v>
      </c>
      <c r="Q508" s="53">
        <f t="shared" si="163"/>
        <v>-0.46024159956999156</v>
      </c>
    </row>
    <row r="509" spans="1:17" s="15" customFormat="1" ht="12.75" hidden="1" outlineLevel="2">
      <c r="A509" s="15" t="s">
        <v>1283</v>
      </c>
      <c r="B509" s="15" t="s">
        <v>1284</v>
      </c>
      <c r="C509" s="134" t="s">
        <v>1285</v>
      </c>
      <c r="D509" s="16"/>
      <c r="E509" s="16"/>
      <c r="F509" s="16">
        <v>126849.03</v>
      </c>
      <c r="G509" s="16">
        <v>147154.58000000002</v>
      </c>
      <c r="H509" s="16">
        <f t="shared" si="158"/>
        <v>-20305.550000000017</v>
      </c>
      <c r="I509" s="53">
        <f t="shared" si="159"/>
        <v>-0.13798789001334524</v>
      </c>
      <c r="J509" s="174"/>
      <c r="K509" s="256">
        <v>106240.69</v>
      </c>
      <c r="L509" s="16">
        <f t="shared" si="160"/>
        <v>20608.339999999997</v>
      </c>
      <c r="M509" s="53" t="str">
        <f t="shared" si="161"/>
        <v>N.M.</v>
      </c>
      <c r="N509" s="174"/>
      <c r="O509" s="256">
        <v>49051.520000000004</v>
      </c>
      <c r="P509" s="16">
        <f t="shared" si="162"/>
        <v>77797.51</v>
      </c>
      <c r="Q509" s="53">
        <f t="shared" si="163"/>
        <v>1.586036681432094</v>
      </c>
    </row>
    <row r="510" spans="1:17" s="15" customFormat="1" ht="12.75" hidden="1" outlineLevel="2">
      <c r="A510" s="15" t="s">
        <v>1286</v>
      </c>
      <c r="B510" s="15" t="s">
        <v>1287</v>
      </c>
      <c r="C510" s="134" t="s">
        <v>1288</v>
      </c>
      <c r="D510" s="16"/>
      <c r="E510" s="16"/>
      <c r="F510" s="16">
        <v>242659.01</v>
      </c>
      <c r="G510" s="16">
        <v>234930.22</v>
      </c>
      <c r="H510" s="16">
        <f t="shared" si="158"/>
        <v>7728.790000000008</v>
      </c>
      <c r="I510" s="53">
        <f t="shared" si="159"/>
        <v>0.03289823676153714</v>
      </c>
      <c r="J510" s="174"/>
      <c r="K510" s="256">
        <v>241981.46</v>
      </c>
      <c r="L510" s="16">
        <f t="shared" si="160"/>
        <v>677.5500000000175</v>
      </c>
      <c r="M510" s="53" t="str">
        <f t="shared" si="161"/>
        <v>N.M.</v>
      </c>
      <c r="N510" s="174"/>
      <c r="O510" s="256">
        <v>236193.37</v>
      </c>
      <c r="P510" s="16">
        <f t="shared" si="162"/>
        <v>6465.640000000014</v>
      </c>
      <c r="Q510" s="53">
        <f t="shared" si="163"/>
        <v>0.02737435009289217</v>
      </c>
    </row>
    <row r="511" spans="1:17" s="15" customFormat="1" ht="12.75" hidden="1" outlineLevel="2">
      <c r="A511" s="15" t="s">
        <v>1289</v>
      </c>
      <c r="B511" s="15" t="s">
        <v>1290</v>
      </c>
      <c r="C511" s="134" t="s">
        <v>1291</v>
      </c>
      <c r="D511" s="16"/>
      <c r="E511" s="16"/>
      <c r="F511" s="16">
        <v>172650</v>
      </c>
      <c r="G511" s="16">
        <v>176779.21</v>
      </c>
      <c r="H511" s="16">
        <f t="shared" si="158"/>
        <v>-4129.209999999992</v>
      </c>
      <c r="I511" s="53">
        <f t="shared" si="159"/>
        <v>-0.02335800686064833</v>
      </c>
      <c r="J511" s="174"/>
      <c r="K511" s="256">
        <v>172972</v>
      </c>
      <c r="L511" s="16">
        <f t="shared" si="160"/>
        <v>-322</v>
      </c>
      <c r="M511" s="53" t="str">
        <f t="shared" si="161"/>
        <v>N.M.</v>
      </c>
      <c r="N511" s="174"/>
      <c r="O511" s="256">
        <v>176281.21</v>
      </c>
      <c r="P511" s="16">
        <f t="shared" si="162"/>
        <v>-3631.209999999992</v>
      </c>
      <c r="Q511" s="53">
        <f t="shared" si="163"/>
        <v>-0.02059896230573861</v>
      </c>
    </row>
    <row r="512" spans="1:17" s="15" customFormat="1" ht="12.75" hidden="1" outlineLevel="2">
      <c r="A512" s="15" t="s">
        <v>1292</v>
      </c>
      <c r="B512" s="15" t="s">
        <v>1293</v>
      </c>
      <c r="C512" s="134" t="s">
        <v>1294</v>
      </c>
      <c r="D512" s="16"/>
      <c r="E512" s="16"/>
      <c r="F512" s="16">
        <v>0</v>
      </c>
      <c r="G512" s="16">
        <v>0</v>
      </c>
      <c r="H512" s="16">
        <f t="shared" si="158"/>
        <v>0</v>
      </c>
      <c r="I512" s="53">
        <f t="shared" si="159"/>
        <v>0</v>
      </c>
      <c r="J512" s="174"/>
      <c r="K512" s="256">
        <v>0</v>
      </c>
      <c r="L512" s="16">
        <f t="shared" si="160"/>
        <v>0</v>
      </c>
      <c r="M512" s="53">
        <f t="shared" si="161"/>
        <v>0</v>
      </c>
      <c r="N512" s="174"/>
      <c r="O512" s="256">
        <v>170</v>
      </c>
      <c r="P512" s="16">
        <f t="shared" si="162"/>
        <v>-170</v>
      </c>
      <c r="Q512" s="53" t="str">
        <f t="shared" si="163"/>
        <v>N.M.</v>
      </c>
    </row>
    <row r="513" spans="1:17" s="15" customFormat="1" ht="12.75" hidden="1" outlineLevel="2">
      <c r="A513" s="15" t="s">
        <v>1295</v>
      </c>
      <c r="B513" s="15" t="s">
        <v>1296</v>
      </c>
      <c r="C513" s="134" t="s">
        <v>1297</v>
      </c>
      <c r="D513" s="16"/>
      <c r="E513" s="16"/>
      <c r="F513" s="16">
        <v>0</v>
      </c>
      <c r="G513" s="16">
        <v>14633.720000000001</v>
      </c>
      <c r="H513" s="16">
        <f t="shared" si="158"/>
        <v>-14633.720000000001</v>
      </c>
      <c r="I513" s="53" t="str">
        <f t="shared" si="159"/>
        <v>N.M.</v>
      </c>
      <c r="J513" s="174"/>
      <c r="K513" s="256">
        <v>3445</v>
      </c>
      <c r="L513" s="16">
        <f t="shared" si="160"/>
        <v>-3445</v>
      </c>
      <c r="M513" s="53" t="str">
        <f t="shared" si="161"/>
        <v>N.M.</v>
      </c>
      <c r="N513" s="174"/>
      <c r="O513" s="256">
        <v>30689</v>
      </c>
      <c r="P513" s="16">
        <f t="shared" si="162"/>
        <v>-30689</v>
      </c>
      <c r="Q513" s="53" t="str">
        <f t="shared" si="163"/>
        <v>N.M.</v>
      </c>
    </row>
    <row r="514" spans="1:17" s="15" customFormat="1" ht="12.75" hidden="1" outlineLevel="2">
      <c r="A514" s="15" t="s">
        <v>1298</v>
      </c>
      <c r="B514" s="15" t="s">
        <v>1299</v>
      </c>
      <c r="C514" s="134" t="s">
        <v>1300</v>
      </c>
      <c r="D514" s="16"/>
      <c r="E514" s="16"/>
      <c r="F514" s="16">
        <v>468849.52</v>
      </c>
      <c r="G514" s="16">
        <v>977760</v>
      </c>
      <c r="H514" s="16">
        <f t="shared" si="158"/>
        <v>-508910.48</v>
      </c>
      <c r="I514" s="53">
        <f t="shared" si="159"/>
        <v>-0.5204860906561938</v>
      </c>
      <c r="J514" s="174"/>
      <c r="K514" s="256">
        <v>468849.52</v>
      </c>
      <c r="L514" s="16">
        <f t="shared" si="160"/>
        <v>0</v>
      </c>
      <c r="M514" s="53">
        <f t="shared" si="161"/>
        <v>0</v>
      </c>
      <c r="N514" s="174"/>
      <c r="O514" s="256">
        <v>651840</v>
      </c>
      <c r="P514" s="16">
        <f t="shared" si="162"/>
        <v>-182990.47999999998</v>
      </c>
      <c r="Q514" s="53">
        <f t="shared" si="163"/>
        <v>-0.2807291359842906</v>
      </c>
    </row>
    <row r="515" spans="1:17" s="15" customFormat="1" ht="12.75" hidden="1" outlineLevel="2">
      <c r="A515" s="15" t="s">
        <v>1301</v>
      </c>
      <c r="B515" s="15" t="s">
        <v>1302</v>
      </c>
      <c r="C515" s="134" t="s">
        <v>1303</v>
      </c>
      <c r="D515" s="16"/>
      <c r="E515" s="16"/>
      <c r="F515" s="16">
        <v>1425492.6</v>
      </c>
      <c r="G515" s="16">
        <v>1627155.6</v>
      </c>
      <c r="H515" s="16">
        <f t="shared" si="158"/>
        <v>-201663</v>
      </c>
      <c r="I515" s="53">
        <f t="shared" si="159"/>
        <v>-0.12393590385578367</v>
      </c>
      <c r="J515" s="174"/>
      <c r="K515" s="256">
        <v>1425492.6</v>
      </c>
      <c r="L515" s="16">
        <f t="shared" si="160"/>
        <v>0</v>
      </c>
      <c r="M515" s="53">
        <f t="shared" si="161"/>
        <v>0</v>
      </c>
      <c r="N515" s="174"/>
      <c r="O515" s="256">
        <v>1425492.6</v>
      </c>
      <c r="P515" s="16">
        <f t="shared" si="162"/>
        <v>0</v>
      </c>
      <c r="Q515" s="53">
        <f t="shared" si="163"/>
        <v>0</v>
      </c>
    </row>
    <row r="516" spans="1:17" s="15" customFormat="1" ht="12.75" hidden="1" outlineLevel="2">
      <c r="A516" s="15" t="s">
        <v>1304</v>
      </c>
      <c r="B516" s="15" t="s">
        <v>1305</v>
      </c>
      <c r="C516" s="134" t="s">
        <v>1306</v>
      </c>
      <c r="D516" s="16"/>
      <c r="E516" s="16"/>
      <c r="F516" s="16">
        <v>146100.32</v>
      </c>
      <c r="G516" s="16">
        <v>159656.12</v>
      </c>
      <c r="H516" s="16">
        <f t="shared" si="158"/>
        <v>-13555.799999999988</v>
      </c>
      <c r="I516" s="53">
        <f t="shared" si="159"/>
        <v>-0.0849062347249826</v>
      </c>
      <c r="J516" s="174"/>
      <c r="K516" s="256">
        <v>147229.97</v>
      </c>
      <c r="L516" s="16">
        <f t="shared" si="160"/>
        <v>-1129.6499999999942</v>
      </c>
      <c r="M516" s="53" t="str">
        <f t="shared" si="161"/>
        <v>N.M.</v>
      </c>
      <c r="N516" s="174"/>
      <c r="O516" s="256">
        <v>157396.82</v>
      </c>
      <c r="P516" s="16">
        <f t="shared" si="162"/>
        <v>-11296.5</v>
      </c>
      <c r="Q516" s="53">
        <f t="shared" si="163"/>
        <v>-0.07177082739028653</v>
      </c>
    </row>
    <row r="517" spans="1:17" s="15" customFormat="1" ht="12.75" hidden="1" outlineLevel="2">
      <c r="A517" s="15" t="s">
        <v>1307</v>
      </c>
      <c r="B517" s="15" t="s">
        <v>1308</v>
      </c>
      <c r="C517" s="134" t="s">
        <v>1309</v>
      </c>
      <c r="D517" s="16"/>
      <c r="E517" s="16"/>
      <c r="F517" s="16">
        <v>333340</v>
      </c>
      <c r="G517" s="16">
        <v>333340</v>
      </c>
      <c r="H517" s="16">
        <f t="shared" si="158"/>
        <v>0</v>
      </c>
      <c r="I517" s="53">
        <f t="shared" si="159"/>
        <v>0</v>
      </c>
      <c r="J517" s="174"/>
      <c r="K517" s="256">
        <v>333340</v>
      </c>
      <c r="L517" s="16">
        <f t="shared" si="160"/>
        <v>0</v>
      </c>
      <c r="M517" s="53">
        <f t="shared" si="161"/>
        <v>0</v>
      </c>
      <c r="N517" s="174"/>
      <c r="O517" s="256">
        <v>333340</v>
      </c>
      <c r="P517" s="16">
        <f t="shared" si="162"/>
        <v>0</v>
      </c>
      <c r="Q517" s="53">
        <f t="shared" si="163"/>
        <v>0</v>
      </c>
    </row>
    <row r="518" spans="1:17" ht="12.75" collapsed="1">
      <c r="A518" s="11" t="s">
        <v>299</v>
      </c>
      <c r="C518" s="129" t="s">
        <v>225</v>
      </c>
      <c r="E518" s="11"/>
      <c r="F518" s="235">
        <v>4191214.94</v>
      </c>
      <c r="G518" s="235">
        <v>5409476.36</v>
      </c>
      <c r="H518" s="197">
        <f>+F518-G518</f>
        <v>-1218261.4200000004</v>
      </c>
      <c r="I518" s="138">
        <f>IF(G518&lt;0,IF(H518=0,0,IF(OR(G518=0,F518=0),"N.M.",IF(ABS(H518/G518)&gt;=10,"N.M.",H518/(-G518)))),IF(H518=0,0,IF(OR(G518=0,F518=0),"N.M.",IF(ABS(H518/G518)&gt;=10,"N.M.",H518/G518))))</f>
        <v>-0.22520875199831733</v>
      </c>
      <c r="J518" s="166"/>
      <c r="K518" s="235">
        <v>4049171.2800000003</v>
      </c>
      <c r="L518" s="197">
        <f>+F518-K518</f>
        <v>142043.65999999968</v>
      </c>
      <c r="M518" s="138" t="str">
        <f>IF(K518&lt;0,IF(L518=0,0,IF(OR(K518=0,N518=0),"N.M.",IF(ABS(L518/K518)&gt;=10,"N.M.",L518/(-K518)))),IF(L518=0,0,IF(OR(K518=0,N518=0),"N.M.",IF(ABS(L518/K518)&gt;=10,"N.M.",L518/K518))))</f>
        <v>N.M.</v>
      </c>
      <c r="N518" s="166"/>
      <c r="O518" s="235">
        <v>5171562.74</v>
      </c>
      <c r="P518" s="197">
        <f>+F518-O518</f>
        <v>-980347.8000000003</v>
      </c>
      <c r="Q518" s="138">
        <f>IF(O518&lt;0,IF(P518=0,0,IF(OR(O518=0,F518=0),"N.M.",IF(ABS(P518/O518)&gt;=10,"N.M.",P518/(-O518)))),IF(P518=0,0,IF(OR(O518=0,F518=0),"N.M.",IF(ABS(P518/O518)&gt;=10,"N.M.",P518/O518))))</f>
        <v>-0.1895650984599677</v>
      </c>
    </row>
    <row r="519" spans="1:17" s="13" customFormat="1" ht="12.75">
      <c r="A519" s="13" t="s">
        <v>300</v>
      </c>
      <c r="C519" s="130" t="s">
        <v>226</v>
      </c>
      <c r="D519" s="33"/>
      <c r="F519" s="236">
        <v>7871075.82</v>
      </c>
      <c r="G519" s="236">
        <v>9915852.23</v>
      </c>
      <c r="H519" s="245">
        <f>+F519-G519</f>
        <v>-2044776.4100000001</v>
      </c>
      <c r="I519" s="145">
        <f>IF(G519&lt;0,IF(H519=0,0,IF(OR(G519=0,F519=0),"N.M.",IF(ABS(H519/G519)&gt;=10,"N.M.",H519/(-G519)))),IF(H519=0,0,IF(OR(G519=0,F519=0),"N.M.",IF(ABS(H519/G519)&gt;=10,"N.M.",H519/G519))))</f>
        <v>-0.20621287636917518</v>
      </c>
      <c r="J519" s="168"/>
      <c r="K519" s="236">
        <v>7475720.06</v>
      </c>
      <c r="L519" s="245">
        <f>+F519-K519</f>
        <v>395355.7600000007</v>
      </c>
      <c r="M519" s="145" t="str">
        <f>IF(K519&lt;0,IF(L519=0,0,IF(OR(K519=0,N519=0),"N.M.",IF(ABS(L519/K519)&gt;=10,"N.M.",L519/(-K519)))),IF(L519=0,0,IF(OR(K519=0,N519=0),"N.M.",IF(ABS(L519/K519)&gt;=10,"N.M.",L519/K519))))</f>
        <v>N.M.</v>
      </c>
      <c r="N519" s="168"/>
      <c r="O519" s="236">
        <v>9328358.27</v>
      </c>
      <c r="P519" s="245">
        <f>+F519-O519</f>
        <v>-1457282.4499999993</v>
      </c>
      <c r="Q519" s="145">
        <f>IF(O519&lt;0,IF(P519=0,0,IF(OR(O519=0,F519=0),"N.M.",IF(ABS(P519/O519)&gt;=10,"N.M.",P519/(-O519)))),IF(P519=0,0,IF(OR(O519=0,F519=0),"N.M.",IF(ABS(P519/O519)&gt;=10,"N.M.",P519/O519))))</f>
        <v>-0.15622067761769182</v>
      </c>
    </row>
    <row r="520" spans="1:17" s="107" customFormat="1" ht="12" customHeight="1">
      <c r="A520" s="107" t="s">
        <v>301</v>
      </c>
      <c r="C520" s="119" t="s">
        <v>351</v>
      </c>
      <c r="D520" s="108"/>
      <c r="F520" s="108">
        <v>362182200.53</v>
      </c>
      <c r="G520" s="108">
        <v>354803435.7</v>
      </c>
      <c r="H520" s="51">
        <f>+F520-G520</f>
        <v>7378764.829999983</v>
      </c>
      <c r="I520" s="136">
        <f>IF(G520&lt;0,IF(H520=0,0,IF(OR(G520=0,F520=0),"N.M.",IF(ABS(H520/G520)&gt;=10,"N.M.",H520/(-G520)))),IF(H520=0,0,IF(OR(G520=0,F520=0),"N.M.",IF(ABS(H520/G520)&gt;=10,"N.M.",H520/G520))))</f>
        <v>0.02079676825970483</v>
      </c>
      <c r="J520" s="171"/>
      <c r="K520" s="108">
        <v>363720869.84</v>
      </c>
      <c r="L520" s="51">
        <f>+F520-K520</f>
        <v>-1538669.3100000024</v>
      </c>
      <c r="M520" s="136" t="str">
        <f>IF(K520&lt;0,IF(L520=0,0,IF(OR(K520=0,N520=0),"N.M.",IF(ABS(L520/K520)&gt;=10,"N.M.",L520/(-K520)))),IF(L520=0,0,IF(OR(K520=0,N520=0),"N.M.",IF(ABS(L520/K520)&gt;=10,"N.M.",L520/K520))))</f>
        <v>N.M.</v>
      </c>
      <c r="N520" s="171"/>
      <c r="O520" s="108">
        <v>367921127.76</v>
      </c>
      <c r="P520" s="51">
        <f>+F520-O520</f>
        <v>-5738927.230000019</v>
      </c>
      <c r="Q520" s="136">
        <f>IF(O520&lt;0,IF(P520=0,0,IF(OR(O520=0,F520=0),"N.M.",IF(ABS(P520/O520)&gt;=10,"N.M.",P520/(-O520)))),IF(P520=0,0,IF(OR(O520=0,F520=0),"N.M.",IF(ABS(P520/O520)&gt;=10,"N.M.",P520/O520))))</f>
        <v>-0.015598254074018821</v>
      </c>
    </row>
    <row r="521" spans="3:17" ht="12" customHeight="1">
      <c r="C521" s="127"/>
      <c r="D521" s="106"/>
      <c r="E521" s="104"/>
      <c r="F521" s="233" t="str">
        <f>IF(ABS(+F472+F475+F490+F498+F501+F503+F505+F518-F520)&gt;$C$575,$J$184," ")</f>
        <v> </v>
      </c>
      <c r="G521" s="233" t="str">
        <f>IF(ABS(+G472+G475+G490+G498+G501+G503+G505+G518-G520)&gt;$C$575,$J$184," ")</f>
        <v> </v>
      </c>
      <c r="H521" s="233" t="str">
        <f>IF(ABS(+H472+H475+H490+H498+H501+H503+H505+H518-H520)&gt;$C$575,$J$184," ")</f>
        <v> </v>
      </c>
      <c r="I521" s="141"/>
      <c r="J521" s="166"/>
      <c r="K521" s="233" t="str">
        <f>IF(ABS(+K472+K475+K490+K498+K501+K503+K505+K518-K520)&gt;$C$575,$J$184," ")</f>
        <v> </v>
      </c>
      <c r="L521" s="233" t="str">
        <f>IF(ABS(+L472+L475+L490+L498+L501+L503+L505+L518-L520)&gt;$C$575,$J$184," ")</f>
        <v> </v>
      </c>
      <c r="M521" s="141"/>
      <c r="N521" s="166"/>
      <c r="O521" s="233" t="str">
        <f>IF(ABS(+O472+O475+O490+O498+O501+O503+O505+O518-O520)&gt;$C$575,$J$184," ")</f>
        <v> </v>
      </c>
      <c r="P521" s="233" t="str">
        <f>IF(ABS(+P472+P475+P490+P498+P501+P503+P505+P518-P520)&gt;$C$575,$J$184," ")</f>
        <v> </v>
      </c>
      <c r="Q521" s="141"/>
    </row>
    <row r="522" spans="1:17" s="107" customFormat="1" ht="13.5" thickBot="1">
      <c r="A522" s="107" t="s">
        <v>302</v>
      </c>
      <c r="C522" s="116" t="s">
        <v>228</v>
      </c>
      <c r="D522" s="108"/>
      <c r="F522" s="237">
        <v>1510689869.5810013</v>
      </c>
      <c r="G522" s="237">
        <v>1477182190.3330007</v>
      </c>
      <c r="H522" s="246">
        <f>+F522-G522</f>
        <v>33507679.24800062</v>
      </c>
      <c r="I522" s="146">
        <f>IF(G522&lt;0,IF(H522=0,0,IF(OR(G522=0,F522=0),"N.M.",IF(ABS(H522/G522)&gt;=10,"N.M.",H522/(-G522)))),IF(H522=0,0,IF(OR(G522=0,F522=0),"N.M.",IF(ABS(H522/G522)&gt;=10,"N.M.",H522/G522))))</f>
        <v>0.02268351153113144</v>
      </c>
      <c r="J522" s="171"/>
      <c r="K522" s="237">
        <v>1493661052.7710006</v>
      </c>
      <c r="L522" s="246">
        <f>+F522-K522</f>
        <v>17028816.810000658</v>
      </c>
      <c r="M522" s="146" t="str">
        <f>IF(K522&lt;0,IF(L522=0,0,IF(OR(K522=0,N522=0),"N.M.",IF(ABS(L522/K522)&gt;=10,"N.M.",L522/(-K522)))),IF(L522=0,0,IF(OR(K522=0,N522=0),"N.M.",IF(ABS(L522/K522)&gt;=10,"N.M.",L522/K522))))</f>
        <v>N.M.</v>
      </c>
      <c r="N522" s="171"/>
      <c r="O522" s="237">
        <v>1504334100.6950006</v>
      </c>
      <c r="P522" s="246">
        <f>+F522-O522</f>
        <v>6355768.886000633</v>
      </c>
      <c r="Q522" s="146">
        <f>IF(O522&lt;0,IF(P522=0,0,IF(OR(O522=0,F522=0),"N.M.",IF(ABS(P522/O522)&gt;=10,"N.M.",P522/(-O522)))),IF(P522=0,0,IF(OR(O522=0,F522=0),"N.M.",IF(ABS(P522/O522)&gt;=10,"N.M.",P522/O522))))</f>
        <v>0.004224971622370506</v>
      </c>
    </row>
    <row r="523" spans="4:17" ht="12" customHeight="1" thickTop="1">
      <c r="D523" s="106"/>
      <c r="E523" s="107"/>
      <c r="F523" s="233" t="str">
        <f>IF(ABS(+F274+F297+F459+F520-F522)&gt;$C$575,$J$184," ")</f>
        <v> </v>
      </c>
      <c r="G523" s="233" t="str">
        <f>IF(ABS(+G274+G297+G459+G520-G522)&gt;$C$575,$J$184," ")</f>
        <v> </v>
      </c>
      <c r="H523" s="233" t="str">
        <f>IF(ABS(+H274+H297+H459+H520-H522)&gt;$C$575,$J$184," ")</f>
        <v> </v>
      </c>
      <c r="I523" s="141"/>
      <c r="J523" s="175"/>
      <c r="K523" s="233" t="str">
        <f>IF(ABS(+K274+K297+K459+K520-K522)&gt;$C$575,$J$184," ")</f>
        <v> </v>
      </c>
      <c r="L523" s="233" t="str">
        <f>IF(ABS(+L274+L297+L459+L520-L522)&gt;$C$575,$J$184," ")</f>
        <v> </v>
      </c>
      <c r="M523" s="141"/>
      <c r="N523" s="175"/>
      <c r="O523" s="233" t="str">
        <f>IF(ABS(+O274+O297+O459+O520-O522)&gt;$C$575,$J$184," ")</f>
        <v> </v>
      </c>
      <c r="P523" s="233" t="str">
        <f>IF(ABS(+P274+P297+P459+P520-P522)&gt;$C$575,$J$184," ")</f>
        <v> </v>
      </c>
      <c r="Q523" s="141"/>
    </row>
    <row r="524" spans="4:17" ht="12" customHeight="1">
      <c r="D524" s="106"/>
      <c r="E524" s="107"/>
      <c r="F524" s="233"/>
      <c r="G524" s="233"/>
      <c r="H524" s="233"/>
      <c r="I524" s="141"/>
      <c r="J524" s="175"/>
      <c r="K524" s="233"/>
      <c r="L524" s="233"/>
      <c r="M524" s="141"/>
      <c r="N524" s="175"/>
      <c r="O524" s="233"/>
      <c r="P524" s="233"/>
      <c r="Q524" s="141"/>
    </row>
    <row r="525" spans="3:17" s="63" customFormat="1" ht="12.75">
      <c r="C525" s="62" t="s">
        <v>312</v>
      </c>
      <c r="D525" s="64"/>
      <c r="E525" s="64"/>
      <c r="F525" s="231"/>
      <c r="G525" s="231"/>
      <c r="H525" s="244"/>
      <c r="I525" s="65"/>
      <c r="J525" s="158"/>
      <c r="K525" s="231"/>
      <c r="L525" s="244"/>
      <c r="M525" s="65"/>
      <c r="N525" s="158"/>
      <c r="O525" s="231"/>
      <c r="P525" s="244"/>
      <c r="Q525" s="65"/>
    </row>
    <row r="526" spans="4:17" ht="12" customHeight="1">
      <c r="D526" s="106"/>
      <c r="E526" s="107"/>
      <c r="F526" s="233"/>
      <c r="G526" s="233"/>
      <c r="H526" s="233"/>
      <c r="I526" s="141"/>
      <c r="J526" s="175"/>
      <c r="K526" s="233"/>
      <c r="L526" s="233"/>
      <c r="M526" s="141"/>
      <c r="N526" s="175"/>
      <c r="O526" s="233"/>
      <c r="P526" s="233"/>
      <c r="Q526" s="141"/>
    </row>
    <row r="527" spans="1:17" s="15" customFormat="1" ht="12.75" hidden="1" outlineLevel="1">
      <c r="A527" s="15" t="s">
        <v>1310</v>
      </c>
      <c r="B527" s="15" t="s">
        <v>1311</v>
      </c>
      <c r="C527" s="134" t="s">
        <v>1312</v>
      </c>
      <c r="D527" s="16"/>
      <c r="E527" s="16"/>
      <c r="F527" s="16">
        <v>0</v>
      </c>
      <c r="G527" s="16">
        <v>0</v>
      </c>
      <c r="H527" s="16">
        <f>+F527-G527</f>
        <v>0</v>
      </c>
      <c r="I527" s="53"/>
      <c r="J527" s="174"/>
      <c r="K527" s="256">
        <v>143184638.962</v>
      </c>
      <c r="L527" s="16"/>
      <c r="M527" s="53"/>
      <c r="N527" s="174"/>
      <c r="O527" s="256">
        <v>0</v>
      </c>
      <c r="P527" s="16">
        <f>+F527-O527</f>
        <v>0</v>
      </c>
      <c r="Q527" s="53"/>
    </row>
    <row r="528" spans="1:17" s="15" customFormat="1" ht="12.75" hidden="1" outlineLevel="1">
      <c r="A528" s="15" t="s">
        <v>1313</v>
      </c>
      <c r="B528" s="15" t="s">
        <v>1314</v>
      </c>
      <c r="C528" s="134" t="s">
        <v>1315</v>
      </c>
      <c r="D528" s="16"/>
      <c r="E528" s="16"/>
      <c r="F528" s="16">
        <v>0</v>
      </c>
      <c r="G528" s="16">
        <v>0</v>
      </c>
      <c r="H528" s="16">
        <f>+F528-G528</f>
        <v>0</v>
      </c>
      <c r="I528" s="53"/>
      <c r="J528" s="174"/>
      <c r="K528" s="256">
        <v>-15000000</v>
      </c>
      <c r="L528" s="16"/>
      <c r="M528" s="53"/>
      <c r="N528" s="174"/>
      <c r="O528" s="256">
        <v>0</v>
      </c>
      <c r="P528" s="16">
        <f>+F528-O528</f>
        <v>0</v>
      </c>
      <c r="Q528" s="53"/>
    </row>
    <row r="529" spans="1:17" ht="12" customHeight="1" collapsed="1">
      <c r="A529" s="11" t="s">
        <v>347</v>
      </c>
      <c r="B529" s="178"/>
      <c r="C529" s="13" t="s">
        <v>303</v>
      </c>
      <c r="D529" s="11"/>
      <c r="E529" s="179"/>
      <c r="F529" s="179">
        <v>143184638.96199968</v>
      </c>
      <c r="G529" s="179">
        <v>138749088.787</v>
      </c>
      <c r="H529" s="247">
        <f>+F529-G529</f>
        <v>4435550.174999684</v>
      </c>
      <c r="I529" s="141"/>
      <c r="J529" s="175"/>
      <c r="K529" s="262">
        <v>128184638.96200001</v>
      </c>
      <c r="L529" s="263"/>
      <c r="M529" s="141"/>
      <c r="N529" s="175"/>
      <c r="O529" s="179">
        <v>138749088.787</v>
      </c>
      <c r="P529" s="247">
        <f>+F529-O529</f>
        <v>4435550.174999684</v>
      </c>
      <c r="Q529" s="141"/>
    </row>
    <row r="530" spans="1:17" ht="12" customHeight="1">
      <c r="A530" s="11" t="s">
        <v>326</v>
      </c>
      <c r="B530" s="178"/>
      <c r="C530" s="126" t="s">
        <v>315</v>
      </c>
      <c r="D530" s="11"/>
      <c r="E530" s="180"/>
      <c r="F530" s="18">
        <v>21455226.066</v>
      </c>
      <c r="G530" s="18">
        <v>16401056.737000054</v>
      </c>
      <c r="H530" s="51">
        <f>+F530-G530</f>
        <v>5054169.328999946</v>
      </c>
      <c r="I530" s="141"/>
      <c r="J530" s="175"/>
      <c r="K530" s="264">
        <v>18391223.914999913</v>
      </c>
      <c r="L530" s="265"/>
      <c r="M530" s="141"/>
      <c r="N530" s="175"/>
      <c r="O530" s="18">
        <v>23935550.174999937</v>
      </c>
      <c r="P530" s="51">
        <f>+F530-O530</f>
        <v>-2480324.108999938</v>
      </c>
      <c r="Q530" s="141"/>
    </row>
    <row r="531" spans="1:17" ht="12" customHeight="1">
      <c r="A531" s="107"/>
      <c r="B531" s="97"/>
      <c r="C531" s="107" t="s">
        <v>311</v>
      </c>
      <c r="D531" s="107"/>
      <c r="E531" s="179"/>
      <c r="F531" s="179">
        <f>SUM(F529:F530)</f>
        <v>164639865.0279997</v>
      </c>
      <c r="G531" s="179">
        <f>SUM(G529:G530)</f>
        <v>155150145.52400005</v>
      </c>
      <c r="H531" s="51">
        <f>+F531-G531</f>
        <v>9489719.50399965</v>
      </c>
      <c r="I531" s="141"/>
      <c r="J531" s="175"/>
      <c r="K531" s="262"/>
      <c r="L531" s="265"/>
      <c r="M531" s="141"/>
      <c r="N531" s="175"/>
      <c r="O531" s="179">
        <f>SUM(O526:O530)</f>
        <v>162684638.96199995</v>
      </c>
      <c r="P531" s="51">
        <f>+F531-O531</f>
        <v>1955226.0659997463</v>
      </c>
      <c r="Q531" s="141"/>
    </row>
    <row r="532" spans="2:17" ht="12" customHeight="1">
      <c r="B532" s="178"/>
      <c r="D532" s="11"/>
      <c r="E532" s="180"/>
      <c r="H532" s="233"/>
      <c r="I532" s="141"/>
      <c r="J532" s="175"/>
      <c r="K532" s="264"/>
      <c r="L532" s="266"/>
      <c r="M532" s="141"/>
      <c r="N532" s="175"/>
      <c r="O532" s="18"/>
      <c r="P532" s="233"/>
      <c r="Q532" s="141"/>
    </row>
    <row r="533" spans="2:17" ht="12" customHeight="1">
      <c r="B533" s="178"/>
      <c r="C533" s="187" t="s">
        <v>331</v>
      </c>
      <c r="D533" s="11"/>
      <c r="E533" s="180"/>
      <c r="H533" s="233"/>
      <c r="I533" s="141"/>
      <c r="J533" s="175"/>
      <c r="K533" s="264"/>
      <c r="L533" s="266"/>
      <c r="M533" s="141"/>
      <c r="N533" s="175"/>
      <c r="O533" s="18"/>
      <c r="P533" s="233"/>
      <c r="Q533" s="141"/>
    </row>
    <row r="534" spans="2:17" ht="1.5" customHeight="1" hidden="1" outlineLevel="1">
      <c r="B534" s="178"/>
      <c r="C534" s="187"/>
      <c r="D534" s="11"/>
      <c r="E534" s="180"/>
      <c r="H534" s="248"/>
      <c r="I534" s="199"/>
      <c r="J534" s="204"/>
      <c r="K534" s="264"/>
      <c r="L534" s="267"/>
      <c r="M534" s="199"/>
      <c r="N534" s="204"/>
      <c r="O534" s="18"/>
      <c r="P534" s="248"/>
      <c r="Q534" s="199"/>
    </row>
    <row r="535" spans="1:17" s="15" customFormat="1" ht="12.75" hidden="1" outlineLevel="2">
      <c r="A535" s="15" t="s">
        <v>1313</v>
      </c>
      <c r="B535" s="15" t="s">
        <v>1314</v>
      </c>
      <c r="C535" s="134" t="s">
        <v>1315</v>
      </c>
      <c r="D535" s="16"/>
      <c r="E535" s="16"/>
      <c r="F535" s="16">
        <v>-15000000</v>
      </c>
      <c r="G535" s="16">
        <v>0</v>
      </c>
      <c r="H535" s="16">
        <f>+F535-G535</f>
        <v>-15000000</v>
      </c>
      <c r="I535" s="53"/>
      <c r="J535" s="174"/>
      <c r="K535" s="256">
        <v>-15000000</v>
      </c>
      <c r="L535" s="16"/>
      <c r="M535" s="53"/>
      <c r="N535" s="174"/>
      <c r="O535" s="256">
        <v>0</v>
      </c>
      <c r="P535" s="16">
        <f>+F535-O535</f>
        <v>-15000000</v>
      </c>
      <c r="Q535" s="53"/>
    </row>
    <row r="536" spans="1:17" ht="12" customHeight="1" collapsed="1">
      <c r="A536" s="11" t="s">
        <v>327</v>
      </c>
      <c r="B536" s="178"/>
      <c r="C536" s="202" t="s">
        <v>314</v>
      </c>
      <c r="D536" s="11"/>
      <c r="E536" s="180"/>
      <c r="F536" s="18">
        <v>-15000000</v>
      </c>
      <c r="G536" s="18">
        <v>-13500000</v>
      </c>
      <c r="H536" s="247">
        <f>+F536-G536</f>
        <v>-1500000</v>
      </c>
      <c r="I536" s="199"/>
      <c r="J536" s="200"/>
      <c r="K536" s="264">
        <v>-15000000</v>
      </c>
      <c r="L536" s="263"/>
      <c r="M536" s="199"/>
      <c r="N536" s="200"/>
      <c r="O536" s="118">
        <v>-19500000</v>
      </c>
      <c r="P536" s="247">
        <f>+F536-O536</f>
        <v>4500000</v>
      </c>
      <c r="Q536" s="199"/>
    </row>
    <row r="537" spans="2:17" ht="0.75" customHeight="1" hidden="1" outlineLevel="1">
      <c r="B537" s="178"/>
      <c r="C537" s="202"/>
      <c r="D537" s="11"/>
      <c r="E537" s="180"/>
      <c r="H537" s="247"/>
      <c r="I537" s="199"/>
      <c r="J537" s="200"/>
      <c r="K537" s="264"/>
      <c r="L537" s="263"/>
      <c r="M537" s="199"/>
      <c r="N537" s="200"/>
      <c r="O537" s="117"/>
      <c r="P537" s="247"/>
      <c r="Q537" s="199"/>
    </row>
    <row r="538" spans="1:17" ht="12" customHeight="1" collapsed="1">
      <c r="A538" s="11" t="s">
        <v>328</v>
      </c>
      <c r="B538" s="178"/>
      <c r="C538" s="202" t="s">
        <v>313</v>
      </c>
      <c r="D538" s="11"/>
      <c r="E538" s="180"/>
      <c r="F538" s="180">
        <v>0</v>
      </c>
      <c r="G538" s="18">
        <v>0</v>
      </c>
      <c r="H538" s="247">
        <f>+F538-G538</f>
        <v>0</v>
      </c>
      <c r="I538" s="199"/>
      <c r="J538" s="200"/>
      <c r="K538" s="268">
        <v>0</v>
      </c>
      <c r="L538" s="263"/>
      <c r="M538" s="199"/>
      <c r="N538" s="200"/>
      <c r="O538" s="118">
        <v>0</v>
      </c>
      <c r="P538" s="247">
        <f>+F538-O538</f>
        <v>0</v>
      </c>
      <c r="Q538" s="199"/>
    </row>
    <row r="539" spans="2:17" ht="3" customHeight="1" hidden="1" outlineLevel="2">
      <c r="B539" s="178"/>
      <c r="C539" s="126"/>
      <c r="D539" s="11"/>
      <c r="E539" s="180"/>
      <c r="F539" s="180"/>
      <c r="G539" s="260"/>
      <c r="H539" s="249"/>
      <c r="I539" s="199"/>
      <c r="J539" s="200"/>
      <c r="K539" s="268"/>
      <c r="L539" s="269"/>
      <c r="M539" s="199"/>
      <c r="N539" s="200"/>
      <c r="O539" s="260"/>
      <c r="P539" s="249"/>
      <c r="Q539" s="199"/>
    </row>
    <row r="540" spans="1:17" ht="12" customHeight="1" collapsed="1">
      <c r="A540" s="1" t="s">
        <v>352</v>
      </c>
      <c r="B540" s="102"/>
      <c r="C540" s="203" t="s">
        <v>333</v>
      </c>
      <c r="D540" s="1"/>
      <c r="E540" s="181"/>
      <c r="F540" s="180">
        <f>+F542-F536-F538</f>
        <v>2.980232238769531E-07</v>
      </c>
      <c r="G540" s="180">
        <f>+G542-G536-G538</f>
        <v>-3.8743019104003906E-07</v>
      </c>
      <c r="H540" s="247">
        <f>+F540-G540</f>
        <v>6.854534149169922E-07</v>
      </c>
      <c r="I540" s="199"/>
      <c r="J540" s="200"/>
      <c r="K540" s="270"/>
      <c r="L540" s="263"/>
      <c r="M540" s="199"/>
      <c r="N540" s="200"/>
      <c r="O540" s="180">
        <f>+O542-O536-O538</f>
        <v>-2.682209014892578E-07</v>
      </c>
      <c r="P540" s="247">
        <f>+F540-O540</f>
        <v>5.662441253662109E-07</v>
      </c>
      <c r="Q540" s="199"/>
    </row>
    <row r="541" spans="1:17" ht="6" customHeight="1">
      <c r="A541" s="1"/>
      <c r="B541" s="102"/>
      <c r="C541" s="96"/>
      <c r="D541" s="196"/>
      <c r="E541" s="205"/>
      <c r="F541" s="214"/>
      <c r="G541" s="261"/>
      <c r="H541" s="250"/>
      <c r="I541" s="206"/>
      <c r="J541" s="132"/>
      <c r="K541" s="271"/>
      <c r="L541" s="272"/>
      <c r="M541" s="206"/>
      <c r="N541" s="132"/>
      <c r="O541" s="261"/>
      <c r="P541" s="250"/>
      <c r="Q541" s="206"/>
    </row>
    <row r="542" spans="1:17" ht="12" customHeight="1">
      <c r="A542" s="217" t="s">
        <v>335</v>
      </c>
      <c r="B542" s="102"/>
      <c r="C542" s="188" t="s">
        <v>332</v>
      </c>
      <c r="D542" s="1"/>
      <c r="E542" s="182"/>
      <c r="F542" s="238">
        <f>+F544-F531</f>
        <v>-14999999.999999702</v>
      </c>
      <c r="G542" s="238">
        <f>+G544-G531</f>
        <v>-13500000.000000387</v>
      </c>
      <c r="H542" s="247">
        <f>+H544-H531</f>
        <v>-1499999.9999993145</v>
      </c>
      <c r="I542" s="199"/>
      <c r="J542" s="204"/>
      <c r="K542" s="273"/>
      <c r="L542" s="263"/>
      <c r="M542" s="199"/>
      <c r="N542" s="204"/>
      <c r="O542" s="238">
        <f>+O544-O531</f>
        <v>-19500000.00000027</v>
      </c>
      <c r="P542" s="247">
        <f>+P544-P531</f>
        <v>4500000.000000566</v>
      </c>
      <c r="Q542" s="199"/>
    </row>
    <row r="543" spans="1:17" ht="12" customHeight="1">
      <c r="A543" s="1"/>
      <c r="B543" s="102"/>
      <c r="C543" s="1"/>
      <c r="D543" s="1"/>
      <c r="E543" s="181"/>
      <c r="F543" s="239"/>
      <c r="G543" s="239"/>
      <c r="H543" s="248"/>
      <c r="I543" s="199"/>
      <c r="J543" s="204"/>
      <c r="K543" s="274"/>
      <c r="L543" s="267"/>
      <c r="M543" s="199"/>
      <c r="N543" s="204"/>
      <c r="O543" s="239"/>
      <c r="P543" s="248"/>
      <c r="Q543" s="199"/>
    </row>
    <row r="544" spans="1:17" ht="12" customHeight="1">
      <c r="A544" s="1" t="s">
        <v>251</v>
      </c>
      <c r="B544" s="183"/>
      <c r="C544" s="183" t="s">
        <v>304</v>
      </c>
      <c r="D544" s="32"/>
      <c r="E544" s="182"/>
      <c r="F544" s="212">
        <v>149639865.028</v>
      </c>
      <c r="G544" s="212">
        <v>141650145.52399966</v>
      </c>
      <c r="H544" s="247">
        <f>+F544-G544</f>
        <v>7989719.504000336</v>
      </c>
      <c r="I544" s="199"/>
      <c r="J544" s="204"/>
      <c r="K544" s="275">
        <v>146575862.87700003</v>
      </c>
      <c r="L544" s="263"/>
      <c r="M544" s="199"/>
      <c r="N544" s="204"/>
      <c r="O544" s="212">
        <v>143184638.96199968</v>
      </c>
      <c r="P544" s="247">
        <f>+F544-O544</f>
        <v>6455226.066000313</v>
      </c>
      <c r="Q544" s="199"/>
    </row>
    <row r="545" spans="1:17" ht="12" customHeight="1">
      <c r="A545" s="1"/>
      <c r="B545" s="102"/>
      <c r="C545" s="184"/>
      <c r="D545" s="1"/>
      <c r="E545" s="106"/>
      <c r="F545" s="106"/>
      <c r="G545" s="106"/>
      <c r="H545" s="106" t="str">
        <f>IF(ABS(+H531+H542-H544)&gt;$C575,$C$576," ")</f>
        <v> </v>
      </c>
      <c r="I545" s="225"/>
      <c r="J545" s="226"/>
      <c r="K545" s="276"/>
      <c r="L545" s="276"/>
      <c r="M545" s="225"/>
      <c r="N545" s="226"/>
      <c r="O545" s="106"/>
      <c r="P545" s="106" t="str">
        <f>IF(ABS(+P531+P542-P544)&gt;$C575,$C$576," ")</f>
        <v> </v>
      </c>
      <c r="Q545" s="225"/>
    </row>
    <row r="546" spans="1:17" ht="12" customHeight="1">
      <c r="A546" s="1"/>
      <c r="B546" s="102"/>
      <c r="C546" s="184"/>
      <c r="D546" s="1"/>
      <c r="E546" s="106"/>
      <c r="F546" s="106"/>
      <c r="G546" s="106"/>
      <c r="H546" s="248"/>
      <c r="I546" s="141"/>
      <c r="J546" s="175"/>
      <c r="K546" s="276"/>
      <c r="L546" s="267"/>
      <c r="M546" s="141"/>
      <c r="N546" s="175"/>
      <c r="O546" s="106"/>
      <c r="P546" s="248"/>
      <c r="Q546" s="141"/>
    </row>
    <row r="547" spans="1:17" ht="12" customHeight="1">
      <c r="A547" s="1"/>
      <c r="B547" s="102"/>
      <c r="C547" s="184"/>
      <c r="D547" s="1"/>
      <c r="E547" s="106"/>
      <c r="F547" s="106"/>
      <c r="G547" s="106"/>
      <c r="H547" s="248"/>
      <c r="I547" s="141"/>
      <c r="J547" s="175"/>
      <c r="K547" s="276"/>
      <c r="L547" s="267"/>
      <c r="M547" s="141"/>
      <c r="N547" s="175"/>
      <c r="O547" s="106"/>
      <c r="P547" s="248"/>
      <c r="Q547" s="141"/>
    </row>
    <row r="548" spans="1:17" ht="12" customHeight="1">
      <c r="A548" s="1"/>
      <c r="B548" s="102"/>
      <c r="C548" s="1"/>
      <c r="D548" s="1"/>
      <c r="E548" s="181"/>
      <c r="F548" s="34"/>
      <c r="G548" s="34"/>
      <c r="I548" s="141"/>
      <c r="J548" s="175"/>
      <c r="K548" s="264"/>
      <c r="L548" s="264"/>
      <c r="M548" s="141"/>
      <c r="N548" s="175"/>
      <c r="O548" s="34"/>
      <c r="Q548" s="141"/>
    </row>
    <row r="549" spans="1:17" ht="12" customHeight="1">
      <c r="A549" s="1"/>
      <c r="B549" s="102"/>
      <c r="C549" s="208"/>
      <c r="D549" s="208"/>
      <c r="E549" s="209"/>
      <c r="F549" s="240"/>
      <c r="G549" s="240"/>
      <c r="H549" s="240"/>
      <c r="I549" s="141"/>
      <c r="J549" s="175"/>
      <c r="K549" s="277"/>
      <c r="L549" s="277"/>
      <c r="M549" s="141"/>
      <c r="N549" s="175"/>
      <c r="O549" s="240"/>
      <c r="P549" s="240"/>
      <c r="Q549" s="141"/>
    </row>
    <row r="550" spans="1:17" ht="12" customHeight="1">
      <c r="A550" s="1"/>
      <c r="B550" s="102"/>
      <c r="C550" s="207" t="s">
        <v>321</v>
      </c>
      <c r="D550" s="1"/>
      <c r="E550" s="181"/>
      <c r="F550" s="34"/>
      <c r="G550" s="34"/>
      <c r="H550" s="248"/>
      <c r="I550" s="141"/>
      <c r="J550" s="175"/>
      <c r="K550" s="264"/>
      <c r="L550" s="267"/>
      <c r="M550" s="141"/>
      <c r="N550" s="175"/>
      <c r="O550" s="34"/>
      <c r="P550" s="248"/>
      <c r="Q550" s="141"/>
    </row>
    <row r="551" spans="1:17" ht="12" customHeight="1">
      <c r="A551" s="32"/>
      <c r="B551" s="183"/>
      <c r="C551" s="32"/>
      <c r="D551" s="32"/>
      <c r="E551" s="185"/>
      <c r="F551" s="241"/>
      <c r="G551" s="241"/>
      <c r="H551" s="251"/>
      <c r="I551" s="141"/>
      <c r="J551" s="175"/>
      <c r="K551" s="278"/>
      <c r="L551" s="273"/>
      <c r="M551" s="141"/>
      <c r="N551" s="175"/>
      <c r="O551" s="241"/>
      <c r="P551" s="251"/>
      <c r="Q551" s="141"/>
    </row>
    <row r="552" spans="2:17" s="1" customFormat="1" ht="12" customHeight="1">
      <c r="B552" s="193" t="s">
        <v>336</v>
      </c>
      <c r="C552" s="194" t="s">
        <v>305</v>
      </c>
      <c r="E552" s="181"/>
      <c r="F552" s="213">
        <v>0</v>
      </c>
      <c r="G552" s="213">
        <v>0</v>
      </c>
      <c r="H552" s="239">
        <f>+F552-G552</f>
        <v>0</v>
      </c>
      <c r="I552" s="131"/>
      <c r="J552" s="210"/>
      <c r="K552" s="279"/>
      <c r="L552" s="274"/>
      <c r="M552" s="131"/>
      <c r="N552" s="210"/>
      <c r="O552" s="213">
        <v>0</v>
      </c>
      <c r="P552" s="239">
        <f>+F552-O552</f>
        <v>0</v>
      </c>
      <c r="Q552" s="131"/>
    </row>
    <row r="553" spans="2:17" s="1" customFormat="1" ht="12" customHeight="1">
      <c r="B553" s="193" t="s">
        <v>337</v>
      </c>
      <c r="C553" s="52" t="s">
        <v>306</v>
      </c>
      <c r="D553" s="196"/>
      <c r="E553" s="197"/>
      <c r="F553" s="214">
        <v>0</v>
      </c>
      <c r="G553" s="214">
        <v>0</v>
      </c>
      <c r="H553" s="214">
        <f>+F553-G553</f>
        <v>0</v>
      </c>
      <c r="I553" s="198"/>
      <c r="J553" s="198"/>
      <c r="K553" s="271"/>
      <c r="L553" s="271"/>
      <c r="M553" s="198"/>
      <c r="N553" s="198"/>
      <c r="O553" s="214">
        <v>0</v>
      </c>
      <c r="P553" s="214">
        <f>+F553-O553</f>
        <v>0</v>
      </c>
      <c r="Q553" s="198"/>
    </row>
    <row r="554" spans="2:17" s="1" customFormat="1" ht="12" customHeight="1">
      <c r="B554" s="102"/>
      <c r="C554" s="195" t="s">
        <v>316</v>
      </c>
      <c r="E554" s="34"/>
      <c r="F554" s="239">
        <f>SUM(F552:F553)</f>
        <v>0</v>
      </c>
      <c r="G554" s="239">
        <f>SUM(G552:G553)</f>
        <v>0</v>
      </c>
      <c r="H554" s="239">
        <f>+F554-G554</f>
        <v>0</v>
      </c>
      <c r="I554" s="131"/>
      <c r="J554" s="210"/>
      <c r="K554" s="274"/>
      <c r="L554" s="274"/>
      <c r="M554" s="131"/>
      <c r="N554" s="210"/>
      <c r="O554" s="239">
        <f>SUM(O552:O553)</f>
        <v>0</v>
      </c>
      <c r="P554" s="239">
        <f>+F554-O554</f>
        <v>0</v>
      </c>
      <c r="Q554" s="131"/>
    </row>
    <row r="555" spans="2:17" s="1" customFormat="1" ht="12" customHeight="1">
      <c r="B555" s="102"/>
      <c r="C555" s="195"/>
      <c r="E555" s="86"/>
      <c r="F555" s="239"/>
      <c r="G555" s="239"/>
      <c r="H555" s="239"/>
      <c r="I555" s="131"/>
      <c r="J555" s="210"/>
      <c r="K555" s="274"/>
      <c r="L555" s="274"/>
      <c r="M555" s="131"/>
      <c r="N555" s="210"/>
      <c r="O555" s="239"/>
      <c r="P555" s="239"/>
      <c r="Q555" s="131"/>
    </row>
    <row r="556" spans="2:17" s="1" customFormat="1" ht="12" customHeight="1">
      <c r="B556" s="193" t="s">
        <v>339</v>
      </c>
      <c r="C556" s="194" t="s">
        <v>307</v>
      </c>
      <c r="E556" s="34"/>
      <c r="F556" s="213">
        <v>143184638.962</v>
      </c>
      <c r="G556" s="213">
        <v>138749088.787</v>
      </c>
      <c r="H556" s="213">
        <f aca="true" t="shared" si="164" ref="H556:H562">+F556-G556</f>
        <v>4435550.175000012</v>
      </c>
      <c r="I556" s="211"/>
      <c r="J556" s="219"/>
      <c r="K556" s="279"/>
      <c r="L556" s="279"/>
      <c r="M556" s="211"/>
      <c r="N556" s="219"/>
      <c r="O556" s="213">
        <v>138749088.787</v>
      </c>
      <c r="P556" s="213">
        <f aca="true" t="shared" si="165" ref="P556:P562">+F556-O556</f>
        <v>4435550.175000012</v>
      </c>
      <c r="Q556" s="211"/>
    </row>
    <row r="557" spans="2:17" s="1" customFormat="1" ht="12" customHeight="1">
      <c r="B557" s="193" t="s">
        <v>338</v>
      </c>
      <c r="C557" s="194" t="s">
        <v>308</v>
      </c>
      <c r="E557" s="34"/>
      <c r="F557" s="213">
        <v>0</v>
      </c>
      <c r="G557" s="213">
        <v>0</v>
      </c>
      <c r="H557" s="213">
        <f t="shared" si="164"/>
        <v>0</v>
      </c>
      <c r="I557" s="211"/>
      <c r="J557" s="219"/>
      <c r="K557" s="279"/>
      <c r="L557" s="279"/>
      <c r="M557" s="211"/>
      <c r="N557" s="219"/>
      <c r="O557" s="213">
        <v>0</v>
      </c>
      <c r="P557" s="213">
        <f t="shared" si="165"/>
        <v>0</v>
      </c>
      <c r="Q557" s="211"/>
    </row>
    <row r="558" spans="2:17" s="1" customFormat="1" ht="1.5" customHeight="1" hidden="1" outlineLevel="1">
      <c r="B558" s="193"/>
      <c r="C558" s="194"/>
      <c r="E558" s="34"/>
      <c r="F558" s="213"/>
      <c r="G558" s="213"/>
      <c r="H558" s="213"/>
      <c r="I558" s="211"/>
      <c r="J558" s="219"/>
      <c r="K558" s="279"/>
      <c r="L558" s="279"/>
      <c r="M558" s="211"/>
      <c r="N558" s="219"/>
      <c r="O558" s="213"/>
      <c r="P558" s="213"/>
      <c r="Q558" s="211"/>
    </row>
    <row r="559" spans="2:17" s="1" customFormat="1" ht="12" customHeight="1" hidden="1" outlineLevel="1">
      <c r="B559" s="193"/>
      <c r="C559" s="218" t="s">
        <v>341</v>
      </c>
      <c r="E559" s="34"/>
      <c r="F559" s="213">
        <v>6455226.0659999745</v>
      </c>
      <c r="G559" s="213">
        <v>2901056.7370000496</v>
      </c>
      <c r="H559" s="213">
        <f t="shared" si="164"/>
        <v>3554169.328999925</v>
      </c>
      <c r="I559" s="211"/>
      <c r="J559" s="219"/>
      <c r="K559" s="279"/>
      <c r="L559" s="279"/>
      <c r="M559" s="211"/>
      <c r="N559" s="219"/>
      <c r="O559" s="213">
        <v>4435550.174999886</v>
      </c>
      <c r="P559" s="213">
        <f t="shared" si="165"/>
        <v>2019675.8910000883</v>
      </c>
      <c r="Q559" s="211"/>
    </row>
    <row r="560" spans="2:17" s="1" customFormat="1" ht="12" customHeight="1" hidden="1" outlineLevel="1">
      <c r="B560" s="193"/>
      <c r="C560" s="218" t="s">
        <v>340</v>
      </c>
      <c r="E560" s="34"/>
      <c r="F560" s="242">
        <v>0</v>
      </c>
      <c r="G560" s="242">
        <v>0</v>
      </c>
      <c r="H560" s="242">
        <f t="shared" si="164"/>
        <v>0</v>
      </c>
      <c r="I560" s="220"/>
      <c r="J560" s="220"/>
      <c r="K560" s="280"/>
      <c r="L560" s="280"/>
      <c r="M560" s="220"/>
      <c r="N560" s="220"/>
      <c r="O560" s="242">
        <v>0</v>
      </c>
      <c r="P560" s="242">
        <f t="shared" si="165"/>
        <v>0</v>
      </c>
      <c r="Q560" s="220"/>
    </row>
    <row r="561" spans="2:17" s="1" customFormat="1" ht="12" customHeight="1" collapsed="1">
      <c r="B561" s="102"/>
      <c r="C561" s="52" t="s">
        <v>309</v>
      </c>
      <c r="D561" s="196"/>
      <c r="E561" s="197"/>
      <c r="F561" s="242">
        <f>+F559-F560</f>
        <v>6455226.0659999745</v>
      </c>
      <c r="G561" s="242">
        <f>+G559-G560</f>
        <v>2901056.7370000496</v>
      </c>
      <c r="H561" s="242">
        <f t="shared" si="164"/>
        <v>3554169.328999925</v>
      </c>
      <c r="I561" s="220"/>
      <c r="J561" s="220"/>
      <c r="K561" s="280"/>
      <c r="L561" s="280"/>
      <c r="M561" s="220"/>
      <c r="N561" s="220"/>
      <c r="O561" s="242">
        <f>+O559-O560</f>
        <v>4435550.174999886</v>
      </c>
      <c r="P561" s="242">
        <f t="shared" si="165"/>
        <v>2019675.8910000883</v>
      </c>
      <c r="Q561" s="220"/>
    </row>
    <row r="562" spans="1:17" ht="12" customHeight="1">
      <c r="A562" s="1"/>
      <c r="B562" s="102"/>
      <c r="C562" s="126" t="s">
        <v>322</v>
      </c>
      <c r="D562" s="1"/>
      <c r="E562" s="181"/>
      <c r="F562" s="213">
        <f>F561+F556+F557</f>
        <v>149639865.028</v>
      </c>
      <c r="G562" s="213">
        <f>G561+G556+G557</f>
        <v>141650145.52400005</v>
      </c>
      <c r="H562" s="252">
        <f t="shared" si="164"/>
        <v>7989719.5039999485</v>
      </c>
      <c r="I562" s="221"/>
      <c r="J562" s="222"/>
      <c r="K562" s="279"/>
      <c r="L562" s="279"/>
      <c r="M562" s="221"/>
      <c r="N562" s="222"/>
      <c r="O562" s="213">
        <f>O561+O556+O557</f>
        <v>143184638.9619999</v>
      </c>
      <c r="P562" s="252">
        <f t="shared" si="165"/>
        <v>6455226.066000104</v>
      </c>
      <c r="Q562" s="221"/>
    </row>
    <row r="563" spans="1:17" ht="12" customHeight="1">
      <c r="A563" s="1"/>
      <c r="B563" s="102"/>
      <c r="C563" s="195"/>
      <c r="D563" s="1"/>
      <c r="E563" s="181"/>
      <c r="F563" s="239"/>
      <c r="G563" s="239"/>
      <c r="H563" s="253"/>
      <c r="I563" s="199"/>
      <c r="J563" s="215"/>
      <c r="K563" s="274"/>
      <c r="L563" s="274"/>
      <c r="M563" s="199"/>
      <c r="N563" s="215"/>
      <c r="O563" s="239"/>
      <c r="P563" s="253"/>
      <c r="Q563" s="199"/>
    </row>
    <row r="564" spans="1:17" ht="12" customHeight="1">
      <c r="A564" s="1"/>
      <c r="B564" s="193" t="s">
        <v>310</v>
      </c>
      <c r="C564" s="194" t="s">
        <v>325</v>
      </c>
      <c r="D564" s="1"/>
      <c r="E564" s="181"/>
      <c r="F564" s="213">
        <v>0</v>
      </c>
      <c r="G564" s="213">
        <v>0</v>
      </c>
      <c r="H564" s="253">
        <f>+F564-G564</f>
        <v>0</v>
      </c>
      <c r="I564" s="199"/>
      <c r="J564" s="215"/>
      <c r="K564" s="279"/>
      <c r="L564" s="274"/>
      <c r="M564" s="199"/>
      <c r="N564" s="215"/>
      <c r="O564" s="213">
        <v>0</v>
      </c>
      <c r="P564" s="253">
        <f>+F564-O564</f>
        <v>0</v>
      </c>
      <c r="Q564" s="199"/>
    </row>
    <row r="565" spans="1:17" s="1" customFormat="1" ht="12" customHeight="1">
      <c r="A565" s="1" t="s">
        <v>329</v>
      </c>
      <c r="B565" s="193" t="s">
        <v>334</v>
      </c>
      <c r="C565" s="52" t="s">
        <v>324</v>
      </c>
      <c r="D565" s="196"/>
      <c r="E565" s="197"/>
      <c r="F565" s="214">
        <v>0</v>
      </c>
      <c r="G565" s="214">
        <v>0</v>
      </c>
      <c r="H565" s="214">
        <f>+F565-G565</f>
        <v>0</v>
      </c>
      <c r="I565" s="198"/>
      <c r="J565" s="198"/>
      <c r="K565" s="271">
        <v>0</v>
      </c>
      <c r="L565" s="271"/>
      <c r="M565" s="198"/>
      <c r="N565" s="198"/>
      <c r="O565" s="214">
        <v>0</v>
      </c>
      <c r="P565" s="214">
        <f>+F565-O565</f>
        <v>0</v>
      </c>
      <c r="Q565" s="198"/>
    </row>
    <row r="566" spans="1:17" ht="12" customHeight="1">
      <c r="A566" s="1"/>
      <c r="B566" s="102"/>
      <c r="C566" s="126" t="s">
        <v>323</v>
      </c>
      <c r="D566" s="1"/>
      <c r="E566" s="181"/>
      <c r="F566" s="213">
        <f>F564+F565</f>
        <v>0</v>
      </c>
      <c r="G566" s="213">
        <f>G564+G565</f>
        <v>0</v>
      </c>
      <c r="H566" s="213">
        <f>H564+H565</f>
        <v>0</v>
      </c>
      <c r="I566" s="199"/>
      <c r="J566" s="215"/>
      <c r="K566" s="279"/>
      <c r="L566" s="279"/>
      <c r="M566" s="199"/>
      <c r="N566" s="215"/>
      <c r="O566" s="213">
        <f>O564+O565</f>
        <v>0</v>
      </c>
      <c r="P566" s="213">
        <f>+F566-O566</f>
        <v>0</v>
      </c>
      <c r="Q566" s="199"/>
    </row>
    <row r="567" spans="1:17" ht="12" customHeight="1">
      <c r="A567" s="1"/>
      <c r="B567" s="102"/>
      <c r="C567" s="126"/>
      <c r="D567" s="1"/>
      <c r="E567" s="181"/>
      <c r="F567" s="213"/>
      <c r="G567" s="213"/>
      <c r="H567" s="213"/>
      <c r="I567" s="199"/>
      <c r="J567" s="215"/>
      <c r="K567" s="279"/>
      <c r="L567" s="279"/>
      <c r="M567" s="199"/>
      <c r="N567" s="215"/>
      <c r="O567" s="213"/>
      <c r="P567" s="213"/>
      <c r="Q567" s="199"/>
    </row>
    <row r="568" spans="1:17" ht="12" customHeight="1">
      <c r="A568" s="1"/>
      <c r="B568" s="102"/>
      <c r="C568" s="126" t="s">
        <v>344</v>
      </c>
      <c r="D568" s="1"/>
      <c r="E568" s="181"/>
      <c r="F568" s="213">
        <f>+F570-F566-F562-F554</f>
        <v>0</v>
      </c>
      <c r="G568" s="213">
        <f>+G570-G566-G562-G554</f>
        <v>-3.8743019104003906E-07</v>
      </c>
      <c r="H568" s="253">
        <f>+F568-G568</f>
        <v>3.8743019104003906E-07</v>
      </c>
      <c r="I568" s="199"/>
      <c r="J568" s="215"/>
      <c r="K568" s="279"/>
      <c r="L568" s="274"/>
      <c r="M568" s="199"/>
      <c r="N568" s="215"/>
      <c r="O568" s="213">
        <f>+O570-O566-O562-O554</f>
        <v>-2.086162567138672E-07</v>
      </c>
      <c r="P568" s="253">
        <f>+F568-O568</f>
        <v>2.086162567138672E-07</v>
      </c>
      <c r="Q568" s="199"/>
    </row>
    <row r="569" spans="1:17" s="1" customFormat="1" ht="12.75" customHeight="1">
      <c r="A569" s="32"/>
      <c r="B569" s="186"/>
      <c r="C569" s="32"/>
      <c r="D569" s="32"/>
      <c r="E569" s="182"/>
      <c r="F569" s="212"/>
      <c r="G569" s="212"/>
      <c r="H569" s="254"/>
      <c r="I569" s="131"/>
      <c r="J569" s="216"/>
      <c r="K569" s="275"/>
      <c r="L569" s="267"/>
      <c r="M569" s="131"/>
      <c r="N569" s="216"/>
      <c r="O569" s="212"/>
      <c r="P569" s="254"/>
      <c r="Q569" s="131"/>
    </row>
    <row r="570" spans="1:17" s="1" customFormat="1" ht="13.5" thickBot="1">
      <c r="A570" s="32"/>
      <c r="B570" s="186"/>
      <c r="C570" s="189" t="s">
        <v>311</v>
      </c>
      <c r="D570" s="189"/>
      <c r="E570" s="190"/>
      <c r="F570" s="243">
        <f>+F544</f>
        <v>149639865.028</v>
      </c>
      <c r="G570" s="243">
        <f>+G544</f>
        <v>141650145.52399966</v>
      </c>
      <c r="H570" s="255">
        <f>+F570-G570</f>
        <v>7989719.504000336</v>
      </c>
      <c r="I570" s="201"/>
      <c r="J570" s="201"/>
      <c r="K570" s="281"/>
      <c r="L570" s="282"/>
      <c r="M570" s="201"/>
      <c r="N570" s="201"/>
      <c r="O570" s="243">
        <f>+O544</f>
        <v>143184638.96199968</v>
      </c>
      <c r="P570" s="255">
        <f>+F570-O570</f>
        <v>6455226.066000313</v>
      </c>
      <c r="Q570" s="201"/>
    </row>
    <row r="571" spans="1:17" s="1" customFormat="1" ht="13.5" thickTop="1">
      <c r="A571" s="32"/>
      <c r="B571" s="186"/>
      <c r="C571" s="32"/>
      <c r="D571" s="32"/>
      <c r="E571" s="192"/>
      <c r="F571" s="192"/>
      <c r="G571" s="192"/>
      <c r="H571" s="34"/>
      <c r="I571" s="191"/>
      <c r="J571" s="87"/>
      <c r="K571" s="192"/>
      <c r="L571" s="34"/>
      <c r="M571" s="191"/>
      <c r="N571" s="87"/>
      <c r="O571" s="192"/>
      <c r="P571" s="34"/>
      <c r="Q571" s="191"/>
    </row>
    <row r="572" spans="1:17" s="1" customFormat="1" ht="12.75">
      <c r="A572" s="32"/>
      <c r="B572" s="186"/>
      <c r="C572" s="32"/>
      <c r="D572" s="32"/>
      <c r="E572" s="192"/>
      <c r="F572" s="192"/>
      <c r="G572" s="192"/>
      <c r="H572" s="86"/>
      <c r="I572" s="191"/>
      <c r="J572" s="87"/>
      <c r="K572" s="192"/>
      <c r="L572" s="86"/>
      <c r="M572" s="191"/>
      <c r="N572" s="87"/>
      <c r="O572" s="192"/>
      <c r="P572" s="86"/>
      <c r="Q572" s="191"/>
    </row>
    <row r="573" spans="1:17" s="1" customFormat="1" ht="12.75">
      <c r="A573" s="32"/>
      <c r="B573" s="186"/>
      <c r="C573" s="32"/>
      <c r="D573" s="32"/>
      <c r="E573" s="192"/>
      <c r="F573" s="192"/>
      <c r="G573" s="192"/>
      <c r="H573" s="86"/>
      <c r="I573" s="191"/>
      <c r="J573" s="87"/>
      <c r="K573" s="192"/>
      <c r="L573" s="86"/>
      <c r="M573" s="191"/>
      <c r="N573" s="87"/>
      <c r="O573" s="192"/>
      <c r="P573" s="86"/>
      <c r="Q573" s="191"/>
    </row>
    <row r="574" spans="2:17" s="35" customFormat="1" ht="12.75" hidden="1" outlineLevel="1">
      <c r="B574" s="35" t="s">
        <v>56</v>
      </c>
      <c r="C574" s="292" t="s">
        <v>1316</v>
      </c>
      <c r="G574" s="37"/>
      <c r="H574" s="37"/>
      <c r="I574" s="147"/>
      <c r="J574" s="176"/>
      <c r="K574" s="37"/>
      <c r="L574" s="37"/>
      <c r="M574" s="147"/>
      <c r="N574" s="176"/>
      <c r="O574" s="37"/>
      <c r="P574" s="37"/>
      <c r="Q574" s="147"/>
    </row>
    <row r="575" spans="1:17" s="35" customFormat="1" ht="12.75" hidden="1" outlineLevel="1">
      <c r="A575" s="36"/>
      <c r="B575" s="35" t="s">
        <v>57</v>
      </c>
      <c r="C575" s="35">
        <v>0.001</v>
      </c>
      <c r="G575" s="37"/>
      <c r="H575" s="37"/>
      <c r="I575" s="147"/>
      <c r="J575" s="176"/>
      <c r="K575" s="37"/>
      <c r="L575" s="37"/>
      <c r="M575" s="147"/>
      <c r="N575" s="176"/>
      <c r="O575" s="37"/>
      <c r="P575" s="37"/>
      <c r="Q575" s="147"/>
    </row>
    <row r="576" spans="1:17" s="35" customFormat="1" ht="12.75" hidden="1" outlineLevel="1">
      <c r="A576" s="36"/>
      <c r="B576" s="35" t="s">
        <v>173</v>
      </c>
      <c r="C576" s="133" t="s">
        <v>172</v>
      </c>
      <c r="G576" s="37"/>
      <c r="H576" s="37"/>
      <c r="I576" s="147"/>
      <c r="J576" s="176"/>
      <c r="K576" s="37"/>
      <c r="L576" s="37"/>
      <c r="M576" s="147"/>
      <c r="N576" s="176"/>
      <c r="O576" s="37"/>
      <c r="P576" s="37"/>
      <c r="Q576" s="147"/>
    </row>
    <row r="577" spans="1:17" s="35" customFormat="1" ht="12.75" hidden="1" outlineLevel="1">
      <c r="A577" s="36"/>
      <c r="B577" s="35" t="s">
        <v>174</v>
      </c>
      <c r="C577" s="35" t="s">
        <v>175</v>
      </c>
      <c r="G577" s="37"/>
      <c r="H577" s="37"/>
      <c r="I577" s="147"/>
      <c r="J577" s="176"/>
      <c r="K577" s="151"/>
      <c r="L577" s="37"/>
      <c r="M577" s="147"/>
      <c r="N577" s="176"/>
      <c r="O577" s="151"/>
      <c r="P577" s="37"/>
      <c r="Q577" s="147"/>
    </row>
    <row r="578" spans="1:17" s="35" customFormat="1" ht="12.75" hidden="1" outlineLevel="1">
      <c r="A578" s="36"/>
      <c r="B578" s="35" t="s">
        <v>58</v>
      </c>
      <c r="C578" s="35">
        <f>COUNTIF($F$10:$Q$542,+C576)</f>
        <v>0</v>
      </c>
      <c r="G578" s="37"/>
      <c r="H578" s="37"/>
      <c r="I578" s="147"/>
      <c r="J578" s="176"/>
      <c r="K578" s="151"/>
      <c r="L578" s="37"/>
      <c r="M578" s="147"/>
      <c r="N578" s="176"/>
      <c r="O578" s="151"/>
      <c r="P578" s="37"/>
      <c r="Q578" s="147"/>
    </row>
    <row r="579" spans="1:17" s="35" customFormat="1" ht="12.75" hidden="1" outlineLevel="1">
      <c r="A579" s="36"/>
      <c r="B579" s="35" t="s">
        <v>58</v>
      </c>
      <c r="C579" s="45">
        <f>COUNTIF($F$10:$Q$542,+C577)</f>
        <v>0</v>
      </c>
      <c r="F579" s="36"/>
      <c r="G579" s="37"/>
      <c r="H579" s="37"/>
      <c r="I579" s="147"/>
      <c r="J579" s="176"/>
      <c r="K579" s="151"/>
      <c r="L579" s="37"/>
      <c r="M579" s="147"/>
      <c r="N579" s="176"/>
      <c r="O579" s="151"/>
      <c r="P579" s="37"/>
      <c r="Q579" s="147"/>
    </row>
    <row r="580" spans="1:17" s="35" customFormat="1" ht="12.75" hidden="1" outlineLevel="1">
      <c r="A580" s="36"/>
      <c r="B580" s="35" t="s">
        <v>59</v>
      </c>
      <c r="C580" s="45">
        <f>SUM(C578:C579)</f>
        <v>0</v>
      </c>
      <c r="F580" s="36"/>
      <c r="G580" s="37"/>
      <c r="H580" s="37"/>
      <c r="I580" s="147"/>
      <c r="J580" s="176"/>
      <c r="K580" s="151"/>
      <c r="L580" s="37"/>
      <c r="M580" s="147"/>
      <c r="N580" s="176"/>
      <c r="O580" s="151"/>
      <c r="P580" s="37"/>
      <c r="Q580" s="147"/>
    </row>
    <row r="581" spans="1:17" s="35" customFormat="1" ht="12.75" hidden="1" outlineLevel="1">
      <c r="A581" s="36"/>
      <c r="B581" s="38"/>
      <c r="C581" s="46"/>
      <c r="D581" s="39"/>
      <c r="E581" s="39"/>
      <c r="F581" s="40"/>
      <c r="G581" s="37"/>
      <c r="H581" s="37"/>
      <c r="I581" s="147"/>
      <c r="J581" s="176"/>
      <c r="K581" s="152"/>
      <c r="L581" s="37"/>
      <c r="M581" s="147"/>
      <c r="N581" s="176"/>
      <c r="O581" s="152"/>
      <c r="P581" s="37"/>
      <c r="Q581" s="147"/>
    </row>
    <row r="582" spans="1:17" s="35" customFormat="1" ht="12.75" hidden="1" outlineLevel="1">
      <c r="A582" s="36"/>
      <c r="B582" s="38" t="s">
        <v>60</v>
      </c>
      <c r="C582" s="293" t="s">
        <v>1317</v>
      </c>
      <c r="D582" s="39"/>
      <c r="E582" s="39"/>
      <c r="F582" s="37"/>
      <c r="G582" s="37">
        <v>-13500000</v>
      </c>
      <c r="H582" s="283">
        <f>+F582-G582</f>
        <v>13500000</v>
      </c>
      <c r="I582" s="284"/>
      <c r="J582" s="285"/>
      <c r="K582" s="37"/>
      <c r="L582" s="283"/>
      <c r="M582" s="284"/>
      <c r="N582" s="285"/>
      <c r="O582" s="286">
        <v>-19500000</v>
      </c>
      <c r="P582" s="283">
        <f>+F582-O582</f>
        <v>19500000</v>
      </c>
      <c r="Q582" s="147"/>
    </row>
    <row r="583" spans="1:17" s="35" customFormat="1" ht="12.75" hidden="1" outlineLevel="1">
      <c r="A583" s="36"/>
      <c r="B583" s="38" t="s">
        <v>61</v>
      </c>
      <c r="C583" s="293" t="s">
        <v>1317</v>
      </c>
      <c r="D583" s="39"/>
      <c r="E583" s="39"/>
      <c r="F583" s="37"/>
      <c r="G583" s="37"/>
      <c r="H583" s="283"/>
      <c r="I583" s="284"/>
      <c r="J583" s="285"/>
      <c r="K583" s="37"/>
      <c r="L583" s="283"/>
      <c r="M583" s="284"/>
      <c r="N583" s="285"/>
      <c r="O583" s="287"/>
      <c r="P583" s="283"/>
      <c r="Q583" s="147"/>
    </row>
    <row r="584" spans="1:17" s="35" customFormat="1" ht="12.75" hidden="1" outlineLevel="1">
      <c r="A584" s="36"/>
      <c r="B584" s="41" t="s">
        <v>70</v>
      </c>
      <c r="C584" s="293" t="s">
        <v>1318</v>
      </c>
      <c r="D584" s="41"/>
      <c r="E584" s="41"/>
      <c r="F584" s="288"/>
      <c r="G584" s="37">
        <v>0</v>
      </c>
      <c r="H584" s="283">
        <f>+F584-G584</f>
        <v>0</v>
      </c>
      <c r="I584" s="284"/>
      <c r="J584" s="285"/>
      <c r="K584" s="288"/>
      <c r="L584" s="283"/>
      <c r="M584" s="284"/>
      <c r="N584" s="285"/>
      <c r="O584" s="286">
        <v>0</v>
      </c>
      <c r="P584" s="283">
        <f>+F584-O584</f>
        <v>0</v>
      </c>
      <c r="Q584" s="147"/>
    </row>
    <row r="585" spans="1:17" s="35" customFormat="1" ht="12.75" hidden="1" outlineLevel="1">
      <c r="A585" s="36"/>
      <c r="B585" s="41" t="s">
        <v>62</v>
      </c>
      <c r="C585" s="293" t="s">
        <v>1319</v>
      </c>
      <c r="D585" s="41"/>
      <c r="E585" s="41"/>
      <c r="F585" s="288"/>
      <c r="G585" s="289"/>
      <c r="H585" s="290"/>
      <c r="I585" s="284"/>
      <c r="J585" s="285"/>
      <c r="K585" s="288"/>
      <c r="L585" s="290"/>
      <c r="M585" s="284"/>
      <c r="N585" s="285"/>
      <c r="O585" s="289"/>
      <c r="P585" s="290"/>
      <c r="Q585" s="147"/>
    </row>
    <row r="586" spans="1:17" s="35" customFormat="1" ht="12.75" hidden="1" outlineLevel="1">
      <c r="A586" s="36"/>
      <c r="B586" s="41" t="s">
        <v>63</v>
      </c>
      <c r="C586" s="293" t="s">
        <v>1320</v>
      </c>
      <c r="D586" s="41"/>
      <c r="E586" s="41"/>
      <c r="F586" s="288">
        <v>0</v>
      </c>
      <c r="G586" s="289">
        <v>0</v>
      </c>
      <c r="H586" s="283">
        <f>+F586-G586</f>
        <v>0</v>
      </c>
      <c r="I586" s="284"/>
      <c r="J586" s="285"/>
      <c r="K586" s="291"/>
      <c r="L586" s="283"/>
      <c r="M586" s="284"/>
      <c r="N586" s="285"/>
      <c r="O586" s="286">
        <v>0</v>
      </c>
      <c r="P586" s="283">
        <f>+F586-O586</f>
        <v>0</v>
      </c>
      <c r="Q586" s="147"/>
    </row>
    <row r="587" spans="1:17" s="35" customFormat="1" ht="12.75" hidden="1" outlineLevel="1">
      <c r="A587" s="36"/>
      <c r="B587" s="41" t="s">
        <v>64</v>
      </c>
      <c r="C587" s="293" t="s">
        <v>1321</v>
      </c>
      <c r="D587" s="41"/>
      <c r="E587" s="41"/>
      <c r="G587" s="37"/>
      <c r="H587" s="37"/>
      <c r="I587" s="147"/>
      <c r="J587" s="176"/>
      <c r="K587" s="153"/>
      <c r="L587" s="37"/>
      <c r="M587" s="147"/>
      <c r="N587" s="176"/>
      <c r="O587" s="153"/>
      <c r="P587" s="37"/>
      <c r="Q587" s="147"/>
    </row>
    <row r="588" spans="1:17" s="35" customFormat="1" ht="12.75" hidden="1" outlineLevel="1">
      <c r="A588" s="36"/>
      <c r="B588" s="41" t="s">
        <v>65</v>
      </c>
      <c r="C588" s="293" t="s">
        <v>1322</v>
      </c>
      <c r="D588" s="41"/>
      <c r="E588" s="41"/>
      <c r="G588" s="37"/>
      <c r="H588" s="37"/>
      <c r="I588" s="147"/>
      <c r="J588" s="176"/>
      <c r="K588" s="153"/>
      <c r="L588" s="37"/>
      <c r="M588" s="147"/>
      <c r="N588" s="176"/>
      <c r="O588" s="153"/>
      <c r="P588" s="37"/>
      <c r="Q588" s="147"/>
    </row>
    <row r="589" spans="1:17" s="35" customFormat="1" ht="12.75" hidden="1" outlineLevel="1">
      <c r="A589" s="36"/>
      <c r="B589" s="41" t="s">
        <v>66</v>
      </c>
      <c r="C589" s="293" t="s">
        <v>1323</v>
      </c>
      <c r="D589" s="41"/>
      <c r="E589" s="41"/>
      <c r="G589" s="37"/>
      <c r="H589" s="37"/>
      <c r="I589" s="147"/>
      <c r="J589" s="176"/>
      <c r="K589" s="153"/>
      <c r="L589" s="37"/>
      <c r="M589" s="147"/>
      <c r="N589" s="176"/>
      <c r="O589" s="153"/>
      <c r="P589" s="37"/>
      <c r="Q589" s="147"/>
    </row>
    <row r="590" spans="1:17" s="35" customFormat="1" ht="12.75" hidden="1" outlineLevel="1">
      <c r="A590" s="36"/>
      <c r="B590" s="41" t="s">
        <v>67</v>
      </c>
      <c r="C590" s="293" t="s">
        <v>1324</v>
      </c>
      <c r="D590" s="41"/>
      <c r="E590" s="41"/>
      <c r="G590" s="37"/>
      <c r="H590" s="37"/>
      <c r="I590" s="147"/>
      <c r="J590" s="176"/>
      <c r="K590" s="153"/>
      <c r="L590" s="37"/>
      <c r="M590" s="147"/>
      <c r="N590" s="176"/>
      <c r="O590" s="153"/>
      <c r="P590" s="37"/>
      <c r="Q590" s="147"/>
    </row>
    <row r="591" spans="1:17" s="35" customFormat="1" ht="12.75" hidden="1" outlineLevel="1">
      <c r="A591" s="36"/>
      <c r="B591" s="41" t="s">
        <v>68</v>
      </c>
      <c r="C591" s="293" t="s">
        <v>1325</v>
      </c>
      <c r="D591" s="41"/>
      <c r="E591" s="41"/>
      <c r="G591" s="37"/>
      <c r="H591" s="37"/>
      <c r="I591" s="147"/>
      <c r="J591" s="176"/>
      <c r="K591" s="153"/>
      <c r="L591" s="37"/>
      <c r="M591" s="147"/>
      <c r="N591" s="176"/>
      <c r="O591" s="153"/>
      <c r="P591" s="37"/>
      <c r="Q591" s="147"/>
    </row>
    <row r="592" spans="1:17" s="35" customFormat="1" ht="12.75" hidden="1" outlineLevel="1">
      <c r="A592" s="36"/>
      <c r="B592" s="37" t="s">
        <v>69</v>
      </c>
      <c r="C592" s="47" t="str">
        <f>UPPER(TEXT(NvsElapsedTime,"hh:mm:ss"))</f>
        <v>00:01:11</v>
      </c>
      <c r="D592" s="37"/>
      <c r="E592" s="37"/>
      <c r="F592" s="37"/>
      <c r="G592" s="37"/>
      <c r="H592" s="37"/>
      <c r="I592" s="147"/>
      <c r="J592" s="176"/>
      <c r="K592" s="154"/>
      <c r="L592" s="37"/>
      <c r="M592" s="147"/>
      <c r="N592" s="176"/>
      <c r="O592" s="154"/>
      <c r="P592" s="37"/>
      <c r="Q592" s="147"/>
    </row>
    <row r="593" spans="1:17" s="35" customFormat="1" ht="12.75" hidden="1" outlineLevel="1">
      <c r="A593" s="36"/>
      <c r="B593" s="37" t="s">
        <v>241</v>
      </c>
      <c r="C593" s="294" t="s">
        <v>1326</v>
      </c>
      <c r="D593" s="37"/>
      <c r="E593" s="37"/>
      <c r="F593" s="37"/>
      <c r="G593" s="37"/>
      <c r="H593" s="37"/>
      <c r="I593" s="147"/>
      <c r="J593" s="176"/>
      <c r="K593" s="154"/>
      <c r="L593" s="37"/>
      <c r="M593" s="147"/>
      <c r="N593" s="176"/>
      <c r="O593" s="154"/>
      <c r="P593" s="37"/>
      <c r="Q593" s="147"/>
    </row>
    <row r="594" spans="3:17" s="35" customFormat="1" ht="12.75" hidden="1" outlineLevel="1">
      <c r="C594" s="35" t="s">
        <v>320</v>
      </c>
      <c r="D594" s="43"/>
      <c r="E594" s="43"/>
      <c r="F594" s="35" t="s">
        <v>317</v>
      </c>
      <c r="G594" s="35" t="s">
        <v>318</v>
      </c>
      <c r="H594" s="35" t="s">
        <v>319</v>
      </c>
      <c r="I594" s="147"/>
      <c r="J594" s="176"/>
      <c r="K594" s="155"/>
      <c r="L594" s="37"/>
      <c r="M594" s="147"/>
      <c r="N594" s="176"/>
      <c r="O594" s="155"/>
      <c r="P594" s="37"/>
      <c r="Q594" s="147"/>
    </row>
    <row r="595" spans="3:17" s="35" customFormat="1" ht="12.75" hidden="1" outlineLevel="1">
      <c r="C595" s="35" t="s">
        <v>320</v>
      </c>
      <c r="D595" s="37"/>
      <c r="E595" s="37"/>
      <c r="I595" s="147"/>
      <c r="J595" s="176"/>
      <c r="K595" s="154"/>
      <c r="L595" s="37"/>
      <c r="M595" s="147"/>
      <c r="N595" s="176"/>
      <c r="O595" s="154"/>
      <c r="P595" s="37"/>
      <c r="Q595" s="147"/>
    </row>
    <row r="596" spans="3:17" s="35" customFormat="1" ht="12.75" hidden="1" outlineLevel="1">
      <c r="C596" s="223" t="s">
        <v>342</v>
      </c>
      <c r="D596" s="37"/>
      <c r="E596" s="37"/>
      <c r="F596" s="224">
        <v>2000000</v>
      </c>
      <c r="I596" s="147"/>
      <c r="J596" s="176"/>
      <c r="K596" s="154"/>
      <c r="L596" s="37"/>
      <c r="M596" s="147"/>
      <c r="N596" s="176"/>
      <c r="O596" s="154"/>
      <c r="P596" s="37"/>
      <c r="Q596" s="147"/>
    </row>
    <row r="597" spans="3:17" s="35" customFormat="1" ht="12.75" hidden="1" outlineLevel="1">
      <c r="C597" s="223" t="s">
        <v>343</v>
      </c>
      <c r="D597" s="37"/>
      <c r="E597" s="37"/>
      <c r="F597" s="224">
        <v>1009000</v>
      </c>
      <c r="I597" s="147"/>
      <c r="J597" s="176"/>
      <c r="K597" s="154"/>
      <c r="L597" s="37"/>
      <c r="M597" s="147"/>
      <c r="N597" s="176"/>
      <c r="O597" s="154"/>
      <c r="P597" s="37"/>
      <c r="Q597" s="147"/>
    </row>
    <row r="598" spans="2:17" s="35" customFormat="1" ht="12.75" collapsed="1">
      <c r="B598" s="42" t="s">
        <v>20</v>
      </c>
      <c r="C598" s="48"/>
      <c r="D598" s="37"/>
      <c r="E598" s="37"/>
      <c r="F598" s="37"/>
      <c r="G598" s="37"/>
      <c r="H598" s="37"/>
      <c r="I598" s="147"/>
      <c r="J598" s="176"/>
      <c r="K598" s="154"/>
      <c r="L598" s="37"/>
      <c r="M598" s="147"/>
      <c r="N598" s="176"/>
      <c r="O598" s="154"/>
      <c r="P598" s="37"/>
      <c r="Q598" s="147"/>
    </row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75" ht="12.75"/>
    <row r="976" ht="12.75"/>
    <row r="977" ht="12.75"/>
    <row r="998" ht="12.75"/>
    <row r="999" ht="12.75"/>
    <row r="1000" ht="12.75"/>
  </sheetData>
  <sheetProtection/>
  <printOptions horizontalCentered="1"/>
  <pageMargins left="0.25" right="0.59" top="0.85" bottom="0.5" header="0.25" footer="0.25"/>
  <pageSetup fitToHeight="0" horizontalDpi="600" verticalDpi="600" orientation="landscape" scale="62" r:id="rId3"/>
  <headerFooter alignWithMargins="0">
    <oddFooter>&amp;L&amp;8&amp;D&amp;C&amp;8Page &amp;P of &amp;N&amp;R&amp;8&amp;Z&amp;F</oddFooter>
  </headerFooter>
  <rowBreaks count="2" manualBreakCount="2">
    <brk id="241" min="1" max="12" man="1"/>
    <brk id="524" min="1" max="12" man="1"/>
  </rowBreaks>
  <colBreaks count="1" manualBreakCount="1">
    <brk id="16" min="1" max="57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2</v>
      </c>
      <c r="C2" s="3" t="s">
        <v>1</v>
      </c>
    </row>
    <row r="3" spans="1:3" ht="12.75">
      <c r="A3" s="6" t="s">
        <v>3</v>
      </c>
      <c r="C3" s="3" t="s">
        <v>16</v>
      </c>
    </row>
    <row r="4" spans="1:3" ht="12.75">
      <c r="A4" s="6" t="s">
        <v>4</v>
      </c>
      <c r="C4" s="3" t="s">
        <v>17</v>
      </c>
    </row>
    <row r="5" spans="1:3" ht="12.75">
      <c r="A5" s="6" t="s">
        <v>5</v>
      </c>
      <c r="C5" s="3" t="s">
        <v>21</v>
      </c>
    </row>
    <row r="6" spans="1:3" ht="12.75">
      <c r="A6" s="6" t="s">
        <v>6</v>
      </c>
      <c r="C6" s="3" t="s">
        <v>32</v>
      </c>
    </row>
    <row r="7" spans="1:3" ht="12.75">
      <c r="A7" s="6" t="s">
        <v>7</v>
      </c>
      <c r="C7" s="4">
        <v>40151</v>
      </c>
    </row>
    <row r="8" spans="1:3" ht="12.75">
      <c r="A8" s="6" t="s">
        <v>8</v>
      </c>
      <c r="C8" s="3" t="s">
        <v>22</v>
      </c>
    </row>
    <row r="9" spans="1:3" ht="12.75">
      <c r="A9" s="6" t="s">
        <v>9</v>
      </c>
      <c r="C9" s="3" t="s">
        <v>23</v>
      </c>
    </row>
    <row r="10" spans="1:3" ht="25.5">
      <c r="A10" s="6" t="s">
        <v>10</v>
      </c>
      <c r="C10" s="3" t="s">
        <v>24</v>
      </c>
    </row>
    <row r="11" spans="1:3" ht="12.75">
      <c r="A11" s="6" t="s">
        <v>11</v>
      </c>
      <c r="C11" s="3" t="s">
        <v>18</v>
      </c>
    </row>
    <row r="12" spans="1:3" ht="25.5">
      <c r="A12" s="6" t="s">
        <v>12</v>
      </c>
      <c r="C12" s="3" t="s">
        <v>48</v>
      </c>
    </row>
    <row r="13" spans="1:3" ht="12.75">
      <c r="A13" s="6" t="s">
        <v>13</v>
      </c>
      <c r="C13" s="3"/>
    </row>
    <row r="14" spans="1:3" ht="12.75">
      <c r="A14" s="6" t="s">
        <v>14</v>
      </c>
      <c r="C14" s="3"/>
    </row>
    <row r="15" spans="1:3" ht="12.75">
      <c r="A15" s="6" t="s">
        <v>15</v>
      </c>
      <c r="C15" s="3"/>
    </row>
    <row r="18" spans="1:5" ht="25.5">
      <c r="A18" s="6" t="s">
        <v>33</v>
      </c>
      <c r="C18" s="6" t="s">
        <v>16</v>
      </c>
      <c r="E18" s="2" t="s">
        <v>34</v>
      </c>
    </row>
    <row r="20" spans="1:5" ht="12.75">
      <c r="A20" s="6" t="s">
        <v>35</v>
      </c>
      <c r="C20" s="6" t="s">
        <v>16</v>
      </c>
      <c r="E20" s="2" t="s">
        <v>36</v>
      </c>
    </row>
    <row r="22" spans="1:5" ht="51">
      <c r="A22" s="6" t="s">
        <v>25</v>
      </c>
      <c r="C22" s="6" t="s">
        <v>16</v>
      </c>
      <c r="E22" s="2" t="s">
        <v>26</v>
      </c>
    </row>
    <row r="24" spans="1:5" ht="25.5">
      <c r="A24" s="6" t="s">
        <v>37</v>
      </c>
      <c r="C24" s="6" t="s">
        <v>16</v>
      </c>
      <c r="E24" s="2" t="s">
        <v>38</v>
      </c>
    </row>
    <row r="26" spans="1:5" ht="38.25">
      <c r="A26" s="6" t="s">
        <v>27</v>
      </c>
      <c r="C26" s="6" t="s">
        <v>16</v>
      </c>
      <c r="E26" s="2" t="s">
        <v>28</v>
      </c>
    </row>
    <row r="28" spans="1:5" ht="38.25">
      <c r="A28" s="6" t="s">
        <v>29</v>
      </c>
      <c r="C28" s="6" t="s">
        <v>16</v>
      </c>
      <c r="E28" s="2" t="s">
        <v>39</v>
      </c>
    </row>
    <row r="30" spans="1:5" ht="12.75">
      <c r="A30" s="7">
        <v>38923</v>
      </c>
      <c r="C30" s="6" t="s">
        <v>16</v>
      </c>
      <c r="E30" s="2" t="s">
        <v>40</v>
      </c>
    </row>
    <row r="32" spans="1:5" ht="25.5">
      <c r="A32" s="6" t="s">
        <v>41</v>
      </c>
      <c r="C32" s="6" t="s">
        <v>16</v>
      </c>
      <c r="E32" s="2" t="s">
        <v>42</v>
      </c>
    </row>
    <row r="34" spans="1:5" ht="76.5">
      <c r="A34" s="6" t="s">
        <v>30</v>
      </c>
      <c r="C34" s="6" t="s">
        <v>16</v>
      </c>
      <c r="E34" s="2" t="s">
        <v>31</v>
      </c>
    </row>
    <row r="36" spans="1:5" ht="12.75">
      <c r="A36" s="7">
        <v>39692</v>
      </c>
      <c r="C36" s="6" t="s">
        <v>16</v>
      </c>
      <c r="E36" s="2" t="s">
        <v>43</v>
      </c>
    </row>
    <row r="38" spans="1:5" ht="25.5">
      <c r="A38" s="6" t="s">
        <v>44</v>
      </c>
      <c r="C38" s="6" t="s">
        <v>16</v>
      </c>
      <c r="E38" s="2" t="s">
        <v>45</v>
      </c>
    </row>
    <row r="40" spans="1:5" ht="12.75">
      <c r="A40" s="6" t="s">
        <v>46</v>
      </c>
      <c r="C40" s="6" t="s">
        <v>16</v>
      </c>
      <c r="E40" s="2" t="s">
        <v>47</v>
      </c>
    </row>
    <row r="42" spans="1:5" ht="25.5">
      <c r="A42" s="6" t="s">
        <v>49</v>
      </c>
      <c r="C42" s="6" t="s">
        <v>16</v>
      </c>
      <c r="E42" s="2" t="s">
        <v>50</v>
      </c>
    </row>
    <row r="44" spans="1:5" ht="38.25">
      <c r="A44" s="6" t="s">
        <v>51</v>
      </c>
      <c r="C44" s="6" t="s">
        <v>16</v>
      </c>
      <c r="E44" s="2" t="s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Consolidated       Family Tree Income Statement</dc:title>
  <dc:subject/>
  <dc:creator>Financial Reporting / Neal Hartley</dc:creator>
  <cp:keywords/>
  <dc:description>Acct:   GL_ACCT_SEC
BU:     Regional_Cons
Sunset: 12/4/2009 1:00:00 AM</dc:description>
  <cp:lastModifiedBy>American Electric Power®</cp:lastModifiedBy>
  <cp:lastPrinted>2012-01-26T00:40:08Z</cp:lastPrinted>
  <dcterms:created xsi:type="dcterms:W3CDTF">1997-11-19T15:48:19Z</dcterms:created>
  <dcterms:modified xsi:type="dcterms:W3CDTF">2012-01-26T00:40:11Z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Regional_Cons</vt:lpwstr>
  </property>
  <property fmtid="{D5CDD505-2E9C-101B-9397-08002B2CF9AE}" pid="6" name="Sunset Date" linkTarget="Sunset_date">
    <vt:filetime>2009-12-04T05:00:00Z</vt:filetime>
  </property>
  <property fmtid="{D5CDD505-2E9C-101B-9397-08002B2CF9AE}" pid="7" name="Report Description" linkTarget="Report_Description">
    <vt:lpwstr>Income Statement used for 10K/Q and Cash Flows</vt:lpwstr>
  </property>
  <property fmtid="{D5CDD505-2E9C-101B-9397-08002B2CF9AE}" pid="8" name="Report BU Name" linkTarget="BU_Name">
    <vt:lpwstr>AEP Consolidated</vt:lpwstr>
  </property>
  <property fmtid="{D5CDD505-2E9C-101B-9397-08002B2CF9AE}" pid="9" name="Report Statment Type" linkTarget="Report_Stmt_type">
    <vt:lpwstr>Family Tree Income Statement</vt:lpwstr>
  </property>
</Properties>
</file>