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15" yWindow="120" windowWidth="12120" windowHeight="906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'Sheet1'!$F$597</definedName>
    <definedName name="CSO">'Sheet1'!$F$596</definedName>
    <definedName name="Department_Owner">'Modification History'!$C$4</definedName>
    <definedName name="Keywords">'Modification History'!$C$15</definedName>
    <definedName name="NvsASD">"V2010-11-30"</definedName>
    <definedName name="NvsAutoDrillOk">"VN"</definedName>
    <definedName name="NvsDrillHyperLink" localSheetId="0">"http://psfinweb.aepsc.com/psp/fcm90prd_newwin/EMPLOYEE/ERP/c/REPORT_BOOKS.IC_RUN_DRILLDOWN.GBL?Action=A&amp;NVS_INSTANCE=2558224_2618060"</definedName>
    <definedName name="NvsElapsedTime">0.000497685185109731</definedName>
    <definedName name="NvsEndTime">40521.4440162037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'Sheet1'!$B$2:$Q$570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'Sheet1'!$B$752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29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5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7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7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9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9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9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9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5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5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45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45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7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95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596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K27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9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9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5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5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4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4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<sst xmlns="http://schemas.openxmlformats.org/spreadsheetml/2006/main" count="1402" uniqueCount="1324">
  <si>
    <t>%,ATT,FDESCR,UDESCR</t>
  </si>
  <si>
    <t>AEP Consolidated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</si>
  <si>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</si>
  <si>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</si>
  <si>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</si>
  <si>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</si>
  <si>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</si>
  <si>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</si>
  <si>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</si>
  <si>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</si>
  <si>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</si>
  <si>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</si>
  <si>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</si>
  <si>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</si>
  <si>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</si>
  <si>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</si>
  <si>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</si>
  <si>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</si>
  <si>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</si>
  <si>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</si>
  <si>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</si>
  <si>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GL_ACCT_SEC</t>
  </si>
  <si>
    <t>Family Tree Income Statement</t>
  </si>
  <si>
    <t>Income Statement used for 10K/Q and Cash Flows</t>
  </si>
  <si>
    <t>AEP Consolidated       Family Tree Income Statement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</si>
  <si>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</si>
  <si>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</si>
  <si>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</si>
  <si>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</si>
  <si>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</si>
  <si>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</si>
  <si>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</si>
  <si>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Regional_Cons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</si>
  <si>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</si>
  <si>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</si>
  <si>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</si>
  <si>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</si>
  <si>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</si>
  <si>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</si>
  <si>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</si>
  <si>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</si>
  <si>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</si>
  <si>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</si>
  <si>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</si>
  <si>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</si>
  <si>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</si>
  <si>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</si>
  <si>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</si>
  <si>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Acct:   GL_ACCT_SEC
BU:     Regional_Cons
Sunset: 12/4/2009 1:00:00 AM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</si>
  <si>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</si>
  <si>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</si>
  <si>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</si>
  <si>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</si>
  <si>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</si>
  <si>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</si>
  <si>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</si>
  <si>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</si>
  <si>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</si>
  <si>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</si>
  <si>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</si>
  <si>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</si>
  <si>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</si>
  <si>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</si>
  <si>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</si>
  <si>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</si>
  <si>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</si>
  <si>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</si>
  <si>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</si>
  <si>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</si>
  <si>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</si>
  <si>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</si>
  <si>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</si>
  <si>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</si>
  <si>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</si>
  <si>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</si>
  <si>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</si>
  <si>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</si>
  <si>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</si>
  <si>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</si>
  <si>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</si>
  <si>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</si>
  <si>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</si>
  <si>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</si>
  <si>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</si>
  <si>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</si>
  <si>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</si>
  <si>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</si>
  <si>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</si>
  <si>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</si>
  <si>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</si>
  <si>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</si>
  <si>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</si>
  <si>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</si>
  <si>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</si>
  <si>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</si>
  <si>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</si>
  <si>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</si>
  <si>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</si>
  <si>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</si>
  <si>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</si>
  <si>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</si>
  <si>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</si>
  <si>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</si>
  <si>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</si>
  <si>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</si>
  <si>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</si>
  <si>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</si>
  <si>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</si>
  <si>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</si>
  <si>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</si>
  <si>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</si>
  <si>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</si>
  <si>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</si>
  <si>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</si>
  <si>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</si>
  <si>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</si>
  <si>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</si>
  <si>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</si>
  <si>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</si>
  <si>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</si>
  <si>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</si>
  <si>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</si>
  <si>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</si>
  <si>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</si>
  <si>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</si>
  <si>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</si>
  <si>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</si>
  <si>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</si>
  <si>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</si>
  <si>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</si>
  <si>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</si>
  <si>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</si>
  <si>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</si>
  <si>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</si>
  <si>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</si>
  <si>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</si>
  <si>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</si>
  <si>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</si>
  <si>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</si>
  <si>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</si>
  <si>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</si>
  <si>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</si>
  <si>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</si>
  <si>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</si>
  <si>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</si>
  <si>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</si>
  <si>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</si>
  <si>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</si>
  <si>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</si>
  <si>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</si>
  <si>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</si>
  <si>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</si>
  <si>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</si>
  <si>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</si>
  <si>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</si>
  <si>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</si>
  <si>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</si>
  <si>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</si>
  <si>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</si>
  <si>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</si>
  <si>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</si>
  <si>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</si>
  <si>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</si>
  <si>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</si>
  <si>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</si>
  <si>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</si>
  <si>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</si>
  <si>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</si>
  <si>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</si>
  <si>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</si>
  <si>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</si>
  <si>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</si>
  <si>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</si>
  <si>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</si>
  <si>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</si>
  <si>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</si>
  <si>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</si>
  <si>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</si>
  <si>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</si>
  <si>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</si>
  <si>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</si>
  <si>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</si>
  <si>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</si>
  <si>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</si>
  <si>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</si>
  <si>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</si>
  <si>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</si>
  <si>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</si>
  <si>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</si>
  <si>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</si>
  <si>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</si>
  <si>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</si>
  <si>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</si>
  <si>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</si>
  <si>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</si>
  <si>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</si>
  <si>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</si>
  <si>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</si>
  <si>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</si>
  <si>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</si>
  <si>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</si>
  <si>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</si>
  <si>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</si>
  <si>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</si>
  <si>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</si>
  <si>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</si>
  <si>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</si>
  <si>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</si>
  <si>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</si>
  <si>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</si>
  <si>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</si>
  <si>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</si>
  <si>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</si>
  <si>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</si>
  <si>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</si>
  <si>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</si>
  <si>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</si>
  <si>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</si>
  <si>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</si>
  <si>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</si>
  <si>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</si>
  <si>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</si>
  <si>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</si>
  <si>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</si>
  <si>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</si>
  <si>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</si>
  <si>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</si>
  <si>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</si>
  <si>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</si>
  <si>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</si>
  <si>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</si>
  <si>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</si>
  <si>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</si>
  <si>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</si>
  <si>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</si>
  <si>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</si>
  <si>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</si>
  <si>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</si>
  <si>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</si>
  <si>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</si>
  <si>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</si>
  <si>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</si>
  <si>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</si>
  <si>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</si>
  <si>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</si>
  <si>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</si>
  <si>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</si>
  <si>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</si>
  <si>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</si>
  <si>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</si>
  <si>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</si>
  <si>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</si>
  <si>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</si>
  <si>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</si>
  <si>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</si>
  <si>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</si>
  <si>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</si>
  <si>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</si>
  <si>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</si>
  <si>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</si>
  <si>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</si>
  <si>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</si>
  <si>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</si>
  <si>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</si>
  <si>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</si>
  <si>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</si>
  <si>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</si>
  <si>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</si>
  <si>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</si>
  <si>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</si>
  <si>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</si>
  <si>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</si>
  <si>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</si>
  <si>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</si>
  <si>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</si>
  <si>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</si>
  <si>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</si>
  <si>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</si>
  <si>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</si>
  <si>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</si>
  <si>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</si>
  <si>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</si>
  <si>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</si>
  <si>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</si>
  <si>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</si>
  <si>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</si>
  <si>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</si>
  <si>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</si>
  <si>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</si>
  <si>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</si>
  <si>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</si>
  <si>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</si>
  <si>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</si>
  <si>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</si>
  <si>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</si>
  <si>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</si>
  <si>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</si>
  <si>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</si>
  <si>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</si>
  <si>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</si>
  <si>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</si>
  <si>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</si>
  <si>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</si>
  <si>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</si>
  <si>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</si>
  <si>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</si>
  <si>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</si>
  <si>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</si>
  <si>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</si>
  <si>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</si>
  <si>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</si>
  <si>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</si>
  <si>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</si>
  <si>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</si>
  <si>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</si>
  <si>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</si>
  <si>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</si>
  <si>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</si>
  <si>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</si>
  <si>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</si>
  <si>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</si>
  <si>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</si>
  <si>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</si>
  <si>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</si>
  <si>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</si>
  <si>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</si>
  <si>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</si>
  <si>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</si>
  <si>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</si>
  <si>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</si>
  <si>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</si>
  <si>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</si>
  <si>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</si>
  <si>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</si>
  <si>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</si>
  <si>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</si>
  <si>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</si>
  <si>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</si>
  <si>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</si>
  <si>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</si>
  <si>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</si>
  <si>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</si>
  <si>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</si>
  <si>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</si>
  <si>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</si>
  <si>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</si>
  <si>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</si>
  <si>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</si>
  <si>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%,FACCOUNT,TPRPT_ACCOUNT,X,NPRODUCTION_LEASED,NPRODUCTION_FUTURE,NPRODUCTION_OWNED,NTRANSMISSION_FUTURE,NDISTRIBUTION_FUTURE,NTRANSMISSION_LEASED,NDISTRIBUTION_LEASED,NTRANSMISSION_OWNED,NDISTRIBUTION_OWNED</t>
  </si>
  <si>
    <t>Prior Month</t>
  </si>
  <si>
    <t>%,LACTUALS,SBAL-1MTH</t>
  </si>
  <si>
    <t>DEFERRED CREDITS &amp; REGULATED LIABILITIES</t>
  </si>
  <si>
    <t>njh%,R,SYTD,FACCOUNT,TPRPT_ACCOUNT,NADJ_TO_RET_EARNINGS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</si>
  <si>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</si>
  <si>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</si>
  <si>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</si>
  <si>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</si>
  <si>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</si>
  <si>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</si>
  <si>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</si>
  <si>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</si>
  <si>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</si>
  <si>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</si>
  <si>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</si>
  <si>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</si>
  <si>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</si>
  <si>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</si>
  <si>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</si>
  <si>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</si>
  <si>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</si>
  <si>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</si>
  <si>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</si>
  <si>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</si>
  <si>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</si>
  <si>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</si>
  <si>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</si>
  <si>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</si>
  <si>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</si>
  <si>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</si>
  <si>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</si>
  <si>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</si>
  <si>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</si>
  <si>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</si>
  <si>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</si>
  <si>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</si>
  <si>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</si>
  <si>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</si>
  <si>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</si>
  <si>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</si>
  <si>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</si>
  <si>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</si>
  <si>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</si>
  <si>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</si>
  <si>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</si>
  <si>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</si>
  <si>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</si>
  <si>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</si>
  <si>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</si>
  <si>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</si>
  <si>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</si>
  <si>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</si>
  <si>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</si>
  <si>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</si>
  <si>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</si>
  <si>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</si>
  <si>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</si>
  <si>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</si>
  <si>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</si>
  <si>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</si>
  <si>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</si>
  <si>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</si>
  <si>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</si>
  <si>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</si>
  <si>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%,V1750010</t>
  </si>
  <si>
    <t>1750010</t>
  </si>
  <si>
    <t>LT Option Premium Purchases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</si>
  <si>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</si>
  <si>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</si>
  <si>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</si>
  <si>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</si>
  <si>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</si>
  <si>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</si>
  <si>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</si>
  <si>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</si>
  <si>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</si>
  <si>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</si>
  <si>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</si>
  <si>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</si>
  <si>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</si>
  <si>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</si>
  <si>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</si>
  <si>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</si>
  <si>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</si>
  <si>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</si>
  <si>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</si>
  <si>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</si>
  <si>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</si>
  <si>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%,V1420005</t>
  </si>
  <si>
    <t>1420005</t>
  </si>
  <si>
    <t>Employee Loans - Current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</si>
  <si>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</si>
  <si>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</si>
  <si>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</si>
  <si>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</si>
  <si>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</si>
  <si>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</si>
  <si>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</si>
  <si>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</si>
  <si>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</si>
  <si>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</si>
  <si>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</si>
  <si>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</si>
  <si>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</si>
  <si>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</si>
  <si>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</si>
  <si>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</si>
  <si>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</si>
  <si>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</si>
  <si>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</si>
  <si>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</si>
  <si>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</si>
  <si>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</si>
  <si>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</si>
  <si>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</si>
  <si>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</si>
  <si>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</si>
  <si>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</si>
  <si>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</si>
  <si>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</si>
  <si>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</si>
  <si>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%,V1420054</t>
  </si>
  <si>
    <t>1420054</t>
  </si>
  <si>
    <t>Accrued Power Brokers</t>
  </si>
  <si>
    <t>%,V1430019</t>
  </si>
  <si>
    <t>1430019</t>
  </si>
  <si>
    <t>Coal Trading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</si>
  <si>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</si>
  <si>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</si>
  <si>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</si>
  <si>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</si>
  <si>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</si>
  <si>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</si>
  <si>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</si>
  <si>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</si>
  <si>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</si>
  <si>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</si>
  <si>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</si>
  <si>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</si>
  <si>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%,V1430086</t>
  </si>
  <si>
    <t>1430086</t>
  </si>
  <si>
    <t>AR Accrual NYMEX OTC Penults</t>
  </si>
  <si>
    <t>%,V1430087</t>
  </si>
  <si>
    <t>1430087</t>
  </si>
  <si>
    <t>%,V1430089</t>
  </si>
  <si>
    <t>1430089</t>
  </si>
  <si>
    <t>A/R - Benefits Billing</t>
  </si>
  <si>
    <t>%,V1430090</t>
  </si>
  <si>
    <t>1430090</t>
  </si>
  <si>
    <t>Accrued Broker - Power</t>
  </si>
  <si>
    <t>%,V1430123</t>
  </si>
  <si>
    <t>1430123</t>
  </si>
  <si>
    <t>Accounts Receivable - LT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</si>
  <si>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</si>
  <si>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</si>
  <si>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</si>
  <si>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</si>
  <si>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</si>
  <si>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</si>
  <si>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</si>
  <si>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</si>
  <si>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</si>
  <si>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</si>
  <si>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</si>
  <si>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</si>
  <si>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</si>
  <si>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</si>
  <si>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</si>
  <si>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</si>
  <si>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</si>
  <si>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</si>
  <si>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</si>
  <si>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</si>
  <si>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</si>
  <si>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</si>
  <si>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</si>
  <si>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</si>
  <si>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</si>
  <si>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</si>
  <si>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</si>
  <si>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</si>
  <si>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</si>
  <si>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</si>
  <si>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</si>
  <si>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</si>
  <si>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</si>
  <si>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</si>
  <si>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</si>
  <si>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</si>
  <si>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</si>
  <si>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</si>
  <si>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</si>
  <si>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</si>
  <si>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</si>
  <si>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</si>
  <si>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</si>
  <si>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</si>
  <si>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</si>
  <si>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</si>
  <si>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</si>
  <si>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</si>
  <si>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</si>
  <si>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</si>
  <si>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</si>
  <si>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</si>
  <si>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</si>
  <si>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</si>
  <si>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</si>
  <si>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</si>
  <si>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</si>
  <si>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</si>
  <si>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</si>
  <si>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</si>
  <si>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</si>
  <si>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</si>
  <si>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</si>
  <si>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</si>
  <si>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</si>
  <si>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</si>
  <si>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</si>
  <si>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</si>
  <si>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</si>
  <si>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</si>
  <si>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</si>
  <si>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</si>
  <si>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</si>
  <si>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</si>
  <si>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</si>
  <si>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%,V1630004</t>
  </si>
  <si>
    <t>1630004</t>
  </si>
  <si>
    <t>Strs Exp-T&amp;D Satellite Storerm</t>
  </si>
  <si>
    <t>%,V1630019</t>
  </si>
  <si>
    <t>1630019</t>
  </si>
  <si>
    <t>Stores Exp - Big Sandy Plant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</si>
  <si>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</si>
  <si>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</si>
  <si>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</si>
  <si>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</si>
  <si>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</si>
  <si>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</si>
  <si>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</si>
  <si>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</si>
  <si>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%,V1750003</t>
  </si>
  <si>
    <t>1750003</t>
  </si>
  <si>
    <t>Curr. Unrealized Gains 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</si>
  <si>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</si>
  <si>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</si>
  <si>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</si>
  <si>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</si>
  <si>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</si>
  <si>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</si>
  <si>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</si>
  <si>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</si>
  <si>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</si>
  <si>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</si>
  <si>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</si>
  <si>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</si>
  <si>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%,V165000209</t>
  </si>
  <si>
    <t>165000209</t>
  </si>
  <si>
    <t>Prepaid Taxes</t>
  </si>
  <si>
    <t>%,V165000210</t>
  </si>
  <si>
    <t>165000210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</si>
  <si>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</si>
  <si>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</si>
  <si>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</si>
  <si>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</si>
  <si>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</si>
  <si>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</si>
  <si>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</si>
  <si>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</si>
  <si>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</si>
  <si>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%,V165001209</t>
  </si>
  <si>
    <t>165001209</t>
  </si>
  <si>
    <t>Prepaid Sales/Use Taxes</t>
  </si>
  <si>
    <t>%,V165001210</t>
  </si>
  <si>
    <t>165001210</t>
  </si>
  <si>
    <t>Prepaid Use Taxes</t>
  </si>
  <si>
    <t>%,V1650014</t>
  </si>
  <si>
    <t>1650014</t>
  </si>
  <si>
    <t>FAS 158 Qual Contra Asset</t>
  </si>
  <si>
    <t>%,V1650016</t>
  </si>
  <si>
    <t>1650016</t>
  </si>
  <si>
    <t>FAS 112 ASSETS</t>
  </si>
  <si>
    <t>%,V1650021</t>
  </si>
  <si>
    <t>1650021</t>
  </si>
  <si>
    <t>Prepaid Insurance - EIS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</si>
  <si>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</si>
  <si>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</si>
  <si>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</si>
  <si>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</si>
  <si>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</si>
  <si>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</si>
  <si>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</si>
  <si>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</si>
  <si>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</si>
  <si>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</si>
  <si>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</si>
  <si>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</si>
  <si>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</si>
  <si>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</si>
  <si>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</si>
  <si>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</si>
  <si>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</si>
  <si>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</si>
  <si>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</si>
  <si>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</si>
  <si>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</si>
  <si>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%,V174001108</t>
  </si>
  <si>
    <t>174001108</t>
  </si>
  <si>
    <t>Non-Highway Fuel Tx Credt-2008</t>
  </si>
  <si>
    <t>%,V174001109</t>
  </si>
  <si>
    <t>174001109</t>
  </si>
  <si>
    <t>Non-Highway Fuel Tx Credt-2009</t>
  </si>
  <si>
    <t>%,V1860007</t>
  </si>
  <si>
    <t>1860007</t>
  </si>
  <si>
    <t>Billings and Deferred Projects</t>
  </si>
  <si>
    <t>%,V1860136</t>
  </si>
  <si>
    <t>1860136</t>
  </si>
  <si>
    <t>NonTradition Option Premiums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</si>
  <si>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</si>
  <si>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</si>
  <si>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</si>
  <si>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</si>
  <si>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</si>
  <si>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</si>
  <si>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</si>
  <si>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</si>
  <si>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</si>
  <si>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</si>
  <si>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</si>
  <si>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</si>
  <si>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</si>
  <si>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</si>
  <si>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</si>
  <si>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</si>
  <si>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</si>
  <si>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</si>
  <si>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</si>
  <si>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</si>
  <si>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</si>
  <si>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%,V1823063</t>
  </si>
  <si>
    <t>1823063</t>
  </si>
  <si>
    <t>Unrecovered Fuel Cost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</si>
  <si>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</si>
  <si>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</si>
  <si>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</si>
  <si>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</si>
  <si>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</si>
  <si>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</si>
  <si>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</si>
  <si>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</si>
  <si>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</si>
  <si>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</si>
  <si>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</si>
  <si>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</si>
  <si>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</si>
  <si>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</si>
  <si>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</si>
  <si>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</si>
  <si>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</si>
  <si>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</si>
  <si>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</si>
  <si>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</si>
  <si>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</si>
  <si>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</si>
  <si>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</si>
  <si>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</si>
  <si>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</si>
  <si>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</si>
  <si>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</si>
  <si>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</si>
  <si>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</si>
  <si>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</si>
  <si>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</si>
  <si>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</si>
  <si>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</si>
  <si>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</si>
  <si>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</si>
  <si>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</si>
  <si>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</si>
  <si>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</si>
  <si>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</si>
  <si>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</si>
  <si>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</si>
  <si>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</si>
  <si>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</si>
  <si>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</si>
  <si>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</si>
  <si>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%,V1840002</t>
  </si>
  <si>
    <t>1840002</t>
  </si>
  <si>
    <t>Accounts Pay Adj - Clearing</t>
  </si>
  <si>
    <t>%,V1840029</t>
  </si>
  <si>
    <t>1840029</t>
  </si>
  <si>
    <t>Transp-Assigned Vehicles</t>
  </si>
  <si>
    <t>%,V1830000</t>
  </si>
  <si>
    <t>1830000</t>
  </si>
  <si>
    <t>Prelimin Surv&amp;Investgtn Chrgs</t>
  </si>
  <si>
    <t>%,V1860001</t>
  </si>
  <si>
    <t>1860001</t>
  </si>
  <si>
    <t>Allowances</t>
  </si>
  <si>
    <t>%,V186000308</t>
  </si>
  <si>
    <t>186000308</t>
  </si>
  <si>
    <t>Deferred Property Taxes</t>
  </si>
  <si>
    <t>%,V186000309</t>
  </si>
  <si>
    <t>186000309</t>
  </si>
  <si>
    <t>%,V1860005</t>
  </si>
  <si>
    <t>1860005</t>
  </si>
  <si>
    <t>Unidentified Cash Receipts</t>
  </si>
  <si>
    <t>%,V1860077</t>
  </si>
  <si>
    <t>1860077</t>
  </si>
  <si>
    <t>Agency Fees - Factored A/R</t>
  </si>
  <si>
    <t>%,V186008109</t>
  </si>
  <si>
    <t>186008109</t>
  </si>
  <si>
    <t>Defd Property Tax - Cap Leases</t>
  </si>
  <si>
    <t>%,V186008110</t>
  </si>
  <si>
    <t>186008110</t>
  </si>
  <si>
    <t>%,V1860153</t>
  </si>
  <si>
    <t>1860153</t>
  </si>
  <si>
    <t>Unamortized Credit Line Fees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</si>
  <si>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</si>
  <si>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</si>
  <si>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</si>
  <si>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</si>
  <si>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</si>
  <si>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</si>
  <si>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</si>
  <si>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</si>
  <si>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</si>
  <si>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</si>
  <si>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</si>
  <si>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</si>
  <si>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</si>
  <si>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</si>
  <si>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</si>
  <si>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</si>
  <si>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</si>
  <si>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</si>
  <si>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</si>
  <si>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</si>
  <si>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</si>
  <si>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</si>
  <si>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</si>
  <si>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</si>
  <si>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</si>
  <si>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</si>
  <si>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</si>
  <si>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</si>
  <si>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</si>
  <si>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</si>
  <si>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</si>
  <si>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</si>
  <si>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</si>
  <si>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</si>
  <si>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</si>
  <si>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</si>
  <si>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</si>
  <si>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</si>
  <si>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</si>
  <si>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</si>
  <si>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</si>
  <si>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</si>
  <si>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</si>
  <si>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</si>
  <si>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</si>
  <si>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</si>
  <si>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</si>
  <si>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</si>
  <si>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</si>
  <si>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</si>
  <si>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</si>
  <si>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</si>
  <si>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</si>
  <si>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</si>
  <si>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</si>
  <si>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</si>
  <si>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</si>
  <si>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</si>
  <si>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</si>
  <si>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</si>
  <si>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</si>
  <si>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</si>
  <si>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</si>
  <si>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</si>
  <si>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</si>
  <si>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</si>
  <si>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</si>
  <si>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</si>
  <si>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</si>
  <si>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</si>
  <si>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</si>
  <si>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</si>
  <si>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</si>
  <si>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</si>
  <si>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</si>
  <si>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</si>
  <si>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</si>
  <si>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</si>
  <si>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</si>
  <si>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</si>
  <si>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</si>
  <si>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</si>
  <si>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</si>
  <si>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</si>
  <si>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</si>
  <si>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</si>
  <si>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</si>
  <si>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</si>
  <si>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</si>
  <si>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%,V2330000</t>
  </si>
  <si>
    <t>2330000</t>
  </si>
  <si>
    <t>Corp Borrow Program (NP-Assoc)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</si>
  <si>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</si>
  <si>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</si>
  <si>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</si>
  <si>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</si>
  <si>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</si>
  <si>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</si>
  <si>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</si>
  <si>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</si>
  <si>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</si>
  <si>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</si>
  <si>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</si>
  <si>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</si>
  <si>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</si>
  <si>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</si>
  <si>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</si>
  <si>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</si>
  <si>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</si>
  <si>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</si>
  <si>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</si>
  <si>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</si>
  <si>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</si>
  <si>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</si>
  <si>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</si>
  <si>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</si>
  <si>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</si>
  <si>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Emission Allowance Trading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</si>
  <si>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</si>
  <si>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</si>
  <si>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</si>
  <si>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</si>
  <si>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</si>
  <si>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</si>
  <si>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</si>
  <si>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</si>
  <si>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</si>
  <si>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</si>
  <si>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</si>
  <si>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</si>
  <si>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</si>
  <si>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</si>
  <si>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</si>
  <si>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</si>
  <si>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</si>
  <si>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</si>
  <si>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</si>
  <si>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</si>
  <si>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</si>
  <si>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%,V2320081</t>
  </si>
  <si>
    <t>2320081</t>
  </si>
  <si>
    <t>AP Accrual NYMEX OTC &amp; Penults</t>
  </si>
  <si>
    <t>%,V2320083</t>
  </si>
  <si>
    <t>2320083</t>
  </si>
  <si>
    <t>PJM Net AP Accrual</t>
  </si>
  <si>
    <t>%,V2320086</t>
  </si>
  <si>
    <t>2320086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</si>
  <si>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</si>
  <si>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</si>
  <si>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</si>
  <si>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</si>
  <si>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</si>
  <si>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</si>
  <si>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</si>
  <si>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</si>
  <si>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</si>
  <si>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</si>
  <si>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</si>
  <si>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</si>
  <si>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</si>
  <si>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</si>
  <si>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</si>
  <si>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</si>
  <si>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</si>
  <si>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</si>
  <si>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</si>
  <si>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</si>
  <si>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</si>
  <si>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</si>
  <si>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</si>
  <si>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</si>
  <si>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</si>
  <si>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</si>
  <si>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</si>
  <si>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</si>
  <si>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</si>
  <si>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</si>
  <si>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</si>
  <si>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</si>
  <si>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</si>
  <si>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</si>
  <si>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</si>
  <si>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</si>
  <si>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</si>
  <si>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</si>
  <si>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</si>
  <si>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</si>
  <si>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</si>
  <si>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</si>
  <si>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</si>
  <si>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</si>
  <si>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</si>
  <si>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</si>
  <si>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</si>
  <si>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</si>
  <si>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</si>
  <si>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</si>
  <si>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</si>
  <si>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%,V236000208</t>
  </si>
  <si>
    <t>236000208</t>
  </si>
  <si>
    <t>State Income Taxes</t>
  </si>
  <si>
    <t>%,V236000209</t>
  </si>
  <si>
    <t>236000209</t>
  </si>
  <si>
    <t>%,V236000210</t>
  </si>
  <si>
    <t>236000210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</si>
  <si>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</si>
  <si>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</si>
  <si>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</si>
  <si>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</si>
  <si>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</si>
  <si>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</si>
  <si>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</si>
  <si>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</si>
  <si>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</si>
  <si>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%,V236000709</t>
  </si>
  <si>
    <t>236000709</t>
  </si>
  <si>
    <t>State Sales and Use Taxes</t>
  </si>
  <si>
    <t>%,V236000710</t>
  </si>
  <si>
    <t>236000710</t>
  </si>
  <si>
    <t>%,V236000808</t>
  </si>
  <si>
    <t>236000808</t>
  </si>
  <si>
    <t>Real &amp; Personal Property Taxes</t>
  </si>
  <si>
    <t>%,V236000809</t>
  </si>
  <si>
    <t>236000809</t>
  </si>
  <si>
    <t>%,V236000910</t>
  </si>
  <si>
    <t>236000910</t>
  </si>
  <si>
    <t>Federal Excise Taxes</t>
  </si>
  <si>
    <t>%,V236001208</t>
  </si>
  <si>
    <t>236001208</t>
  </si>
  <si>
    <t>State Franchise Taxes</t>
  </si>
  <si>
    <t>%,V236001209</t>
  </si>
  <si>
    <t>236001209</t>
  </si>
  <si>
    <t>%,V236001210</t>
  </si>
  <si>
    <t>236001210</t>
  </si>
  <si>
    <t>%,V236001609</t>
  </si>
  <si>
    <t>236001609</t>
  </si>
  <si>
    <t>State Gross Receipts Tax</t>
  </si>
  <si>
    <t>%,V236001610</t>
  </si>
  <si>
    <t>236001610</t>
  </si>
  <si>
    <t>%,V236002209</t>
  </si>
  <si>
    <t>236002209</t>
  </si>
  <si>
    <t>State License/Registration Tax</t>
  </si>
  <si>
    <t>%,V236003309</t>
  </si>
  <si>
    <t>236003309</t>
  </si>
  <si>
    <t>Pers Prop Tax-Cap Leases</t>
  </si>
  <si>
    <t>%,V236003310</t>
  </si>
  <si>
    <t>236003310</t>
  </si>
  <si>
    <t>%,V236003509</t>
  </si>
  <si>
    <t>236003509</t>
  </si>
  <si>
    <t>Real Prop Tax-Cap Leases</t>
  </si>
  <si>
    <t>%,V236003510</t>
  </si>
  <si>
    <t>236003510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</si>
  <si>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</si>
  <si>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</si>
  <si>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</si>
  <si>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</si>
  <si>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</si>
  <si>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</si>
  <si>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</si>
  <si>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</si>
  <si>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</si>
  <si>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</si>
  <si>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</si>
  <si>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</si>
  <si>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</si>
  <si>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</si>
  <si>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</si>
  <si>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</si>
  <si>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</si>
  <si>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</si>
  <si>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</si>
  <si>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</si>
  <si>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</si>
  <si>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</si>
  <si>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</si>
  <si>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</si>
  <si>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</si>
  <si>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</si>
  <si>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</si>
  <si>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</si>
  <si>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</si>
  <si>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</si>
  <si>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</si>
  <si>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</si>
  <si>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</si>
  <si>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</si>
  <si>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</si>
  <si>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</si>
  <si>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</si>
  <si>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</si>
  <si>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</si>
  <si>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</si>
  <si>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</si>
  <si>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</si>
  <si>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</si>
  <si>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</si>
  <si>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</si>
  <si>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</si>
  <si>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</si>
  <si>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</si>
  <si>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</si>
  <si>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</si>
  <si>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</si>
  <si>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</si>
  <si>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</si>
  <si>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</si>
  <si>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</si>
  <si>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</si>
  <si>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</si>
  <si>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</si>
  <si>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</si>
  <si>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</si>
  <si>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</si>
  <si>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</si>
  <si>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</si>
  <si>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</si>
  <si>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</si>
  <si>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</si>
  <si>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</si>
  <si>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</si>
  <si>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</si>
  <si>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</si>
  <si>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</si>
  <si>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</si>
  <si>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</si>
  <si>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</si>
  <si>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</si>
  <si>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%,V2410006</t>
  </si>
  <si>
    <t>2410006</t>
  </si>
  <si>
    <t>School District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</si>
  <si>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</si>
  <si>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</si>
  <si>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</si>
  <si>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</si>
  <si>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</si>
  <si>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</si>
  <si>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</si>
  <si>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</si>
  <si>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</si>
  <si>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</si>
  <si>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</si>
  <si>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</si>
  <si>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</si>
  <si>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</si>
  <si>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</si>
  <si>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</si>
  <si>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</si>
  <si>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</si>
  <si>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</si>
  <si>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</si>
  <si>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</si>
  <si>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</si>
  <si>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</si>
  <si>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</si>
  <si>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</si>
  <si>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</si>
  <si>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</si>
  <si>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</si>
  <si>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</si>
  <si>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%,V2420044</t>
  </si>
  <si>
    <t>2420044</t>
  </si>
  <si>
    <t>P/R Withholdings</t>
  </si>
  <si>
    <t>%,V2420554</t>
  </si>
  <si>
    <t>2420554</t>
  </si>
  <si>
    <t>P/R Ded - Stock Purchase Plan</t>
  </si>
  <si>
    <t>%,V2420532</t>
  </si>
  <si>
    <t>2420532</t>
  </si>
  <si>
    <t>Adm Liab-Cur-S/Ins-W/C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</si>
  <si>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</si>
  <si>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</si>
  <si>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</si>
  <si>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</si>
  <si>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</si>
  <si>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</si>
  <si>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</si>
  <si>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</si>
  <si>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</si>
  <si>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</si>
  <si>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</si>
  <si>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</si>
  <si>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</si>
  <si>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</si>
  <si>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</si>
  <si>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</si>
  <si>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</si>
  <si>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</si>
  <si>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</si>
  <si>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</si>
  <si>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</si>
  <si>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</si>
  <si>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</si>
  <si>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</si>
  <si>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</si>
  <si>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</si>
  <si>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</si>
  <si>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</si>
  <si>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</si>
  <si>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</si>
  <si>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%,V242059209</t>
  </si>
  <si>
    <t>242059209</t>
  </si>
  <si>
    <t>Sales &amp; Use Tax - Leased Equ</t>
  </si>
  <si>
    <t>%,V242059210</t>
  </si>
  <si>
    <t>242059210</t>
  </si>
  <si>
    <t>Sales Use Tax - Leased Equip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</si>
  <si>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</si>
  <si>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</si>
  <si>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</si>
  <si>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</si>
  <si>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</si>
  <si>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</si>
  <si>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</si>
  <si>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</si>
  <si>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</si>
  <si>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</si>
  <si>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</si>
  <si>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</si>
  <si>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</si>
  <si>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</si>
  <si>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</si>
  <si>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</si>
  <si>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</si>
  <si>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</si>
  <si>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</si>
  <si>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</si>
  <si>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</si>
  <si>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</si>
  <si>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</si>
  <si>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</si>
  <si>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</si>
  <si>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</si>
  <si>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</si>
  <si>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</si>
  <si>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</si>
  <si>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</si>
  <si>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</si>
  <si>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</si>
  <si>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</si>
  <si>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</si>
  <si>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</si>
  <si>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</si>
  <si>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</si>
  <si>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</si>
  <si>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</si>
  <si>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</si>
  <si>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</si>
  <si>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</si>
  <si>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</si>
  <si>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</si>
  <si>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</si>
  <si>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</si>
  <si>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</si>
  <si>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</si>
  <si>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</si>
  <si>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</si>
  <si>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</si>
  <si>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</si>
  <si>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</si>
  <si>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</si>
  <si>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</si>
  <si>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</si>
  <si>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</si>
  <si>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</si>
  <si>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</si>
  <si>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</si>
  <si>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</si>
  <si>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</si>
  <si>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</si>
  <si>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</si>
  <si>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</si>
  <si>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</si>
  <si>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</si>
  <si>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</si>
  <si>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</si>
  <si>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</si>
  <si>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</si>
  <si>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</si>
  <si>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</si>
  <si>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</si>
  <si>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</si>
  <si>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</si>
  <si>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</si>
  <si>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</si>
  <si>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</si>
  <si>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</si>
  <si>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</si>
  <si>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</si>
  <si>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</si>
  <si>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</si>
  <si>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</si>
  <si>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</si>
  <si>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</si>
  <si>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</si>
  <si>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</si>
  <si>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</si>
  <si>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</si>
  <si>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</si>
  <si>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</si>
  <si>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</si>
  <si>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</si>
  <si>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</si>
  <si>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</si>
  <si>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</si>
  <si>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</si>
  <si>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</si>
  <si>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</si>
  <si>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</si>
  <si>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</si>
  <si>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</si>
  <si>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</si>
  <si>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</si>
  <si>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</si>
  <si>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</si>
  <si>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</si>
  <si>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</si>
  <si>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</si>
  <si>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</si>
  <si>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</si>
  <si>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</si>
  <si>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</si>
  <si>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</si>
  <si>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</si>
  <si>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%,V2530101</t>
  </si>
  <si>
    <t>2530101</t>
  </si>
  <si>
    <t>MACSS Unidentified EDI Cash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</si>
  <si>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</si>
  <si>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</si>
  <si>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</si>
  <si>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</si>
  <si>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</si>
  <si>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</si>
  <si>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</si>
  <si>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</si>
  <si>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</si>
  <si>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</si>
  <si>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</si>
  <si>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</si>
  <si>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</si>
  <si>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</si>
  <si>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</si>
  <si>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%,V2160001</t>
  </si>
  <si>
    <t>2160001</t>
  </si>
  <si>
    <t>Unapprp Retnd Erngs-Unrstrictd</t>
  </si>
  <si>
    <t>%,V4380001</t>
  </si>
  <si>
    <t>4380001</t>
  </si>
  <si>
    <t>Div Declrd - Common Stk - Asso</t>
  </si>
  <si>
    <t>2010-11-30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</si>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</sst>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2" xfId="42" applyNumberFormat="1" applyFont="1" applyBorder="1" applyAlignment="1">
      <alignment/>
    </xf>
    <xf numFmtId="40" fontId="1" fillId="7" borderId="0" xfId="42" applyNumberFormat="1" applyFont="1" applyFill="1" applyAlignment="1">
      <alignment/>
    </xf>
    <xf numFmtId="40" fontId="0" fillId="7" borderId="0" xfId="0" applyNumberFormat="1" applyFont="1" applyFill="1" applyBorder="1" applyAlignment="1">
      <alignment horizontal="right"/>
    </xf>
    <xf numFmtId="40" fontId="0" fillId="7" borderId="0" xfId="0" applyNumberFormat="1" applyFont="1" applyFill="1" applyAlignment="1">
      <alignment/>
    </xf>
    <xf numFmtId="40" fontId="0" fillId="7" borderId="0" xfId="0" applyNumberFormat="1" applyFont="1" applyFill="1" applyBorder="1" applyAlignment="1">
      <alignment/>
    </xf>
    <xf numFmtId="40" fontId="11" fillId="7" borderId="0" xfId="0" applyNumberFormat="1" applyFont="1" applyFill="1" applyAlignment="1">
      <alignment horizontal="center"/>
    </xf>
    <xf numFmtId="40" fontId="1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/>
    </xf>
    <xf numFmtId="40" fontId="12" fillId="7" borderId="0" xfId="0" applyNumberFormat="1" applyFont="1" applyFill="1" applyAlignment="1">
      <alignment horizontal="right"/>
    </xf>
    <xf numFmtId="40" fontId="0" fillId="7" borderId="0" xfId="42" applyNumberFormat="1" applyFont="1" applyFill="1" applyBorder="1" applyAlignment="1">
      <alignment horizontal="right"/>
    </xf>
    <xf numFmtId="40" fontId="0" fillId="7" borderId="12" xfId="0" applyNumberFormat="1" applyFont="1" applyFill="1" applyBorder="1" applyAlignment="1">
      <alignment horizontal="right"/>
    </xf>
    <xf numFmtId="40" fontId="12" fillId="7" borderId="12" xfId="0" applyNumberFormat="1" applyFont="1" applyFill="1" applyBorder="1" applyAlignment="1">
      <alignment horizontal="right"/>
    </xf>
    <xf numFmtId="40" fontId="1" fillId="7" borderId="0" xfId="0" applyNumberFormat="1" applyFont="1" applyFill="1" applyAlignment="1">
      <alignment horizontal="right"/>
    </xf>
    <xf numFmtId="40" fontId="0" fillId="7" borderId="0" xfId="0" applyNumberFormat="1" applyFont="1" applyFill="1" applyAlignment="1">
      <alignment horizontal="right"/>
    </xf>
    <xf numFmtId="40" fontId="1" fillId="7" borderId="0" xfId="42" applyNumberFormat="1" applyFont="1" applyFill="1" applyAlignment="1">
      <alignment horizontal="right"/>
    </xf>
    <xf numFmtId="40" fontId="11" fillId="7" borderId="0" xfId="0" applyNumberFormat="1" applyFont="1" applyFill="1" applyAlignment="1">
      <alignment horizontal="center"/>
    </xf>
    <xf numFmtId="40" fontId="0" fillId="7" borderId="19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 horizontal="right"/>
    </xf>
    <xf numFmtId="40" fontId="0" fillId="7" borderId="12" xfId="42" applyNumberFormat="1" applyFont="1" applyFill="1" applyBorder="1" applyAlignment="1">
      <alignment horizontal="right"/>
    </xf>
    <xf numFmtId="40" fontId="1" fillId="7" borderId="13" xfId="42" applyNumberFormat="1" applyFont="1" applyFill="1" applyBorder="1" applyAlignment="1">
      <alignment horizontal="right"/>
    </xf>
    <xf numFmtId="40" fontId="0" fillId="7" borderId="13" xfId="0" applyNumberFormat="1" applyFont="1" applyFill="1" applyBorder="1" applyAlignment="1">
      <alignment horizontal="right"/>
    </xf>
    <xf numFmtId="40" fontId="0" fillId="9" borderId="0" xfId="0" applyNumberFormat="1" applyFont="1" applyFill="1" applyBorder="1" applyAlignment="1">
      <alignment horizontal="right"/>
    </xf>
    <xf numFmtId="39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40" fontId="0" fillId="9" borderId="0" xfId="0" applyNumberFormat="1" applyFont="1" applyFill="1" applyBorder="1" applyAlignment="1">
      <alignment/>
    </xf>
    <xf numFmtId="40" fontId="0" fillId="9" borderId="0" xfId="42" applyNumberFormat="1" applyFont="1" applyFill="1" applyAlignment="1">
      <alignment/>
    </xf>
    <xf numFmtId="40" fontId="0" fillId="9" borderId="0" xfId="42" applyNumberFormat="1" applyFont="1" applyFill="1" applyBorder="1" applyAlignment="1">
      <alignment/>
    </xf>
    <xf numFmtId="40" fontId="12" fillId="9" borderId="0" xfId="0" applyNumberFormat="1" applyFont="1" applyFill="1" applyAlignment="1">
      <alignment horizontal="right"/>
    </xf>
    <xf numFmtId="40" fontId="0" fillId="9" borderId="0" xfId="42" applyNumberFormat="1" applyFont="1" applyFill="1" applyBorder="1" applyAlignment="1">
      <alignment horizontal="right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Q597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4" width="1.28515625" style="70" customWidth="1"/>
    <col min="15" max="15" width="18.8515625" style="156" customWidth="1"/>
    <col min="16" max="16" width="18.8515625" style="34" customWidth="1" collapsed="1"/>
    <col min="17" max="17" width="10.8515625" style="55" hidden="1" customWidth="1" outlineLevel="1"/>
    <col min="18" max="16384" width="9.140625" style="11" customWidth="1"/>
  </cols>
  <sheetData>
    <row r="1" spans="1:17" s="15" customFormat="1" ht="11.25" customHeight="1" hidden="1">
      <c r="A1" s="15" t="s">
        <v>92</v>
      </c>
      <c r="B1" s="15" t="s">
        <v>121</v>
      </c>
      <c r="C1" s="134" t="s">
        <v>0</v>
      </c>
      <c r="D1" s="16"/>
      <c r="E1" s="16"/>
      <c r="F1" s="16" t="s">
        <v>92</v>
      </c>
      <c r="G1" s="16" t="s">
        <v>242</v>
      </c>
      <c r="H1" s="16" t="s">
        <v>53</v>
      </c>
      <c r="I1" s="53" t="s">
        <v>53</v>
      </c>
      <c r="J1" s="174"/>
      <c r="K1" s="256" t="s">
        <v>350</v>
      </c>
      <c r="L1" s="16" t="s">
        <v>53</v>
      </c>
      <c r="M1" s="53" t="s">
        <v>53</v>
      </c>
      <c r="N1" s="174"/>
      <c r="O1" s="256" t="s">
        <v>93</v>
      </c>
      <c r="P1" s="16" t="s">
        <v>53</v>
      </c>
      <c r="Q1" s="53" t="s">
        <v>53</v>
      </c>
    </row>
    <row r="2" spans="3:16" ht="12.75">
      <c r="C2" s="17"/>
      <c r="F2" s="257" t="str">
        <f>IF($C$583="Error",$C$588,IF($C$589="Error",$C$585&amp;" - "&amp;$C$584,IF($C$589=$C$588,$C$589&amp;" -"&amp;$C$583,$C$589&amp;" - "&amp;$C$588)))</f>
        <v>Kentucky Power Corp Consol</v>
      </c>
      <c r="G2" s="257"/>
      <c r="H2" s="257"/>
      <c r="I2" s="257"/>
      <c r="J2" s="11"/>
      <c r="K2" s="11"/>
      <c r="L2" s="11"/>
      <c r="N2" s="257"/>
      <c r="O2" s="257"/>
      <c r="P2" s="257"/>
    </row>
    <row r="3" spans="3:16" ht="12.75">
      <c r="C3" s="20">
        <f>IF(C579&gt;0,"REPORT HAS "&amp;C579&amp;" DATA ERROR(S)","")</f>
      </c>
      <c r="F3" s="258" t="s">
        <v>330</v>
      </c>
      <c r="G3" s="258"/>
      <c r="H3" s="258"/>
      <c r="I3" s="258"/>
      <c r="J3" s="11"/>
      <c r="K3" s="11"/>
      <c r="L3" s="11"/>
      <c r="N3" s="258"/>
      <c r="O3" s="258"/>
      <c r="P3" s="258"/>
    </row>
    <row r="4" spans="3:16" ht="12.75">
      <c r="C4" s="28"/>
      <c r="F4" s="259" t="str">
        <f>TEXT(+$C$573,"MMMM dd, YYYY")</f>
        <v>November 30, 2010</v>
      </c>
      <c r="G4" s="259"/>
      <c r="H4" s="259"/>
      <c r="I4" s="259"/>
      <c r="J4" s="11"/>
      <c r="K4" s="11"/>
      <c r="L4" s="11"/>
      <c r="N4" s="259"/>
      <c r="O4" s="259"/>
      <c r="P4" s="259"/>
    </row>
    <row r="5" spans="2:17" ht="13.5" thickBot="1">
      <c r="B5" s="49" t="str">
        <f>"Run Date: "&amp;TEXT(NvsEndTime,"MM/DD/YYYY  hh:mm")</f>
        <v>Run Date: 12/09/2010  10:39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  <c r="N5" s="26"/>
      <c r="O5" s="24"/>
      <c r="P5" s="25"/>
      <c r="Q5" s="54"/>
    </row>
    <row r="6" spans="2:16" ht="12.75">
      <c r="B6" s="27" t="str">
        <f>IF(C586&lt;&gt;"Error",C586,"")</f>
        <v>X_OPR_COS</v>
      </c>
      <c r="C6" s="44" t="str">
        <f>"Rpt ID: "&amp;C581&amp;"      Layout: "&amp;C582</f>
        <v>Rpt ID: GLR2200V      Layout: GLR2200V</v>
      </c>
      <c r="D6" s="19"/>
      <c r="E6" s="19"/>
      <c r="F6" s="8" t="s">
        <v>245</v>
      </c>
      <c r="G6" s="19"/>
      <c r="H6" s="50" t="s">
        <v>71</v>
      </c>
      <c r="I6" s="172"/>
      <c r="J6" s="173"/>
      <c r="K6" s="148" t="s">
        <v>349</v>
      </c>
      <c r="L6" s="50" t="s">
        <v>71</v>
      </c>
      <c r="N6" s="173"/>
      <c r="O6" s="148" t="s">
        <v>243</v>
      </c>
      <c r="P6" s="50" t="s">
        <v>71</v>
      </c>
    </row>
    <row r="7" spans="1:17" s="13" customFormat="1" ht="13.5" thickBot="1">
      <c r="A7" s="11"/>
      <c r="B7" s="21" t="str">
        <f>IF(C583="Error",""&amp;C589,IF(C589="Error",""&amp;C585,""&amp;C589))</f>
        <v>KYP_CORP_CONSOL</v>
      </c>
      <c r="C7" s="9" t="str">
        <f>IF($C$583="Error",NvsTreeASD&amp;" Acct: PRPT_ACCOUNT      BU: "&amp;+$C$590,IF(C589="Error",NvsTreeASD&amp;" Acct: PRPT_ACCOUNT     BU: "&amp;+$C$585,NvsTreeASD&amp;"  Acct: PRPT_ACCOUNT    BU: "&amp;+$C$589))</f>
        <v>V2099-01-01 Acct: PRPT_ACCOUNT      BU: GL_PRPT_CONS</v>
      </c>
      <c r="D7" s="5"/>
      <c r="E7" s="5"/>
      <c r="F7" s="29" t="str">
        <f>TEXT($C$573,"YYYY")</f>
        <v>2010</v>
      </c>
      <c r="G7" s="10">
        <f>+F7-1</f>
        <v>2009</v>
      </c>
      <c r="H7" s="24" t="s">
        <v>54</v>
      </c>
      <c r="I7" s="54" t="s">
        <v>55</v>
      </c>
      <c r="J7" s="24"/>
      <c r="K7" s="149" t="str">
        <f>+F7</f>
        <v>2010</v>
      </c>
      <c r="L7" s="24" t="s">
        <v>54</v>
      </c>
      <c r="M7" s="54" t="s">
        <v>55</v>
      </c>
      <c r="N7" s="24"/>
      <c r="O7" s="149" t="s">
        <v>244</v>
      </c>
      <c r="P7" s="24" t="s">
        <v>54</v>
      </c>
      <c r="Q7" s="54" t="s">
        <v>55</v>
      </c>
    </row>
    <row r="8" spans="1:17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  <c r="N8" s="177"/>
      <c r="O8" s="150"/>
      <c r="P8" s="61"/>
      <c r="Q8" s="135"/>
    </row>
    <row r="9" spans="3:17" s="63" customFormat="1" ht="12.75">
      <c r="C9" s="62" t="s">
        <v>77</v>
      </c>
      <c r="D9" s="64"/>
      <c r="E9" s="64"/>
      <c r="F9" s="231"/>
      <c r="G9" s="231"/>
      <c r="H9" s="244"/>
      <c r="I9" s="65"/>
      <c r="J9" s="158"/>
      <c r="K9" s="231"/>
      <c r="L9" s="244"/>
      <c r="M9" s="65"/>
      <c r="N9" s="158"/>
      <c r="O9" s="231"/>
      <c r="P9" s="244"/>
      <c r="Q9" s="65"/>
    </row>
    <row r="10" spans="3:16" ht="8.25" customHeight="1" hidden="1" outlineLevel="1">
      <c r="C10" s="12"/>
      <c r="D10" s="30"/>
      <c r="E10" s="30"/>
      <c r="H10" s="239"/>
      <c r="J10" s="159"/>
      <c r="K10" s="18"/>
      <c r="L10" s="239"/>
      <c r="N10" s="159"/>
      <c r="O10" s="18"/>
      <c r="P10" s="239"/>
    </row>
    <row r="11" spans="1:17" s="15" customFormat="1" ht="12.75" hidden="1" outlineLevel="2">
      <c r="A11" s="15" t="s">
        <v>353</v>
      </c>
      <c r="B11" s="15" t="s">
        <v>354</v>
      </c>
      <c r="C11" s="134" t="s">
        <v>355</v>
      </c>
      <c r="D11" s="16"/>
      <c r="E11" s="16"/>
      <c r="F11" s="16">
        <v>1604538703.71</v>
      </c>
      <c r="G11" s="16">
        <v>1521328163.95</v>
      </c>
      <c r="H11" s="16">
        <f>+F11-G11</f>
        <v>83210539.75999999</v>
      </c>
      <c r="I11" s="53">
        <f>IF(G11&lt;0,IF(H11=0,0,IF(OR(G11=0,F11=0),"N.M.",IF(ABS(H11/G11)&gt;=10,"N.M.",H11/(-G11)))),IF(H11=0,0,IF(OR(G11=0,F11=0),"N.M.",IF(ABS(H11/G11)&gt;=10,"N.M.",H11/G11))))</f>
        <v>0.05469598324134804</v>
      </c>
      <c r="J11" s="174"/>
      <c r="K11" s="256">
        <v>1602326156.88</v>
      </c>
      <c r="L11" s="16">
        <f>+F11-K11</f>
        <v>2212546.8299999237</v>
      </c>
      <c r="M11" s="53" t="str">
        <f>IF(K11&lt;0,IF(L11=0,0,IF(OR(K11=0,N11=0),"N.M.",IF(ABS(L11/K11)&gt;=10,"N.M.",L11/(-K11)))),IF(L11=0,0,IF(OR(K11=0,N11=0),"N.M.",IF(ABS(L11/K11)&gt;=10,"N.M.",L11/K11))))</f>
        <v>N.M.</v>
      </c>
      <c r="N11" s="174"/>
      <c r="O11" s="256">
        <v>1536588920.96</v>
      </c>
      <c r="P11" s="16">
        <f>+F11-O11</f>
        <v>67949782.75</v>
      </c>
      <c r="Q11" s="53">
        <f>IF(O11&lt;0,IF(P11=0,0,IF(OR(O11=0,F11=0),"N.M.",IF(ABS(P11/O11)&gt;=10,"N.M.",P11/(-O11)))),IF(P11=0,0,IF(OR(O11=0,F11=0),"N.M.",IF(ABS(P11/O11)&gt;=10,"N.M.",P11/O11))))</f>
        <v>0.044221184874577685</v>
      </c>
    </row>
    <row r="12" spans="1:17" s="15" customFormat="1" ht="12.75" hidden="1" outlineLevel="2">
      <c r="A12" s="15" t="s">
        <v>356</v>
      </c>
      <c r="B12" s="15" t="s">
        <v>357</v>
      </c>
      <c r="C12" s="134" t="s">
        <v>358</v>
      </c>
      <c r="D12" s="16"/>
      <c r="E12" s="16"/>
      <c r="F12" s="16">
        <v>6644247.4</v>
      </c>
      <c r="G12" s="16">
        <v>3840718.25</v>
      </c>
      <c r="H12" s="16">
        <f>+F12-G12</f>
        <v>2803529.1500000004</v>
      </c>
      <c r="I12" s="53">
        <f>IF(G12&lt;0,IF(H12=0,0,IF(OR(G12=0,F12=0),"N.M.",IF(ABS(H12/G12)&gt;=10,"N.M.",H12/(-G12)))),IF(H12=0,0,IF(OR(G12=0,F12=0),"N.M.",IF(ABS(H12/G12)&gt;=10,"N.M.",H12/G12))))</f>
        <v>0.7299491833330916</v>
      </c>
      <c r="J12" s="174"/>
      <c r="K12" s="256">
        <v>6658779.48</v>
      </c>
      <c r="L12" s="16">
        <f>+F12-K12</f>
        <v>-14532.080000000075</v>
      </c>
      <c r="M12" s="53" t="str">
        <f>IF(K12&lt;0,IF(L12=0,0,IF(OR(K12=0,N12=0),"N.M.",IF(ABS(L12/K12)&gt;=10,"N.M.",L12/(-K12)))),IF(L12=0,0,IF(OR(K12=0,N12=0),"N.M.",IF(ABS(L12/K12)&gt;=10,"N.M.",L12/K12))))</f>
        <v>N.M.</v>
      </c>
      <c r="N12" s="174"/>
      <c r="O12" s="256">
        <v>3378616.12</v>
      </c>
      <c r="P12" s="16">
        <f>+F12-O12</f>
        <v>3265631.2800000003</v>
      </c>
      <c r="Q12" s="53">
        <f>IF(O12&lt;0,IF(P12=0,0,IF(OR(O12=0,F12=0),"N.M.",IF(ABS(P12/O12)&gt;=10,"N.M.",P12/(-O12)))),IF(P12=0,0,IF(OR(O12=0,F12=0),"N.M.",IF(ABS(P12/O12)&gt;=10,"N.M.",P12/O12))))</f>
        <v>0.966558840665213</v>
      </c>
    </row>
    <row r="13" spans="1:17" s="15" customFormat="1" ht="12.75" hidden="1" outlineLevel="2">
      <c r="A13" s="15" t="s">
        <v>359</v>
      </c>
      <c r="B13" s="15" t="s">
        <v>360</v>
      </c>
      <c r="C13" s="134" t="s">
        <v>361</v>
      </c>
      <c r="D13" s="16"/>
      <c r="E13" s="16"/>
      <c r="F13" s="16">
        <v>7436550.73</v>
      </c>
      <c r="G13" s="16">
        <v>7436550.73</v>
      </c>
      <c r="H13" s="16">
        <f>+F13-G13</f>
        <v>0</v>
      </c>
      <c r="I13" s="53">
        <f>IF(G13&lt;0,IF(H13=0,0,IF(OR(G13=0,F13=0),"N.M.",IF(ABS(H13/G13)&gt;=10,"N.M.",H13/(-G13)))),IF(H13=0,0,IF(OR(G13=0,F13=0),"N.M.",IF(ABS(H13/G13)&gt;=10,"N.M.",H13/G13))))</f>
        <v>0</v>
      </c>
      <c r="J13" s="174"/>
      <c r="K13" s="256">
        <v>7436550.73</v>
      </c>
      <c r="L13" s="16">
        <f>+F13-K13</f>
        <v>0</v>
      </c>
      <c r="M13" s="53">
        <f>IF(K13&lt;0,IF(L13=0,0,IF(OR(K13=0,N13=0),"N.M.",IF(ABS(L13/K13)&gt;=10,"N.M.",L13/(-K13)))),IF(L13=0,0,IF(OR(K13=0,N13=0),"N.M.",IF(ABS(L13/K13)&gt;=10,"N.M.",L13/K13))))</f>
        <v>0</v>
      </c>
      <c r="N13" s="174"/>
      <c r="O13" s="256">
        <v>7436550.73</v>
      </c>
      <c r="P13" s="16">
        <f>+F13-O13</f>
        <v>0</v>
      </c>
      <c r="Q13" s="53">
        <f>IF(O13&lt;0,IF(P13=0,0,IF(OR(O13=0,F13=0),"N.M.",IF(ABS(P13/O13)&gt;=10,"N.M.",P13/(-O13)))),IF(P13=0,0,IF(OR(O13=0,F13=0),"N.M.",IF(ABS(P13/O13)&gt;=10,"N.M.",P13/O13))))</f>
        <v>0</v>
      </c>
    </row>
    <row r="14" spans="1:17" s="15" customFormat="1" ht="12.75" hidden="1" outlineLevel="2">
      <c r="A14" s="15" t="s">
        <v>362</v>
      </c>
      <c r="B14" s="15" t="s">
        <v>363</v>
      </c>
      <c r="C14" s="134" t="s">
        <v>364</v>
      </c>
      <c r="D14" s="16"/>
      <c r="E14" s="16"/>
      <c r="F14" s="16">
        <v>24450482.04</v>
      </c>
      <c r="G14" s="16">
        <v>71460477.78</v>
      </c>
      <c r="H14" s="16">
        <f>+F14-G14</f>
        <v>-47009995.74</v>
      </c>
      <c r="I14" s="53">
        <f>IF(G14&lt;0,IF(H14=0,0,IF(OR(G14=0,F14=0),"N.M.",IF(ABS(H14/G14)&gt;=10,"N.M.",H14/(-G14)))),IF(H14=0,0,IF(OR(G14=0,F14=0),"N.M.",IF(ABS(H14/G14)&gt;=10,"N.M.",H14/G14))))</f>
        <v>-0.6578460878015138</v>
      </c>
      <c r="J14" s="174"/>
      <c r="K14" s="256">
        <v>26553214.66</v>
      </c>
      <c r="L14" s="16">
        <f>+F14-K14</f>
        <v>-2102732.620000001</v>
      </c>
      <c r="M14" s="53" t="str">
        <f>IF(K14&lt;0,IF(L14=0,0,IF(OR(K14=0,N14=0),"N.M.",IF(ABS(L14/K14)&gt;=10,"N.M.",L14/(-K14)))),IF(L14=0,0,IF(OR(K14=0,N14=0),"N.M.",IF(ABS(L14/K14)&gt;=10,"N.M.",L14/K14))))</f>
        <v>N.M.</v>
      </c>
      <c r="N14" s="174"/>
      <c r="O14" s="256">
        <v>61640980.6</v>
      </c>
      <c r="P14" s="16">
        <f>+F14-O14</f>
        <v>-37190498.56</v>
      </c>
      <c r="Q14" s="53">
        <f>IF(O14&lt;0,IF(P14=0,0,IF(OR(O14=0,F14=0),"N.M.",IF(ABS(P14/O14)&gt;=10,"N.M.",P14/(-O14)))),IF(P14=0,0,IF(OR(O14=0,F14=0),"N.M.",IF(ABS(P14/O14)&gt;=10,"N.M.",P14/O14))))</f>
        <v>-0.603340475735391</v>
      </c>
    </row>
    <row r="15" spans="1:17" s="67" customFormat="1" ht="12.75" collapsed="1">
      <c r="A15" s="67" t="s">
        <v>348</v>
      </c>
      <c r="B15" s="68"/>
      <c r="C15" s="81" t="s">
        <v>80</v>
      </c>
      <c r="D15" s="66"/>
      <c r="E15" s="66"/>
      <c r="F15" s="51">
        <v>1643069983.88</v>
      </c>
      <c r="G15" s="51">
        <v>1604065910.71</v>
      </c>
      <c r="H15" s="51">
        <f>+F15-G15</f>
        <v>39004073.17000008</v>
      </c>
      <c r="I15" s="136">
        <f>IF(G15&lt;0,IF(H15=0,0,IF(OR(G15=0,F15=0),"N.M.",IF(ABS(H15/G15)&gt;=10,"N.M.",H15/(-G15)))),IF(H15=0,0,IF(OR(G15=0,F15=0),"N.M.",IF(ABS(H15/G15)&gt;=10,"N.M.",H15/G15))))</f>
        <v>0.024315754676649096</v>
      </c>
      <c r="J15" s="157"/>
      <c r="K15" s="51">
        <v>1642974701.7500002</v>
      </c>
      <c r="L15" s="51">
        <f>+F15-K15</f>
        <v>95282.12999987602</v>
      </c>
      <c r="M15" s="136" t="str">
        <f>IF(K15&lt;0,IF(L15=0,0,IF(OR(K15=0,N15=0),"N.M.",IF(ABS(L15/K15)&gt;=10,"N.M.",L15/(-K15)))),IF(L15=0,0,IF(OR(K15=0,N15=0),"N.M.",IF(ABS(L15/K15)&gt;=10,"N.M.",L15/K15))))</f>
        <v>N.M.</v>
      </c>
      <c r="N15" s="157"/>
      <c r="O15" s="51">
        <v>1609045068.4099998</v>
      </c>
      <c r="P15" s="51">
        <f>+F15-O15</f>
        <v>34024915.47000027</v>
      </c>
      <c r="Q15" s="136">
        <f>IF(O15&lt;0,IF(P15=0,0,IF(OR(O15=0,F15=0),"N.M.",IF(ABS(P15/O15)&gt;=10,"N.M.",P15/(-O15)))),IF(P15=0,0,IF(OR(O15=0,F15=0),"N.M.",IF(ABS(P15/O15)&gt;=10,"N.M.",P15/O15))))</f>
        <v>0.021146030113141864</v>
      </c>
    </row>
    <row r="16" spans="2:17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  <c r="N16" s="157"/>
      <c r="O16" s="51"/>
      <c r="P16" s="51"/>
      <c r="Q16" s="136"/>
    </row>
    <row r="17" spans="1:17" s="15" customFormat="1" ht="12.75" hidden="1" outlineLevel="2">
      <c r="A17" s="15" t="s">
        <v>365</v>
      </c>
      <c r="B17" s="15" t="s">
        <v>366</v>
      </c>
      <c r="C17" s="134" t="s">
        <v>367</v>
      </c>
      <c r="D17" s="16"/>
      <c r="E17" s="16"/>
      <c r="F17" s="16">
        <v>5946.67</v>
      </c>
      <c r="G17" s="16">
        <v>8227.73</v>
      </c>
      <c r="H17" s="16">
        <f>+F17-G17</f>
        <v>-2281.0599999999995</v>
      </c>
      <c r="I17" s="53">
        <f>IF(G17&lt;0,IF(H17=0,0,IF(OR(G17=0,F17=0),"N.M.",IF(ABS(H17/G17)&gt;=10,"N.M.",H17/(-G17)))),IF(H17=0,0,IF(OR(G17=0,F17=0),"N.M.",IF(ABS(H17/G17)&gt;=10,"N.M.",H17/G17))))</f>
        <v>-0.27724050254444416</v>
      </c>
      <c r="J17" s="174"/>
      <c r="K17" s="256">
        <v>51.02</v>
      </c>
      <c r="L17" s="16">
        <f>+F17-K17</f>
        <v>5895.65</v>
      </c>
      <c r="M17" s="53" t="str">
        <f>IF(K17&lt;0,IF(L17=0,0,IF(OR(K17=0,N17=0),"N.M.",IF(ABS(L17/K17)&gt;=10,"N.M.",L17/(-K17)))),IF(L17=0,0,IF(OR(K17=0,N17=0),"N.M.",IF(ABS(L17/K17)&gt;=10,"N.M.",L17/K17))))</f>
        <v>N.M.</v>
      </c>
      <c r="N17" s="174"/>
      <c r="O17" s="256">
        <v>1513.6000000000001</v>
      </c>
      <c r="P17" s="16">
        <f>+F17-O17</f>
        <v>4433.07</v>
      </c>
      <c r="Q17" s="53">
        <f>IF(O17&lt;0,IF(P17=0,0,IF(OR(O17=0,F17=0),"N.M.",IF(ABS(P17/O17)&gt;=10,"N.M.",P17/(-O17)))),IF(P17=0,0,IF(OR(O17=0,F17=0),"N.M.",IF(ABS(P17/O17)&gt;=10,"N.M.",P17/O17))))</f>
        <v>2.928825317124735</v>
      </c>
    </row>
    <row r="18" spans="1:17" s="67" customFormat="1" ht="12.75" collapsed="1">
      <c r="A18" s="67" t="s">
        <v>169</v>
      </c>
      <c r="B18" s="68"/>
      <c r="C18" s="81" t="s">
        <v>79</v>
      </c>
      <c r="D18" s="66"/>
      <c r="E18" s="66"/>
      <c r="F18" s="51">
        <v>5946.67</v>
      </c>
      <c r="G18" s="51">
        <v>8227.73</v>
      </c>
      <c r="H18" s="51">
        <f>+F18-G18</f>
        <v>-2281.0599999999995</v>
      </c>
      <c r="I18" s="136">
        <f>IF(G18&lt;0,IF(H18=0,0,IF(OR(G18=0,F18=0),"N.M.",IF(ABS(H18/G18)&gt;=10,"N.M.",H18/(-G18)))),IF(H18=0,0,IF(OR(G18=0,F18=0),"N.M.",IF(ABS(H18/G18)&gt;=10,"N.M.",H18/G18))))</f>
        <v>-0.27724050254444416</v>
      </c>
      <c r="J18" s="157"/>
      <c r="K18" s="51">
        <v>51.02</v>
      </c>
      <c r="L18" s="51">
        <f>+F18-K18</f>
        <v>5895.65</v>
      </c>
      <c r="M18" s="136" t="str">
        <f>IF(K18&lt;0,IF(L18=0,0,IF(OR(K18=0,N18=0),"N.M.",IF(ABS(L18/K18)&gt;=10,"N.M.",L18/(-K18)))),IF(L18=0,0,IF(OR(K18=0,N18=0),"N.M.",IF(ABS(L18/K18)&gt;=10,"N.M.",L18/K18))))</f>
        <v>N.M.</v>
      </c>
      <c r="N18" s="157"/>
      <c r="O18" s="51">
        <v>1513.6000000000001</v>
      </c>
      <c r="P18" s="51">
        <f>+F18-O18</f>
        <v>4433.07</v>
      </c>
      <c r="Q18" s="136">
        <f>IF(O18&lt;0,IF(P18=0,0,IF(OR(O18=0,F18=0),"N.M.",IF(ABS(P18/O18)&gt;=10,"N.M.",P18/(-O18)))),IF(P18=0,0,IF(OR(O18=0,F18=0),"N.M.",IF(ABS(P18/O18)&gt;=10,"N.M.",P18/O18))))</f>
        <v>2.928825317124735</v>
      </c>
    </row>
    <row r="19" spans="2:17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  <c r="N19" s="157"/>
      <c r="O19" s="51"/>
      <c r="P19" s="51"/>
      <c r="Q19" s="136"/>
    </row>
    <row r="20" spans="1:17" s="15" customFormat="1" ht="12.75" hidden="1" outlineLevel="2">
      <c r="A20" s="15" t="s">
        <v>368</v>
      </c>
      <c r="B20" s="15" t="s">
        <v>369</v>
      </c>
      <c r="C20" s="134" t="s">
        <v>370</v>
      </c>
      <c r="D20" s="16"/>
      <c r="E20" s="16"/>
      <c r="F20" s="16">
        <v>29138759.706</v>
      </c>
      <c r="G20" s="16">
        <v>27037955.067</v>
      </c>
      <c r="H20" s="16">
        <f>+F20-G20</f>
        <v>2100804.6389999986</v>
      </c>
      <c r="I20" s="53">
        <f>IF(G20&lt;0,IF(H20=0,0,IF(OR(G20=0,F20=0),"N.M.",IF(ABS(H20/G20)&gt;=10,"N.M.",H20/(-G20)))),IF(H20=0,0,IF(OR(G20=0,F20=0),"N.M.",IF(ABS(H20/G20)&gt;=10,"N.M.",H20/G20))))</f>
        <v>0.07769835528590119</v>
      </c>
      <c r="J20" s="174"/>
      <c r="K20" s="256">
        <v>26302620.838</v>
      </c>
      <c r="L20" s="16">
        <f>+F20-K20</f>
        <v>2836138.8680000007</v>
      </c>
      <c r="M20" s="53" t="str">
        <f>IF(K20&lt;0,IF(L20=0,0,IF(OR(K20=0,N20=0),"N.M.",IF(ABS(L20/K20)&gt;=10,"N.M.",L20/(-K20)))),IF(L20=0,0,IF(OR(K20=0,N20=0),"N.M.",IF(ABS(L20/K20)&gt;=10,"N.M.",L20/K20))))</f>
        <v>N.M.</v>
      </c>
      <c r="N20" s="174"/>
      <c r="O20" s="256">
        <v>28408870.427</v>
      </c>
      <c r="P20" s="16">
        <f>+F20-O20</f>
        <v>729889.2789999992</v>
      </c>
      <c r="Q20" s="53">
        <f>IF(O20&lt;0,IF(P20=0,0,IF(OR(O20=0,F20=0),"N.M.",IF(ABS(P20/O20)&gt;=10,"N.M.",P20/(-O20)))),IF(P20=0,0,IF(OR(O20=0,F20=0),"N.M.",IF(ABS(P20/O20)&gt;=10,"N.M.",P20/O20))))</f>
        <v>0.025692302017974886</v>
      </c>
    </row>
    <row r="21" spans="1:17" s="67" customFormat="1" ht="12.75" collapsed="1">
      <c r="A21" s="67" t="s">
        <v>170</v>
      </c>
      <c r="B21" s="68"/>
      <c r="C21" s="81" t="s">
        <v>78</v>
      </c>
      <c r="D21" s="66"/>
      <c r="E21" s="66"/>
      <c r="F21" s="51">
        <v>29138759.706</v>
      </c>
      <c r="G21" s="51">
        <v>27037955.067</v>
      </c>
      <c r="H21" s="51">
        <f>+F21-G21</f>
        <v>2100804.6389999986</v>
      </c>
      <c r="I21" s="136">
        <f>IF(G21&lt;0,IF(H21=0,0,IF(OR(G21=0,F21=0),"N.M.",IF(ABS(H21/G21)&gt;=10,"N.M.",H21/(-G21)))),IF(H21=0,0,IF(OR(G21=0,F21=0),"N.M.",IF(ABS(H21/G21)&gt;=10,"N.M.",H21/G21))))</f>
        <v>0.07769835528590119</v>
      </c>
      <c r="J21" s="157"/>
      <c r="K21" s="51">
        <v>26302620.838</v>
      </c>
      <c r="L21" s="51">
        <f>+F21-K21</f>
        <v>2836138.8680000007</v>
      </c>
      <c r="M21" s="136" t="str">
        <f>IF(K21&lt;0,IF(L21=0,0,IF(OR(K21=0,N21=0),"N.M.",IF(ABS(L21/K21)&gt;=10,"N.M.",L21/(-K21)))),IF(L21=0,0,IF(OR(K21=0,N21=0),"N.M.",IF(ABS(L21/K21)&gt;=10,"N.M.",L21/K21))))</f>
        <v>N.M.</v>
      </c>
      <c r="N21" s="157"/>
      <c r="O21" s="51">
        <v>28408870.427</v>
      </c>
      <c r="P21" s="51">
        <f>+F21-O21</f>
        <v>729889.2789999992</v>
      </c>
      <c r="Q21" s="136">
        <f>IF(O21&lt;0,IF(P21=0,0,IF(OR(O21=0,F21=0),"N.M.",IF(ABS(P21/O21)&gt;=10,"N.M.",P21/(-O21)))),IF(P21=0,0,IF(OR(O21=0,F21=0),"N.M.",IF(ABS(P21/O21)&gt;=10,"N.M.",P21/O21))))</f>
        <v>0.025692302017974886</v>
      </c>
    </row>
    <row r="22" spans="1:17" s="75" customFormat="1" ht="12.75">
      <c r="A22" s="75" t="s">
        <v>111</v>
      </c>
      <c r="B22" s="93"/>
      <c r="C22" s="75" t="s">
        <v>81</v>
      </c>
      <c r="D22" s="73"/>
      <c r="E22" s="73"/>
      <c r="F22" s="74">
        <f>+F21+F18+F15</f>
        <v>1672214690.256</v>
      </c>
      <c r="G22" s="74">
        <f>+G21+G18+G15</f>
        <v>1631112093.507</v>
      </c>
      <c r="H22" s="74">
        <f>+F22-G22</f>
        <v>41102596.74900007</v>
      </c>
      <c r="I22" s="137">
        <f>IF(G22&lt;0,IF(H22=0,0,IF(OR(G22=0,F22=0),"N.M.",IF(ABS(H22/G22)&gt;=10,"N.M.",H22/(-G22)))),IF(H22=0,0,IF(OR(G22=0,F22=0),"N.M.",IF(ABS(H22/G22)&gt;=10,"N.M.",H22/G22))))</f>
        <v>0.025199124519165783</v>
      </c>
      <c r="J22" s="160" t="s">
        <v>72</v>
      </c>
      <c r="K22" s="74">
        <f>+K21+K18+K15</f>
        <v>1669277373.6080003</v>
      </c>
      <c r="L22" s="74">
        <f>+F22-K22</f>
        <v>2937316.6479997635</v>
      </c>
      <c r="M22" s="137">
        <f>IF(K22&lt;0,IF(L22=0,0,IF(OR(K22=0,N22=0),"N.M.",IF(ABS(L22/K22)&gt;=10,"N.M.",L22/(-K22)))),IF(L22=0,0,IF(OR(K22=0,N22=0),"N.M.",IF(ABS(L22/K22)&gt;=10,"N.M.",L22/K22))))</f>
        <v>0.0017596336561197165</v>
      </c>
      <c r="N22" s="160" t="s">
        <v>72</v>
      </c>
      <c r="O22" s="74">
        <f>+O21+O18+O15</f>
        <v>1637455452.4369998</v>
      </c>
      <c r="P22" s="74">
        <f>+F22-O22</f>
        <v>34759237.819000244</v>
      </c>
      <c r="Q22" s="137">
        <f>IF(O22&lt;0,IF(P22=0,0,IF(OR(O22=0,F22=0),"N.M.",IF(ABS(P22/O22)&gt;=10,"N.M.",P22/(-O22)))),IF(P22=0,0,IF(OR(O22=0,F22=0),"N.M.",IF(ABS(P22/O22)&gt;=10,"N.M.",P22/O22))))</f>
        <v>0.02122759295055545</v>
      </c>
    </row>
    <row r="23" spans="1:17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  <c r="N23" s="157"/>
      <c r="O23" s="51"/>
      <c r="P23" s="51"/>
      <c r="Q23" s="136"/>
    </row>
    <row r="24" spans="1:17" s="15" customFormat="1" ht="12.75" hidden="1" outlineLevel="2">
      <c r="A24" s="15" t="s">
        <v>371</v>
      </c>
      <c r="B24" s="15" t="s">
        <v>372</v>
      </c>
      <c r="C24" s="134" t="s">
        <v>373</v>
      </c>
      <c r="D24" s="16"/>
      <c r="E24" s="16"/>
      <c r="F24" s="16">
        <v>-2250947.39</v>
      </c>
      <c r="G24" s="16">
        <v>-1976031.29</v>
      </c>
      <c r="H24" s="16">
        <f aca="true" t="shared" si="0" ref="H24:H29">+F24-G24</f>
        <v>-274916.1000000001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-0.1391253779184843</v>
      </c>
      <c r="J24" s="174"/>
      <c r="K24" s="256">
        <v>-2131945.97</v>
      </c>
      <c r="L24" s="16">
        <f aca="true" t="shared" si="2" ref="L24:L29">+F24-K24</f>
        <v>-119001.41999999993</v>
      </c>
      <c r="M24" s="53" t="str">
        <f aca="true" t="shared" si="3" ref="M24:M29">IF(K24&lt;0,IF(L24=0,0,IF(OR(K24=0,N24=0),"N.M.",IF(ABS(L24/K24)&gt;=10,"N.M.",L24/(-K24)))),IF(L24=0,0,IF(OR(K24=0,N24=0),"N.M.",IF(ABS(L24/K24)&gt;=10,"N.M.",L24/K24))))</f>
        <v>N.M.</v>
      </c>
      <c r="N24" s="174"/>
      <c r="O24" s="256">
        <v>-1627324.8900000001</v>
      </c>
      <c r="P24" s="16">
        <f aca="true" t="shared" si="4" ref="P24:P29">+F24-O24</f>
        <v>-623622.5</v>
      </c>
      <c r="Q24" s="53">
        <f aca="true" t="shared" si="5" ref="Q24:Q29">IF(O24&lt;0,IF(P24=0,0,IF(OR(O24=0,F24=0),"N.M.",IF(ABS(P24/O24)&gt;=10,"N.M.",P24/(-O24)))),IF(P24=0,0,IF(OR(O24=0,F24=0),"N.M.",IF(ABS(P24/O24)&gt;=10,"N.M.",P24/O24))))</f>
        <v>-0.3832194196943672</v>
      </c>
    </row>
    <row r="25" spans="1:17" s="15" customFormat="1" ht="12.75" hidden="1" outlineLevel="2">
      <c r="A25" s="15" t="s">
        <v>374</v>
      </c>
      <c r="B25" s="15" t="s">
        <v>375</v>
      </c>
      <c r="C25" s="134" t="s">
        <v>376</v>
      </c>
      <c r="D25" s="16"/>
      <c r="E25" s="16"/>
      <c r="F25" s="16">
        <v>-520115393.518</v>
      </c>
      <c r="G25" s="16">
        <v>-490131502.268</v>
      </c>
      <c r="H25" s="16">
        <f t="shared" si="0"/>
        <v>-29983891.25</v>
      </c>
      <c r="I25" s="53">
        <f t="shared" si="1"/>
        <v>-0.06117519708742379</v>
      </c>
      <c r="J25" s="174"/>
      <c r="K25" s="256">
        <v>-517159731.348</v>
      </c>
      <c r="L25" s="16">
        <f t="shared" si="2"/>
        <v>-2955662.1700000167</v>
      </c>
      <c r="M25" s="53" t="str">
        <f t="shared" si="3"/>
        <v>N.M.</v>
      </c>
      <c r="N25" s="174"/>
      <c r="O25" s="256">
        <v>-493467052.468</v>
      </c>
      <c r="P25" s="16">
        <f t="shared" si="4"/>
        <v>-26648341.050000012</v>
      </c>
      <c r="Q25" s="53">
        <f t="shared" si="5"/>
        <v>-0.054002270094269535</v>
      </c>
    </row>
    <row r="26" spans="1:17" s="15" customFormat="1" ht="12.75" hidden="1" outlineLevel="2">
      <c r="A26" s="15" t="s">
        <v>377</v>
      </c>
      <c r="B26" s="15" t="s">
        <v>378</v>
      </c>
      <c r="C26" s="134" t="s">
        <v>379</v>
      </c>
      <c r="D26" s="16"/>
      <c r="E26" s="16"/>
      <c r="F26" s="16">
        <v>1106973.342</v>
      </c>
      <c r="G26" s="16">
        <v>3648588.085</v>
      </c>
      <c r="H26" s="16">
        <f t="shared" si="0"/>
        <v>-2541614.743</v>
      </c>
      <c r="I26" s="53">
        <f t="shared" si="1"/>
        <v>-0.6966022701902234</v>
      </c>
      <c r="J26" s="174"/>
      <c r="K26" s="256">
        <v>968963.241</v>
      </c>
      <c r="L26" s="16">
        <f t="shared" si="2"/>
        <v>138010.1009999999</v>
      </c>
      <c r="M26" s="53" t="str">
        <f t="shared" si="3"/>
        <v>N.M.</v>
      </c>
      <c r="N26" s="174"/>
      <c r="O26" s="256">
        <v>3767366.255</v>
      </c>
      <c r="P26" s="16">
        <f t="shared" si="4"/>
        <v>-2660392.9129999997</v>
      </c>
      <c r="Q26" s="53">
        <f t="shared" si="5"/>
        <v>-0.7061678458974252</v>
      </c>
    </row>
    <row r="27" spans="1:17" s="15" customFormat="1" ht="12.75" hidden="1" outlineLevel="2">
      <c r="A27" s="15" t="s">
        <v>380</v>
      </c>
      <c r="B27" s="15" t="s">
        <v>381</v>
      </c>
      <c r="C27" s="134" t="s">
        <v>382</v>
      </c>
      <c r="D27" s="16"/>
      <c r="E27" s="16"/>
      <c r="F27" s="16">
        <v>-29176556.17</v>
      </c>
      <c r="G27" s="16">
        <v>-27007627.19</v>
      </c>
      <c r="H27" s="16">
        <f t="shared" si="0"/>
        <v>-2168928.9800000004</v>
      </c>
      <c r="I27" s="53">
        <f t="shared" si="1"/>
        <v>-0.08030801687025214</v>
      </c>
      <c r="J27" s="174"/>
      <c r="K27" s="256">
        <v>-28881577.45</v>
      </c>
      <c r="L27" s="16">
        <f t="shared" si="2"/>
        <v>-294978.72000000253</v>
      </c>
      <c r="M27" s="53" t="str">
        <f t="shared" si="3"/>
        <v>N.M.</v>
      </c>
      <c r="N27" s="174"/>
      <c r="O27" s="256">
        <v>-26544599.6</v>
      </c>
      <c r="P27" s="16">
        <f t="shared" si="4"/>
        <v>-2631956.5700000003</v>
      </c>
      <c r="Q27" s="53">
        <f t="shared" si="5"/>
        <v>-0.09915224225118846</v>
      </c>
    </row>
    <row r="28" spans="1:17" s="15" customFormat="1" ht="12.75" hidden="1" outlineLevel="2">
      <c r="A28" s="15" t="s">
        <v>383</v>
      </c>
      <c r="B28" s="15" t="s">
        <v>384</v>
      </c>
      <c r="C28" s="134" t="s">
        <v>385</v>
      </c>
      <c r="D28" s="16"/>
      <c r="E28" s="16"/>
      <c r="F28" s="16">
        <v>1997386.3</v>
      </c>
      <c r="G28" s="16">
        <v>1524965.4</v>
      </c>
      <c r="H28" s="16">
        <f t="shared" si="0"/>
        <v>472420.90000000014</v>
      </c>
      <c r="I28" s="53">
        <f t="shared" si="1"/>
        <v>0.3097912254271475</v>
      </c>
      <c r="J28" s="174"/>
      <c r="K28" s="256">
        <v>1958262.63</v>
      </c>
      <c r="L28" s="16">
        <f t="shared" si="2"/>
        <v>39123.67000000016</v>
      </c>
      <c r="M28" s="53" t="str">
        <f t="shared" si="3"/>
        <v>N.M.</v>
      </c>
      <c r="N28" s="174"/>
      <c r="O28" s="256">
        <v>1565334.08</v>
      </c>
      <c r="P28" s="16">
        <f t="shared" si="4"/>
        <v>432052.22</v>
      </c>
      <c r="Q28" s="53">
        <f t="shared" si="5"/>
        <v>0.2760127857179216</v>
      </c>
    </row>
    <row r="29" spans="1:17" s="15" customFormat="1" ht="12.75" hidden="1" outlineLevel="2">
      <c r="A29" s="15" t="s">
        <v>386</v>
      </c>
      <c r="B29" s="15" t="s">
        <v>387</v>
      </c>
      <c r="C29" s="134" t="s">
        <v>388</v>
      </c>
      <c r="D29" s="16"/>
      <c r="E29" s="16"/>
      <c r="F29" s="16">
        <v>-19151229.8</v>
      </c>
      <c r="G29" s="16">
        <v>-16994707.39</v>
      </c>
      <c r="H29" s="16">
        <f t="shared" si="0"/>
        <v>-2156522.41</v>
      </c>
      <c r="I29" s="53">
        <f t="shared" si="1"/>
        <v>-0.12689376524769927</v>
      </c>
      <c r="J29" s="174"/>
      <c r="K29" s="256">
        <v>-20435849.69</v>
      </c>
      <c r="L29" s="16">
        <f t="shared" si="2"/>
        <v>1284619.8900000006</v>
      </c>
      <c r="M29" s="53" t="str">
        <f t="shared" si="3"/>
        <v>N.M.</v>
      </c>
      <c r="N29" s="174"/>
      <c r="O29" s="256">
        <v>-17291094.09</v>
      </c>
      <c r="P29" s="16">
        <f t="shared" si="4"/>
        <v>-1860135.710000001</v>
      </c>
      <c r="Q29" s="53">
        <f t="shared" si="5"/>
        <v>-0.107577675554711</v>
      </c>
    </row>
    <row r="30" spans="1:17" s="67" customFormat="1" ht="12.75" collapsed="1">
      <c r="A30" s="67" t="s">
        <v>168</v>
      </c>
      <c r="B30" s="68"/>
      <c r="C30" s="85" t="s">
        <v>82</v>
      </c>
      <c r="D30" s="66"/>
      <c r="E30" s="66"/>
      <c r="F30" s="197">
        <v>-567589767.236</v>
      </c>
      <c r="G30" s="197">
        <v>-530936314.65300006</v>
      </c>
      <c r="H30" s="197">
        <f>+F30-G30</f>
        <v>-36653452.582999885</v>
      </c>
      <c r="I30" s="138">
        <f>IF(G30&lt;0,IF(H30=0,0,IF(OR(G30=0,F30=0),"N.M.",IF(ABS(H30/G30)&gt;=10,"N.M.",H30/(-G30)))),IF(H30=0,0,IF(OR(G30=0,F30=0),"N.M.",IF(ABS(H30/G30)&gt;=10,"N.M.",H30/G30))))</f>
        <v>-0.06903549742487515</v>
      </c>
      <c r="J30" s="157"/>
      <c r="K30" s="197">
        <v>-565681878.5870001</v>
      </c>
      <c r="L30" s="197">
        <f>+F30-K30</f>
        <v>-1907888.6489998102</v>
      </c>
      <c r="M30" s="138" t="str">
        <f>IF(K30&lt;0,IF(L30=0,0,IF(OR(K30=0,N30=0),"N.M.",IF(ABS(L30/K30)&gt;=10,"N.M.",L30/(-K30)))),IF(L30=0,0,IF(OR(K30=0,N30=0),"N.M.",IF(ABS(L30/K30)&gt;=10,"N.M.",L30/K30))))</f>
        <v>N.M.</v>
      </c>
      <c r="N30" s="157"/>
      <c r="O30" s="197">
        <v>-533597370.713</v>
      </c>
      <c r="P30" s="197">
        <f>+F30-O30</f>
        <v>-33992396.52299994</v>
      </c>
      <c r="Q30" s="138">
        <f>IF(O30&lt;0,IF(P30=0,0,IF(OR(O30=0,F30=0),"N.M.",IF(ABS(P30/O30)&gt;=10,"N.M.",P30/(-O30)))),IF(P30=0,0,IF(OR(O30=0,F30=0),"N.M.",IF(ABS(P30/O30)&gt;=10,"N.M.",P30/O30))))</f>
        <v>-0.06370420543410632</v>
      </c>
    </row>
    <row r="31" spans="1:17" s="67" customFormat="1" ht="12.75">
      <c r="A31" s="71" t="s">
        <v>112</v>
      </c>
      <c r="B31" s="72"/>
      <c r="C31" s="71" t="s">
        <v>73</v>
      </c>
      <c r="D31" s="66"/>
      <c r="E31" s="66"/>
      <c r="F31" s="74">
        <f>+F22+F30</f>
        <v>1104624923.02</v>
      </c>
      <c r="G31" s="74">
        <f>+G22+G30</f>
        <v>1100175778.8539999</v>
      </c>
      <c r="H31" s="74">
        <f>+F31-G31</f>
        <v>4449144.166000128</v>
      </c>
      <c r="I31" s="137">
        <f>IF(G31&lt;0,IF(H31=0,0,IF(OR(G31=0,F31=0),"N.M.",IF(ABS(H31/G31)&gt;=10,"N.M.",H31/(-G31)))),IF(H31=0,0,IF(OR(G31=0,F31=0),"N.M.",IF(ABS(H31/G31)&gt;=10,"N.M.",H31/G31))))</f>
        <v>0.004044030282719537</v>
      </c>
      <c r="J31" s="157"/>
      <c r="K31" s="74">
        <f>+K22+K30</f>
        <v>1103595495.0210001</v>
      </c>
      <c r="L31" s="74">
        <f>+F31-K31</f>
        <v>1029427.9989998341</v>
      </c>
      <c r="M31" s="137" t="str">
        <f>IF(K31&lt;0,IF(L31=0,0,IF(OR(K31=0,N31=0),"N.M.",IF(ABS(L31/K31)&gt;=10,"N.M.",L31/(-K31)))),IF(L31=0,0,IF(OR(K31=0,N31=0),"N.M.",IF(ABS(L31/K31)&gt;=10,"N.M.",L31/K31))))</f>
        <v>N.M.</v>
      </c>
      <c r="N31" s="157"/>
      <c r="O31" s="74">
        <f>+O22+O30</f>
        <v>1103858081.7239997</v>
      </c>
      <c r="P31" s="74">
        <f>+F31-O31</f>
        <v>766841.2960002422</v>
      </c>
      <c r="Q31" s="137">
        <f>IF(O31&lt;0,IF(P31=0,0,IF(OR(O31=0,F31=0),"N.M.",IF(ABS(P31/O31)&gt;=10,"N.M.",P31/(-O31)))),IF(P31=0,0,IF(OR(O31=0,F31=0),"N.M.",IF(ABS(P31/O31)&gt;=10,"N.M.",P31/O31))))</f>
        <v>0.0006946919252541899</v>
      </c>
    </row>
    <row r="32" spans="1:17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  <c r="N32" s="157"/>
      <c r="O32" s="51"/>
      <c r="P32" s="51"/>
      <c r="Q32" s="136"/>
    </row>
    <row r="33" spans="1:17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  <c r="N33" s="157"/>
      <c r="O33" s="51"/>
      <c r="P33" s="51"/>
      <c r="Q33" s="136"/>
    </row>
    <row r="34" spans="1:17" s="15" customFormat="1" ht="12.75" hidden="1" outlineLevel="2">
      <c r="A34" s="15" t="s">
        <v>389</v>
      </c>
      <c r="B34" s="15" t="s">
        <v>390</v>
      </c>
      <c r="C34" s="134" t="s">
        <v>391</v>
      </c>
      <c r="D34" s="16"/>
      <c r="E34" s="16"/>
      <c r="F34" s="16">
        <v>964528</v>
      </c>
      <c r="G34" s="16">
        <v>964528</v>
      </c>
      <c r="H34" s="16">
        <f aca="true" t="shared" si="6" ref="H34:H40">+F34-G34</f>
        <v>0</v>
      </c>
      <c r="I34" s="53">
        <f aca="true" t="shared" si="7" ref="I34:I40">IF(G34&lt;0,IF(H34=0,0,IF(OR(G34=0,F34=0),"N.M.",IF(ABS(H34/G34)&gt;=10,"N.M.",H34/(-G34)))),IF(H34=0,0,IF(OR(G34=0,F34=0),"N.M.",IF(ABS(H34/G34)&gt;=10,"N.M.",H34/G34))))</f>
        <v>0</v>
      </c>
      <c r="J34" s="174"/>
      <c r="K34" s="256">
        <v>964528</v>
      </c>
      <c r="L34" s="16">
        <f aca="true" t="shared" si="8" ref="L34:L39">+F34-K34</f>
        <v>0</v>
      </c>
      <c r="M34" s="53">
        <f aca="true" t="shared" si="9" ref="M34:M40">IF(K34&lt;0,IF(L34=0,0,IF(OR(K34=0,N34=0),"N.M.",IF(ABS(L34/K34)&gt;=10,"N.M.",L34/(-K34)))),IF(L34=0,0,IF(OR(K34=0,N34=0),"N.M.",IF(ABS(L34/K34)&gt;=10,"N.M.",L34/K34))))</f>
        <v>0</v>
      </c>
      <c r="N34" s="174"/>
      <c r="O34" s="256">
        <v>964528</v>
      </c>
      <c r="P34" s="16">
        <f aca="true" t="shared" si="10" ref="P34:P39">+F34-O34</f>
        <v>0</v>
      </c>
      <c r="Q34" s="53">
        <f aca="true" t="shared" si="11" ref="Q34:Q40">IF(O34&lt;0,IF(P34=0,0,IF(OR(O34=0,F34=0),"N.M.",IF(ABS(P34/O34)&gt;=10,"N.M.",P34/(-O34)))),IF(P34=0,0,IF(OR(O34=0,F34=0),"N.M.",IF(ABS(P34/O34)&gt;=10,"N.M.",P34/O34))))</f>
        <v>0</v>
      </c>
    </row>
    <row r="35" spans="1:17" s="67" customFormat="1" ht="12.75" hidden="1" outlineLevel="1">
      <c r="A35" s="11" t="s">
        <v>161</v>
      </c>
      <c r="B35" s="72"/>
      <c r="C35" s="83" t="s">
        <v>89</v>
      </c>
      <c r="D35" s="66"/>
      <c r="E35" s="66"/>
      <c r="F35" s="51">
        <v>964528</v>
      </c>
      <c r="G35" s="51">
        <v>964528</v>
      </c>
      <c r="H35" s="51">
        <f t="shared" si="6"/>
        <v>0</v>
      </c>
      <c r="I35" s="136">
        <f t="shared" si="7"/>
        <v>0</v>
      </c>
      <c r="J35" s="157"/>
      <c r="K35" s="51">
        <v>964528</v>
      </c>
      <c r="L35" s="51">
        <f t="shared" si="8"/>
        <v>0</v>
      </c>
      <c r="M35" s="136">
        <f t="shared" si="9"/>
        <v>0</v>
      </c>
      <c r="N35" s="157"/>
      <c r="O35" s="51">
        <v>964528</v>
      </c>
      <c r="P35" s="51">
        <f t="shared" si="10"/>
        <v>0</v>
      </c>
      <c r="Q35" s="136">
        <f t="shared" si="11"/>
        <v>0</v>
      </c>
    </row>
    <row r="36" spans="1:17" s="15" customFormat="1" ht="12.75" hidden="1" outlineLevel="2">
      <c r="A36" s="15" t="s">
        <v>392</v>
      </c>
      <c r="B36" s="15" t="s">
        <v>393</v>
      </c>
      <c r="C36" s="134" t="s">
        <v>394</v>
      </c>
      <c r="D36" s="16"/>
      <c r="E36" s="16"/>
      <c r="F36" s="16">
        <v>-194390.78</v>
      </c>
      <c r="G36" s="16">
        <v>-187721.06</v>
      </c>
      <c r="H36" s="16">
        <f t="shared" si="6"/>
        <v>-6669.720000000001</v>
      </c>
      <c r="I36" s="53">
        <f t="shared" si="7"/>
        <v>-0.0355299506619023</v>
      </c>
      <c r="J36" s="174"/>
      <c r="K36" s="256">
        <v>-193834.97</v>
      </c>
      <c r="L36" s="16">
        <f t="shared" si="8"/>
        <v>-555.8099999999977</v>
      </c>
      <c r="M36" s="53" t="str">
        <f t="shared" si="9"/>
        <v>N.M.</v>
      </c>
      <c r="N36" s="174"/>
      <c r="O36" s="256">
        <v>-188276.87</v>
      </c>
      <c r="P36" s="16">
        <f t="shared" si="10"/>
        <v>-6113.9100000000035</v>
      </c>
      <c r="Q36" s="53">
        <f t="shared" si="11"/>
        <v>-0.03247297450823356</v>
      </c>
    </row>
    <row r="37" spans="1:17" s="67" customFormat="1" ht="12.75" hidden="1" outlineLevel="1">
      <c r="A37" s="11" t="s">
        <v>162</v>
      </c>
      <c r="B37" s="72"/>
      <c r="C37" s="83" t="s">
        <v>90</v>
      </c>
      <c r="D37" s="66"/>
      <c r="E37" s="66"/>
      <c r="F37" s="51">
        <v>-194390.78</v>
      </c>
      <c r="G37" s="51">
        <v>-187721.06</v>
      </c>
      <c r="H37" s="51">
        <f t="shared" si="6"/>
        <v>-6669.720000000001</v>
      </c>
      <c r="I37" s="136">
        <f t="shared" si="7"/>
        <v>-0.0355299506619023</v>
      </c>
      <c r="J37" s="157"/>
      <c r="K37" s="51">
        <v>-193834.97</v>
      </c>
      <c r="L37" s="51">
        <f t="shared" si="8"/>
        <v>-555.8099999999977</v>
      </c>
      <c r="M37" s="136" t="str">
        <f t="shared" si="9"/>
        <v>N.M.</v>
      </c>
      <c r="N37" s="157"/>
      <c r="O37" s="51">
        <v>-188276.87</v>
      </c>
      <c r="P37" s="51">
        <f t="shared" si="10"/>
        <v>-6113.9100000000035</v>
      </c>
      <c r="Q37" s="136">
        <f t="shared" si="11"/>
        <v>-0.03247297450823356</v>
      </c>
    </row>
    <row r="38" spans="1:17" s="15" customFormat="1" ht="12.75" hidden="1" outlineLevel="2">
      <c r="A38" s="15" t="s">
        <v>395</v>
      </c>
      <c r="B38" s="15" t="s">
        <v>396</v>
      </c>
      <c r="C38" s="134" t="s">
        <v>397</v>
      </c>
      <c r="D38" s="16"/>
      <c r="E38" s="16"/>
      <c r="F38" s="16">
        <v>4734975.63</v>
      </c>
      <c r="G38" s="16">
        <v>4533569.9</v>
      </c>
      <c r="H38" s="16">
        <f t="shared" si="6"/>
        <v>201405.72999999952</v>
      </c>
      <c r="I38" s="53">
        <f t="shared" si="7"/>
        <v>0.04442541627074052</v>
      </c>
      <c r="J38" s="174"/>
      <c r="K38" s="256">
        <v>4734975.63</v>
      </c>
      <c r="L38" s="16">
        <f t="shared" si="8"/>
        <v>0</v>
      </c>
      <c r="M38" s="53">
        <f t="shared" si="9"/>
        <v>0</v>
      </c>
      <c r="N38" s="174"/>
      <c r="O38" s="256">
        <v>4533569.9</v>
      </c>
      <c r="P38" s="16">
        <f t="shared" si="10"/>
        <v>201405.72999999952</v>
      </c>
      <c r="Q38" s="53">
        <f t="shared" si="11"/>
        <v>0.04442541627074052</v>
      </c>
    </row>
    <row r="39" spans="1:17" s="67" customFormat="1" ht="12.75" hidden="1" outlineLevel="1">
      <c r="A39" s="11" t="s">
        <v>163</v>
      </c>
      <c r="B39" s="72"/>
      <c r="C39" s="84" t="s">
        <v>91</v>
      </c>
      <c r="D39" s="66"/>
      <c r="E39" s="66"/>
      <c r="F39" s="197">
        <v>4734975.63</v>
      </c>
      <c r="G39" s="197">
        <v>4533569.9</v>
      </c>
      <c r="H39" s="197">
        <f t="shared" si="6"/>
        <v>201405.72999999952</v>
      </c>
      <c r="I39" s="138">
        <f t="shared" si="7"/>
        <v>0.04442541627074052</v>
      </c>
      <c r="J39" s="157"/>
      <c r="K39" s="197">
        <v>4734975.63</v>
      </c>
      <c r="L39" s="197">
        <f t="shared" si="8"/>
        <v>0</v>
      </c>
      <c r="M39" s="138">
        <f t="shared" si="9"/>
        <v>0</v>
      </c>
      <c r="N39" s="157"/>
      <c r="O39" s="197">
        <v>4533569.9</v>
      </c>
      <c r="P39" s="197">
        <f t="shared" si="10"/>
        <v>201405.72999999952</v>
      </c>
      <c r="Q39" s="138">
        <f t="shared" si="11"/>
        <v>0.04442541627074052</v>
      </c>
    </row>
    <row r="40" spans="1:17" s="67" customFormat="1" ht="12.75" collapsed="1">
      <c r="A40" s="69" t="s">
        <v>236</v>
      </c>
      <c r="B40" s="72"/>
      <c r="C40" s="81" t="s">
        <v>83</v>
      </c>
      <c r="D40" s="66"/>
      <c r="E40" s="66"/>
      <c r="F40" s="51">
        <f>+F35+F37+F39</f>
        <v>5505112.85</v>
      </c>
      <c r="G40" s="51">
        <f>+G35+G37+G39</f>
        <v>5310376.84</v>
      </c>
      <c r="H40" s="51">
        <f t="shared" si="6"/>
        <v>194736.00999999978</v>
      </c>
      <c r="I40" s="136">
        <f t="shared" si="7"/>
        <v>0.03667084575489369</v>
      </c>
      <c r="J40" s="157" t="s">
        <v>72</v>
      </c>
      <c r="K40" s="51">
        <f>+K35+K37+K39</f>
        <v>5505668.66</v>
      </c>
      <c r="L40" s="51">
        <f>+L35+L37+L39</f>
        <v>-555.8099999999977</v>
      </c>
      <c r="M40" s="136">
        <f t="shared" si="9"/>
        <v>-0.00010095231557214663</v>
      </c>
      <c r="N40" s="157" t="s">
        <v>72</v>
      </c>
      <c r="O40" s="51">
        <f>+O35+O37+O39</f>
        <v>5309821.03</v>
      </c>
      <c r="P40" s="51">
        <f>+P35+P37+P39</f>
        <v>195291.8199999995</v>
      </c>
      <c r="Q40" s="136">
        <f t="shared" si="11"/>
        <v>0.036779360151051925</v>
      </c>
    </row>
    <row r="41" spans="1:17" s="79" customFormat="1" ht="3" customHeight="1" hidden="1" outlineLevel="1">
      <c r="A41" s="86"/>
      <c r="B41" s="78"/>
      <c r="C41" s="80"/>
      <c r="D41" s="77"/>
      <c r="E41" s="77"/>
      <c r="F41" s="77"/>
      <c r="G41" s="77"/>
      <c r="H41" s="77"/>
      <c r="I41" s="139"/>
      <c r="J41" s="161"/>
      <c r="K41" s="77"/>
      <c r="L41" s="77"/>
      <c r="M41" s="139"/>
      <c r="N41" s="161"/>
      <c r="O41" s="77"/>
      <c r="P41" s="77"/>
      <c r="Q41" s="139"/>
    </row>
    <row r="42" spans="1:17" s="79" customFormat="1" ht="12.75" hidden="1" outlineLevel="1">
      <c r="A42" s="86" t="s">
        <v>115</v>
      </c>
      <c r="B42" s="78"/>
      <c r="C42" s="80" t="s">
        <v>116</v>
      </c>
      <c r="D42" s="77"/>
      <c r="E42" s="77"/>
      <c r="F42" s="77">
        <v>0</v>
      </c>
      <c r="G42" s="77">
        <v>0</v>
      </c>
      <c r="H42" s="51">
        <f>+F42-G42</f>
        <v>0</v>
      </c>
      <c r="I42" s="136">
        <f>IF(G42&lt;0,IF(H42=0,0,IF(OR(G42=0,F42=0),"N.M.",IF(ABS(H42/G42)&gt;=10,"N.M.",H42/(-G42)))),IF(H42=0,0,IF(OR(G42=0,F42=0),"N.M.",IF(ABS(H42/G42)&gt;=10,"N.M.",H42/G42))))</f>
        <v>0</v>
      </c>
      <c r="J42" s="161"/>
      <c r="K42" s="77">
        <v>0</v>
      </c>
      <c r="L42" s="51">
        <f aca="true" t="shared" si="12" ref="L42:L55">+F42-K42</f>
        <v>0</v>
      </c>
      <c r="M42" s="136">
        <f>IF(K42&lt;0,IF(L42=0,0,IF(OR(K42=0,N42=0),"N.M.",IF(ABS(L42/K42)&gt;=10,"N.M.",L42/(-K42)))),IF(L42=0,0,IF(OR(K42=0,N42=0),"N.M.",IF(ABS(L42/K42)&gt;=10,"N.M.",L42/K42))))</f>
        <v>0</v>
      </c>
      <c r="N42" s="161"/>
      <c r="O42" s="77">
        <v>0</v>
      </c>
      <c r="P42" s="51">
        <f aca="true" t="shared" si="13" ref="P42:P55">+F42-O42</f>
        <v>0</v>
      </c>
      <c r="Q42" s="136">
        <f>IF(O42&lt;0,IF(P42=0,0,IF(OR(O42=0,F42=0),"N.M.",IF(ABS(P42/O42)&gt;=10,"N.M.",P42/(-O42)))),IF(P42=0,0,IF(OR(O42=0,F42=0),"N.M.",IF(ABS(P42/O42)&gt;=10,"N.M.",P42/O42))))</f>
        <v>0</v>
      </c>
    </row>
    <row r="43" spans="1:17" s="79" customFormat="1" ht="12.75" hidden="1" outlineLevel="1">
      <c r="A43" s="86" t="s">
        <v>119</v>
      </c>
      <c r="B43" s="78"/>
      <c r="C43" s="80" t="s">
        <v>117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t="shared" si="12"/>
        <v>0</v>
      </c>
      <c r="M43" s="136">
        <f>IF(K43&lt;0,IF(L43=0,0,IF(OR(K43=0,N43=0),"N.M.",IF(ABS(L43/K43)&gt;=10,"N.M.",L43/(-K43)))),IF(L43=0,0,IF(OR(K43=0,N43=0),"N.M.",IF(ABS(L43/K43)&gt;=10,"N.M.",L43/K43))))</f>
        <v>0</v>
      </c>
      <c r="N43" s="161"/>
      <c r="O43" s="77">
        <v>0</v>
      </c>
      <c r="P43" s="51">
        <f t="shared" si="13"/>
        <v>0</v>
      </c>
      <c r="Q43" s="136">
        <f>IF(O43&lt;0,IF(P43=0,0,IF(OR(O43=0,F43=0),"N.M.",IF(ABS(P43/O43)&gt;=10,"N.M.",P43/(-O43)))),IF(P43=0,0,IF(OR(O43=0,F43=0),"N.M.",IF(ABS(P43/O43)&gt;=10,"N.M.",P43/O43))))</f>
        <v>0</v>
      </c>
    </row>
    <row r="44" spans="1:17" s="79" customFormat="1" ht="12.75" hidden="1" outlineLevel="1">
      <c r="A44" s="86" t="s">
        <v>120</v>
      </c>
      <c r="B44" s="78"/>
      <c r="C44" s="80" t="s">
        <v>118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12"/>
        <v>0</v>
      </c>
      <c r="M44" s="136">
        <f>IF(K44&lt;0,IF(L44=0,0,IF(OR(K44=0,N44=0),"N.M.",IF(ABS(L44/K44)&gt;=10,"N.M.",L44/(-K44)))),IF(L44=0,0,IF(OR(K44=0,N44=0),"N.M.",IF(ABS(L44/K44)&gt;=10,"N.M.",L44/K44))))</f>
        <v>0</v>
      </c>
      <c r="N44" s="161"/>
      <c r="O44" s="77">
        <v>0</v>
      </c>
      <c r="P44" s="51">
        <f t="shared" si="13"/>
        <v>0</v>
      </c>
      <c r="Q44" s="136">
        <f>IF(O44&lt;0,IF(P44=0,0,IF(OR(O44=0,F44=0),"N.M.",IF(ABS(P44/O44)&gt;=10,"N.M.",P44/(-O44)))),IF(P44=0,0,IF(OR(O44=0,F44=0),"N.M.",IF(ABS(P44/O44)&gt;=10,"N.M.",P44/O44))))</f>
        <v>0</v>
      </c>
    </row>
    <row r="45" spans="1:17" s="67" customFormat="1" ht="12.75" collapsed="1">
      <c r="A45" s="68" t="s">
        <v>237</v>
      </c>
      <c r="B45" s="68"/>
      <c r="C45" s="81" t="s">
        <v>84</v>
      </c>
      <c r="D45" s="66"/>
      <c r="E45" s="66"/>
      <c r="F45" s="51">
        <f>+F44+F43+F42</f>
        <v>0</v>
      </c>
      <c r="G45" s="51">
        <f>+G44+G43+G42</f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57" t="s">
        <v>72</v>
      </c>
      <c r="K45" s="51">
        <f>+K44+K43+K42</f>
        <v>0</v>
      </c>
      <c r="L45" s="51">
        <f t="shared" si="12"/>
        <v>0</v>
      </c>
      <c r="M45" s="136">
        <f>IF(K45&lt;0,IF(L45=0,0,IF(OR(K45=0,N45=0),"N.M.",IF(ABS(L45/K45)&gt;=10,"N.M.",L45/(-K45)))),IF(L45=0,0,IF(OR(K45=0,N45=0),"N.M.",IF(ABS(L45/K45)&gt;=10,"N.M.",L45/K45))))</f>
        <v>0</v>
      </c>
      <c r="N45" s="157" t="s">
        <v>72</v>
      </c>
      <c r="O45" s="51">
        <f>+O44+O43+O42</f>
        <v>0</v>
      </c>
      <c r="P45" s="51">
        <f t="shared" si="13"/>
        <v>0</v>
      </c>
      <c r="Q45" s="136">
        <f>IF(O45&lt;0,IF(P45=0,0,IF(OR(O45=0,F45=0),"N.M.",IF(ABS(P45/O45)&gt;=10,"N.M.",P45/(-O45)))),IF(P45=0,0,IF(OR(O45=0,F45=0),"N.M.",IF(ABS(P45/O45)&gt;=10,"N.M.",P45/O45))))</f>
        <v>0</v>
      </c>
    </row>
    <row r="46" spans="1:17" s="67" customFormat="1" ht="0.75" customHeight="1" hidden="1" outlineLevel="1">
      <c r="A46" s="68"/>
      <c r="B46" s="68"/>
      <c r="C46" s="81"/>
      <c r="D46" s="66"/>
      <c r="E46" s="66"/>
      <c r="F46" s="51"/>
      <c r="G46" s="51"/>
      <c r="H46" s="51"/>
      <c r="I46" s="136"/>
      <c r="J46" s="157"/>
      <c r="K46" s="51"/>
      <c r="L46" s="51">
        <f t="shared" si="12"/>
        <v>0</v>
      </c>
      <c r="M46" s="136"/>
      <c r="N46" s="157"/>
      <c r="O46" s="51"/>
      <c r="P46" s="51">
        <f t="shared" si="13"/>
        <v>0</v>
      </c>
      <c r="Q46" s="136"/>
    </row>
    <row r="47" spans="1:17" s="15" customFormat="1" ht="12.75" hidden="1" outlineLevel="2">
      <c r="A47" s="15" t="s">
        <v>398</v>
      </c>
      <c r="B47" s="15" t="s">
        <v>399</v>
      </c>
      <c r="C47" s="134" t="s">
        <v>400</v>
      </c>
      <c r="D47" s="16"/>
      <c r="E47" s="16"/>
      <c r="F47" s="16">
        <v>806</v>
      </c>
      <c r="G47" s="16">
        <v>806</v>
      </c>
      <c r="H47" s="16">
        <f>+F47-G47</f>
        <v>0</v>
      </c>
      <c r="I47" s="53">
        <f>IF(G47&lt;0,IF(H47=0,0,IF(OR(G47=0,F47=0),"N.M.",IF(ABS(H47/G47)&gt;=10,"N.M.",H47/(-G47)))),IF(H47=0,0,IF(OR(G47=0,F47=0),"N.M.",IF(ABS(H47/G47)&gt;=10,"N.M.",H47/G47))))</f>
        <v>0</v>
      </c>
      <c r="J47" s="174"/>
      <c r="K47" s="256">
        <v>806</v>
      </c>
      <c r="L47" s="16">
        <f>+F47-K47</f>
        <v>0</v>
      </c>
      <c r="M47" s="53">
        <f>IF(K47&lt;0,IF(L47=0,0,IF(OR(K47=0,N47=0),"N.M.",IF(ABS(L47/K47)&gt;=10,"N.M.",L47/(-K47)))),IF(L47=0,0,IF(OR(K47=0,N47=0),"N.M.",IF(ABS(L47/K47)&gt;=10,"N.M.",L47/K47))))</f>
        <v>0</v>
      </c>
      <c r="N47" s="174"/>
      <c r="O47" s="256">
        <v>806</v>
      </c>
      <c r="P47" s="16">
        <f>+F47-O47</f>
        <v>0</v>
      </c>
      <c r="Q47" s="53">
        <f>IF(O47&lt;0,IF(P47=0,0,IF(OR(O47=0,F47=0),"N.M.",IF(ABS(P47/O47)&gt;=10,"N.M.",P47/(-O47)))),IF(P47=0,0,IF(OR(O47=0,F47=0),"N.M.",IF(ABS(P47/O47)&gt;=10,"N.M.",P47/O47))))</f>
        <v>0</v>
      </c>
    </row>
    <row r="48" spans="1:17" s="15" customFormat="1" ht="12.75" hidden="1" outlineLevel="2">
      <c r="A48" s="15" t="s">
        <v>401</v>
      </c>
      <c r="B48" s="15" t="s">
        <v>402</v>
      </c>
      <c r="C48" s="134" t="s">
        <v>403</v>
      </c>
      <c r="D48" s="16"/>
      <c r="E48" s="16"/>
      <c r="F48" s="16">
        <v>129390.01000000001</v>
      </c>
      <c r="G48" s="16">
        <v>135823.58000000002</v>
      </c>
      <c r="H48" s="16">
        <f>+F48-G48</f>
        <v>-6433.570000000007</v>
      </c>
      <c r="I48" s="53">
        <f>IF(G48&lt;0,IF(H48=0,0,IF(OR(G48=0,F48=0),"N.M.",IF(ABS(H48/G48)&gt;=10,"N.M.",H48/(-G48)))),IF(H48=0,0,IF(OR(G48=0,F48=0),"N.M.",IF(ABS(H48/G48)&gt;=10,"N.M.",H48/G48))))</f>
        <v>-0.04736710665408765</v>
      </c>
      <c r="J48" s="174"/>
      <c r="K48" s="256">
        <v>129390.01000000001</v>
      </c>
      <c r="L48" s="16">
        <f>+F48-K48</f>
        <v>0</v>
      </c>
      <c r="M48" s="53">
        <f>IF(K48&lt;0,IF(L48=0,0,IF(OR(K48=0,N48=0),"N.M.",IF(ABS(L48/K48)&gt;=10,"N.M.",L48/(-K48)))),IF(L48=0,0,IF(OR(K48=0,N48=0),"N.M.",IF(ABS(L48/K48)&gt;=10,"N.M.",L48/K48))))</f>
        <v>0</v>
      </c>
      <c r="N48" s="174"/>
      <c r="O48" s="256">
        <v>129390.01000000001</v>
      </c>
      <c r="P48" s="16">
        <f>+F48-O48</f>
        <v>0</v>
      </c>
      <c r="Q48" s="53">
        <f>IF(O48&lt;0,IF(P48=0,0,IF(OR(O48=0,F48=0),"N.M.",IF(ABS(P48/O48)&gt;=10,"N.M.",P48/(-O48)))),IF(P48=0,0,IF(OR(O48=0,F48=0),"N.M.",IF(ABS(P48/O48)&gt;=10,"N.M.",P48/O48))))</f>
        <v>0</v>
      </c>
    </row>
    <row r="49" spans="1:17" s="15" customFormat="1" ht="12.75" hidden="1" outlineLevel="2">
      <c r="A49" s="15" t="s">
        <v>404</v>
      </c>
      <c r="B49" s="15" t="s">
        <v>405</v>
      </c>
      <c r="C49" s="134" t="s">
        <v>406</v>
      </c>
      <c r="D49" s="16"/>
      <c r="E49" s="16"/>
      <c r="F49" s="16">
        <v>172328</v>
      </c>
      <c r="G49" s="16">
        <v>176530.21</v>
      </c>
      <c r="H49" s="16">
        <f>+F49-G49</f>
        <v>-4202.209999999992</v>
      </c>
      <c r="I49" s="53">
        <f>IF(G49&lt;0,IF(H49=0,0,IF(OR(G49=0,F49=0),"N.M.",IF(ABS(H49/G49)&gt;=10,"N.M.",H49/(-G49)))),IF(H49=0,0,IF(OR(G49=0,F49=0),"N.M.",IF(ABS(H49/G49)&gt;=10,"N.M.",H49/G49))))</f>
        <v>-0.023804480830788066</v>
      </c>
      <c r="J49" s="174"/>
      <c r="K49" s="256">
        <v>172650</v>
      </c>
      <c r="L49" s="16">
        <f>+F49-K49</f>
        <v>-322</v>
      </c>
      <c r="M49" s="53" t="str">
        <f>IF(K49&lt;0,IF(L49=0,0,IF(OR(K49=0,N49=0),"N.M.",IF(ABS(L49/K49)&gt;=10,"N.M.",L49/(-K49)))),IF(L49=0,0,IF(OR(K49=0,N49=0),"N.M.",IF(ABS(L49/K49)&gt;=10,"N.M.",L49/K49))))</f>
        <v>N.M.</v>
      </c>
      <c r="N49" s="174"/>
      <c r="O49" s="256">
        <v>176281.21</v>
      </c>
      <c r="P49" s="16">
        <f>+F49-O49</f>
        <v>-3953.209999999992</v>
      </c>
      <c r="Q49" s="53">
        <f>IF(O49&lt;0,IF(P49=0,0,IF(OR(O49=0,F49=0),"N.M.",IF(ABS(P49/O49)&gt;=10,"N.M.",P49/(-O49)))),IF(P49=0,0,IF(OR(O49=0,F49=0),"N.M.",IF(ABS(P49/O49)&gt;=10,"N.M.",P49/O49))))</f>
        <v>-0.02242558920488458</v>
      </c>
    </row>
    <row r="50" spans="1:17" s="67" customFormat="1" ht="12.75" collapsed="1">
      <c r="A50" s="67" t="s">
        <v>164</v>
      </c>
      <c r="B50" s="68"/>
      <c r="C50" s="81" t="s">
        <v>85</v>
      </c>
      <c r="D50" s="66"/>
      <c r="E50" s="66"/>
      <c r="F50" s="51">
        <v>302524.01</v>
      </c>
      <c r="G50" s="51">
        <v>313159.79000000004</v>
      </c>
      <c r="H50" s="51">
        <f>+F50-G50</f>
        <v>-10635.780000000028</v>
      </c>
      <c r="I50" s="136">
        <f>IF(G50&lt;0,IF(H50=0,0,IF(OR(G50=0,F50=0),"N.M.",IF(ABS(H50/G50)&gt;=10,"N.M.",H50/(-G50)))),IF(H50=0,0,IF(OR(G50=0,F50=0),"N.M.",IF(ABS(H50/G50)&gt;=10,"N.M.",H50/G50))))</f>
        <v>-0.03396278941175694</v>
      </c>
      <c r="J50" s="157"/>
      <c r="K50" s="51">
        <v>302846.01</v>
      </c>
      <c r="L50" s="51">
        <f t="shared" si="12"/>
        <v>-322</v>
      </c>
      <c r="M50" s="136" t="str">
        <f>IF(K50&lt;0,IF(L50=0,0,IF(OR(K50=0,N50=0),"N.M.",IF(ABS(L50/K50)&gt;=10,"N.M.",L50/(-K50)))),IF(L50=0,0,IF(OR(K50=0,N50=0),"N.M.",IF(ABS(L50/K50)&gt;=10,"N.M.",L50/K50))))</f>
        <v>N.M.</v>
      </c>
      <c r="N50" s="157"/>
      <c r="O50" s="51">
        <v>306477.22</v>
      </c>
      <c r="P50" s="51">
        <f t="shared" si="13"/>
        <v>-3953.2099999999627</v>
      </c>
      <c r="Q50" s="136">
        <f>IF(O50&lt;0,IF(P50=0,0,IF(OR(O50=0,F50=0),"N.M.",IF(ABS(P50/O50)&gt;=10,"N.M.",P50/(-O50)))),IF(P50=0,0,IF(OR(O50=0,F50=0),"N.M.",IF(ABS(P50/O50)&gt;=10,"N.M.",P50/O50))))</f>
        <v>-0.012898870591425892</v>
      </c>
    </row>
    <row r="51" spans="2:17" s="67" customFormat="1" ht="0.75" customHeight="1" hidden="1" outlineLevel="1">
      <c r="B51" s="68"/>
      <c r="C51" s="81"/>
      <c r="D51" s="66"/>
      <c r="E51" s="66"/>
      <c r="F51" s="51"/>
      <c r="G51" s="51"/>
      <c r="H51" s="51"/>
      <c r="I51" s="136"/>
      <c r="J51" s="157"/>
      <c r="K51" s="51"/>
      <c r="L51" s="51">
        <f t="shared" si="12"/>
        <v>0</v>
      </c>
      <c r="M51" s="136"/>
      <c r="N51" s="157"/>
      <c r="O51" s="51"/>
      <c r="P51" s="51">
        <f t="shared" si="13"/>
        <v>0</v>
      </c>
      <c r="Q51" s="136"/>
    </row>
    <row r="52" spans="1:17" s="67" customFormat="1" ht="12.75" collapsed="1">
      <c r="A52" s="67" t="s">
        <v>165</v>
      </c>
      <c r="B52" s="68"/>
      <c r="C52" s="81" t="s">
        <v>86</v>
      </c>
      <c r="D52" s="66"/>
      <c r="E52" s="66"/>
      <c r="F52" s="51">
        <v>0</v>
      </c>
      <c r="G52" s="51">
        <v>0</v>
      </c>
      <c r="H52" s="51">
        <f>+F52-G52</f>
        <v>0</v>
      </c>
      <c r="I52" s="136">
        <f>IF(G52&lt;0,IF(H52=0,0,IF(OR(G52=0,F52=0),"N.M.",IF(ABS(H52/G52)&gt;=10,"N.M.",H52/(-G52)))),IF(H52=0,0,IF(OR(G52=0,F52=0),"N.M.",IF(ABS(H52/G52)&gt;=10,"N.M.",H52/G52))))</f>
        <v>0</v>
      </c>
      <c r="J52" s="157"/>
      <c r="K52" s="51">
        <v>0</v>
      </c>
      <c r="L52" s="51">
        <f t="shared" si="12"/>
        <v>0</v>
      </c>
      <c r="M52" s="136">
        <f>IF(K52&lt;0,IF(L52=0,0,IF(OR(K52=0,N52=0),"N.M.",IF(ABS(L52/K52)&gt;=10,"N.M.",L52/(-K52)))),IF(L52=0,0,IF(OR(K52=0,N52=0),"N.M.",IF(ABS(L52/K52)&gt;=10,"N.M.",L52/K52))))</f>
        <v>0</v>
      </c>
      <c r="N52" s="157"/>
      <c r="O52" s="51">
        <v>0</v>
      </c>
      <c r="P52" s="51">
        <f t="shared" si="13"/>
        <v>0</v>
      </c>
      <c r="Q52" s="136">
        <f>IF(O52&lt;0,IF(P52=0,0,IF(OR(O52=0,F52=0),"N.M.",IF(ABS(P52/O52)&gt;=10,"N.M.",P52/(-O52)))),IF(P52=0,0,IF(OR(O52=0,F52=0),"N.M.",IF(ABS(P52/O52)&gt;=10,"N.M.",P52/O52))))</f>
        <v>0</v>
      </c>
    </row>
    <row r="53" spans="2:17" s="67" customFormat="1" ht="4.5" customHeight="1" hidden="1" outlineLevel="1">
      <c r="B53" s="68"/>
      <c r="C53" s="81"/>
      <c r="D53" s="66"/>
      <c r="E53" s="66"/>
      <c r="F53" s="51"/>
      <c r="G53" s="51"/>
      <c r="H53" s="51"/>
      <c r="I53" s="136"/>
      <c r="J53" s="157"/>
      <c r="K53" s="51"/>
      <c r="L53" s="51">
        <f t="shared" si="12"/>
        <v>0</v>
      </c>
      <c r="M53" s="136"/>
      <c r="N53" s="157"/>
      <c r="O53" s="51"/>
      <c r="P53" s="51">
        <f t="shared" si="13"/>
        <v>0</v>
      </c>
      <c r="Q53" s="136"/>
    </row>
    <row r="54" spans="1:17" s="15" customFormat="1" ht="12.75" hidden="1" outlineLevel="2">
      <c r="A54" s="15" t="s">
        <v>407</v>
      </c>
      <c r="B54" s="15" t="s">
        <v>408</v>
      </c>
      <c r="C54" s="134" t="s">
        <v>409</v>
      </c>
      <c r="D54" s="16"/>
      <c r="E54" s="16"/>
      <c r="F54" s="16">
        <v>5997049.57</v>
      </c>
      <c r="G54" s="16">
        <v>6698929.08</v>
      </c>
      <c r="H54" s="16">
        <f>+F54-G54</f>
        <v>-701879.5099999998</v>
      </c>
      <c r="I54" s="53">
        <f>IF(G54&lt;0,IF(H54=0,0,IF(OR(G54=0,F54=0),"N.M.",IF(ABS(H54/G54)&gt;=10,"N.M.",H54/(-G54)))),IF(H54=0,0,IF(OR(G54=0,F54=0),"N.M.",IF(ABS(H54/G54)&gt;=10,"N.M.",H54/G54))))</f>
        <v>-0.10477488291307598</v>
      </c>
      <c r="J54" s="174"/>
      <c r="K54" s="256">
        <v>5997049.57</v>
      </c>
      <c r="L54" s="16">
        <f>+F54-K54</f>
        <v>0</v>
      </c>
      <c r="M54" s="53">
        <f>IF(K54&lt;0,IF(L54=0,0,IF(OR(K54=0,N54=0),"N.M.",IF(ABS(L54/K54)&gt;=10,"N.M.",L54/(-K54)))),IF(L54=0,0,IF(OR(K54=0,N54=0),"N.M.",IF(ABS(L54/K54)&gt;=10,"N.M.",L54/K54))))</f>
        <v>0</v>
      </c>
      <c r="N54" s="174"/>
      <c r="O54" s="256">
        <v>5997049.57</v>
      </c>
      <c r="P54" s="16">
        <f>+F54-O54</f>
        <v>0</v>
      </c>
      <c r="Q54" s="53">
        <f>IF(O54&lt;0,IF(P54=0,0,IF(OR(O54=0,F54=0),"N.M.",IF(ABS(P54/O54)&gt;=10,"N.M.",P54/(-O54)))),IF(P54=0,0,IF(OR(O54=0,F54=0),"N.M.",IF(ABS(P54/O54)&gt;=10,"N.M.",P54/O54))))</f>
        <v>0</v>
      </c>
    </row>
    <row r="55" spans="1:17" s="67" customFormat="1" ht="12.75" collapsed="1">
      <c r="A55" s="67" t="s">
        <v>166</v>
      </c>
      <c r="B55" s="68"/>
      <c r="C55" s="81" t="s">
        <v>87</v>
      </c>
      <c r="D55" s="66"/>
      <c r="E55" s="66"/>
      <c r="F55" s="51">
        <v>5997049.57</v>
      </c>
      <c r="G55" s="51">
        <v>6698929.08</v>
      </c>
      <c r="H55" s="51">
        <f>+F55-G55</f>
        <v>-701879.5099999998</v>
      </c>
      <c r="I55" s="136">
        <f>IF(G55&lt;0,IF(H55=0,0,IF(OR(G55=0,F55=0),"N.M.",IF(ABS(H55/G55)&gt;=10,"N.M.",H55/(-G55)))),IF(H55=0,0,IF(OR(G55=0,F55=0),"N.M.",IF(ABS(H55/G55)&gt;=10,"N.M.",H55/G55))))</f>
        <v>-0.10477488291307598</v>
      </c>
      <c r="J55" s="157"/>
      <c r="K55" s="51">
        <v>5997049.57</v>
      </c>
      <c r="L55" s="51">
        <f t="shared" si="12"/>
        <v>0</v>
      </c>
      <c r="M55" s="136">
        <f>IF(K55&lt;0,IF(L55=0,0,IF(OR(K55=0,N55=0),"N.M.",IF(ABS(L55/K55)&gt;=10,"N.M.",L55/(-K55)))),IF(L55=0,0,IF(OR(K55=0,N55=0),"N.M.",IF(ABS(L55/K55)&gt;=10,"N.M.",L55/K55))))</f>
        <v>0</v>
      </c>
      <c r="N55" s="157"/>
      <c r="O55" s="51">
        <v>5997049.57</v>
      </c>
      <c r="P55" s="51">
        <f t="shared" si="13"/>
        <v>0</v>
      </c>
      <c r="Q55" s="136">
        <f>IF(O55&lt;0,IF(P55=0,0,IF(OR(O55=0,F55=0),"N.M.",IF(ABS(P55/O55)&gt;=10,"N.M.",P55/(-O55)))),IF(P55=0,0,IF(OR(O55=0,F55=0),"N.M.",IF(ABS(P55/O55)&gt;=10,"N.M.",P55/O55))))</f>
        <v>0</v>
      </c>
    </row>
    <row r="56" spans="2:17" s="67" customFormat="1" ht="4.5" customHeight="1" hidden="1" outlineLevel="1">
      <c r="B56" s="68"/>
      <c r="C56" s="81"/>
      <c r="D56" s="66"/>
      <c r="E56" s="66"/>
      <c r="F56" s="51"/>
      <c r="G56" s="51"/>
      <c r="H56" s="51"/>
      <c r="I56" s="136"/>
      <c r="J56" s="157"/>
      <c r="K56" s="51"/>
      <c r="L56" s="51"/>
      <c r="M56" s="136"/>
      <c r="N56" s="157"/>
      <c r="O56" s="51"/>
      <c r="P56" s="51"/>
      <c r="Q56" s="136"/>
    </row>
    <row r="57" spans="1:17" s="15" customFormat="1" ht="12.75" hidden="1" outlineLevel="2">
      <c r="A57" s="15" t="s">
        <v>410</v>
      </c>
      <c r="B57" s="15" t="s">
        <v>411</v>
      </c>
      <c r="C57" s="134" t="s">
        <v>412</v>
      </c>
      <c r="D57" s="16"/>
      <c r="E57" s="16"/>
      <c r="F57" s="16">
        <v>8073853.99</v>
      </c>
      <c r="G57" s="16">
        <v>10727984.91</v>
      </c>
      <c r="H57" s="16">
        <f aca="true" t="shared" si="14" ref="H57:H62">+F57-G57</f>
        <v>-2654130.92</v>
      </c>
      <c r="I57" s="53">
        <f aca="true" t="shared" si="15" ref="I57:I62">IF(G57&lt;0,IF(H57=0,0,IF(OR(G57=0,F57=0),"N.M.",IF(ABS(H57/G57)&gt;=10,"N.M.",H57/(-G57)))),IF(H57=0,0,IF(OR(G57=0,F57=0),"N.M.",IF(ABS(H57/G57)&gt;=10,"N.M.",H57/G57))))</f>
        <v>-0.24740255903286873</v>
      </c>
      <c r="J57" s="174"/>
      <c r="K57" s="256">
        <v>10663885.39</v>
      </c>
      <c r="L57" s="16">
        <f aca="true" t="shared" si="16" ref="L57:L62">+F57-K57</f>
        <v>-2590031.4000000004</v>
      </c>
      <c r="M57" s="53" t="str">
        <f aca="true" t="shared" si="17" ref="M57:M62">IF(K57&lt;0,IF(L57=0,0,IF(OR(K57=0,N57=0),"N.M.",IF(ABS(L57/K57)&gt;=10,"N.M.",L57/(-K57)))),IF(L57=0,0,IF(OR(K57=0,N57=0),"N.M.",IF(ABS(L57/K57)&gt;=10,"N.M.",L57/K57))))</f>
        <v>N.M.</v>
      </c>
      <c r="N57" s="174"/>
      <c r="O57" s="256">
        <v>9834007.87</v>
      </c>
      <c r="P57" s="16">
        <f aca="true" t="shared" si="18" ref="P57:P62">+F57-O57</f>
        <v>-1760153.879999999</v>
      </c>
      <c r="Q57" s="53">
        <f aca="true" t="shared" si="19" ref="Q57:Q62">IF(O57&lt;0,IF(P57=0,0,IF(OR(O57=0,F57=0),"N.M.",IF(ABS(P57/O57)&gt;=10,"N.M.",P57/(-O57)))),IF(P57=0,0,IF(OR(O57=0,F57=0),"N.M.",IF(ABS(P57/O57)&gt;=10,"N.M.",P57/O57))))</f>
        <v>-0.17898642173854587</v>
      </c>
    </row>
    <row r="58" spans="1:17" s="15" customFormat="1" ht="12.75" hidden="1" outlineLevel="2">
      <c r="A58" s="15" t="s">
        <v>413</v>
      </c>
      <c r="B58" s="15" t="s">
        <v>414</v>
      </c>
      <c r="C58" s="134" t="s">
        <v>415</v>
      </c>
      <c r="D58" s="16"/>
      <c r="E58" s="16"/>
      <c r="F58" s="16">
        <v>0</v>
      </c>
      <c r="G58" s="16">
        <v>470.21000000000004</v>
      </c>
      <c r="H58" s="16">
        <f t="shared" si="14"/>
        <v>-470.21000000000004</v>
      </c>
      <c r="I58" s="53" t="str">
        <f t="shared" si="15"/>
        <v>N.M.</v>
      </c>
      <c r="J58" s="174"/>
      <c r="K58" s="256">
        <v>0</v>
      </c>
      <c r="L58" s="16">
        <f t="shared" si="16"/>
        <v>0</v>
      </c>
      <c r="M58" s="53">
        <f t="shared" si="17"/>
        <v>0</v>
      </c>
      <c r="N58" s="174"/>
      <c r="O58" s="256">
        <v>0</v>
      </c>
      <c r="P58" s="16">
        <f t="shared" si="18"/>
        <v>0</v>
      </c>
      <c r="Q58" s="53">
        <f t="shared" si="19"/>
        <v>0</v>
      </c>
    </row>
    <row r="59" spans="1:17" s="15" customFormat="1" ht="12.75" hidden="1" outlineLevel="2">
      <c r="A59" s="15" t="s">
        <v>416</v>
      </c>
      <c r="B59" s="15" t="s">
        <v>417</v>
      </c>
      <c r="C59" s="134" t="s">
        <v>418</v>
      </c>
      <c r="D59" s="16"/>
      <c r="E59" s="16"/>
      <c r="F59" s="16">
        <v>-65785</v>
      </c>
      <c r="G59" s="16">
        <v>-598360</v>
      </c>
      <c r="H59" s="16">
        <f t="shared" si="14"/>
        <v>532575</v>
      </c>
      <c r="I59" s="53">
        <f t="shared" si="15"/>
        <v>0.8900578247209038</v>
      </c>
      <c r="J59" s="174"/>
      <c r="K59" s="256">
        <v>-254848</v>
      </c>
      <c r="L59" s="16">
        <f t="shared" si="16"/>
        <v>189063</v>
      </c>
      <c r="M59" s="53" t="str">
        <f t="shared" si="17"/>
        <v>N.M.</v>
      </c>
      <c r="N59" s="174"/>
      <c r="O59" s="256">
        <v>-336181</v>
      </c>
      <c r="P59" s="16">
        <f t="shared" si="18"/>
        <v>270396</v>
      </c>
      <c r="Q59" s="53">
        <f t="shared" si="19"/>
        <v>0.8043167222418875</v>
      </c>
    </row>
    <row r="60" spans="1:17" s="15" customFormat="1" ht="12.75" hidden="1" outlineLevel="2">
      <c r="A60" s="15" t="s">
        <v>419</v>
      </c>
      <c r="B60" s="15" t="s">
        <v>420</v>
      </c>
      <c r="C60" s="134" t="s">
        <v>421</v>
      </c>
      <c r="D60" s="16"/>
      <c r="E60" s="16"/>
      <c r="F60" s="16">
        <v>8184</v>
      </c>
      <c r="G60" s="16">
        <v>28213</v>
      </c>
      <c r="H60" s="16">
        <f t="shared" si="14"/>
        <v>-20029</v>
      </c>
      <c r="I60" s="53">
        <f t="shared" si="15"/>
        <v>-0.7099209584234218</v>
      </c>
      <c r="J60" s="174"/>
      <c r="K60" s="256">
        <v>395</v>
      </c>
      <c r="L60" s="16">
        <f t="shared" si="16"/>
        <v>7789</v>
      </c>
      <c r="M60" s="53" t="str">
        <f t="shared" si="17"/>
        <v>N.M.</v>
      </c>
      <c r="N60" s="174"/>
      <c r="O60" s="256">
        <v>0</v>
      </c>
      <c r="P60" s="16">
        <f t="shared" si="18"/>
        <v>8184</v>
      </c>
      <c r="Q60" s="53" t="str">
        <f t="shared" si="19"/>
        <v>N.M.</v>
      </c>
    </row>
    <row r="61" spans="1:17" s="67" customFormat="1" ht="12.75" collapsed="1">
      <c r="A61" s="67" t="s">
        <v>167</v>
      </c>
      <c r="B61" s="68"/>
      <c r="C61" s="81" t="s">
        <v>88</v>
      </c>
      <c r="D61" s="66"/>
      <c r="E61" s="66"/>
      <c r="F61" s="51">
        <v>8016252.99</v>
      </c>
      <c r="G61" s="51">
        <v>10158308.120000001</v>
      </c>
      <c r="H61" s="51">
        <f t="shared" si="14"/>
        <v>-2142055.130000001</v>
      </c>
      <c r="I61" s="136">
        <f t="shared" si="15"/>
        <v>-0.2108673122232485</v>
      </c>
      <c r="J61" s="157"/>
      <c r="K61" s="51">
        <v>10409432.39</v>
      </c>
      <c r="L61" s="51">
        <f t="shared" si="16"/>
        <v>-2393179.4000000004</v>
      </c>
      <c r="M61" s="136" t="str">
        <f t="shared" si="17"/>
        <v>N.M.</v>
      </c>
      <c r="N61" s="157"/>
      <c r="O61" s="51">
        <v>9497826.87</v>
      </c>
      <c r="P61" s="51">
        <f t="shared" si="18"/>
        <v>-1481573.879999999</v>
      </c>
      <c r="Q61" s="136">
        <f t="shared" si="19"/>
        <v>-0.1559908282472198</v>
      </c>
    </row>
    <row r="62" spans="1:17" s="75" customFormat="1" ht="12.75">
      <c r="A62" s="71" t="s">
        <v>114</v>
      </c>
      <c r="B62" s="72"/>
      <c r="C62" s="71" t="s">
        <v>145</v>
      </c>
      <c r="D62" s="73"/>
      <c r="E62" s="73"/>
      <c r="F62" s="74">
        <f>+F61+F55+F52+F50+F45+F40</f>
        <v>19820939.42</v>
      </c>
      <c r="G62" s="74">
        <f>+G61+G55+G52+G50+G45+G40</f>
        <v>22480773.830000002</v>
      </c>
      <c r="H62" s="74">
        <f t="shared" si="14"/>
        <v>-2659834.41</v>
      </c>
      <c r="I62" s="137">
        <f t="shared" si="15"/>
        <v>-0.11831596323657334</v>
      </c>
      <c r="J62" s="160" t="s">
        <v>72</v>
      </c>
      <c r="K62" s="74">
        <f>+K61+K55+K52+K50+K45+K40</f>
        <v>22214996.630000003</v>
      </c>
      <c r="L62" s="74">
        <f t="shared" si="16"/>
        <v>-2394057.210000001</v>
      </c>
      <c r="M62" s="137">
        <f t="shared" si="17"/>
        <v>-0.10776761526792096</v>
      </c>
      <c r="N62" s="160" t="s">
        <v>72</v>
      </c>
      <c r="O62" s="74">
        <f>+O61+O55+O52+O50+O45+O40</f>
        <v>21111174.69</v>
      </c>
      <c r="P62" s="74">
        <f t="shared" si="18"/>
        <v>-1290235.2699999996</v>
      </c>
      <c r="Q62" s="137">
        <f t="shared" si="19"/>
        <v>-0.061116223466767185</v>
      </c>
    </row>
    <row r="63" spans="1:17" s="75" customFormat="1" ht="9" customHeight="1">
      <c r="A63" s="71"/>
      <c r="B63" s="72"/>
      <c r="C63" s="71"/>
      <c r="D63" s="73"/>
      <c r="E63" s="73"/>
      <c r="F63" s="74"/>
      <c r="G63" s="74"/>
      <c r="H63" s="74"/>
      <c r="I63" s="137"/>
      <c r="J63" s="160"/>
      <c r="K63" s="74"/>
      <c r="L63" s="74"/>
      <c r="M63" s="137"/>
      <c r="N63" s="160"/>
      <c r="O63" s="74"/>
      <c r="P63" s="74"/>
      <c r="Q63" s="137"/>
    </row>
    <row r="64" spans="2:17" s="67" customFormat="1" ht="0.75" customHeight="1" hidden="1" outlineLevel="1">
      <c r="B64" s="68"/>
      <c r="C64" s="71"/>
      <c r="D64" s="66"/>
      <c r="E64" s="66"/>
      <c r="F64" s="51"/>
      <c r="G64" s="51"/>
      <c r="H64" s="51"/>
      <c r="I64" s="136"/>
      <c r="J64" s="157"/>
      <c r="K64" s="51"/>
      <c r="L64" s="51"/>
      <c r="M64" s="136"/>
      <c r="N64" s="157"/>
      <c r="O64" s="51"/>
      <c r="P64" s="51"/>
      <c r="Q64" s="136"/>
    </row>
    <row r="65" spans="1:17" s="15" customFormat="1" ht="12.75" hidden="1" outlineLevel="2">
      <c r="A65" s="15" t="s">
        <v>422</v>
      </c>
      <c r="B65" s="15" t="s">
        <v>423</v>
      </c>
      <c r="C65" s="134" t="s">
        <v>424</v>
      </c>
      <c r="D65" s="16"/>
      <c r="E65" s="16"/>
      <c r="F65" s="16">
        <v>563327.51</v>
      </c>
      <c r="G65" s="16">
        <v>316052.73</v>
      </c>
      <c r="H65" s="16">
        <f>+F65-G65</f>
        <v>247274.78000000003</v>
      </c>
      <c r="I65" s="53">
        <f>IF(G65&lt;0,IF(H65=0,0,IF(OR(G65=0,F65=0),"N.M.",IF(ABS(H65/G65)&gt;=10,"N.M.",H65/(-G65)))),IF(H65=0,0,IF(OR(G65=0,F65=0),"N.M.",IF(ABS(H65/G65)&gt;=10,"N.M.",H65/G65))))</f>
        <v>0.7823845723465197</v>
      </c>
      <c r="J65" s="174"/>
      <c r="K65" s="256">
        <v>643599.42</v>
      </c>
      <c r="L65" s="16">
        <f>+F65-K65</f>
        <v>-80271.91000000003</v>
      </c>
      <c r="M65" s="53" t="str">
        <f>IF(K65&lt;0,IF(L65=0,0,IF(OR(K65=0,N65=0),"N.M.",IF(ABS(L65/K65)&gt;=10,"N.M.",L65/(-K65)))),IF(L65=0,0,IF(OR(K65=0,N65=0),"N.M.",IF(ABS(L65/K65)&gt;=10,"N.M.",L65/K65))))</f>
        <v>N.M.</v>
      </c>
      <c r="N65" s="174"/>
      <c r="O65" s="256">
        <v>488717.91000000003</v>
      </c>
      <c r="P65" s="16">
        <f>+F65-O65</f>
        <v>74609.59999999998</v>
      </c>
      <c r="Q65" s="53">
        <f>IF(O65&lt;0,IF(P65=0,0,IF(OR(O65=0,F65=0),"N.M.",IF(ABS(P65/O65)&gt;=10,"N.M.",P65/(-O65)))),IF(P65=0,0,IF(OR(O65=0,F65=0),"N.M.",IF(ABS(P65/O65)&gt;=10,"N.M.",P65/O65))))</f>
        <v>0.15266393654368013</v>
      </c>
    </row>
    <row r="66" spans="1:17" s="67" customFormat="1" ht="12.75" hidden="1" outlineLevel="1">
      <c r="A66" s="86" t="s">
        <v>135</v>
      </c>
      <c r="B66" s="87"/>
      <c r="C66" s="83" t="s">
        <v>94</v>
      </c>
      <c r="D66" s="66"/>
      <c r="E66" s="66"/>
      <c r="F66" s="51">
        <v>563327.51</v>
      </c>
      <c r="G66" s="51">
        <v>316052.73</v>
      </c>
      <c r="H66" s="51">
        <f aca="true" t="shared" si="20" ref="H66:H75">+F66-G66</f>
        <v>247274.78000000003</v>
      </c>
      <c r="I66" s="136">
        <f aca="true" t="shared" si="21" ref="I66:I75">IF(G66&lt;0,IF(H66=0,0,IF(OR(G66=0,F66=0),"N.M.",IF(ABS(H66/G66)&gt;=10,"N.M.",H66/(-G66)))),IF(H66=0,0,IF(OR(G66=0,F66=0),"N.M.",IF(ABS(H66/G66)&gt;=10,"N.M.",H66/G66))))</f>
        <v>0.7823845723465197</v>
      </c>
      <c r="J66" s="157"/>
      <c r="K66" s="51">
        <v>643599.42</v>
      </c>
      <c r="L66" s="51">
        <f aca="true" t="shared" si="22" ref="L66:L76">+F66-K66</f>
        <v>-80271.91000000003</v>
      </c>
      <c r="M66" s="136" t="str">
        <f aca="true" t="shared" si="23" ref="M66:M76">IF(K66&lt;0,IF(L66=0,0,IF(OR(K66=0,N66=0),"N.M.",IF(ABS(L66/K66)&gt;=10,"N.M.",L66/(-K66)))),IF(L66=0,0,IF(OR(K66=0,N66=0),"N.M.",IF(ABS(L66/K66)&gt;=10,"N.M.",L66/K66))))</f>
        <v>N.M.</v>
      </c>
      <c r="N66" s="157"/>
      <c r="O66" s="51">
        <v>488717.91000000003</v>
      </c>
      <c r="P66" s="51">
        <f aca="true" t="shared" si="24" ref="P66:P76">+F66-O66</f>
        <v>74609.59999999998</v>
      </c>
      <c r="Q66" s="136">
        <f aca="true" t="shared" si="25" ref="Q66:Q76">IF(O66&lt;0,IF(P66=0,0,IF(OR(O66=0,F66=0),"N.M.",IF(ABS(P66/O66)&gt;=10,"N.M.",P66/(-O66)))),IF(P66=0,0,IF(OR(O66=0,F66=0),"N.M.",IF(ABS(P66/O66)&gt;=10,"N.M.",P66/O66))))</f>
        <v>0.15266393654368013</v>
      </c>
    </row>
    <row r="67" spans="1:17" s="67" customFormat="1" ht="0.75" customHeight="1" hidden="1" outlineLevel="1">
      <c r="A67" s="86"/>
      <c r="B67" s="87"/>
      <c r="C67" s="83"/>
      <c r="D67" s="66"/>
      <c r="E67" s="66"/>
      <c r="F67" s="51"/>
      <c r="G67" s="51"/>
      <c r="H67" s="51">
        <f t="shared" si="20"/>
        <v>0</v>
      </c>
      <c r="I67" s="136">
        <f t="shared" si="21"/>
        <v>0</v>
      </c>
      <c r="J67" s="157"/>
      <c r="K67" s="51"/>
      <c r="L67" s="51">
        <f t="shared" si="22"/>
        <v>0</v>
      </c>
      <c r="M67" s="136">
        <f t="shared" si="23"/>
        <v>0</v>
      </c>
      <c r="N67" s="157"/>
      <c r="O67" s="51"/>
      <c r="P67" s="51">
        <f t="shared" si="24"/>
        <v>0</v>
      </c>
      <c r="Q67" s="136">
        <f t="shared" si="25"/>
        <v>0</v>
      </c>
    </row>
    <row r="68" spans="1:17" s="15" customFormat="1" ht="12.75" hidden="1" outlineLevel="2">
      <c r="A68" s="15" t="s">
        <v>425</v>
      </c>
      <c r="B68" s="15" t="s">
        <v>426</v>
      </c>
      <c r="C68" s="134" t="s">
        <v>427</v>
      </c>
      <c r="D68" s="16"/>
      <c r="E68" s="16"/>
      <c r="F68" s="16">
        <v>2119392.98</v>
      </c>
      <c r="G68" s="16">
        <v>488119.89</v>
      </c>
      <c r="H68" s="16">
        <f>+F68-G68</f>
        <v>1631273.0899999999</v>
      </c>
      <c r="I68" s="53">
        <f>IF(G68&lt;0,IF(H68=0,0,IF(OR(G68=0,F68=0),"N.M.",IF(ABS(H68/G68)&gt;=10,"N.M.",H68/(-G68)))),IF(H68=0,0,IF(OR(G68=0,F68=0),"N.M.",IF(ABS(H68/G68)&gt;=10,"N.M.",H68/G68))))</f>
        <v>3.3419516873200963</v>
      </c>
      <c r="J68" s="174"/>
      <c r="K68" s="256">
        <v>2394275.69</v>
      </c>
      <c r="L68" s="16">
        <f>+F68-K68</f>
        <v>-274882.70999999996</v>
      </c>
      <c r="M68" s="53" t="str">
        <f>IF(K68&lt;0,IF(L68=0,0,IF(OR(K68=0,N68=0),"N.M.",IF(ABS(L68/K68)&gt;=10,"N.M.",L68/(-K68)))),IF(L68=0,0,IF(OR(K68=0,N68=0),"N.M.",IF(ABS(L68/K68)&gt;=10,"N.M.",L68/K68))))</f>
        <v>N.M.</v>
      </c>
      <c r="N68" s="174"/>
      <c r="O68" s="256">
        <v>814201.01</v>
      </c>
      <c r="P68" s="16">
        <f>+F68-O68</f>
        <v>1305191.97</v>
      </c>
      <c r="Q68" s="53">
        <f>IF(O68&lt;0,IF(P68=0,0,IF(OR(O68=0,F68=0),"N.M.",IF(ABS(P68/O68)&gt;=10,"N.M.",P68/(-O68)))),IF(P68=0,0,IF(OR(O68=0,F68=0),"N.M.",IF(ABS(P68/O68)&gt;=10,"N.M.",P68/O68))))</f>
        <v>1.6030340836840768</v>
      </c>
    </row>
    <row r="69" spans="1:17" s="67" customFormat="1" ht="12.75" hidden="1" outlineLevel="1">
      <c r="A69" s="86" t="s">
        <v>136</v>
      </c>
      <c r="B69" s="87"/>
      <c r="C69" s="76" t="s">
        <v>95</v>
      </c>
      <c r="D69" s="66"/>
      <c r="E69" s="66"/>
      <c r="F69" s="51">
        <v>2119392.98</v>
      </c>
      <c r="G69" s="51">
        <v>488119.89</v>
      </c>
      <c r="H69" s="51">
        <f t="shared" si="20"/>
        <v>1631273.0899999999</v>
      </c>
      <c r="I69" s="136">
        <f t="shared" si="21"/>
        <v>3.3419516873200963</v>
      </c>
      <c r="J69" s="157"/>
      <c r="K69" s="51">
        <v>2394275.69</v>
      </c>
      <c r="L69" s="51">
        <f t="shared" si="22"/>
        <v>-274882.70999999996</v>
      </c>
      <c r="M69" s="136" t="str">
        <f t="shared" si="23"/>
        <v>N.M.</v>
      </c>
      <c r="N69" s="157"/>
      <c r="O69" s="51">
        <v>814201.01</v>
      </c>
      <c r="P69" s="51">
        <f t="shared" si="24"/>
        <v>1305191.97</v>
      </c>
      <c r="Q69" s="136">
        <f t="shared" si="25"/>
        <v>1.6030340836840768</v>
      </c>
    </row>
    <row r="70" spans="1:17" s="67" customFormat="1" ht="12.75" hidden="1" outlineLevel="1">
      <c r="A70" s="86" t="s">
        <v>137</v>
      </c>
      <c r="B70" s="87"/>
      <c r="C70" s="76" t="s">
        <v>97</v>
      </c>
      <c r="D70" s="66"/>
      <c r="E70" s="66"/>
      <c r="F70" s="51">
        <v>0</v>
      </c>
      <c r="G70" s="51">
        <v>0</v>
      </c>
      <c r="H70" s="51">
        <f t="shared" si="20"/>
        <v>0</v>
      </c>
      <c r="I70" s="136">
        <f t="shared" si="21"/>
        <v>0</v>
      </c>
      <c r="J70" s="157"/>
      <c r="K70" s="51">
        <v>0</v>
      </c>
      <c r="L70" s="51">
        <f t="shared" si="22"/>
        <v>0</v>
      </c>
      <c r="M70" s="136">
        <f t="shared" si="23"/>
        <v>0</v>
      </c>
      <c r="N70" s="157"/>
      <c r="O70" s="51">
        <v>0</v>
      </c>
      <c r="P70" s="51">
        <f t="shared" si="24"/>
        <v>0</v>
      </c>
      <c r="Q70" s="136">
        <f t="shared" si="25"/>
        <v>0</v>
      </c>
    </row>
    <row r="71" spans="1:17" s="15" customFormat="1" ht="12.75" hidden="1" outlineLevel="2">
      <c r="A71" s="15" t="s">
        <v>428</v>
      </c>
      <c r="B71" s="15" t="s">
        <v>429</v>
      </c>
      <c r="C71" s="134" t="s">
        <v>430</v>
      </c>
      <c r="D71" s="16"/>
      <c r="E71" s="16"/>
      <c r="F71" s="16">
        <v>0</v>
      </c>
      <c r="G71" s="16">
        <v>4999.72</v>
      </c>
      <c r="H71" s="16">
        <f>+F71-G71</f>
        <v>-4999.72</v>
      </c>
      <c r="I71" s="53" t="str">
        <f>IF(G71&lt;0,IF(H71=0,0,IF(OR(G71=0,F71=0),"N.M.",IF(ABS(H71/G71)&gt;=10,"N.M.",H71/(-G71)))),IF(H71=0,0,IF(OR(G71=0,F71=0),"N.M.",IF(ABS(H71/G71)&gt;=10,"N.M.",H71/G71))))</f>
        <v>N.M.</v>
      </c>
      <c r="J71" s="174"/>
      <c r="K71" s="256">
        <v>4999.72</v>
      </c>
      <c r="L71" s="16">
        <f>+F71-K71</f>
        <v>-4999.72</v>
      </c>
      <c r="M71" s="53" t="str">
        <f>IF(K71&lt;0,IF(L71=0,0,IF(OR(K71=0,N71=0),"N.M.",IF(ABS(L71/K71)&gt;=10,"N.M.",L71/(-K71)))),IF(L71=0,0,IF(OR(K71=0,N71=0),"N.M.",IF(ABS(L71/K71)&gt;=10,"N.M.",L71/K71))))</f>
        <v>N.M.</v>
      </c>
      <c r="N71" s="174"/>
      <c r="O71" s="256">
        <v>4999.72</v>
      </c>
      <c r="P71" s="16">
        <f>+F71-O71</f>
        <v>-4999.72</v>
      </c>
      <c r="Q71" s="53" t="str">
        <f>IF(O71&lt;0,IF(P71=0,0,IF(OR(O71=0,F71=0),"N.M.",IF(ABS(P71/O71)&gt;=10,"N.M.",P71/(-O71)))),IF(P71=0,0,IF(OR(O71=0,F71=0),"N.M.",IF(ABS(P71/O71)&gt;=10,"N.M.",P71/O71))))</f>
        <v>N.M.</v>
      </c>
    </row>
    <row r="72" spans="1:17" s="67" customFormat="1" ht="12.75" hidden="1" outlineLevel="1">
      <c r="A72" s="86" t="s">
        <v>138</v>
      </c>
      <c r="B72" s="87"/>
      <c r="C72" s="76" t="s">
        <v>96</v>
      </c>
      <c r="D72" s="66"/>
      <c r="E72" s="66"/>
      <c r="F72" s="51">
        <v>0</v>
      </c>
      <c r="G72" s="51">
        <v>4999.72</v>
      </c>
      <c r="H72" s="51">
        <f t="shared" si="20"/>
        <v>-4999.72</v>
      </c>
      <c r="I72" s="136" t="str">
        <f t="shared" si="21"/>
        <v>N.M.</v>
      </c>
      <c r="J72" s="157"/>
      <c r="K72" s="51">
        <v>4999.72</v>
      </c>
      <c r="L72" s="51">
        <f t="shared" si="22"/>
        <v>-4999.72</v>
      </c>
      <c r="M72" s="136" t="str">
        <f t="shared" si="23"/>
        <v>N.M.</v>
      </c>
      <c r="N72" s="157"/>
      <c r="O72" s="51">
        <v>4999.72</v>
      </c>
      <c r="P72" s="51">
        <f t="shared" si="24"/>
        <v>-4999.72</v>
      </c>
      <c r="Q72" s="136" t="str">
        <f t="shared" si="25"/>
        <v>N.M.</v>
      </c>
    </row>
    <row r="73" spans="1:17" s="67" customFormat="1" ht="12.75" hidden="1" outlineLevel="1">
      <c r="A73" s="86" t="s">
        <v>246</v>
      </c>
      <c r="B73" s="87"/>
      <c r="C73" s="52" t="s">
        <v>247</v>
      </c>
      <c r="D73" s="66"/>
      <c r="E73" s="66"/>
      <c r="F73" s="197">
        <v>0</v>
      </c>
      <c r="G73" s="197">
        <v>0</v>
      </c>
      <c r="H73" s="197">
        <f>+F73-G73</f>
        <v>0</v>
      </c>
      <c r="I73" s="138">
        <f>IF(G73&lt;0,IF(H73=0,0,IF(OR(G73=0,F73=0),"N.M.",IF(ABS(H73/G73)&gt;=10,"N.M.",H73/(-G73)))),IF(H73=0,0,IF(OR(G73=0,F73=0),"N.M.",IF(ABS(H73/G73)&gt;=10,"N.M.",H73/G73))))</f>
        <v>0</v>
      </c>
      <c r="J73" s="157"/>
      <c r="K73" s="197">
        <v>0</v>
      </c>
      <c r="L73" s="197">
        <f t="shared" si="22"/>
        <v>0</v>
      </c>
      <c r="M73" s="138">
        <f t="shared" si="23"/>
        <v>0</v>
      </c>
      <c r="N73" s="157"/>
      <c r="O73" s="197">
        <v>0</v>
      </c>
      <c r="P73" s="197">
        <f t="shared" si="24"/>
        <v>0</v>
      </c>
      <c r="Q73" s="138">
        <f>IF(O73&lt;0,IF(P73=0,0,IF(OR(O73=0,F73=0),"N.M.",IF(ABS(P73/O73)&gt;=10,"N.M.",P73/(-O73)))),IF(P73=0,0,IF(OR(O73=0,F73=0),"N.M.",IF(ABS(P73/O73)&gt;=10,"N.M.",P73/O73))))</f>
        <v>0</v>
      </c>
    </row>
    <row r="74" spans="1:17" s="67" customFormat="1" ht="12.75" hidden="1" outlineLevel="1">
      <c r="A74" s="86" t="s">
        <v>238</v>
      </c>
      <c r="B74" s="87"/>
      <c r="C74" s="83" t="s">
        <v>99</v>
      </c>
      <c r="D74" s="66"/>
      <c r="E74" s="66"/>
      <c r="F74" s="51">
        <f>+F72+F70+F69+F73</f>
        <v>2119392.98</v>
      </c>
      <c r="G74" s="51">
        <f>+G72+G70+G69+G73</f>
        <v>493119.61</v>
      </c>
      <c r="H74" s="51">
        <f>+F74-G74</f>
        <v>1626273.37</v>
      </c>
      <c r="I74" s="136">
        <f t="shared" si="21"/>
        <v>3.2979288128492805</v>
      </c>
      <c r="J74" s="157"/>
      <c r="K74" s="51">
        <f>+K72+K70+K69+K73</f>
        <v>2399275.41</v>
      </c>
      <c r="L74" s="51">
        <f t="shared" si="22"/>
        <v>-279882.43000000017</v>
      </c>
      <c r="M74" s="136" t="str">
        <f t="shared" si="23"/>
        <v>N.M.</v>
      </c>
      <c r="N74" s="157"/>
      <c r="O74" s="51">
        <f>+O72+O70+O69+O73</f>
        <v>819200.73</v>
      </c>
      <c r="P74" s="51">
        <f t="shared" si="24"/>
        <v>1300192.25</v>
      </c>
      <c r="Q74" s="136">
        <f t="shared" si="25"/>
        <v>1.5871473283477178</v>
      </c>
    </row>
    <row r="75" spans="1:17" s="67" customFormat="1" ht="12.75" hidden="1" outlineLevel="1">
      <c r="A75" s="86" t="s">
        <v>139</v>
      </c>
      <c r="B75" s="87"/>
      <c r="C75" s="83" t="s">
        <v>98</v>
      </c>
      <c r="D75" s="66"/>
      <c r="E75" s="66"/>
      <c r="F75" s="51">
        <v>0</v>
      </c>
      <c r="G75" s="51">
        <v>0</v>
      </c>
      <c r="H75" s="51">
        <f t="shared" si="20"/>
        <v>0</v>
      </c>
      <c r="I75" s="136">
        <f t="shared" si="21"/>
        <v>0</v>
      </c>
      <c r="J75" s="157"/>
      <c r="K75" s="51">
        <v>0</v>
      </c>
      <c r="L75" s="51">
        <f t="shared" si="22"/>
        <v>0</v>
      </c>
      <c r="M75" s="136">
        <f t="shared" si="23"/>
        <v>0</v>
      </c>
      <c r="N75" s="157"/>
      <c r="O75" s="51">
        <v>0</v>
      </c>
      <c r="P75" s="51">
        <f t="shared" si="24"/>
        <v>0</v>
      </c>
      <c r="Q75" s="136">
        <f t="shared" si="25"/>
        <v>0</v>
      </c>
    </row>
    <row r="76" spans="1:17" s="67" customFormat="1" ht="12.75" collapsed="1">
      <c r="A76" s="67" t="s">
        <v>239</v>
      </c>
      <c r="B76" s="87"/>
      <c r="C76" s="82" t="s">
        <v>94</v>
      </c>
      <c r="D76" s="66"/>
      <c r="E76" s="66"/>
      <c r="F76" s="51">
        <f>+F75+F74+F66</f>
        <v>2682720.49</v>
      </c>
      <c r="G76" s="51">
        <f>+G75+G74+G66</f>
        <v>809172.34</v>
      </c>
      <c r="H76" s="51">
        <f>+F76-G76</f>
        <v>1873548.1500000004</v>
      </c>
      <c r="I76" s="136">
        <f>IF(G76&lt;0,IF(H76=0,0,IF(OR(G76=0,F76=0),"N.M.",IF(ABS(H76/G76)&gt;=10,"N.M.",H76/(-G76)))),IF(H76=0,0,IF(OR(G76=0,F76=0),"N.M.",IF(ABS(H76/G76)&gt;=10,"N.M.",H76/G76))))</f>
        <v>2.3153882768657175</v>
      </c>
      <c r="J76" s="157"/>
      <c r="K76" s="51">
        <f>+K75+K74+K66</f>
        <v>3042874.83</v>
      </c>
      <c r="L76" s="51">
        <f t="shared" si="22"/>
        <v>-360154.33999999985</v>
      </c>
      <c r="M76" s="136" t="str">
        <f t="shared" si="23"/>
        <v>N.M.</v>
      </c>
      <c r="N76" s="157"/>
      <c r="O76" s="51">
        <f>+O75+O74+O66</f>
        <v>1307918.6400000001</v>
      </c>
      <c r="P76" s="51">
        <f t="shared" si="24"/>
        <v>1374801.85</v>
      </c>
      <c r="Q76" s="136">
        <f t="shared" si="25"/>
        <v>1.051137133422917</v>
      </c>
    </row>
    <row r="77" spans="2:17" s="67" customFormat="1" ht="0.75" customHeight="1" hidden="1" outlineLevel="1">
      <c r="B77" s="87"/>
      <c r="C77" s="82"/>
      <c r="D77" s="66"/>
      <c r="E77" s="66"/>
      <c r="F77" s="51"/>
      <c r="G77" s="51"/>
      <c r="H77" s="51"/>
      <c r="I77" s="136"/>
      <c r="J77" s="157"/>
      <c r="K77" s="51"/>
      <c r="L77" s="51"/>
      <c r="M77" s="136"/>
      <c r="N77" s="157"/>
      <c r="O77" s="51"/>
      <c r="P77" s="51"/>
      <c r="Q77" s="136"/>
    </row>
    <row r="78" spans="1:17" s="15" customFormat="1" ht="12.75" hidden="1" outlineLevel="2">
      <c r="A78" s="15" t="s">
        <v>431</v>
      </c>
      <c r="B78" s="15" t="s">
        <v>432</v>
      </c>
      <c r="C78" s="134" t="s">
        <v>433</v>
      </c>
      <c r="D78" s="16"/>
      <c r="E78" s="16"/>
      <c r="F78" s="16">
        <v>46413962.8</v>
      </c>
      <c r="G78" s="16">
        <v>5787822.3100000005</v>
      </c>
      <c r="H78" s="16">
        <f>+F78-G78</f>
        <v>40626140.489999995</v>
      </c>
      <c r="I78" s="53">
        <f>IF(G78&lt;0,IF(H78=0,0,IF(OR(G78=0,F78=0),"N.M.",IF(ABS(H78/G78)&gt;=10,"N.M.",H78/(-G78)))),IF(H78=0,0,IF(OR(G78=0,F78=0),"N.M.",IF(ABS(H78/G78)&gt;=10,"N.M.",H78/G78))))</f>
        <v>7.019244599096891</v>
      </c>
      <c r="J78" s="174"/>
      <c r="K78" s="256">
        <v>50586821.85</v>
      </c>
      <c r="L78" s="16">
        <f>+F78-K78</f>
        <v>-4172859.0500000045</v>
      </c>
      <c r="M78" s="53" t="str">
        <f>IF(K78&lt;0,IF(L78=0,0,IF(OR(K78=0,N78=0),"N.M.",IF(ABS(L78/K78)&gt;=10,"N.M.",L78/(-K78)))),IF(L78=0,0,IF(OR(K78=0,N78=0),"N.M.",IF(ABS(L78/K78)&gt;=10,"N.M.",L78/K78))))</f>
        <v>N.M.</v>
      </c>
      <c r="N78" s="174"/>
      <c r="O78" s="256">
        <v>0</v>
      </c>
      <c r="P78" s="16">
        <f>+F78-O78</f>
        <v>46413962.8</v>
      </c>
      <c r="Q78" s="53" t="str">
        <f>IF(O78&lt;0,IF(P78=0,0,IF(OR(O78=0,F78=0),"N.M.",IF(ABS(P78/O78)&gt;=10,"N.M.",P78/(-O78)))),IF(P78=0,0,IF(OR(O78=0,F78=0),"N.M.",IF(ABS(P78/O78)&gt;=10,"N.M.",P78/O78))))</f>
        <v>N.M.</v>
      </c>
    </row>
    <row r="79" spans="1:17" s="67" customFormat="1" ht="12.75" collapsed="1">
      <c r="A79" s="67" t="s">
        <v>140</v>
      </c>
      <c r="B79" s="87"/>
      <c r="C79" s="82" t="s">
        <v>100</v>
      </c>
      <c r="D79" s="66"/>
      <c r="E79" s="66"/>
      <c r="F79" s="51">
        <v>46413962.8</v>
      </c>
      <c r="G79" s="51">
        <v>5787822.3100000005</v>
      </c>
      <c r="H79" s="51">
        <f>+F79-G79</f>
        <v>40626140.489999995</v>
      </c>
      <c r="I79" s="136">
        <f>IF(G79&lt;0,IF(H79=0,0,IF(OR(G79=0,F79=0),"N.M.",IF(ABS(H79/G79)&gt;=10,"N.M.",H79/(-G79)))),IF(H79=0,0,IF(OR(G79=0,F79=0),"N.M.",IF(ABS(H79/G79)&gt;=10,"N.M.",H79/G79))))</f>
        <v>7.019244599096891</v>
      </c>
      <c r="J79" s="157"/>
      <c r="K79" s="51">
        <v>50586821.85</v>
      </c>
      <c r="L79" s="51">
        <f>+F79-K79</f>
        <v>-4172859.0500000045</v>
      </c>
      <c r="M79" s="136" t="str">
        <f>IF(K79&lt;0,IF(L79=0,0,IF(OR(K79=0,N79=0),"N.M.",IF(ABS(L79/K79)&gt;=10,"N.M.",L79/(-K79)))),IF(L79=0,0,IF(OR(K79=0,N79=0),"N.M.",IF(ABS(L79/K79)&gt;=10,"N.M.",L79/K79))))</f>
        <v>N.M.</v>
      </c>
      <c r="N79" s="157"/>
      <c r="O79" s="51">
        <v>0</v>
      </c>
      <c r="P79" s="51">
        <f>+F79-O79</f>
        <v>46413962.8</v>
      </c>
      <c r="Q79" s="136" t="str">
        <f>IF(O79&lt;0,IF(P79=0,0,IF(OR(O79=0,F79=0),"N.M.",IF(ABS(P79/O79)&gt;=10,"N.M.",P79/(-O79)))),IF(P79=0,0,IF(OR(O79=0,F79=0),"N.M.",IF(ABS(P79/O79)&gt;=10,"N.M.",P79/O79))))</f>
        <v>N.M.</v>
      </c>
    </row>
    <row r="80" spans="2:17" s="67" customFormat="1" ht="0.75" customHeight="1" hidden="1" outlineLevel="1">
      <c r="B80" s="87"/>
      <c r="C80" s="82"/>
      <c r="D80" s="66"/>
      <c r="E80" s="66"/>
      <c r="F80" s="51"/>
      <c r="G80" s="51"/>
      <c r="H80" s="51"/>
      <c r="I80" s="136"/>
      <c r="J80" s="157"/>
      <c r="K80" s="51"/>
      <c r="L80" s="51"/>
      <c r="M80" s="136"/>
      <c r="N80" s="157"/>
      <c r="O80" s="51"/>
      <c r="P80" s="51"/>
      <c r="Q80" s="136"/>
    </row>
    <row r="81" spans="1:17" s="15" customFormat="1" ht="12.75" hidden="1" outlineLevel="2">
      <c r="A81" s="15" t="s">
        <v>434</v>
      </c>
      <c r="B81" s="15" t="s">
        <v>435</v>
      </c>
      <c r="C81" s="134" t="s">
        <v>436</v>
      </c>
      <c r="D81" s="16"/>
      <c r="E81" s="16"/>
      <c r="F81" s="16">
        <v>26212162.396</v>
      </c>
      <c r="G81" s="16">
        <v>24195001.296</v>
      </c>
      <c r="H81" s="16">
        <f aca="true" t="shared" si="26" ref="H81:H93">+F81-G81</f>
        <v>2017161.1000000015</v>
      </c>
      <c r="I81" s="53">
        <f aca="true" t="shared" si="27" ref="I81:I93">IF(G81&lt;0,IF(H81=0,0,IF(OR(G81=0,F81=0),"N.M.",IF(ABS(H81/G81)&gt;=10,"N.M.",H81/(-G81)))),IF(H81=0,0,IF(OR(G81=0,F81=0),"N.M.",IF(ABS(H81/G81)&gt;=10,"N.M.",H81/G81))))</f>
        <v>0.08337098540819196</v>
      </c>
      <c r="J81" s="174"/>
      <c r="K81" s="256">
        <v>24413227.306</v>
      </c>
      <c r="L81" s="16">
        <f aca="true" t="shared" si="28" ref="L81:L93">+F81-K81</f>
        <v>1798935.0899999999</v>
      </c>
      <c r="M81" s="53" t="str">
        <f aca="true" t="shared" si="29" ref="M81:M93">IF(K81&lt;0,IF(L81=0,0,IF(OR(K81=0,N81=0),"N.M.",IF(ABS(L81/K81)&gt;=10,"N.M.",L81/(-K81)))),IF(L81=0,0,IF(OR(K81=0,N81=0),"N.M.",IF(ABS(L81/K81)&gt;=10,"N.M.",L81/K81))))</f>
        <v>N.M.</v>
      </c>
      <c r="N81" s="174"/>
      <c r="O81" s="256">
        <v>27684774.136</v>
      </c>
      <c r="P81" s="16">
        <f aca="true" t="shared" si="30" ref="P81:P93">+F81-O81</f>
        <v>-1472611.7399999984</v>
      </c>
      <c r="Q81" s="53">
        <f aca="true" t="shared" si="31" ref="Q81:Q93">IF(O81&lt;0,IF(P81=0,0,IF(OR(O81=0,F81=0),"N.M.",IF(ABS(P81/O81)&gt;=10,"N.M.",P81/(-O81)))),IF(P81=0,0,IF(OR(O81=0,F81=0),"N.M.",IF(ABS(P81/O81)&gt;=10,"N.M.",P81/O81))))</f>
        <v>-0.053192116820815316</v>
      </c>
    </row>
    <row r="82" spans="1:17" s="15" customFormat="1" ht="12.75" hidden="1" outlineLevel="2">
      <c r="A82" s="15" t="s">
        <v>437</v>
      </c>
      <c r="B82" s="15" t="s">
        <v>438</v>
      </c>
      <c r="C82" s="134" t="s">
        <v>439</v>
      </c>
      <c r="D82" s="16"/>
      <c r="E82" s="16"/>
      <c r="F82" s="16">
        <v>0</v>
      </c>
      <c r="G82" s="16">
        <v>722.88</v>
      </c>
      <c r="H82" s="16">
        <f t="shared" si="26"/>
        <v>-722.88</v>
      </c>
      <c r="I82" s="53" t="str">
        <f t="shared" si="27"/>
        <v>N.M.</v>
      </c>
      <c r="J82" s="174"/>
      <c r="K82" s="256">
        <v>0</v>
      </c>
      <c r="L82" s="16">
        <f t="shared" si="28"/>
        <v>0</v>
      </c>
      <c r="M82" s="53">
        <f t="shared" si="29"/>
        <v>0</v>
      </c>
      <c r="N82" s="174"/>
      <c r="O82" s="256">
        <v>348.6</v>
      </c>
      <c r="P82" s="16">
        <f t="shared" si="30"/>
        <v>-348.6</v>
      </c>
      <c r="Q82" s="53" t="str">
        <f t="shared" si="31"/>
        <v>N.M.</v>
      </c>
    </row>
    <row r="83" spans="1:17" s="15" customFormat="1" ht="12.75" hidden="1" outlineLevel="2">
      <c r="A83" s="15" t="s">
        <v>440</v>
      </c>
      <c r="B83" s="15" t="s">
        <v>441</v>
      </c>
      <c r="C83" s="134" t="s">
        <v>442</v>
      </c>
      <c r="D83" s="16"/>
      <c r="E83" s="16"/>
      <c r="F83" s="16">
        <v>504002.43</v>
      </c>
      <c r="G83" s="16">
        <v>472802.84</v>
      </c>
      <c r="H83" s="16">
        <f t="shared" si="26"/>
        <v>31199.589999999967</v>
      </c>
      <c r="I83" s="53">
        <f t="shared" si="27"/>
        <v>0.06598858416332687</v>
      </c>
      <c r="J83" s="174"/>
      <c r="K83" s="256">
        <v>480471.08</v>
      </c>
      <c r="L83" s="16">
        <f t="shared" si="28"/>
        <v>23531.349999999977</v>
      </c>
      <c r="M83" s="53" t="str">
        <f t="shared" si="29"/>
        <v>N.M.</v>
      </c>
      <c r="N83" s="174"/>
      <c r="O83" s="256">
        <v>571942.26</v>
      </c>
      <c r="P83" s="16">
        <f t="shared" si="30"/>
        <v>-67939.83000000002</v>
      </c>
      <c r="Q83" s="53">
        <f t="shared" si="31"/>
        <v>-0.11878791750761697</v>
      </c>
    </row>
    <row r="84" spans="1:17" s="15" customFormat="1" ht="12.75" hidden="1" outlineLevel="2">
      <c r="A84" s="15" t="s">
        <v>443</v>
      </c>
      <c r="B84" s="15" t="s">
        <v>444</v>
      </c>
      <c r="C84" s="134" t="s">
        <v>445</v>
      </c>
      <c r="D84" s="16"/>
      <c r="E84" s="16"/>
      <c r="F84" s="16">
        <v>13800</v>
      </c>
      <c r="G84" s="16">
        <v>13476</v>
      </c>
      <c r="H84" s="16">
        <f t="shared" si="26"/>
        <v>324</v>
      </c>
      <c r="I84" s="53">
        <f t="shared" si="27"/>
        <v>0.02404274265360641</v>
      </c>
      <c r="J84" s="174"/>
      <c r="K84" s="256">
        <v>18072</v>
      </c>
      <c r="L84" s="16">
        <f t="shared" si="28"/>
        <v>-4272</v>
      </c>
      <c r="M84" s="53" t="str">
        <f t="shared" si="29"/>
        <v>N.M.</v>
      </c>
      <c r="N84" s="174"/>
      <c r="O84" s="256">
        <v>9036</v>
      </c>
      <c r="P84" s="16">
        <f t="shared" si="30"/>
        <v>4764</v>
      </c>
      <c r="Q84" s="53">
        <f t="shared" si="31"/>
        <v>0.5272244355909694</v>
      </c>
    </row>
    <row r="85" spans="1:17" s="15" customFormat="1" ht="12.75" hidden="1" outlineLevel="2">
      <c r="A85" s="15" t="s">
        <v>446</v>
      </c>
      <c r="B85" s="15" t="s">
        <v>447</v>
      </c>
      <c r="C85" s="134" t="s">
        <v>448</v>
      </c>
      <c r="D85" s="16"/>
      <c r="E85" s="16"/>
      <c r="F85" s="16">
        <v>-27328637.98</v>
      </c>
      <c r="G85" s="16">
        <v>-20655219.78</v>
      </c>
      <c r="H85" s="16">
        <f t="shared" si="26"/>
        <v>-6673418.199999999</v>
      </c>
      <c r="I85" s="53">
        <f t="shared" si="27"/>
        <v>-0.32308628381004806</v>
      </c>
      <c r="J85" s="174"/>
      <c r="K85" s="256">
        <v>-27572042.18</v>
      </c>
      <c r="L85" s="16">
        <f t="shared" si="28"/>
        <v>243404.19999999925</v>
      </c>
      <c r="M85" s="53" t="str">
        <f t="shared" si="29"/>
        <v>N.M.</v>
      </c>
      <c r="N85" s="174"/>
      <c r="O85" s="256">
        <v>-24943544.66</v>
      </c>
      <c r="P85" s="16">
        <f t="shared" si="30"/>
        <v>-2385093.3200000003</v>
      </c>
      <c r="Q85" s="53">
        <f t="shared" si="31"/>
        <v>-0.09561966242210902</v>
      </c>
    </row>
    <row r="86" spans="1:17" s="15" customFormat="1" ht="12.75" hidden="1" outlineLevel="2">
      <c r="A86" s="15" t="s">
        <v>449</v>
      </c>
      <c r="B86" s="15" t="s">
        <v>450</v>
      </c>
      <c r="C86" s="134" t="s">
        <v>451</v>
      </c>
      <c r="D86" s="16"/>
      <c r="E86" s="16"/>
      <c r="F86" s="16">
        <v>7729999.982</v>
      </c>
      <c r="G86" s="16">
        <v>7451793.352</v>
      </c>
      <c r="H86" s="16">
        <f t="shared" si="26"/>
        <v>278206.6299999999</v>
      </c>
      <c r="I86" s="53">
        <f t="shared" si="27"/>
        <v>0.037334184787254136</v>
      </c>
      <c r="J86" s="174"/>
      <c r="K86" s="256">
        <v>7528087.222</v>
      </c>
      <c r="L86" s="16">
        <f t="shared" si="28"/>
        <v>201912.75999999978</v>
      </c>
      <c r="M86" s="53" t="str">
        <f t="shared" si="29"/>
        <v>N.M.</v>
      </c>
      <c r="N86" s="174"/>
      <c r="O86" s="256">
        <v>7687473.434</v>
      </c>
      <c r="P86" s="16">
        <f t="shared" si="30"/>
        <v>42526.547999999486</v>
      </c>
      <c r="Q86" s="53">
        <f t="shared" si="31"/>
        <v>0.005531927799830038</v>
      </c>
    </row>
    <row r="87" spans="1:17" s="15" customFormat="1" ht="12.75" hidden="1" outlineLevel="2">
      <c r="A87" s="15" t="s">
        <v>452</v>
      </c>
      <c r="B87" s="15" t="s">
        <v>453</v>
      </c>
      <c r="C87" s="134" t="s">
        <v>454</v>
      </c>
      <c r="D87" s="16"/>
      <c r="E87" s="16"/>
      <c r="F87" s="16">
        <v>318793.69</v>
      </c>
      <c r="G87" s="16">
        <v>797454.86</v>
      </c>
      <c r="H87" s="16">
        <f t="shared" si="26"/>
        <v>-478661.17</v>
      </c>
      <c r="I87" s="53">
        <f t="shared" si="27"/>
        <v>-0.6002360685343369</v>
      </c>
      <c r="J87" s="174"/>
      <c r="K87" s="256">
        <v>401210.42</v>
      </c>
      <c r="L87" s="16">
        <f t="shared" si="28"/>
        <v>-82416.72999999998</v>
      </c>
      <c r="M87" s="53" t="str">
        <f t="shared" si="29"/>
        <v>N.M.</v>
      </c>
      <c r="N87" s="174"/>
      <c r="O87" s="256">
        <v>462470.81</v>
      </c>
      <c r="P87" s="16">
        <f t="shared" si="30"/>
        <v>-143677.12</v>
      </c>
      <c r="Q87" s="53">
        <f t="shared" si="31"/>
        <v>-0.31067284008692353</v>
      </c>
    </row>
    <row r="88" spans="1:17" s="15" customFormat="1" ht="12.75" hidden="1" outlineLevel="2">
      <c r="A88" s="15" t="s">
        <v>455</v>
      </c>
      <c r="B88" s="15" t="s">
        <v>456</v>
      </c>
      <c r="C88" s="134" t="s">
        <v>457</v>
      </c>
      <c r="D88" s="16"/>
      <c r="E88" s="16"/>
      <c r="F88" s="16">
        <v>958731</v>
      </c>
      <c r="G88" s="16">
        <v>987757</v>
      </c>
      <c r="H88" s="16">
        <f t="shared" si="26"/>
        <v>-29026</v>
      </c>
      <c r="I88" s="53">
        <f t="shared" si="27"/>
        <v>-0.029385769981888257</v>
      </c>
      <c r="J88" s="174"/>
      <c r="K88" s="256">
        <v>0</v>
      </c>
      <c r="L88" s="16">
        <f t="shared" si="28"/>
        <v>958731</v>
      </c>
      <c r="M88" s="53" t="str">
        <f t="shared" si="29"/>
        <v>N.M.</v>
      </c>
      <c r="N88" s="174"/>
      <c r="O88" s="256">
        <v>948303</v>
      </c>
      <c r="P88" s="16">
        <f t="shared" si="30"/>
        <v>10428</v>
      </c>
      <c r="Q88" s="53">
        <f t="shared" si="31"/>
        <v>0.010996485300584308</v>
      </c>
    </row>
    <row r="89" spans="1:17" s="15" customFormat="1" ht="12.75" hidden="1" outlineLevel="2">
      <c r="A89" s="15" t="s">
        <v>458</v>
      </c>
      <c r="B89" s="15" t="s">
        <v>459</v>
      </c>
      <c r="C89" s="134" t="s">
        <v>460</v>
      </c>
      <c r="D89" s="16"/>
      <c r="E89" s="16"/>
      <c r="F89" s="16">
        <v>4995024</v>
      </c>
      <c r="G89" s="16">
        <v>601315</v>
      </c>
      <c r="H89" s="16">
        <f t="shared" si="26"/>
        <v>4393709</v>
      </c>
      <c r="I89" s="53">
        <f t="shared" si="27"/>
        <v>7.306834188403749</v>
      </c>
      <c r="J89" s="174"/>
      <c r="K89" s="256">
        <v>4932522</v>
      </c>
      <c r="L89" s="16">
        <f t="shared" si="28"/>
        <v>62502</v>
      </c>
      <c r="M89" s="53" t="str">
        <f t="shared" si="29"/>
        <v>N.M.</v>
      </c>
      <c r="N89" s="174"/>
      <c r="O89" s="256">
        <v>648202</v>
      </c>
      <c r="P89" s="16">
        <f t="shared" si="30"/>
        <v>4346822</v>
      </c>
      <c r="Q89" s="53">
        <f t="shared" si="31"/>
        <v>6.705968201270592</v>
      </c>
    </row>
    <row r="90" spans="1:17" s="15" customFormat="1" ht="12.75" hidden="1" outlineLevel="2">
      <c r="A90" s="15" t="s">
        <v>461</v>
      </c>
      <c r="B90" s="15" t="s">
        <v>462</v>
      </c>
      <c r="C90" s="134" t="s">
        <v>463</v>
      </c>
      <c r="D90" s="16"/>
      <c r="E90" s="16"/>
      <c r="F90" s="16">
        <v>0.001</v>
      </c>
      <c r="G90" s="16">
        <v>0</v>
      </c>
      <c r="H90" s="16">
        <f t="shared" si="26"/>
        <v>0.001</v>
      </c>
      <c r="I90" s="53" t="str">
        <f t="shared" si="27"/>
        <v>N.M.</v>
      </c>
      <c r="J90" s="174"/>
      <c r="K90" s="256">
        <v>0.001</v>
      </c>
      <c r="L90" s="16">
        <f t="shared" si="28"/>
        <v>0</v>
      </c>
      <c r="M90" s="53">
        <f t="shared" si="29"/>
        <v>0</v>
      </c>
      <c r="N90" s="174"/>
      <c r="O90" s="256">
        <v>0</v>
      </c>
      <c r="P90" s="16">
        <f t="shared" si="30"/>
        <v>0.001</v>
      </c>
      <c r="Q90" s="53" t="str">
        <f t="shared" si="31"/>
        <v>N.M.</v>
      </c>
    </row>
    <row r="91" spans="1:17" s="15" customFormat="1" ht="12.75" hidden="1" outlineLevel="2">
      <c r="A91" s="15" t="s">
        <v>464</v>
      </c>
      <c r="B91" s="15" t="s">
        <v>465</v>
      </c>
      <c r="C91" s="134" t="s">
        <v>466</v>
      </c>
      <c r="D91" s="16"/>
      <c r="E91" s="16"/>
      <c r="F91" s="16">
        <v>8169.26</v>
      </c>
      <c r="G91" s="16">
        <v>0</v>
      </c>
      <c r="H91" s="16">
        <f t="shared" si="26"/>
        <v>8169.26</v>
      </c>
      <c r="I91" s="53" t="str">
        <f t="shared" si="27"/>
        <v>N.M.</v>
      </c>
      <c r="J91" s="174"/>
      <c r="K91" s="256">
        <v>15066.39</v>
      </c>
      <c r="L91" s="16">
        <f t="shared" si="28"/>
        <v>-6897.129999999999</v>
      </c>
      <c r="M91" s="53" t="str">
        <f t="shared" si="29"/>
        <v>N.M.</v>
      </c>
      <c r="N91" s="174"/>
      <c r="O91" s="256">
        <v>0</v>
      </c>
      <c r="P91" s="16">
        <f t="shared" si="30"/>
        <v>8169.26</v>
      </c>
      <c r="Q91" s="53" t="str">
        <f t="shared" si="31"/>
        <v>N.M.</v>
      </c>
    </row>
    <row r="92" spans="1:17" s="15" customFormat="1" ht="12.75" hidden="1" outlineLevel="2">
      <c r="A92" s="15" t="s">
        <v>467</v>
      </c>
      <c r="B92" s="15" t="s">
        <v>468</v>
      </c>
      <c r="C92" s="134" t="s">
        <v>469</v>
      </c>
      <c r="D92" s="16"/>
      <c r="E92" s="16"/>
      <c r="F92" s="16">
        <v>510833.34</v>
      </c>
      <c r="G92" s="16">
        <v>0</v>
      </c>
      <c r="H92" s="16">
        <f t="shared" si="26"/>
        <v>510833.34</v>
      </c>
      <c r="I92" s="53" t="str">
        <f t="shared" si="27"/>
        <v>N.M.</v>
      </c>
      <c r="J92" s="174"/>
      <c r="K92" s="256">
        <v>481475.91000000003</v>
      </c>
      <c r="L92" s="16">
        <f t="shared" si="28"/>
        <v>29357.429999999993</v>
      </c>
      <c r="M92" s="53" t="str">
        <f t="shared" si="29"/>
        <v>N.M.</v>
      </c>
      <c r="N92" s="174"/>
      <c r="O92" s="256">
        <v>0</v>
      </c>
      <c r="P92" s="16">
        <f t="shared" si="30"/>
        <v>510833.34</v>
      </c>
      <c r="Q92" s="53" t="str">
        <f t="shared" si="31"/>
        <v>N.M.</v>
      </c>
    </row>
    <row r="93" spans="1:17" s="15" customFormat="1" ht="12.75" hidden="1" outlineLevel="2">
      <c r="A93" s="15" t="s">
        <v>470</v>
      </c>
      <c r="B93" s="15" t="s">
        <v>471</v>
      </c>
      <c r="C93" s="134" t="s">
        <v>472</v>
      </c>
      <c r="D93" s="16"/>
      <c r="E93" s="16"/>
      <c r="F93" s="16">
        <v>97418.81</v>
      </c>
      <c r="G93" s="16">
        <v>0</v>
      </c>
      <c r="H93" s="16">
        <f t="shared" si="26"/>
        <v>97418.81</v>
      </c>
      <c r="I93" s="53" t="str">
        <f t="shared" si="27"/>
        <v>N.M.</v>
      </c>
      <c r="J93" s="174"/>
      <c r="K93" s="256">
        <v>62672.11</v>
      </c>
      <c r="L93" s="16">
        <f t="shared" si="28"/>
        <v>34746.7</v>
      </c>
      <c r="M93" s="53" t="str">
        <f t="shared" si="29"/>
        <v>N.M.</v>
      </c>
      <c r="N93" s="174"/>
      <c r="O93" s="256">
        <v>0</v>
      </c>
      <c r="P93" s="16">
        <f t="shared" si="30"/>
        <v>97418.81</v>
      </c>
      <c r="Q93" s="53" t="str">
        <f t="shared" si="31"/>
        <v>N.M.</v>
      </c>
    </row>
    <row r="94" spans="1:17" s="67" customFormat="1" ht="12.75" collapsed="1">
      <c r="A94" s="67" t="s">
        <v>141</v>
      </c>
      <c r="B94" s="87"/>
      <c r="C94" s="82" t="s">
        <v>101</v>
      </c>
      <c r="D94" s="66"/>
      <c r="E94" s="66"/>
      <c r="F94" s="51">
        <v>14020296.929000001</v>
      </c>
      <c r="G94" s="51">
        <v>13865103.447999997</v>
      </c>
      <c r="H94" s="51">
        <f>+F94-G94</f>
        <v>155193.48100000434</v>
      </c>
      <c r="I94" s="136">
        <f>IF(G94&lt;0,IF(H94=0,0,IF(OR(G94=0,F94=0),"N.M.",IF(ABS(H94/G94)&gt;=10,"N.M.",H94/(-G94)))),IF(H94=0,0,IF(OR(G94=0,F94=0),"N.M.",IF(ABS(H94/G94)&gt;=10,"N.M.",H94/G94))))</f>
        <v>0.011193099393888083</v>
      </c>
      <c r="J94" s="157"/>
      <c r="K94" s="51">
        <v>10760762.259000001</v>
      </c>
      <c r="L94" s="51">
        <f>+F94-K94</f>
        <v>3259534.67</v>
      </c>
      <c r="M94" s="136" t="str">
        <f>IF(K94&lt;0,IF(L94=0,0,IF(OR(K94=0,N94=0),"N.M.",IF(ABS(L94/K94)&gt;=10,"N.M.",L94/(-K94)))),IF(L94=0,0,IF(OR(K94=0,N94=0),"N.M.",IF(ABS(L94/K94)&gt;=10,"N.M.",L94/K94))))</f>
        <v>N.M.</v>
      </c>
      <c r="N94" s="157"/>
      <c r="O94" s="51">
        <v>13069005.580000004</v>
      </c>
      <c r="P94" s="51">
        <f>+F94-O94</f>
        <v>951291.3489999976</v>
      </c>
      <c r="Q94" s="136">
        <f>IF(O94&lt;0,IF(P94=0,0,IF(OR(O94=0,F94=0),"N.M.",IF(ABS(P94/O94)&gt;=10,"N.M.",P94/(-O94)))),IF(P94=0,0,IF(OR(O94=0,F94=0),"N.M.",IF(ABS(P94/O94)&gt;=10,"N.M.",P94/O94))))</f>
        <v>0.07278988008512254</v>
      </c>
    </row>
    <row r="95" spans="2:17" s="67" customFormat="1" ht="0.75" customHeight="1" hidden="1" outlineLevel="1">
      <c r="B95" s="87"/>
      <c r="C95" s="82"/>
      <c r="D95" s="66"/>
      <c r="E95" s="66"/>
      <c r="F95" s="51"/>
      <c r="G95" s="51"/>
      <c r="H95" s="51"/>
      <c r="I95" s="136"/>
      <c r="J95" s="157"/>
      <c r="K95" s="51"/>
      <c r="L95" s="51"/>
      <c r="M95" s="136"/>
      <c r="N95" s="157"/>
      <c r="O95" s="51"/>
      <c r="P95" s="51"/>
      <c r="Q95" s="136"/>
    </row>
    <row r="96" spans="1:17" s="15" customFormat="1" ht="12.75" hidden="1" outlineLevel="2">
      <c r="A96" s="15" t="s">
        <v>473</v>
      </c>
      <c r="B96" s="15" t="s">
        <v>474</v>
      </c>
      <c r="C96" s="134" t="s">
        <v>475</v>
      </c>
      <c r="D96" s="16"/>
      <c r="E96" s="16"/>
      <c r="F96" s="16">
        <v>0</v>
      </c>
      <c r="G96" s="16">
        <v>180587.47</v>
      </c>
      <c r="H96" s="16">
        <f aca="true" t="shared" si="32" ref="H96:H109">+F96-G96</f>
        <v>-180587.47</v>
      </c>
      <c r="I96" s="53" t="str">
        <f aca="true" t="shared" si="33" ref="I96:I109">IF(G96&lt;0,IF(H96=0,0,IF(OR(G96=0,F96=0),"N.M.",IF(ABS(H96/G96)&gt;=10,"N.M.",H96/(-G96)))),IF(H96=0,0,IF(OR(G96=0,F96=0),"N.M.",IF(ABS(H96/G96)&gt;=10,"N.M.",H96/G96))))</f>
        <v>N.M.</v>
      </c>
      <c r="J96" s="174"/>
      <c r="K96" s="256">
        <v>0</v>
      </c>
      <c r="L96" s="16">
        <f aca="true" t="shared" si="34" ref="L96:L109">+F96-K96</f>
        <v>0</v>
      </c>
      <c r="M96" s="53">
        <f aca="true" t="shared" si="35" ref="M96:M109">IF(K96&lt;0,IF(L96=0,0,IF(OR(K96=0,N96=0),"N.M.",IF(ABS(L96/K96)&gt;=10,"N.M.",L96/(-K96)))),IF(L96=0,0,IF(OR(K96=0,N96=0),"N.M.",IF(ABS(L96/K96)&gt;=10,"N.M.",L96/K96))))</f>
        <v>0</v>
      </c>
      <c r="N96" s="174"/>
      <c r="O96" s="256">
        <v>325656.03</v>
      </c>
      <c r="P96" s="16">
        <f aca="true" t="shared" si="36" ref="P96:P109">+F96-O96</f>
        <v>-325656.03</v>
      </c>
      <c r="Q96" s="53" t="str">
        <f aca="true" t="shared" si="37" ref="Q96:Q109">IF(O96&lt;0,IF(P96=0,0,IF(OR(O96=0,F96=0),"N.M.",IF(ABS(P96/O96)&gt;=10,"N.M.",P96/(-O96)))),IF(P96=0,0,IF(OR(O96=0,F96=0),"N.M.",IF(ABS(P96/O96)&gt;=10,"N.M.",P96/O96))))</f>
        <v>N.M.</v>
      </c>
    </row>
    <row r="97" spans="1:17" s="15" customFormat="1" ht="12.75" hidden="1" outlineLevel="2">
      <c r="A97" s="15" t="s">
        <v>476</v>
      </c>
      <c r="B97" s="15" t="s">
        <v>477</v>
      </c>
      <c r="C97" s="134" t="s">
        <v>478</v>
      </c>
      <c r="D97" s="16"/>
      <c r="E97" s="16"/>
      <c r="F97" s="16">
        <v>74102.65000000001</v>
      </c>
      <c r="G97" s="16">
        <v>106437.86</v>
      </c>
      <c r="H97" s="16">
        <f t="shared" si="32"/>
        <v>-32335.209999999992</v>
      </c>
      <c r="I97" s="53">
        <f t="shared" si="33"/>
        <v>-0.30379425140640737</v>
      </c>
      <c r="J97" s="174"/>
      <c r="K97" s="256">
        <v>73727.65000000001</v>
      </c>
      <c r="L97" s="16">
        <f t="shared" si="34"/>
        <v>375</v>
      </c>
      <c r="M97" s="53" t="str">
        <f t="shared" si="35"/>
        <v>N.M.</v>
      </c>
      <c r="N97" s="174"/>
      <c r="O97" s="256">
        <v>100857.22</v>
      </c>
      <c r="P97" s="16">
        <f t="shared" si="36"/>
        <v>-26754.569999999992</v>
      </c>
      <c r="Q97" s="53">
        <f t="shared" si="37"/>
        <v>-0.26527173761085215</v>
      </c>
    </row>
    <row r="98" spans="1:17" s="15" customFormat="1" ht="12.75" hidden="1" outlineLevel="2">
      <c r="A98" s="15" t="s">
        <v>479</v>
      </c>
      <c r="B98" s="15" t="s">
        <v>480</v>
      </c>
      <c r="C98" s="134" t="s">
        <v>481</v>
      </c>
      <c r="D98" s="16"/>
      <c r="E98" s="16"/>
      <c r="F98" s="16">
        <v>849581.9</v>
      </c>
      <c r="G98" s="16">
        <v>1657143.3900000001</v>
      </c>
      <c r="H98" s="16">
        <f t="shared" si="32"/>
        <v>-807561.4900000001</v>
      </c>
      <c r="I98" s="53">
        <f t="shared" si="33"/>
        <v>-0.48732143209405676</v>
      </c>
      <c r="J98" s="174"/>
      <c r="K98" s="256">
        <v>791795.7000000001</v>
      </c>
      <c r="L98" s="16">
        <f t="shared" si="34"/>
        <v>57786.19999999995</v>
      </c>
      <c r="M98" s="53" t="str">
        <f t="shared" si="35"/>
        <v>N.M.</v>
      </c>
      <c r="N98" s="174"/>
      <c r="O98" s="256">
        <v>1865052.0899999999</v>
      </c>
      <c r="P98" s="16">
        <f t="shared" si="36"/>
        <v>-1015470.1899999998</v>
      </c>
      <c r="Q98" s="53">
        <f t="shared" si="37"/>
        <v>-0.5444728302467948</v>
      </c>
    </row>
    <row r="99" spans="1:17" s="15" customFormat="1" ht="12.75" hidden="1" outlineLevel="2">
      <c r="A99" s="15" t="s">
        <v>482</v>
      </c>
      <c r="B99" s="15" t="s">
        <v>483</v>
      </c>
      <c r="C99" s="134" t="s">
        <v>484</v>
      </c>
      <c r="D99" s="16"/>
      <c r="E99" s="16"/>
      <c r="F99" s="16">
        <v>23711.99</v>
      </c>
      <c r="G99" s="16">
        <v>85353</v>
      </c>
      <c r="H99" s="16">
        <f t="shared" si="32"/>
        <v>-61641.009999999995</v>
      </c>
      <c r="I99" s="53">
        <f t="shared" si="33"/>
        <v>-0.7221891439082399</v>
      </c>
      <c r="J99" s="174"/>
      <c r="K99" s="256">
        <v>27252</v>
      </c>
      <c r="L99" s="16">
        <f t="shared" si="34"/>
        <v>-3540.0099999999984</v>
      </c>
      <c r="M99" s="53" t="str">
        <f t="shared" si="35"/>
        <v>N.M.</v>
      </c>
      <c r="N99" s="174"/>
      <c r="O99" s="256">
        <v>83410.65000000001</v>
      </c>
      <c r="P99" s="16">
        <f t="shared" si="36"/>
        <v>-59698.66</v>
      </c>
      <c r="Q99" s="53">
        <f t="shared" si="37"/>
        <v>-0.7157198750998823</v>
      </c>
    </row>
    <row r="100" spans="1:17" s="15" customFormat="1" ht="12.75" hidden="1" outlineLevel="2">
      <c r="A100" s="15" t="s">
        <v>485</v>
      </c>
      <c r="B100" s="15" t="s">
        <v>486</v>
      </c>
      <c r="C100" s="134" t="s">
        <v>487</v>
      </c>
      <c r="D100" s="16"/>
      <c r="E100" s="16"/>
      <c r="F100" s="16">
        <v>-36861.004</v>
      </c>
      <c r="G100" s="16">
        <v>-94087.004</v>
      </c>
      <c r="H100" s="16">
        <f t="shared" si="32"/>
        <v>57226</v>
      </c>
      <c r="I100" s="53">
        <f t="shared" si="33"/>
        <v>0.6082242771807251</v>
      </c>
      <c r="J100" s="174"/>
      <c r="K100" s="256">
        <v>-40241.004</v>
      </c>
      <c r="L100" s="16">
        <f t="shared" si="34"/>
        <v>3380</v>
      </c>
      <c r="M100" s="53" t="str">
        <f t="shared" si="35"/>
        <v>N.M.</v>
      </c>
      <c r="N100" s="174"/>
      <c r="O100" s="256">
        <v>-92404.654</v>
      </c>
      <c r="P100" s="16">
        <f t="shared" si="36"/>
        <v>55543.649999999994</v>
      </c>
      <c r="Q100" s="53">
        <f t="shared" si="37"/>
        <v>0.601091477492032</v>
      </c>
    </row>
    <row r="101" spans="1:17" s="15" customFormat="1" ht="12.75" hidden="1" outlineLevel="2">
      <c r="A101" s="15" t="s">
        <v>488</v>
      </c>
      <c r="B101" s="15" t="s">
        <v>489</v>
      </c>
      <c r="C101" s="134" t="s">
        <v>490</v>
      </c>
      <c r="D101" s="16"/>
      <c r="E101" s="16"/>
      <c r="F101" s="16">
        <v>0</v>
      </c>
      <c r="G101" s="16">
        <v>23380.86</v>
      </c>
      <c r="H101" s="16">
        <f t="shared" si="32"/>
        <v>-23380.86</v>
      </c>
      <c r="I101" s="53" t="str">
        <f t="shared" si="33"/>
        <v>N.M.</v>
      </c>
      <c r="J101" s="174"/>
      <c r="K101" s="256">
        <v>0</v>
      </c>
      <c r="L101" s="16">
        <f t="shared" si="34"/>
        <v>0</v>
      </c>
      <c r="M101" s="53">
        <f t="shared" si="35"/>
        <v>0</v>
      </c>
      <c r="N101" s="174"/>
      <c r="O101" s="256">
        <v>2763.16</v>
      </c>
      <c r="P101" s="16">
        <f t="shared" si="36"/>
        <v>-2763.16</v>
      </c>
      <c r="Q101" s="53" t="str">
        <f t="shared" si="37"/>
        <v>N.M.</v>
      </c>
    </row>
    <row r="102" spans="1:17" s="15" customFormat="1" ht="12.75" hidden="1" outlineLevel="2">
      <c r="A102" s="15" t="s">
        <v>491</v>
      </c>
      <c r="B102" s="15" t="s">
        <v>492</v>
      </c>
      <c r="C102" s="134" t="s">
        <v>463</v>
      </c>
      <c r="D102" s="16"/>
      <c r="E102" s="16"/>
      <c r="F102" s="16">
        <v>0</v>
      </c>
      <c r="G102" s="16">
        <v>-0.002</v>
      </c>
      <c r="H102" s="16">
        <f t="shared" si="32"/>
        <v>0.002</v>
      </c>
      <c r="I102" s="53" t="str">
        <f t="shared" si="33"/>
        <v>N.M.</v>
      </c>
      <c r="J102" s="174"/>
      <c r="K102" s="256">
        <v>0</v>
      </c>
      <c r="L102" s="16">
        <f t="shared" si="34"/>
        <v>0</v>
      </c>
      <c r="M102" s="53">
        <f t="shared" si="35"/>
        <v>0</v>
      </c>
      <c r="N102" s="174"/>
      <c r="O102" s="256">
        <v>257295.968</v>
      </c>
      <c r="P102" s="16">
        <f t="shared" si="36"/>
        <v>-257295.968</v>
      </c>
      <c r="Q102" s="53" t="str">
        <f t="shared" si="37"/>
        <v>N.M.</v>
      </c>
    </row>
    <row r="103" spans="1:17" s="15" customFormat="1" ht="12.75" hidden="1" outlineLevel="2">
      <c r="A103" s="15" t="s">
        <v>493</v>
      </c>
      <c r="B103" s="15" t="s">
        <v>494</v>
      </c>
      <c r="C103" s="134" t="s">
        <v>495</v>
      </c>
      <c r="D103" s="16"/>
      <c r="E103" s="16"/>
      <c r="F103" s="16">
        <v>3297.01</v>
      </c>
      <c r="G103" s="16">
        <v>544.6800000000001</v>
      </c>
      <c r="H103" s="16">
        <f t="shared" si="32"/>
        <v>2752.33</v>
      </c>
      <c r="I103" s="53">
        <f t="shared" si="33"/>
        <v>5.053113754865241</v>
      </c>
      <c r="J103" s="174"/>
      <c r="K103" s="256">
        <v>1890.29</v>
      </c>
      <c r="L103" s="16">
        <f t="shared" si="34"/>
        <v>1406.7200000000003</v>
      </c>
      <c r="M103" s="53" t="str">
        <f t="shared" si="35"/>
        <v>N.M.</v>
      </c>
      <c r="N103" s="174"/>
      <c r="O103" s="256">
        <v>456.68</v>
      </c>
      <c r="P103" s="16">
        <f t="shared" si="36"/>
        <v>2840.3300000000004</v>
      </c>
      <c r="Q103" s="53">
        <f t="shared" si="37"/>
        <v>6.219519138127355</v>
      </c>
    </row>
    <row r="104" spans="1:17" s="15" customFormat="1" ht="12.75" hidden="1" outlineLevel="2">
      <c r="A104" s="15" t="s">
        <v>496</v>
      </c>
      <c r="B104" s="15" t="s">
        <v>497</v>
      </c>
      <c r="C104" s="134" t="s">
        <v>498</v>
      </c>
      <c r="D104" s="16"/>
      <c r="E104" s="16"/>
      <c r="F104" s="16">
        <v>0</v>
      </c>
      <c r="G104" s="16">
        <v>4704.99</v>
      </c>
      <c r="H104" s="16">
        <f t="shared" si="32"/>
        <v>-4704.99</v>
      </c>
      <c r="I104" s="53" t="str">
        <f t="shared" si="33"/>
        <v>N.M.</v>
      </c>
      <c r="J104" s="174"/>
      <c r="K104" s="256">
        <v>0</v>
      </c>
      <c r="L104" s="16">
        <f t="shared" si="34"/>
        <v>0</v>
      </c>
      <c r="M104" s="53">
        <f t="shared" si="35"/>
        <v>0</v>
      </c>
      <c r="N104" s="174"/>
      <c r="O104" s="256">
        <v>278507.72000000003</v>
      </c>
      <c r="P104" s="16">
        <f t="shared" si="36"/>
        <v>-278507.72000000003</v>
      </c>
      <c r="Q104" s="53" t="str">
        <f t="shared" si="37"/>
        <v>N.M.</v>
      </c>
    </row>
    <row r="105" spans="1:17" s="15" customFormat="1" ht="12.75" hidden="1" outlineLevel="2">
      <c r="A105" s="15" t="s">
        <v>499</v>
      </c>
      <c r="B105" s="15" t="s">
        <v>500</v>
      </c>
      <c r="C105" s="134" t="s">
        <v>501</v>
      </c>
      <c r="D105" s="16"/>
      <c r="E105" s="16"/>
      <c r="F105" s="16">
        <v>0</v>
      </c>
      <c r="G105" s="16">
        <v>21531.64</v>
      </c>
      <c r="H105" s="16">
        <f t="shared" si="32"/>
        <v>-21531.64</v>
      </c>
      <c r="I105" s="53" t="str">
        <f t="shared" si="33"/>
        <v>N.M.</v>
      </c>
      <c r="J105" s="174"/>
      <c r="K105" s="256">
        <v>0</v>
      </c>
      <c r="L105" s="16">
        <f t="shared" si="34"/>
        <v>0</v>
      </c>
      <c r="M105" s="53">
        <f t="shared" si="35"/>
        <v>0</v>
      </c>
      <c r="N105" s="174"/>
      <c r="O105" s="256">
        <v>21531.64</v>
      </c>
      <c r="P105" s="16">
        <f t="shared" si="36"/>
        <v>-21531.64</v>
      </c>
      <c r="Q105" s="53" t="str">
        <f t="shared" si="37"/>
        <v>N.M.</v>
      </c>
    </row>
    <row r="106" spans="1:17" s="15" customFormat="1" ht="12.75" hidden="1" outlineLevel="2">
      <c r="A106" s="15" t="s">
        <v>502</v>
      </c>
      <c r="B106" s="15" t="s">
        <v>503</v>
      </c>
      <c r="C106" s="134" t="s">
        <v>504</v>
      </c>
      <c r="D106" s="16"/>
      <c r="E106" s="16"/>
      <c r="F106" s="16">
        <v>-271502</v>
      </c>
      <c r="G106" s="16">
        <v>1716000</v>
      </c>
      <c r="H106" s="16">
        <f t="shared" si="32"/>
        <v>-1987502</v>
      </c>
      <c r="I106" s="53">
        <f t="shared" si="33"/>
        <v>-1.1582179487179487</v>
      </c>
      <c r="J106" s="174"/>
      <c r="K106" s="256">
        <v>-190350</v>
      </c>
      <c r="L106" s="16">
        <f t="shared" si="34"/>
        <v>-81152</v>
      </c>
      <c r="M106" s="53" t="str">
        <f t="shared" si="35"/>
        <v>N.M.</v>
      </c>
      <c r="N106" s="174"/>
      <c r="O106" s="256">
        <v>-634767</v>
      </c>
      <c r="P106" s="16">
        <f t="shared" si="36"/>
        <v>363265</v>
      </c>
      <c r="Q106" s="53">
        <f t="shared" si="37"/>
        <v>0.5722808526593223</v>
      </c>
    </row>
    <row r="107" spans="1:17" s="15" customFormat="1" ht="12.75" hidden="1" outlineLevel="2">
      <c r="A107" s="15" t="s">
        <v>505</v>
      </c>
      <c r="B107" s="15" t="s">
        <v>506</v>
      </c>
      <c r="C107" s="134" t="s">
        <v>507</v>
      </c>
      <c r="D107" s="16"/>
      <c r="E107" s="16"/>
      <c r="F107" s="16">
        <v>796514</v>
      </c>
      <c r="G107" s="16">
        <v>0</v>
      </c>
      <c r="H107" s="16">
        <f t="shared" si="32"/>
        <v>796514</v>
      </c>
      <c r="I107" s="53" t="str">
        <f t="shared" si="33"/>
        <v>N.M.</v>
      </c>
      <c r="J107" s="174"/>
      <c r="K107" s="256">
        <v>796514</v>
      </c>
      <c r="L107" s="16">
        <f t="shared" si="34"/>
        <v>0</v>
      </c>
      <c r="M107" s="53">
        <f t="shared" si="35"/>
        <v>0</v>
      </c>
      <c r="N107" s="174"/>
      <c r="O107" s="256">
        <v>796514</v>
      </c>
      <c r="P107" s="16">
        <f t="shared" si="36"/>
        <v>0</v>
      </c>
      <c r="Q107" s="53">
        <f t="shared" si="37"/>
        <v>0</v>
      </c>
    </row>
    <row r="108" spans="1:17" s="15" customFormat="1" ht="12.75" hidden="1" outlineLevel="2">
      <c r="A108" s="15" t="s">
        <v>508</v>
      </c>
      <c r="B108" s="15" t="s">
        <v>509</v>
      </c>
      <c r="C108" s="134" t="s">
        <v>510</v>
      </c>
      <c r="D108" s="16"/>
      <c r="E108" s="16"/>
      <c r="F108" s="16">
        <v>137084</v>
      </c>
      <c r="G108" s="16">
        <v>0</v>
      </c>
      <c r="H108" s="16">
        <f t="shared" si="32"/>
        <v>137084</v>
      </c>
      <c r="I108" s="53" t="str">
        <f t="shared" si="33"/>
        <v>N.M.</v>
      </c>
      <c r="J108" s="174"/>
      <c r="K108" s="256">
        <v>137084</v>
      </c>
      <c r="L108" s="16">
        <f t="shared" si="34"/>
        <v>0</v>
      </c>
      <c r="M108" s="53">
        <f t="shared" si="35"/>
        <v>0</v>
      </c>
      <c r="N108" s="174"/>
      <c r="O108" s="256">
        <v>137084</v>
      </c>
      <c r="P108" s="16">
        <f t="shared" si="36"/>
        <v>0</v>
      </c>
      <c r="Q108" s="53">
        <f t="shared" si="37"/>
        <v>0</v>
      </c>
    </row>
    <row r="109" spans="1:17" s="15" customFormat="1" ht="12.75" hidden="1" outlineLevel="2">
      <c r="A109" s="15" t="s">
        <v>511</v>
      </c>
      <c r="B109" s="15" t="s">
        <v>512</v>
      </c>
      <c r="C109" s="134" t="s">
        <v>513</v>
      </c>
      <c r="D109" s="16"/>
      <c r="E109" s="16"/>
      <c r="F109" s="16">
        <v>2043115.21</v>
      </c>
      <c r="G109" s="16">
        <v>1918636.6099999999</v>
      </c>
      <c r="H109" s="16">
        <f t="shared" si="32"/>
        <v>124478.6000000001</v>
      </c>
      <c r="I109" s="53">
        <f t="shared" si="33"/>
        <v>0.06487867444580873</v>
      </c>
      <c r="J109" s="174"/>
      <c r="K109" s="256">
        <v>1842765.62</v>
      </c>
      <c r="L109" s="16">
        <f t="shared" si="34"/>
        <v>200349.58999999985</v>
      </c>
      <c r="M109" s="53" t="str">
        <f t="shared" si="35"/>
        <v>N.M.</v>
      </c>
      <c r="N109" s="174"/>
      <c r="O109" s="256">
        <v>2073414.74</v>
      </c>
      <c r="P109" s="16">
        <f t="shared" si="36"/>
        <v>-30299.530000000028</v>
      </c>
      <c r="Q109" s="53">
        <f t="shared" si="37"/>
        <v>-0.014613347448277535</v>
      </c>
    </row>
    <row r="110" spans="1:17" s="67" customFormat="1" ht="12.75" collapsed="1">
      <c r="A110" s="67" t="s">
        <v>142</v>
      </c>
      <c r="B110" s="87"/>
      <c r="C110" s="82" t="s">
        <v>102</v>
      </c>
      <c r="D110" s="66"/>
      <c r="E110" s="66"/>
      <c r="F110" s="51">
        <v>3619043.756</v>
      </c>
      <c r="G110" s="51">
        <v>5620233.494</v>
      </c>
      <c r="H110" s="51">
        <f>+F110-G110</f>
        <v>-2001189.738</v>
      </c>
      <c r="I110" s="136">
        <f>IF(G110&lt;0,IF(H110=0,0,IF(OR(G110=0,F110=0),"N.M.",IF(ABS(H110/G110)&gt;=10,"N.M.",H110/(-G110)))),IF(H110=0,0,IF(OR(G110=0,F110=0),"N.M.",IF(ABS(H110/G110)&gt;=10,"N.M.",H110/G110))))</f>
        <v>-0.356068789692886</v>
      </c>
      <c r="J110" s="157"/>
      <c r="K110" s="51">
        <v>3440438.256</v>
      </c>
      <c r="L110" s="51">
        <f>+F110-K110</f>
        <v>178605.5</v>
      </c>
      <c r="M110" s="136" t="str">
        <f>IF(K110&lt;0,IF(L110=0,0,IF(OR(K110=0,N110=0),"N.M.",IF(ABS(L110/K110)&gt;=10,"N.M.",L110/(-K110)))),IF(L110=0,0,IF(OR(K110=0,N110=0),"N.M.",IF(ABS(L110/K110)&gt;=10,"N.M.",L110/K110))))</f>
        <v>N.M.</v>
      </c>
      <c r="N110" s="157"/>
      <c r="O110" s="51">
        <v>5215372.244</v>
      </c>
      <c r="P110" s="51">
        <f>+F110-O110</f>
        <v>-1596328.488</v>
      </c>
      <c r="Q110" s="136">
        <f>IF(O110&lt;0,IF(P110=0,0,IF(OR(O110=0,F110=0),"N.M.",IF(ABS(P110/O110)&gt;=10,"N.M.",P110/(-O110)))),IF(P110=0,0,IF(OR(O110=0,F110=0),"N.M.",IF(ABS(P110/O110)&gt;=10,"N.M.",P110/O110))))</f>
        <v>-0.3060814095938192</v>
      </c>
    </row>
    <row r="111" spans="2:17" s="67" customFormat="1" ht="0.75" customHeight="1" hidden="1" outlineLevel="1">
      <c r="B111" s="87"/>
      <c r="C111" s="82"/>
      <c r="D111" s="66"/>
      <c r="E111" s="66"/>
      <c r="F111" s="51"/>
      <c r="G111" s="51"/>
      <c r="H111" s="51"/>
      <c r="I111" s="136"/>
      <c r="J111" s="157"/>
      <c r="K111" s="51"/>
      <c r="L111" s="51"/>
      <c r="M111" s="136"/>
      <c r="N111" s="157"/>
      <c r="O111" s="51"/>
      <c r="P111" s="51"/>
      <c r="Q111" s="136"/>
    </row>
    <row r="112" spans="1:17" s="15" customFormat="1" ht="12.75" hidden="1" outlineLevel="2">
      <c r="A112" s="15" t="s">
        <v>514</v>
      </c>
      <c r="B112" s="15" t="s">
        <v>515</v>
      </c>
      <c r="C112" s="134" t="s">
        <v>516</v>
      </c>
      <c r="D112" s="16"/>
      <c r="E112" s="16"/>
      <c r="F112" s="16">
        <v>-6199.97</v>
      </c>
      <c r="G112" s="16">
        <v>-65008.74</v>
      </c>
      <c r="H112" s="16">
        <f>+F112-G112</f>
        <v>58808.77</v>
      </c>
      <c r="I112" s="53">
        <f>IF(G112&lt;0,IF(H112=0,0,IF(OR(G112=0,F112=0),"N.M.",IF(ABS(H112/G112)&gt;=10,"N.M.",H112/(-G112)))),IF(H112=0,0,IF(OR(G112=0,F112=0),"N.M.",IF(ABS(H112/G112)&gt;=10,"N.M.",H112/G112))))</f>
        <v>0.9046286699296125</v>
      </c>
      <c r="J112" s="174"/>
      <c r="K112" s="256">
        <v>-6710.84</v>
      </c>
      <c r="L112" s="16">
        <f>+F112-K112</f>
        <v>510.8699999999999</v>
      </c>
      <c r="M112" s="53" t="str">
        <f>IF(K112&lt;0,IF(L112=0,0,IF(OR(K112=0,N112=0),"N.M.",IF(ABS(L112/K112)&gt;=10,"N.M.",L112/(-K112)))),IF(L112=0,0,IF(OR(K112=0,N112=0),"N.M.",IF(ABS(L112/K112)&gt;=10,"N.M.",L112/K112))))</f>
        <v>N.M.</v>
      </c>
      <c r="N112" s="174"/>
      <c r="O112" s="256">
        <v>-22676.54</v>
      </c>
      <c r="P112" s="16">
        <f>+F112-O112</f>
        <v>16476.57</v>
      </c>
      <c r="Q112" s="53">
        <f>IF(O112&lt;0,IF(P112=0,0,IF(OR(O112=0,F112=0),"N.M.",IF(ABS(P112/O112)&gt;=10,"N.M.",P112/(-O112)))),IF(P112=0,0,IF(OR(O112=0,F112=0),"N.M.",IF(ABS(P112/O112)&gt;=10,"N.M.",P112/O112))))</f>
        <v>0.726591005506131</v>
      </c>
    </row>
    <row r="113" spans="1:17" s="15" customFormat="1" ht="12.75" hidden="1" outlineLevel="2">
      <c r="A113" s="15" t="s">
        <v>517</v>
      </c>
      <c r="B113" s="15" t="s">
        <v>518</v>
      </c>
      <c r="C113" s="134" t="s">
        <v>519</v>
      </c>
      <c r="D113" s="16"/>
      <c r="E113" s="16"/>
      <c r="F113" s="16">
        <v>-828642.09</v>
      </c>
      <c r="G113" s="16">
        <v>-828642.09</v>
      </c>
      <c r="H113" s="16">
        <f>+F113-G113</f>
        <v>0</v>
      </c>
      <c r="I113" s="53">
        <f>IF(G113&lt;0,IF(H113=0,0,IF(OR(G113=0,F113=0),"N.M.",IF(ABS(H113/G113)&gt;=10,"N.M.",H113/(-G113)))),IF(H113=0,0,IF(OR(G113=0,F113=0),"N.M.",IF(ABS(H113/G113)&gt;=10,"N.M.",H113/G113))))</f>
        <v>0</v>
      </c>
      <c r="J113" s="174"/>
      <c r="K113" s="256">
        <v>-828642.09</v>
      </c>
      <c r="L113" s="16">
        <f>+F113-K113</f>
        <v>0</v>
      </c>
      <c r="M113" s="53">
        <f>IF(K113&lt;0,IF(L113=0,0,IF(OR(K113=0,N113=0),"N.M.",IF(ABS(L113/K113)&gt;=10,"N.M.",L113/(-K113)))),IF(L113=0,0,IF(OR(K113=0,N113=0),"N.M.",IF(ABS(L113/K113)&gt;=10,"N.M.",L113/K113))))</f>
        <v>0</v>
      </c>
      <c r="N113" s="174"/>
      <c r="O113" s="256">
        <v>-828642.09</v>
      </c>
      <c r="P113" s="16">
        <f>+F113-O113</f>
        <v>0</v>
      </c>
      <c r="Q113" s="53">
        <f>IF(O113&lt;0,IF(P113=0,0,IF(OR(O113=0,F113=0),"N.M.",IF(ABS(P113/O113)&gt;=10,"N.M.",P113/(-O113)))),IF(P113=0,0,IF(OR(O113=0,F113=0),"N.M.",IF(ABS(P113/O113)&gt;=10,"N.M.",P113/O113))))</f>
        <v>0</v>
      </c>
    </row>
    <row r="114" spans="1:17" s="67" customFormat="1" ht="12.75" collapsed="1">
      <c r="A114" s="67" t="s">
        <v>143</v>
      </c>
      <c r="B114" s="87"/>
      <c r="C114" s="82" t="s">
        <v>103</v>
      </c>
      <c r="D114" s="66"/>
      <c r="E114" s="66"/>
      <c r="F114" s="51">
        <v>-834842.0599999999</v>
      </c>
      <c r="G114" s="51">
        <v>-893650.83</v>
      </c>
      <c r="H114" s="51">
        <f>+F114-G114</f>
        <v>58808.77000000002</v>
      </c>
      <c r="I114" s="136">
        <f>IF(G114&lt;0,IF(H114=0,0,IF(OR(G114=0,F114=0),"N.M.",IF(ABS(H114/G114)&gt;=10,"N.M.",H114/(-G114)))),IF(H114=0,0,IF(OR(G114=0,F114=0),"N.M.",IF(ABS(H114/G114)&gt;=10,"N.M.",H114/G114))))</f>
        <v>0.06580732432151383</v>
      </c>
      <c r="J114" s="157"/>
      <c r="K114" s="51">
        <v>-835352.9299999999</v>
      </c>
      <c r="L114" s="51">
        <f>+F114-K114</f>
        <v>510.86999999999534</v>
      </c>
      <c r="M114" s="136" t="str">
        <f>IF(K114&lt;0,IF(L114=0,0,IF(OR(K114=0,N114=0),"N.M.",IF(ABS(L114/K114)&gt;=10,"N.M.",L114/(-K114)))),IF(L114=0,0,IF(OR(K114=0,N114=0),"N.M.",IF(ABS(L114/K114)&gt;=10,"N.M.",L114/K114))))</f>
        <v>N.M.</v>
      </c>
      <c r="N114" s="157"/>
      <c r="O114" s="51">
        <v>-851318.63</v>
      </c>
      <c r="P114" s="51">
        <f>+F114-O114</f>
        <v>16476.570000000065</v>
      </c>
      <c r="Q114" s="136">
        <f>IF(O114&lt;0,IF(P114=0,0,IF(OR(O114=0,F114=0),"N.M.",IF(ABS(P114/O114)&gt;=10,"N.M.",P114/(-O114)))),IF(P114=0,0,IF(OR(O114=0,F114=0),"N.M.",IF(ABS(P114/O114)&gt;=10,"N.M.",P114/O114))))</f>
        <v>0.01935417529861888</v>
      </c>
    </row>
    <row r="115" spans="2:17" s="67" customFormat="1" ht="0.75" customHeight="1" hidden="1" outlineLevel="1">
      <c r="B115" s="87"/>
      <c r="C115" s="82"/>
      <c r="D115" s="66"/>
      <c r="E115" s="66"/>
      <c r="F115" s="51"/>
      <c r="G115" s="51"/>
      <c r="H115" s="51"/>
      <c r="I115" s="136"/>
      <c r="J115" s="157"/>
      <c r="K115" s="51"/>
      <c r="L115" s="51"/>
      <c r="M115" s="136"/>
      <c r="N115" s="157"/>
      <c r="O115" s="51"/>
      <c r="P115" s="51"/>
      <c r="Q115" s="136"/>
    </row>
    <row r="116" spans="1:17" s="15" customFormat="1" ht="12.75" hidden="1" outlineLevel="2">
      <c r="A116" s="15" t="s">
        <v>520</v>
      </c>
      <c r="B116" s="15" t="s">
        <v>521</v>
      </c>
      <c r="C116" s="134" t="s">
        <v>522</v>
      </c>
      <c r="D116" s="16"/>
      <c r="E116" s="16"/>
      <c r="F116" s="16">
        <v>7140634.54</v>
      </c>
      <c r="G116" s="16">
        <v>4902325.5600000005</v>
      </c>
      <c r="H116" s="16">
        <f aca="true" t="shared" si="38" ref="H116:H123">+F116-G116</f>
        <v>2238308.9799999995</v>
      </c>
      <c r="I116" s="53">
        <f aca="true" t="shared" si="39" ref="I116:I123">IF(G116&lt;0,IF(H116=0,0,IF(OR(G116=0,F116=0),"N.M.",IF(ABS(H116/G116)&gt;=10,"N.M.",H116/(-G116)))),IF(H116=0,0,IF(OR(G116=0,F116=0),"N.M.",IF(ABS(H116/G116)&gt;=10,"N.M.",H116/G116))))</f>
        <v>0.456581055787735</v>
      </c>
      <c r="J116" s="174"/>
      <c r="K116" s="256">
        <v>1893741.3</v>
      </c>
      <c r="L116" s="16">
        <f aca="true" t="shared" si="40" ref="L116:L123">+F116-K116</f>
        <v>5246893.24</v>
      </c>
      <c r="M116" s="53" t="str">
        <f aca="true" t="shared" si="41" ref="M116:M123">IF(K116&lt;0,IF(L116=0,0,IF(OR(K116=0,N116=0),"N.M.",IF(ABS(L116/K116)&gt;=10,"N.M.",L116/(-K116)))),IF(L116=0,0,IF(OR(K116=0,N116=0),"N.M.",IF(ABS(L116/K116)&gt;=10,"N.M.",L116/K116))))</f>
        <v>N.M.</v>
      </c>
      <c r="N116" s="174"/>
      <c r="O116" s="256">
        <v>5069525.01</v>
      </c>
      <c r="P116" s="16">
        <f aca="true" t="shared" si="42" ref="P116:P123">+F116-O116</f>
        <v>2071109.5300000003</v>
      </c>
      <c r="Q116" s="53">
        <f aca="true" t="shared" si="43" ref="Q116:Q123">IF(O116&lt;0,IF(P116=0,0,IF(OR(O116=0,F116=0),"N.M.",IF(ABS(P116/O116)&gt;=10,"N.M.",P116/(-O116)))),IF(P116=0,0,IF(OR(O116=0,F116=0),"N.M.",IF(ABS(P116/O116)&gt;=10,"N.M.",P116/O116))))</f>
        <v>0.4085411406225611</v>
      </c>
    </row>
    <row r="117" spans="1:17" s="15" customFormat="1" ht="12.75" hidden="1" outlineLevel="2">
      <c r="A117" s="15" t="s">
        <v>523</v>
      </c>
      <c r="B117" s="15" t="s">
        <v>524</v>
      </c>
      <c r="C117" s="134" t="s">
        <v>525</v>
      </c>
      <c r="D117" s="16"/>
      <c r="E117" s="16"/>
      <c r="F117" s="16">
        <v>304224.46</v>
      </c>
      <c r="G117" s="16">
        <v>397720.262</v>
      </c>
      <c r="H117" s="16">
        <f t="shared" si="38"/>
        <v>-93495.80199999997</v>
      </c>
      <c r="I117" s="53">
        <f t="shared" si="39"/>
        <v>-0.23507930305044394</v>
      </c>
      <c r="J117" s="174"/>
      <c r="K117" s="256">
        <v>336385.52</v>
      </c>
      <c r="L117" s="16">
        <f t="shared" si="40"/>
        <v>-32161.059999999998</v>
      </c>
      <c r="M117" s="53" t="str">
        <f t="shared" si="41"/>
        <v>N.M.</v>
      </c>
      <c r="N117" s="174"/>
      <c r="O117" s="256">
        <v>542450.892</v>
      </c>
      <c r="P117" s="16">
        <f t="shared" si="42"/>
        <v>-238226.43199999997</v>
      </c>
      <c r="Q117" s="53">
        <f t="shared" si="43"/>
        <v>-0.4391668177033802</v>
      </c>
    </row>
    <row r="118" spans="1:17" s="15" customFormat="1" ht="12.75" hidden="1" outlineLevel="2">
      <c r="A118" s="15" t="s">
        <v>526</v>
      </c>
      <c r="B118" s="15" t="s">
        <v>527</v>
      </c>
      <c r="C118" s="134" t="s">
        <v>528</v>
      </c>
      <c r="D118" s="16"/>
      <c r="E118" s="16"/>
      <c r="F118" s="16">
        <v>16536.41</v>
      </c>
      <c r="G118" s="16">
        <v>3592.91</v>
      </c>
      <c r="H118" s="16">
        <f t="shared" si="38"/>
        <v>12943.5</v>
      </c>
      <c r="I118" s="53">
        <f t="shared" si="39"/>
        <v>3.6025116131492303</v>
      </c>
      <c r="J118" s="174"/>
      <c r="K118" s="256">
        <v>14382.78</v>
      </c>
      <c r="L118" s="16">
        <f t="shared" si="40"/>
        <v>2153.629999999999</v>
      </c>
      <c r="M118" s="53" t="str">
        <f t="shared" si="41"/>
        <v>N.M.</v>
      </c>
      <c r="N118" s="174"/>
      <c r="O118" s="256">
        <v>0.02</v>
      </c>
      <c r="P118" s="16">
        <f t="shared" si="42"/>
        <v>16536.39</v>
      </c>
      <c r="Q118" s="53" t="str">
        <f t="shared" si="43"/>
        <v>N.M.</v>
      </c>
    </row>
    <row r="119" spans="1:17" s="15" customFormat="1" ht="12.75" hidden="1" outlineLevel="2">
      <c r="A119" s="15" t="s">
        <v>529</v>
      </c>
      <c r="B119" s="15" t="s">
        <v>530</v>
      </c>
      <c r="C119" s="134" t="s">
        <v>531</v>
      </c>
      <c r="D119" s="16"/>
      <c r="E119" s="16"/>
      <c r="F119" s="16">
        <v>1085787.67</v>
      </c>
      <c r="G119" s="16">
        <v>901990.77</v>
      </c>
      <c r="H119" s="16">
        <f t="shared" si="38"/>
        <v>183796.8999999999</v>
      </c>
      <c r="I119" s="53">
        <f t="shared" si="39"/>
        <v>0.20376804964423295</v>
      </c>
      <c r="J119" s="174"/>
      <c r="K119" s="256">
        <v>1605751.52</v>
      </c>
      <c r="L119" s="16">
        <f t="shared" si="40"/>
        <v>-519963.8500000001</v>
      </c>
      <c r="M119" s="53" t="str">
        <f t="shared" si="41"/>
        <v>N.M.</v>
      </c>
      <c r="N119" s="174"/>
      <c r="O119" s="256">
        <v>577998.36</v>
      </c>
      <c r="P119" s="16">
        <f t="shared" si="42"/>
        <v>507789.30999999994</v>
      </c>
      <c r="Q119" s="53">
        <f t="shared" si="43"/>
        <v>0.8785307107099749</v>
      </c>
    </row>
    <row r="120" spans="1:17" s="15" customFormat="1" ht="12.75" hidden="1" outlineLevel="2">
      <c r="A120" s="15" t="s">
        <v>532</v>
      </c>
      <c r="B120" s="15" t="s">
        <v>533</v>
      </c>
      <c r="C120" s="134" t="s">
        <v>534</v>
      </c>
      <c r="D120" s="16"/>
      <c r="E120" s="16"/>
      <c r="F120" s="16">
        <v>0</v>
      </c>
      <c r="G120" s="16">
        <v>588863</v>
      </c>
      <c r="H120" s="16">
        <f t="shared" si="38"/>
        <v>-588863</v>
      </c>
      <c r="I120" s="53" t="str">
        <f t="shared" si="39"/>
        <v>N.M.</v>
      </c>
      <c r="J120" s="174"/>
      <c r="K120" s="256">
        <v>899081</v>
      </c>
      <c r="L120" s="16">
        <f t="shared" si="40"/>
        <v>-899081</v>
      </c>
      <c r="M120" s="53" t="str">
        <f t="shared" si="41"/>
        <v>N.M.</v>
      </c>
      <c r="N120" s="174"/>
      <c r="O120" s="256">
        <v>659338</v>
      </c>
      <c r="P120" s="16">
        <f t="shared" si="42"/>
        <v>-659338</v>
      </c>
      <c r="Q120" s="53" t="str">
        <f t="shared" si="43"/>
        <v>N.M.</v>
      </c>
    </row>
    <row r="121" spans="1:17" s="15" customFormat="1" ht="12.75" hidden="1" outlineLevel="2">
      <c r="A121" s="15" t="s">
        <v>535</v>
      </c>
      <c r="B121" s="15" t="s">
        <v>536</v>
      </c>
      <c r="C121" s="134" t="s">
        <v>537</v>
      </c>
      <c r="D121" s="16"/>
      <c r="E121" s="16"/>
      <c r="F121" s="16">
        <v>0</v>
      </c>
      <c r="G121" s="16">
        <v>0</v>
      </c>
      <c r="H121" s="16">
        <f t="shared" si="38"/>
        <v>0</v>
      </c>
      <c r="I121" s="53">
        <f t="shared" si="39"/>
        <v>0</v>
      </c>
      <c r="J121" s="174"/>
      <c r="K121" s="256">
        <v>1088192</v>
      </c>
      <c r="L121" s="16">
        <f t="shared" si="40"/>
        <v>-1088192</v>
      </c>
      <c r="M121" s="53" t="str">
        <f t="shared" si="41"/>
        <v>N.M.</v>
      </c>
      <c r="N121" s="174"/>
      <c r="O121" s="256">
        <v>833808.62</v>
      </c>
      <c r="P121" s="16">
        <f t="shared" si="42"/>
        <v>-833808.62</v>
      </c>
      <c r="Q121" s="53" t="str">
        <f t="shared" si="43"/>
        <v>N.M.</v>
      </c>
    </row>
    <row r="122" spans="1:17" s="15" customFormat="1" ht="12.75" hidden="1" outlineLevel="2">
      <c r="A122" s="15" t="s">
        <v>538</v>
      </c>
      <c r="B122" s="15" t="s">
        <v>539</v>
      </c>
      <c r="C122" s="134" t="s">
        <v>540</v>
      </c>
      <c r="D122" s="16"/>
      <c r="E122" s="16"/>
      <c r="F122" s="16">
        <v>20856.81</v>
      </c>
      <c r="G122" s="16">
        <v>27439.46</v>
      </c>
      <c r="H122" s="16">
        <f t="shared" si="38"/>
        <v>-6582.649999999998</v>
      </c>
      <c r="I122" s="53">
        <f t="shared" si="39"/>
        <v>-0.2398972137206781</v>
      </c>
      <c r="J122" s="174"/>
      <c r="K122" s="256">
        <v>46572.57</v>
      </c>
      <c r="L122" s="16">
        <f t="shared" si="40"/>
        <v>-25715.76</v>
      </c>
      <c r="M122" s="53" t="str">
        <f t="shared" si="41"/>
        <v>N.M.</v>
      </c>
      <c r="N122" s="174"/>
      <c r="O122" s="256">
        <v>160835.94</v>
      </c>
      <c r="P122" s="16">
        <f t="shared" si="42"/>
        <v>-139979.13</v>
      </c>
      <c r="Q122" s="53">
        <f t="shared" si="43"/>
        <v>-0.8703224540485168</v>
      </c>
    </row>
    <row r="123" spans="1:17" s="15" customFormat="1" ht="12.75" hidden="1" outlineLevel="2">
      <c r="A123" s="15" t="s">
        <v>541</v>
      </c>
      <c r="B123" s="15" t="s">
        <v>542</v>
      </c>
      <c r="C123" s="134" t="s">
        <v>543</v>
      </c>
      <c r="D123" s="16"/>
      <c r="E123" s="16"/>
      <c r="F123" s="16">
        <v>13499.210000000001</v>
      </c>
      <c r="G123" s="16">
        <v>14988.53</v>
      </c>
      <c r="H123" s="16">
        <f t="shared" si="38"/>
        <v>-1489.3199999999997</v>
      </c>
      <c r="I123" s="53">
        <f t="shared" si="39"/>
        <v>-0.09936398032362077</v>
      </c>
      <c r="J123" s="174"/>
      <c r="K123" s="256">
        <v>16706.58</v>
      </c>
      <c r="L123" s="16">
        <f t="shared" si="40"/>
        <v>-3207.370000000001</v>
      </c>
      <c r="M123" s="53" t="str">
        <f t="shared" si="41"/>
        <v>N.M.</v>
      </c>
      <c r="N123" s="174"/>
      <c r="O123" s="256">
        <v>22592.75</v>
      </c>
      <c r="P123" s="16">
        <f t="shared" si="42"/>
        <v>-9093.539999999999</v>
      </c>
      <c r="Q123" s="53">
        <f t="shared" si="43"/>
        <v>-0.40249814652930693</v>
      </c>
    </row>
    <row r="124" spans="1:17" s="67" customFormat="1" ht="12.75" collapsed="1">
      <c r="A124" s="67" t="s">
        <v>144</v>
      </c>
      <c r="B124" s="87"/>
      <c r="C124" s="82" t="s">
        <v>104</v>
      </c>
      <c r="D124" s="66"/>
      <c r="E124" s="66"/>
      <c r="F124" s="51">
        <v>8581539.100000001</v>
      </c>
      <c r="G124" s="51">
        <v>6836920.492000001</v>
      </c>
      <c r="H124" s="51">
        <f>+F124-G124</f>
        <v>1744618.608000001</v>
      </c>
      <c r="I124" s="136">
        <f>IF(G124&lt;0,IF(H124=0,0,IF(OR(G124=0,F124=0),"N.M.",IF(ABS(H124/G124)&gt;=10,"N.M.",H124/(-G124)))),IF(H124=0,0,IF(OR(G124=0,F124=0),"N.M.",IF(ABS(H124/G124)&gt;=10,"N.M.",H124/G124))))</f>
        <v>0.25517608549659304</v>
      </c>
      <c r="J124" s="157"/>
      <c r="K124" s="51">
        <v>5900813.2700000005</v>
      </c>
      <c r="L124" s="51">
        <f>+F124-K124</f>
        <v>2680725.830000001</v>
      </c>
      <c r="M124" s="136" t="str">
        <f>IF(K124&lt;0,IF(L124=0,0,IF(OR(K124=0,N124=0),"N.M.",IF(ABS(L124/K124)&gt;=10,"N.M.",L124/(-K124)))),IF(L124=0,0,IF(OR(K124=0,N124=0),"N.M.",IF(ABS(L124/K124)&gt;=10,"N.M.",L124/K124))))</f>
        <v>N.M.</v>
      </c>
      <c r="N124" s="157"/>
      <c r="O124" s="51">
        <v>7866549.592</v>
      </c>
      <c r="P124" s="51">
        <f>+F124-O124</f>
        <v>714989.5080000013</v>
      </c>
      <c r="Q124" s="136">
        <f>IF(O124&lt;0,IF(P124=0,0,IF(OR(O124=0,F124=0),"N.M.",IF(ABS(P124/O124)&gt;=10,"N.M.",P124/(-O124)))),IF(P124=0,0,IF(OR(O124=0,F124=0),"N.M.",IF(ABS(P124/O124)&gt;=10,"N.M.",P124/O124))))</f>
        <v>0.09088984943629162</v>
      </c>
    </row>
    <row r="125" spans="2:17" s="67" customFormat="1" ht="0.75" customHeight="1" hidden="1" outlineLevel="1">
      <c r="B125" s="87"/>
      <c r="C125" s="82"/>
      <c r="D125" s="66"/>
      <c r="E125" s="66"/>
      <c r="F125" s="51"/>
      <c r="G125" s="51"/>
      <c r="H125" s="51"/>
      <c r="I125" s="136"/>
      <c r="J125" s="157"/>
      <c r="K125" s="51"/>
      <c r="L125" s="51"/>
      <c r="M125" s="136"/>
      <c r="N125" s="157"/>
      <c r="O125" s="51"/>
      <c r="P125" s="51"/>
      <c r="Q125" s="136"/>
    </row>
    <row r="126" spans="1:17" s="15" customFormat="1" ht="12.75" hidden="1" outlineLevel="2">
      <c r="A126" s="15" t="s">
        <v>544</v>
      </c>
      <c r="B126" s="15" t="s">
        <v>545</v>
      </c>
      <c r="C126" s="134" t="s">
        <v>546</v>
      </c>
      <c r="D126" s="16"/>
      <c r="E126" s="16"/>
      <c r="F126" s="16">
        <v>16382346.8</v>
      </c>
      <c r="G126" s="16">
        <v>37461135.99</v>
      </c>
      <c r="H126" s="16">
        <f>+F126-G126</f>
        <v>-21078789.19</v>
      </c>
      <c r="I126" s="53">
        <f>IF(G126&lt;0,IF(H126=0,0,IF(OR(G126=0,F126=0),"N.M.",IF(ABS(H126/G126)&gt;=10,"N.M.",H126/(-G126)))),IF(H126=0,0,IF(OR(G126=0,F126=0),"N.M.",IF(ABS(H126/G126)&gt;=10,"N.M.",H126/G126))))</f>
        <v>-0.5626841961126551</v>
      </c>
      <c r="J126" s="174"/>
      <c r="K126" s="256">
        <v>17179791.54</v>
      </c>
      <c r="L126" s="16">
        <f>+F126-K126</f>
        <v>-797444.7399999984</v>
      </c>
      <c r="M126" s="53" t="str">
        <f>IF(K126&lt;0,IF(L126=0,0,IF(OR(K126=0,N126=0),"N.M.",IF(ABS(L126/K126)&gt;=10,"N.M.",L126/(-K126)))),IF(L126=0,0,IF(OR(K126=0,N126=0),"N.M.",IF(ABS(L126/K126)&gt;=10,"N.M.",L126/K126))))</f>
        <v>N.M.</v>
      </c>
      <c r="N126" s="174"/>
      <c r="O126" s="256">
        <v>34327550.77</v>
      </c>
      <c r="P126" s="16">
        <f>+F126-O126</f>
        <v>-17945203.970000003</v>
      </c>
      <c r="Q126" s="53">
        <f>IF(O126&lt;0,IF(P126=0,0,IF(OR(O126=0,F126=0),"N.M.",IF(ABS(P126/O126)&gt;=10,"N.M.",P126/(-O126)))),IF(P126=0,0,IF(OR(O126=0,F126=0),"N.M.",IF(ABS(P126/O126)&gt;=10,"N.M.",P126/O126))))</f>
        <v>-0.5227638898631509</v>
      </c>
    </row>
    <row r="127" spans="1:17" s="15" customFormat="1" ht="12.75" hidden="1" outlineLevel="2">
      <c r="A127" s="15" t="s">
        <v>547</v>
      </c>
      <c r="B127" s="15" t="s">
        <v>548</v>
      </c>
      <c r="C127" s="134" t="s">
        <v>549</v>
      </c>
      <c r="D127" s="16"/>
      <c r="E127" s="16"/>
      <c r="F127" s="16">
        <v>634995.34</v>
      </c>
      <c r="G127" s="16">
        <v>648587</v>
      </c>
      <c r="H127" s="16">
        <f>+F127-G127</f>
        <v>-13591.660000000033</v>
      </c>
      <c r="I127" s="53">
        <f>IF(G127&lt;0,IF(H127=0,0,IF(OR(G127=0,F127=0),"N.M.",IF(ABS(H127/G127)&gt;=10,"N.M.",H127/(-G127)))),IF(H127=0,0,IF(OR(G127=0,F127=0),"N.M.",IF(ABS(H127/G127)&gt;=10,"N.M.",H127/G127))))</f>
        <v>-0.02095580084090497</v>
      </c>
      <c r="J127" s="174"/>
      <c r="K127" s="256">
        <v>665475.14</v>
      </c>
      <c r="L127" s="16">
        <f>+F127-K127</f>
        <v>-30479.800000000047</v>
      </c>
      <c r="M127" s="53" t="str">
        <f>IF(K127&lt;0,IF(L127=0,0,IF(OR(K127=0,N127=0),"N.M.",IF(ABS(L127/K127)&gt;=10,"N.M.",L127/(-K127)))),IF(L127=0,0,IF(OR(K127=0,N127=0),"N.M.",IF(ABS(L127/K127)&gt;=10,"N.M.",L127/K127))))</f>
        <v>N.M.</v>
      </c>
      <c r="N127" s="174"/>
      <c r="O127" s="256">
        <v>639780.39</v>
      </c>
      <c r="P127" s="16">
        <f>+F127-O127</f>
        <v>-4785.050000000047</v>
      </c>
      <c r="Q127" s="53">
        <f>IF(O127&lt;0,IF(P127=0,0,IF(OR(O127=0,F127=0),"N.M.",IF(ABS(P127/O127)&gt;=10,"N.M.",P127/(-O127)))),IF(P127=0,0,IF(OR(O127=0,F127=0),"N.M.",IF(ABS(P127/O127)&gt;=10,"N.M.",P127/O127))))</f>
        <v>-0.007479207044779923</v>
      </c>
    </row>
    <row r="128" spans="1:17" s="15" customFormat="1" ht="12.75" hidden="1" outlineLevel="2">
      <c r="A128" s="15" t="s">
        <v>550</v>
      </c>
      <c r="B128" s="15" t="s">
        <v>551</v>
      </c>
      <c r="C128" s="134" t="s">
        <v>552</v>
      </c>
      <c r="D128" s="16"/>
      <c r="E128" s="16"/>
      <c r="F128" s="16">
        <v>0</v>
      </c>
      <c r="G128" s="16">
        <v>0</v>
      </c>
      <c r="H128" s="16">
        <f>+F128-G128</f>
        <v>0</v>
      </c>
      <c r="I128" s="53">
        <f>IF(G128&lt;0,IF(H128=0,0,IF(OR(G128=0,F128=0),"N.M.",IF(ABS(H128/G128)&gt;=10,"N.M.",H128/(-G128)))),IF(H128=0,0,IF(OR(G128=0,F128=0),"N.M.",IF(ABS(H128/G128)&gt;=10,"N.M.",H128/G128))))</f>
        <v>0</v>
      </c>
      <c r="J128" s="174"/>
      <c r="K128" s="256">
        <v>0</v>
      </c>
      <c r="L128" s="16">
        <f>+F128-K128</f>
        <v>0</v>
      </c>
      <c r="M128" s="53">
        <f>IF(K128&lt;0,IF(L128=0,0,IF(OR(K128=0,N128=0),"N.M.",IF(ABS(L128/K128)&gt;=10,"N.M.",L128/(-K128)))),IF(L128=0,0,IF(OR(K128=0,N128=0),"N.M.",IF(ABS(L128/K128)&gt;=10,"N.M.",L128/K128))))</f>
        <v>0</v>
      </c>
      <c r="N128" s="174"/>
      <c r="O128" s="256">
        <v>547553.3</v>
      </c>
      <c r="P128" s="16">
        <f>+F128-O128</f>
        <v>-547553.3</v>
      </c>
      <c r="Q128" s="53" t="str">
        <f>IF(O128&lt;0,IF(P128=0,0,IF(OR(O128=0,F128=0),"N.M.",IF(ABS(P128/O128)&gt;=10,"N.M.",P128/(-O128)))),IF(P128=0,0,IF(OR(O128=0,F128=0),"N.M.",IF(ABS(P128/O128)&gt;=10,"N.M.",P128/O128))))</f>
        <v>N.M.</v>
      </c>
    </row>
    <row r="129" spans="1:17" s="15" customFormat="1" ht="12.75" hidden="1" outlineLevel="2">
      <c r="A129" s="15" t="s">
        <v>553</v>
      </c>
      <c r="B129" s="15" t="s">
        <v>554</v>
      </c>
      <c r="C129" s="134" t="s">
        <v>555</v>
      </c>
      <c r="D129" s="16"/>
      <c r="E129" s="16"/>
      <c r="F129" s="16">
        <v>279817.564</v>
      </c>
      <c r="G129" s="16">
        <v>672418.76</v>
      </c>
      <c r="H129" s="16">
        <f>+F129-G129</f>
        <v>-392601.196</v>
      </c>
      <c r="I129" s="53">
        <f>IF(G129&lt;0,IF(H129=0,0,IF(OR(G129=0,F129=0),"N.M.",IF(ABS(H129/G129)&gt;=10,"N.M.",H129/(-G129)))),IF(H129=0,0,IF(OR(G129=0,F129=0),"N.M.",IF(ABS(H129/G129)&gt;=10,"N.M.",H129/G129))))</f>
        <v>-0.5838641325236077</v>
      </c>
      <c r="J129" s="174"/>
      <c r="K129" s="256">
        <v>295515.77</v>
      </c>
      <c r="L129" s="16">
        <f>+F129-K129</f>
        <v>-15698.206000000006</v>
      </c>
      <c r="M129" s="53" t="str">
        <f>IF(K129&lt;0,IF(L129=0,0,IF(OR(K129=0,N129=0),"N.M.",IF(ABS(L129/K129)&gt;=10,"N.M.",L129/(-K129)))),IF(L129=0,0,IF(OR(K129=0,N129=0),"N.M.",IF(ABS(L129/K129)&gt;=10,"N.M.",L129/K129))))</f>
        <v>N.M.</v>
      </c>
      <c r="N129" s="174"/>
      <c r="O129" s="256">
        <v>652947.63</v>
      </c>
      <c r="P129" s="16">
        <f>+F129-O129</f>
        <v>-373130.066</v>
      </c>
      <c r="Q129" s="53">
        <f>IF(O129&lt;0,IF(P129=0,0,IF(OR(O129=0,F129=0),"N.M.",IF(ABS(P129/O129)&gt;=10,"N.M.",P129/(-O129)))),IF(P129=0,0,IF(OR(O129=0,F129=0),"N.M.",IF(ABS(P129/O129)&gt;=10,"N.M.",P129/O129))))</f>
        <v>-0.5714548133056245</v>
      </c>
    </row>
    <row r="130" spans="1:17" s="67" customFormat="1" ht="12.75" collapsed="1">
      <c r="A130" s="67" t="s">
        <v>126</v>
      </c>
      <c r="B130" s="87"/>
      <c r="C130" s="82" t="s">
        <v>105</v>
      </c>
      <c r="D130" s="66"/>
      <c r="E130" s="66"/>
      <c r="F130" s="51">
        <v>17297159.704</v>
      </c>
      <c r="G130" s="51">
        <v>38782141.75</v>
      </c>
      <c r="H130" s="51">
        <f>+F130-G130</f>
        <v>-21484982.046</v>
      </c>
      <c r="I130" s="136">
        <f>IF(G130&lt;0,IF(H130=0,0,IF(OR(G130=0,F130=0),"N.M.",IF(ABS(H130/G130)&gt;=10,"N.M.",H130/(-G130)))),IF(H130=0,0,IF(OR(G130=0,F130=0),"N.M.",IF(ABS(H130/G130)&gt;=10,"N.M.",H130/G130))))</f>
        <v>-0.5539916331722448</v>
      </c>
      <c r="J130" s="157"/>
      <c r="K130" s="51">
        <v>18140782.45</v>
      </c>
      <c r="L130" s="51">
        <f>+F130-K130</f>
        <v>-843622.7459999993</v>
      </c>
      <c r="M130" s="136" t="str">
        <f>IF(K130&lt;0,IF(L130=0,0,IF(OR(K130=0,N130=0),"N.M.",IF(ABS(L130/K130)&gt;=10,"N.M.",L130/(-K130)))),IF(L130=0,0,IF(OR(K130=0,N130=0),"N.M.",IF(ABS(L130/K130)&gt;=10,"N.M.",L130/K130))))</f>
        <v>N.M.</v>
      </c>
      <c r="N130" s="157"/>
      <c r="O130" s="51">
        <v>36167832.09</v>
      </c>
      <c r="P130" s="51">
        <f>+F130-O130</f>
        <v>-18870672.386000004</v>
      </c>
      <c r="Q130" s="136">
        <f>IF(O130&lt;0,IF(P130=0,0,IF(OR(O130=0,F130=0),"N.M.",IF(ABS(P130/O130)&gt;=10,"N.M.",P130/(-O130)))),IF(P130=0,0,IF(OR(O130=0,F130=0),"N.M.",IF(ABS(P130/O130)&gt;=10,"N.M.",P130/O130))))</f>
        <v>-0.5217529305887685</v>
      </c>
    </row>
    <row r="131" spans="2:17" s="67" customFormat="1" ht="0.75" customHeight="1" hidden="1" outlineLevel="1">
      <c r="B131" s="87"/>
      <c r="C131" s="82"/>
      <c r="D131" s="66"/>
      <c r="E131" s="66"/>
      <c r="F131" s="51"/>
      <c r="G131" s="51"/>
      <c r="H131" s="51"/>
      <c r="I131" s="136"/>
      <c r="J131" s="157"/>
      <c r="K131" s="51"/>
      <c r="L131" s="51"/>
      <c r="M131" s="136"/>
      <c r="N131" s="157"/>
      <c r="O131" s="51"/>
      <c r="P131" s="51"/>
      <c r="Q131" s="136"/>
    </row>
    <row r="132" spans="1:17" s="15" customFormat="1" ht="12.75" hidden="1" outlineLevel="2">
      <c r="A132" s="15" t="s">
        <v>556</v>
      </c>
      <c r="B132" s="15" t="s">
        <v>557</v>
      </c>
      <c r="C132" s="134" t="s">
        <v>558</v>
      </c>
      <c r="D132" s="16"/>
      <c r="E132" s="16"/>
      <c r="F132" s="16">
        <v>10919736.62</v>
      </c>
      <c r="G132" s="16">
        <v>9972686.87</v>
      </c>
      <c r="H132" s="16">
        <f aca="true" t="shared" si="44" ref="H132:H145">+F132-G132</f>
        <v>947049.75</v>
      </c>
      <c r="I132" s="53">
        <f aca="true" t="shared" si="45" ref="I132:I145">IF(G132&lt;0,IF(H132=0,0,IF(OR(G132=0,F132=0),"N.M.",IF(ABS(H132/G132)&gt;=10,"N.M.",H132/(-G132)))),IF(H132=0,0,IF(OR(G132=0,F132=0),"N.M.",IF(ABS(H132/G132)&gt;=10,"N.M.",H132/G132))))</f>
        <v>0.09496435237016522</v>
      </c>
      <c r="J132" s="174"/>
      <c r="K132" s="256">
        <v>10500682</v>
      </c>
      <c r="L132" s="16">
        <f aca="true" t="shared" si="46" ref="L132:L145">+F132-K132</f>
        <v>419054.6199999992</v>
      </c>
      <c r="M132" s="53" t="str">
        <f aca="true" t="shared" si="47" ref="M132:M145">IF(K132&lt;0,IF(L132=0,0,IF(OR(K132=0,N132=0),"N.M.",IF(ABS(L132/K132)&gt;=10,"N.M.",L132/(-K132)))),IF(L132=0,0,IF(OR(K132=0,N132=0),"N.M.",IF(ABS(L132/K132)&gt;=10,"N.M.",L132/K132))))</f>
        <v>N.M.</v>
      </c>
      <c r="N132" s="174"/>
      <c r="O132" s="256">
        <v>10099972.28</v>
      </c>
      <c r="P132" s="16">
        <f aca="true" t="shared" si="48" ref="P132:P145">+F132-O132</f>
        <v>819764.3399999999</v>
      </c>
      <c r="Q132" s="53">
        <f aca="true" t="shared" si="49" ref="Q132:Q145">IF(O132&lt;0,IF(P132=0,0,IF(OR(O132=0,F132=0),"N.M.",IF(ABS(P132/O132)&gt;=10,"N.M.",P132/(-O132)))),IF(P132=0,0,IF(OR(O132=0,F132=0),"N.M.",IF(ABS(P132/O132)&gt;=10,"N.M.",P132/O132))))</f>
        <v>0.08116500890040065</v>
      </c>
    </row>
    <row r="133" spans="1:17" s="15" customFormat="1" ht="12.75" hidden="1" outlineLevel="2">
      <c r="A133" s="15" t="s">
        <v>559</v>
      </c>
      <c r="B133" s="15" t="s">
        <v>560</v>
      </c>
      <c r="C133" s="134" t="s">
        <v>561</v>
      </c>
      <c r="D133" s="16"/>
      <c r="E133" s="16"/>
      <c r="F133" s="16">
        <v>42040.637</v>
      </c>
      <c r="G133" s="16">
        <v>44291.257</v>
      </c>
      <c r="H133" s="16">
        <f t="shared" si="44"/>
        <v>-2250.6199999999953</v>
      </c>
      <c r="I133" s="53">
        <f t="shared" si="45"/>
        <v>-0.050814091819520846</v>
      </c>
      <c r="J133" s="174"/>
      <c r="K133" s="256">
        <v>42208.827</v>
      </c>
      <c r="L133" s="16">
        <f t="shared" si="46"/>
        <v>-168.18999999999505</v>
      </c>
      <c r="M133" s="53" t="str">
        <f t="shared" si="47"/>
        <v>N.M.</v>
      </c>
      <c r="N133" s="174"/>
      <c r="O133" s="256">
        <v>42091.137</v>
      </c>
      <c r="P133" s="16">
        <f t="shared" si="48"/>
        <v>-50.5</v>
      </c>
      <c r="Q133" s="53">
        <f t="shared" si="49"/>
        <v>-0.0011997775208590824</v>
      </c>
    </row>
    <row r="134" spans="1:17" s="15" customFormat="1" ht="12.75" hidden="1" outlineLevel="2">
      <c r="A134" s="15" t="s">
        <v>562</v>
      </c>
      <c r="B134" s="15" t="s">
        <v>563</v>
      </c>
      <c r="C134" s="134" t="s">
        <v>564</v>
      </c>
      <c r="D134" s="16"/>
      <c r="E134" s="16"/>
      <c r="F134" s="16">
        <v>245371.51</v>
      </c>
      <c r="G134" s="16">
        <v>176302.04</v>
      </c>
      <c r="H134" s="16">
        <f t="shared" si="44"/>
        <v>69069.47</v>
      </c>
      <c r="I134" s="53">
        <f t="shared" si="45"/>
        <v>0.3917678434123621</v>
      </c>
      <c r="J134" s="174"/>
      <c r="K134" s="256">
        <v>290816.54</v>
      </c>
      <c r="L134" s="16">
        <f t="shared" si="46"/>
        <v>-45445.02999999997</v>
      </c>
      <c r="M134" s="53" t="str">
        <f t="shared" si="47"/>
        <v>N.M.</v>
      </c>
      <c r="N134" s="174"/>
      <c r="O134" s="256">
        <v>186731.99</v>
      </c>
      <c r="P134" s="16">
        <f t="shared" si="48"/>
        <v>58639.52000000002</v>
      </c>
      <c r="Q134" s="53">
        <f t="shared" si="49"/>
        <v>0.31403039190017745</v>
      </c>
    </row>
    <row r="135" spans="1:17" s="15" customFormat="1" ht="12.75" hidden="1" outlineLevel="2">
      <c r="A135" s="15" t="s">
        <v>565</v>
      </c>
      <c r="B135" s="15" t="s">
        <v>566</v>
      </c>
      <c r="C135" s="134" t="s">
        <v>567</v>
      </c>
      <c r="D135" s="16"/>
      <c r="E135" s="16"/>
      <c r="F135" s="16">
        <v>72751.03</v>
      </c>
      <c r="G135" s="16">
        <v>47100.450000000004</v>
      </c>
      <c r="H135" s="16">
        <f t="shared" si="44"/>
        <v>25650.579999999994</v>
      </c>
      <c r="I135" s="53">
        <f t="shared" si="45"/>
        <v>0.5445930983674252</v>
      </c>
      <c r="J135" s="174"/>
      <c r="K135" s="256">
        <v>72751.03</v>
      </c>
      <c r="L135" s="16">
        <f t="shared" si="46"/>
        <v>0</v>
      </c>
      <c r="M135" s="53">
        <f t="shared" si="47"/>
        <v>0</v>
      </c>
      <c r="N135" s="174"/>
      <c r="O135" s="256">
        <v>47100.450000000004</v>
      </c>
      <c r="P135" s="16">
        <f t="shared" si="48"/>
        <v>25650.579999999994</v>
      </c>
      <c r="Q135" s="53">
        <f t="shared" si="49"/>
        <v>0.5445930983674252</v>
      </c>
    </row>
    <row r="136" spans="1:17" s="15" customFormat="1" ht="12.75" hidden="1" outlineLevel="2">
      <c r="A136" s="15" t="s">
        <v>568</v>
      </c>
      <c r="B136" s="15" t="s">
        <v>569</v>
      </c>
      <c r="C136" s="134" t="s">
        <v>570</v>
      </c>
      <c r="D136" s="16"/>
      <c r="E136" s="16"/>
      <c r="F136" s="16">
        <v>749194.81</v>
      </c>
      <c r="G136" s="16">
        <v>769557.23</v>
      </c>
      <c r="H136" s="16">
        <f t="shared" si="44"/>
        <v>-20362.419999999925</v>
      </c>
      <c r="I136" s="53">
        <f t="shared" si="45"/>
        <v>-0.026459916437923565</v>
      </c>
      <c r="J136" s="174"/>
      <c r="K136" s="256">
        <v>677454.34</v>
      </c>
      <c r="L136" s="16">
        <f t="shared" si="46"/>
        <v>71740.47000000009</v>
      </c>
      <c r="M136" s="53" t="str">
        <f t="shared" si="47"/>
        <v>N.M.</v>
      </c>
      <c r="N136" s="174"/>
      <c r="O136" s="256">
        <v>776458.16</v>
      </c>
      <c r="P136" s="16">
        <f t="shared" si="48"/>
        <v>-27263.349999999977</v>
      </c>
      <c r="Q136" s="53">
        <f t="shared" si="49"/>
        <v>-0.03511245216355248</v>
      </c>
    </row>
    <row r="137" spans="1:17" s="67" customFormat="1" ht="12.75" hidden="1" outlineLevel="1">
      <c r="A137" s="86" t="s">
        <v>127</v>
      </c>
      <c r="B137" s="87"/>
      <c r="C137" s="83" t="s">
        <v>122</v>
      </c>
      <c r="D137" s="66"/>
      <c r="E137" s="66"/>
      <c r="F137" s="51">
        <v>12029094.606999999</v>
      </c>
      <c r="G137" s="51">
        <v>11009937.846999997</v>
      </c>
      <c r="H137" s="51">
        <f t="shared" si="44"/>
        <v>1019156.7600000016</v>
      </c>
      <c r="I137" s="136">
        <f t="shared" si="45"/>
        <v>0.09256698576892537</v>
      </c>
      <c r="J137" s="157"/>
      <c r="K137" s="51">
        <v>11583912.736999998</v>
      </c>
      <c r="L137" s="51">
        <f t="shared" si="46"/>
        <v>445181.87000000104</v>
      </c>
      <c r="M137" s="136" t="str">
        <f t="shared" si="47"/>
        <v>N.M.</v>
      </c>
      <c r="N137" s="157"/>
      <c r="O137" s="51">
        <v>11152354.016999999</v>
      </c>
      <c r="P137" s="51">
        <f t="shared" si="48"/>
        <v>876740.5899999999</v>
      </c>
      <c r="Q137" s="136">
        <f t="shared" si="49"/>
        <v>0.07861484567863856</v>
      </c>
    </row>
    <row r="138" spans="1:17" s="67" customFormat="1" ht="12.75" hidden="1" outlineLevel="1">
      <c r="A138" s="86" t="s">
        <v>128</v>
      </c>
      <c r="B138" s="87"/>
      <c r="C138" s="83" t="s">
        <v>123</v>
      </c>
      <c r="D138" s="66"/>
      <c r="E138" s="66"/>
      <c r="F138" s="51">
        <v>0</v>
      </c>
      <c r="G138" s="51">
        <v>0</v>
      </c>
      <c r="H138" s="51">
        <f t="shared" si="44"/>
        <v>0</v>
      </c>
      <c r="I138" s="136">
        <f t="shared" si="45"/>
        <v>0</v>
      </c>
      <c r="J138" s="157"/>
      <c r="K138" s="51">
        <v>0</v>
      </c>
      <c r="L138" s="51">
        <f t="shared" si="46"/>
        <v>0</v>
      </c>
      <c r="M138" s="136">
        <f t="shared" si="47"/>
        <v>0</v>
      </c>
      <c r="N138" s="157"/>
      <c r="O138" s="51">
        <v>0</v>
      </c>
      <c r="P138" s="51">
        <f t="shared" si="48"/>
        <v>0</v>
      </c>
      <c r="Q138" s="136">
        <f t="shared" si="49"/>
        <v>0</v>
      </c>
    </row>
    <row r="139" spans="1:17" s="15" customFormat="1" ht="12.75" hidden="1" outlineLevel="2">
      <c r="A139" s="15" t="s">
        <v>571</v>
      </c>
      <c r="B139" s="15" t="s">
        <v>572</v>
      </c>
      <c r="C139" s="134" t="s">
        <v>573</v>
      </c>
      <c r="D139" s="16"/>
      <c r="E139" s="16"/>
      <c r="F139" s="16">
        <v>1052357.95</v>
      </c>
      <c r="G139" s="16">
        <v>664709.01</v>
      </c>
      <c r="H139" s="16">
        <f t="shared" si="44"/>
        <v>387648.93999999994</v>
      </c>
      <c r="I139" s="53">
        <f t="shared" si="45"/>
        <v>0.5831859267260421</v>
      </c>
      <c r="J139" s="174"/>
      <c r="K139" s="256">
        <v>1579360.42</v>
      </c>
      <c r="L139" s="16">
        <f t="shared" si="46"/>
        <v>-527002.47</v>
      </c>
      <c r="M139" s="53" t="str">
        <f t="shared" si="47"/>
        <v>N.M.</v>
      </c>
      <c r="N139" s="174"/>
      <c r="O139" s="256">
        <v>7048319.82</v>
      </c>
      <c r="P139" s="16">
        <f t="shared" si="48"/>
        <v>-5995961.87</v>
      </c>
      <c r="Q139" s="53">
        <f t="shared" si="49"/>
        <v>-0.8506937856290409</v>
      </c>
    </row>
    <row r="140" spans="1:17" s="15" customFormat="1" ht="12.75" hidden="1" outlineLevel="2">
      <c r="A140" s="15" t="s">
        <v>574</v>
      </c>
      <c r="B140" s="15" t="s">
        <v>575</v>
      </c>
      <c r="C140" s="134" t="s">
        <v>576</v>
      </c>
      <c r="D140" s="16"/>
      <c r="E140" s="16"/>
      <c r="F140" s="16">
        <v>1920.3</v>
      </c>
      <c r="G140" s="16">
        <v>20066.510000000002</v>
      </c>
      <c r="H140" s="16">
        <f t="shared" si="44"/>
        <v>-18146.210000000003</v>
      </c>
      <c r="I140" s="53">
        <f t="shared" si="45"/>
        <v>-0.9043032395767875</v>
      </c>
      <c r="J140" s="174"/>
      <c r="K140" s="256">
        <v>3363.5</v>
      </c>
      <c r="L140" s="16">
        <f t="shared" si="46"/>
        <v>-1443.2</v>
      </c>
      <c r="M140" s="53" t="str">
        <f t="shared" si="47"/>
        <v>N.M.</v>
      </c>
      <c r="N140" s="174"/>
      <c r="O140" s="256">
        <v>46975.700000000004</v>
      </c>
      <c r="P140" s="16">
        <f t="shared" si="48"/>
        <v>-45055.4</v>
      </c>
      <c r="Q140" s="53">
        <f t="shared" si="49"/>
        <v>-0.9591214180948873</v>
      </c>
    </row>
    <row r="141" spans="1:17" s="67" customFormat="1" ht="12.75" hidden="1" outlineLevel="1">
      <c r="A141" s="86" t="s">
        <v>129</v>
      </c>
      <c r="B141" s="87"/>
      <c r="C141" s="83" t="s">
        <v>124</v>
      </c>
      <c r="D141" s="66"/>
      <c r="E141" s="66"/>
      <c r="F141" s="51">
        <v>1054278.25</v>
      </c>
      <c r="G141" s="51">
        <v>684775.52</v>
      </c>
      <c r="H141" s="51">
        <f t="shared" si="44"/>
        <v>369502.73</v>
      </c>
      <c r="I141" s="136">
        <f t="shared" si="45"/>
        <v>0.5395968740237677</v>
      </c>
      <c r="J141" s="157"/>
      <c r="K141" s="51">
        <v>1582723.92</v>
      </c>
      <c r="L141" s="51">
        <f t="shared" si="46"/>
        <v>-528445.6699999999</v>
      </c>
      <c r="M141" s="136" t="str">
        <f t="shared" si="47"/>
        <v>N.M.</v>
      </c>
      <c r="N141" s="157"/>
      <c r="O141" s="51">
        <v>7095295.5200000005</v>
      </c>
      <c r="P141" s="51">
        <f t="shared" si="48"/>
        <v>-6041017.2700000005</v>
      </c>
      <c r="Q141" s="136">
        <f t="shared" si="49"/>
        <v>-0.8514116505749151</v>
      </c>
    </row>
    <row r="142" spans="1:17" s="15" customFormat="1" ht="12.75" hidden="1" outlineLevel="2">
      <c r="A142" s="15" t="s">
        <v>577</v>
      </c>
      <c r="B142" s="15" t="s">
        <v>578</v>
      </c>
      <c r="C142" s="134" t="s">
        <v>579</v>
      </c>
      <c r="D142" s="16"/>
      <c r="E142" s="16"/>
      <c r="F142" s="16">
        <v>0</v>
      </c>
      <c r="G142" s="16">
        <v>-0.005</v>
      </c>
      <c r="H142" s="16">
        <f t="shared" si="44"/>
        <v>0.005</v>
      </c>
      <c r="I142" s="53" t="str">
        <f t="shared" si="45"/>
        <v>N.M.</v>
      </c>
      <c r="J142" s="174"/>
      <c r="K142" s="256">
        <v>0</v>
      </c>
      <c r="L142" s="16">
        <f t="shared" si="46"/>
        <v>0</v>
      </c>
      <c r="M142" s="53">
        <f t="shared" si="47"/>
        <v>0</v>
      </c>
      <c r="N142" s="174"/>
      <c r="O142" s="256">
        <v>0</v>
      </c>
      <c r="P142" s="16">
        <f t="shared" si="48"/>
        <v>0</v>
      </c>
      <c r="Q142" s="53">
        <f t="shared" si="49"/>
        <v>0</v>
      </c>
    </row>
    <row r="143" spans="1:17" s="15" customFormat="1" ht="12.75" hidden="1" outlineLevel="2">
      <c r="A143" s="15" t="s">
        <v>580</v>
      </c>
      <c r="B143" s="15" t="s">
        <v>581</v>
      </c>
      <c r="C143" s="134" t="s">
        <v>582</v>
      </c>
      <c r="D143" s="16"/>
      <c r="E143" s="16"/>
      <c r="F143" s="16">
        <v>0</v>
      </c>
      <c r="G143" s="16">
        <v>-0.005</v>
      </c>
      <c r="H143" s="16">
        <f t="shared" si="44"/>
        <v>0.005</v>
      </c>
      <c r="I143" s="53" t="str">
        <f t="shared" si="45"/>
        <v>N.M.</v>
      </c>
      <c r="J143" s="174"/>
      <c r="K143" s="256">
        <v>0</v>
      </c>
      <c r="L143" s="16">
        <f t="shared" si="46"/>
        <v>0</v>
      </c>
      <c r="M143" s="53">
        <f t="shared" si="47"/>
        <v>0</v>
      </c>
      <c r="N143" s="174"/>
      <c r="O143" s="256">
        <v>0</v>
      </c>
      <c r="P143" s="16">
        <f t="shared" si="48"/>
        <v>0</v>
      </c>
      <c r="Q143" s="53">
        <f t="shared" si="49"/>
        <v>0</v>
      </c>
    </row>
    <row r="144" spans="1:17" s="67" customFormat="1" ht="12.75" hidden="1" outlineLevel="1">
      <c r="A144" s="86" t="s">
        <v>130</v>
      </c>
      <c r="B144" s="87"/>
      <c r="C144" s="84" t="s">
        <v>125</v>
      </c>
      <c r="D144" s="66"/>
      <c r="E144" s="66"/>
      <c r="F144" s="197">
        <v>0</v>
      </c>
      <c r="G144" s="197">
        <v>-0.01</v>
      </c>
      <c r="H144" s="197">
        <f t="shared" si="44"/>
        <v>0.01</v>
      </c>
      <c r="I144" s="138" t="str">
        <f t="shared" si="45"/>
        <v>N.M.</v>
      </c>
      <c r="J144" s="157"/>
      <c r="K144" s="197">
        <v>0</v>
      </c>
      <c r="L144" s="197">
        <f t="shared" si="46"/>
        <v>0</v>
      </c>
      <c r="M144" s="138">
        <f t="shared" si="47"/>
        <v>0</v>
      </c>
      <c r="N144" s="157"/>
      <c r="O144" s="197">
        <v>0</v>
      </c>
      <c r="P144" s="197">
        <f t="shared" si="48"/>
        <v>0</v>
      </c>
      <c r="Q144" s="138">
        <f t="shared" si="49"/>
        <v>0</v>
      </c>
    </row>
    <row r="145" spans="1:17" s="67" customFormat="1" ht="12.75" collapsed="1">
      <c r="A145" s="67" t="s">
        <v>240</v>
      </c>
      <c r="B145" s="87"/>
      <c r="C145" s="82" t="s">
        <v>106</v>
      </c>
      <c r="D145" s="66"/>
      <c r="E145" s="66"/>
      <c r="F145" s="51">
        <f>+F144+F141+F138+F137</f>
        <v>13083372.856999999</v>
      </c>
      <c r="G145" s="51">
        <f>+G144+G141+G138+G137</f>
        <v>11694713.356999997</v>
      </c>
      <c r="H145" s="51">
        <f t="shared" si="44"/>
        <v>1388659.5000000019</v>
      </c>
      <c r="I145" s="136">
        <f t="shared" si="45"/>
        <v>0.11874249993214282</v>
      </c>
      <c r="J145" s="157"/>
      <c r="K145" s="51">
        <f>+K144+K141+K138+K137</f>
        <v>13166636.656999998</v>
      </c>
      <c r="L145" s="51">
        <f t="shared" si="46"/>
        <v>-83263.79999999888</v>
      </c>
      <c r="M145" s="136" t="str">
        <f t="shared" si="47"/>
        <v>N.M.</v>
      </c>
      <c r="N145" s="157"/>
      <c r="O145" s="51">
        <f>+O144+O141+O138+O137</f>
        <v>18247649.537</v>
      </c>
      <c r="P145" s="51">
        <f t="shared" si="48"/>
        <v>-5164276.680000002</v>
      </c>
      <c r="Q145" s="136">
        <f t="shared" si="49"/>
        <v>-0.28301051428725726</v>
      </c>
    </row>
    <row r="146" spans="2:17" s="67" customFormat="1" ht="0.75" customHeight="1" hidden="1" outlineLevel="1">
      <c r="B146" s="87"/>
      <c r="C146" s="82"/>
      <c r="D146" s="66"/>
      <c r="E146" s="66"/>
      <c r="F146" s="51"/>
      <c r="G146" s="51"/>
      <c r="H146" s="51"/>
      <c r="I146" s="136"/>
      <c r="J146" s="157"/>
      <c r="K146" s="51"/>
      <c r="L146" s="51"/>
      <c r="M146" s="136"/>
      <c r="N146" s="157"/>
      <c r="O146" s="51"/>
      <c r="P146" s="51"/>
      <c r="Q146" s="136"/>
    </row>
    <row r="147" spans="1:17" s="15" customFormat="1" ht="12.75" hidden="1" outlineLevel="2">
      <c r="A147" s="15" t="s">
        <v>583</v>
      </c>
      <c r="B147" s="15" t="s">
        <v>584</v>
      </c>
      <c r="C147" s="134" t="s">
        <v>107</v>
      </c>
      <c r="D147" s="16"/>
      <c r="E147" s="16"/>
      <c r="F147" s="16">
        <v>21876154.72</v>
      </c>
      <c r="G147" s="16">
        <v>18072767.7</v>
      </c>
      <c r="H147" s="16">
        <f>+F147-G147</f>
        <v>3803387.0199999996</v>
      </c>
      <c r="I147" s="53">
        <f>IF(G147&lt;0,IF(H147=0,0,IF(OR(G147=0,F147=0),"N.M.",IF(ABS(H147/G147)&gt;=10,"N.M.",H147/(-G147)))),IF(H147=0,0,IF(OR(G147=0,F147=0),"N.M.",IF(ABS(H147/G147)&gt;=10,"N.M.",H147/G147))))</f>
        <v>0.2104485092230782</v>
      </c>
      <c r="J147" s="174"/>
      <c r="K147" s="256">
        <v>18449347.63</v>
      </c>
      <c r="L147" s="16">
        <f>+F147-K147</f>
        <v>3426807.09</v>
      </c>
      <c r="M147" s="53" t="str">
        <f>IF(K147&lt;0,IF(L147=0,0,IF(OR(K147=0,N147=0),"N.M.",IF(ABS(L147/K147)&gt;=10,"N.M.",L147/(-K147)))),IF(L147=0,0,IF(OR(K147=0,N147=0),"N.M.",IF(ABS(L147/K147)&gt;=10,"N.M.",L147/K147))))</f>
        <v>N.M.</v>
      </c>
      <c r="N147" s="174"/>
      <c r="O147" s="256">
        <v>21157586.17</v>
      </c>
      <c r="P147" s="16">
        <f>+F147-O147</f>
        <v>718568.549999997</v>
      </c>
      <c r="Q147" s="53">
        <f>IF(O147&lt;0,IF(P147=0,0,IF(OR(O147=0,F147=0),"N.M.",IF(ABS(P147/O147)&gt;=10,"N.M.",P147/(-O147)))),IF(P147=0,0,IF(OR(O147=0,F147=0),"N.M.",IF(ABS(P147/O147)&gt;=10,"N.M.",P147/O147))))</f>
        <v>0.033962690461300245</v>
      </c>
    </row>
    <row r="148" spans="1:17" s="15" customFormat="1" ht="12.75" hidden="1" outlineLevel="2">
      <c r="A148" s="15" t="s">
        <v>585</v>
      </c>
      <c r="B148" s="15" t="s">
        <v>586</v>
      </c>
      <c r="C148" s="134" t="s">
        <v>587</v>
      </c>
      <c r="D148" s="16"/>
      <c r="E148" s="16"/>
      <c r="F148" s="16">
        <v>-15758555.43</v>
      </c>
      <c r="G148" s="16">
        <v>-20966920.4</v>
      </c>
      <c r="H148" s="16">
        <f>+F148-G148</f>
        <v>5208364.969999999</v>
      </c>
      <c r="I148" s="53">
        <f>IF(G148&lt;0,IF(H148=0,0,IF(OR(G148=0,F148=0),"N.M.",IF(ABS(H148/G148)&gt;=10,"N.M.",H148/(-G148)))),IF(H148=0,0,IF(OR(G148=0,F148=0),"N.M.",IF(ABS(H148/G148)&gt;=10,"N.M.",H148/G148))))</f>
        <v>0.24840867760436575</v>
      </c>
      <c r="J148" s="174"/>
      <c r="K148" s="256">
        <v>-12286842.63</v>
      </c>
      <c r="L148" s="16">
        <f>+F148-K148</f>
        <v>-3471712.799999999</v>
      </c>
      <c r="M148" s="53" t="str">
        <f>IF(K148&lt;0,IF(L148=0,0,IF(OR(K148=0,N148=0),"N.M.",IF(ABS(L148/K148)&gt;=10,"N.M.",L148/(-K148)))),IF(L148=0,0,IF(OR(K148=0,N148=0),"N.M.",IF(ABS(L148/K148)&gt;=10,"N.M.",L148/K148))))</f>
        <v>N.M.</v>
      </c>
      <c r="N148" s="174"/>
      <c r="O148" s="256">
        <v>-16351881.44</v>
      </c>
      <c r="P148" s="16">
        <f>+F148-O148</f>
        <v>593326.0099999998</v>
      </c>
      <c r="Q148" s="53">
        <f>IF(O148&lt;0,IF(P148=0,0,IF(OR(O148=0,F148=0),"N.M.",IF(ABS(P148/O148)&gt;=10,"N.M.",P148/(-O148)))),IF(P148=0,0,IF(OR(O148=0,F148=0),"N.M.",IF(ABS(P148/O148)&gt;=10,"N.M.",P148/O148))))</f>
        <v>0.03628487719759298</v>
      </c>
    </row>
    <row r="149" spans="1:17" s="67" customFormat="1" ht="12.75" collapsed="1">
      <c r="A149" s="67" t="s">
        <v>131</v>
      </c>
      <c r="B149" s="87"/>
      <c r="C149" s="82" t="s">
        <v>107</v>
      </c>
      <c r="D149" s="66"/>
      <c r="E149" s="66"/>
      <c r="F149" s="51">
        <v>6117599.289999999</v>
      </c>
      <c r="G149" s="51">
        <v>-2894152.6999999993</v>
      </c>
      <c r="H149" s="51">
        <f>+F149-G149</f>
        <v>9011751.989999998</v>
      </c>
      <c r="I149" s="136">
        <f>IF(G149&lt;0,IF(H149=0,0,IF(OR(G149=0,F149=0),"N.M.",IF(ABS(H149/G149)&gt;=10,"N.M.",H149/(-G149)))),IF(H149=0,0,IF(OR(G149=0,F149=0),"N.M.",IF(ABS(H149/G149)&gt;=10,"N.M.",H149/G149))))</f>
        <v>3.113779031078768</v>
      </c>
      <c r="J149" s="157"/>
      <c r="K149" s="51">
        <v>6162504.999999998</v>
      </c>
      <c r="L149" s="51">
        <f>+F149-K149</f>
        <v>-44905.70999999903</v>
      </c>
      <c r="M149" s="136" t="str">
        <f>IF(K149&lt;0,IF(L149=0,0,IF(OR(K149=0,N149=0),"N.M.",IF(ABS(L149/K149)&gt;=10,"N.M.",L149/(-K149)))),IF(L149=0,0,IF(OR(K149=0,N149=0),"N.M.",IF(ABS(L149/K149)&gt;=10,"N.M.",L149/K149))))</f>
        <v>N.M.</v>
      </c>
      <c r="N149" s="157"/>
      <c r="O149" s="51">
        <v>4805704.730000002</v>
      </c>
      <c r="P149" s="51">
        <f>+F149-O149</f>
        <v>1311894.5599999968</v>
      </c>
      <c r="Q149" s="136">
        <f>IF(O149&lt;0,IF(P149=0,0,IF(OR(O149=0,F149=0),"N.M.",IF(ABS(P149/O149)&gt;=10,"N.M.",P149/(-O149)))),IF(P149=0,0,IF(OR(O149=0,F149=0),"N.M.",IF(ABS(P149/O149)&gt;=10,"N.M.",P149/O149))))</f>
        <v>0.27298692568654676</v>
      </c>
    </row>
    <row r="150" spans="2:17" s="67" customFormat="1" ht="0.75" customHeight="1" hidden="1" outlineLevel="1">
      <c r="B150" s="87"/>
      <c r="C150" s="82"/>
      <c r="D150" s="66"/>
      <c r="E150" s="66"/>
      <c r="F150" s="51"/>
      <c r="G150" s="51"/>
      <c r="H150" s="51"/>
      <c r="I150" s="136"/>
      <c r="J150" s="157"/>
      <c r="K150" s="51"/>
      <c r="L150" s="51"/>
      <c r="M150" s="136"/>
      <c r="N150" s="157"/>
      <c r="O150" s="51"/>
      <c r="P150" s="51"/>
      <c r="Q150" s="136"/>
    </row>
    <row r="151" spans="1:17" s="15" customFormat="1" ht="12.75" hidden="1" outlineLevel="2">
      <c r="A151" s="15" t="s">
        <v>588</v>
      </c>
      <c r="B151" s="15" t="s">
        <v>589</v>
      </c>
      <c r="C151" s="134" t="s">
        <v>590</v>
      </c>
      <c r="D151" s="16"/>
      <c r="E151" s="16"/>
      <c r="F151" s="16">
        <v>11484983.32</v>
      </c>
      <c r="G151" s="16">
        <v>15297079.61</v>
      </c>
      <c r="H151" s="16">
        <f aca="true" t="shared" si="50" ref="H151:H156">+F151-G151</f>
        <v>-3812096.289999999</v>
      </c>
      <c r="I151" s="53">
        <f aca="true" t="shared" si="51" ref="I151:I156">IF(G151&lt;0,IF(H151=0,0,IF(OR(G151=0,F151=0),"N.M.",IF(ABS(H151/G151)&gt;=10,"N.M.",H151/(-G151)))),IF(H151=0,0,IF(OR(G151=0,F151=0),"N.M.",IF(ABS(H151/G151)&gt;=10,"N.M.",H151/G151))))</f>
        <v>-0.24920418715138</v>
      </c>
      <c r="J151" s="174"/>
      <c r="K151" s="256">
        <v>15019593.63</v>
      </c>
      <c r="L151" s="16">
        <f aca="true" t="shared" si="52" ref="L151:L156">+F151-K151</f>
        <v>-3534610.3100000005</v>
      </c>
      <c r="M151" s="53" t="str">
        <f aca="true" t="shared" si="53" ref="M151:M156">IF(K151&lt;0,IF(L151=0,0,IF(OR(K151=0,N151=0),"N.M.",IF(ABS(L151/K151)&gt;=10,"N.M.",L151/(-K151)))),IF(L151=0,0,IF(OR(K151=0,N151=0),"N.M.",IF(ABS(L151/K151)&gt;=10,"N.M.",L151/K151))))</f>
        <v>N.M.</v>
      </c>
      <c r="N151" s="174"/>
      <c r="O151" s="256">
        <v>13290912.23</v>
      </c>
      <c r="P151" s="16">
        <f aca="true" t="shared" si="54" ref="P151:P156">+F151-O151</f>
        <v>-1805928.9100000001</v>
      </c>
      <c r="Q151" s="53">
        <f aca="true" t="shared" si="55" ref="Q151:Q156">IF(O151&lt;0,IF(P151=0,0,IF(OR(O151=0,F151=0),"N.M.",IF(ABS(P151/O151)&gt;=10,"N.M.",P151/(-O151)))),IF(P151=0,0,IF(OR(O151=0,F151=0),"N.M.",IF(ABS(P151/O151)&gt;=10,"N.M.",P151/O151))))</f>
        <v>-0.13587697208049354</v>
      </c>
    </row>
    <row r="152" spans="1:17" s="15" customFormat="1" ht="12.75" hidden="1" outlineLevel="2">
      <c r="A152" s="15" t="s">
        <v>591</v>
      </c>
      <c r="B152" s="15" t="s">
        <v>592</v>
      </c>
      <c r="C152" s="134" t="s">
        <v>593</v>
      </c>
      <c r="D152" s="16"/>
      <c r="E152" s="16"/>
      <c r="F152" s="16">
        <v>3125.33</v>
      </c>
      <c r="G152" s="16">
        <v>105624</v>
      </c>
      <c r="H152" s="16">
        <f t="shared" si="50"/>
        <v>-102498.67</v>
      </c>
      <c r="I152" s="53">
        <f t="shared" si="51"/>
        <v>-0.9704107967886086</v>
      </c>
      <c r="J152" s="174"/>
      <c r="K152" s="256">
        <v>2588.35</v>
      </c>
      <c r="L152" s="16">
        <f t="shared" si="52"/>
        <v>536.98</v>
      </c>
      <c r="M152" s="53" t="str">
        <f t="shared" si="53"/>
        <v>N.M.</v>
      </c>
      <c r="N152" s="174"/>
      <c r="O152" s="256">
        <v>399292</v>
      </c>
      <c r="P152" s="16">
        <f t="shared" si="54"/>
        <v>-396166.67</v>
      </c>
      <c r="Q152" s="53">
        <f t="shared" si="55"/>
        <v>-0.9921728208929805</v>
      </c>
    </row>
    <row r="153" spans="1:17" s="15" customFormat="1" ht="12.75" hidden="1" outlineLevel="2">
      <c r="A153" s="15" t="s">
        <v>594</v>
      </c>
      <c r="B153" s="15" t="s">
        <v>595</v>
      </c>
      <c r="C153" s="134" t="s">
        <v>596</v>
      </c>
      <c r="D153" s="16"/>
      <c r="E153" s="16"/>
      <c r="F153" s="16">
        <v>675.92</v>
      </c>
      <c r="G153" s="16">
        <v>2351.04</v>
      </c>
      <c r="H153" s="16">
        <f t="shared" si="50"/>
        <v>-1675.12</v>
      </c>
      <c r="I153" s="53">
        <f t="shared" si="51"/>
        <v>-0.7125017013747107</v>
      </c>
      <c r="J153" s="174"/>
      <c r="K153" s="256">
        <v>1351.8500000000001</v>
      </c>
      <c r="L153" s="16">
        <f t="shared" si="52"/>
        <v>-675.9300000000002</v>
      </c>
      <c r="M153" s="53" t="str">
        <f t="shared" si="53"/>
        <v>N.M.</v>
      </c>
      <c r="N153" s="174"/>
      <c r="O153" s="256">
        <v>2821.25</v>
      </c>
      <c r="P153" s="16">
        <f t="shared" si="54"/>
        <v>-2145.33</v>
      </c>
      <c r="Q153" s="53">
        <f t="shared" si="55"/>
        <v>-0.7604182543198936</v>
      </c>
    </row>
    <row r="154" spans="1:17" s="15" customFormat="1" ht="12.75" hidden="1" outlineLevel="2">
      <c r="A154" s="15" t="s">
        <v>597</v>
      </c>
      <c r="B154" s="15" t="s">
        <v>598</v>
      </c>
      <c r="C154" s="134" t="s">
        <v>599</v>
      </c>
      <c r="D154" s="16"/>
      <c r="E154" s="16"/>
      <c r="F154" s="16">
        <v>-364393</v>
      </c>
      <c r="G154" s="16">
        <v>-869395</v>
      </c>
      <c r="H154" s="16">
        <f t="shared" si="50"/>
        <v>505002</v>
      </c>
      <c r="I154" s="53">
        <f t="shared" si="51"/>
        <v>0.5808660045203848</v>
      </c>
      <c r="J154" s="174"/>
      <c r="K154" s="256">
        <v>-847736</v>
      </c>
      <c r="L154" s="16">
        <f t="shared" si="52"/>
        <v>483343</v>
      </c>
      <c r="M154" s="53" t="str">
        <f t="shared" si="53"/>
        <v>N.M.</v>
      </c>
      <c r="N154" s="174"/>
      <c r="O154" s="256">
        <v>-427357</v>
      </c>
      <c r="P154" s="16">
        <f t="shared" si="54"/>
        <v>62964</v>
      </c>
      <c r="Q154" s="53">
        <f t="shared" si="55"/>
        <v>0.14733349401086213</v>
      </c>
    </row>
    <row r="155" spans="1:17" s="15" customFormat="1" ht="12.75" hidden="1" outlineLevel="2">
      <c r="A155" s="15" t="s">
        <v>600</v>
      </c>
      <c r="B155" s="15" t="s">
        <v>601</v>
      </c>
      <c r="C155" s="134" t="s">
        <v>602</v>
      </c>
      <c r="D155" s="16"/>
      <c r="E155" s="16"/>
      <c r="F155" s="16">
        <v>10659</v>
      </c>
      <c r="G155" s="16">
        <v>503902</v>
      </c>
      <c r="H155" s="16">
        <f t="shared" si="50"/>
        <v>-493243</v>
      </c>
      <c r="I155" s="53">
        <f t="shared" si="51"/>
        <v>-0.9788470774079087</v>
      </c>
      <c r="J155" s="174"/>
      <c r="K155" s="256">
        <v>10583</v>
      </c>
      <c r="L155" s="16">
        <f t="shared" si="52"/>
        <v>76</v>
      </c>
      <c r="M155" s="53" t="str">
        <f t="shared" si="53"/>
        <v>N.M.</v>
      </c>
      <c r="N155" s="174"/>
      <c r="O155" s="256">
        <v>421541</v>
      </c>
      <c r="P155" s="16">
        <f t="shared" si="54"/>
        <v>-410882</v>
      </c>
      <c r="Q155" s="53">
        <f t="shared" si="55"/>
        <v>-0.9747142033633739</v>
      </c>
    </row>
    <row r="156" spans="1:17" s="67" customFormat="1" ht="12.75" collapsed="1">
      <c r="A156" s="67" t="s">
        <v>132</v>
      </c>
      <c r="B156" s="87"/>
      <c r="C156" s="82" t="s">
        <v>108</v>
      </c>
      <c r="D156" s="66"/>
      <c r="E156" s="66"/>
      <c r="F156" s="51">
        <v>11135050.57</v>
      </c>
      <c r="G156" s="51">
        <v>15039561.649999999</v>
      </c>
      <c r="H156" s="51">
        <f t="shared" si="50"/>
        <v>-3904511.079999998</v>
      </c>
      <c r="I156" s="136">
        <f t="shared" si="51"/>
        <v>-0.25961601613568297</v>
      </c>
      <c r="J156" s="157"/>
      <c r="K156" s="51">
        <v>14186380.83</v>
      </c>
      <c r="L156" s="51">
        <f t="shared" si="52"/>
        <v>-3051330.26</v>
      </c>
      <c r="M156" s="136" t="str">
        <f t="shared" si="53"/>
        <v>N.M.</v>
      </c>
      <c r="N156" s="157"/>
      <c r="O156" s="51">
        <v>13687209.48</v>
      </c>
      <c r="P156" s="51">
        <f t="shared" si="54"/>
        <v>-2552158.91</v>
      </c>
      <c r="Q156" s="136">
        <f t="shared" si="55"/>
        <v>-0.18646305616417</v>
      </c>
    </row>
    <row r="157" spans="1:17" s="67" customFormat="1" ht="0.75" customHeight="1" hidden="1" outlineLevel="1">
      <c r="A157" s="86"/>
      <c r="B157" s="87"/>
      <c r="C157" s="83"/>
      <c r="D157" s="66"/>
      <c r="E157" s="66"/>
      <c r="F157" s="51"/>
      <c r="G157" s="51"/>
      <c r="H157" s="51"/>
      <c r="I157" s="136"/>
      <c r="J157" s="157"/>
      <c r="K157" s="51"/>
      <c r="L157" s="51"/>
      <c r="M157" s="136"/>
      <c r="N157" s="157"/>
      <c r="O157" s="51"/>
      <c r="P157" s="51"/>
      <c r="Q157" s="136"/>
    </row>
    <row r="158" spans="1:17" s="15" customFormat="1" ht="12.75" hidden="1" outlineLevel="2">
      <c r="A158" s="15" t="s">
        <v>603</v>
      </c>
      <c r="B158" s="15" t="s">
        <v>604</v>
      </c>
      <c r="C158" s="134" t="s">
        <v>605</v>
      </c>
      <c r="D158" s="16"/>
      <c r="E158" s="16"/>
      <c r="F158" s="16">
        <v>325453.935</v>
      </c>
      <c r="G158" s="16">
        <v>354094.255</v>
      </c>
      <c r="H158" s="16">
        <f aca="true" t="shared" si="56" ref="H158:H168">+F158-G158</f>
        <v>-28640.320000000007</v>
      </c>
      <c r="I158" s="53">
        <f aca="true" t="shared" si="57" ref="I158:I168">IF(G158&lt;0,IF(H158=0,0,IF(OR(G158=0,F158=0),"N.M.",IF(ABS(H158/G158)&gt;=10,"N.M.",H158/(-G158)))),IF(H158=0,0,IF(OR(G158=0,F158=0),"N.M.",IF(ABS(H158/G158)&gt;=10,"N.M.",H158/G158))))</f>
        <v>-0.08088332300110321</v>
      </c>
      <c r="J158" s="174"/>
      <c r="K158" s="256">
        <v>385096.535</v>
      </c>
      <c r="L158" s="16">
        <f aca="true" t="shared" si="58" ref="L158:L168">+F158-K158</f>
        <v>-59642.59999999998</v>
      </c>
      <c r="M158" s="53" t="str">
        <f aca="true" t="shared" si="59" ref="M158:M168">IF(K158&lt;0,IF(L158=0,0,IF(OR(K158=0,N158=0),"N.M.",IF(ABS(L158/K158)&gt;=10,"N.M.",L158/(-K158)))),IF(L158=0,0,IF(OR(K158=0,N158=0),"N.M.",IF(ABS(L158/K158)&gt;=10,"N.M.",L158/K158))))</f>
        <v>N.M.</v>
      </c>
      <c r="N158" s="174"/>
      <c r="O158" s="256">
        <v>367942.235</v>
      </c>
      <c r="P158" s="16">
        <f aca="true" t="shared" si="60" ref="P158:P168">+F158-O158</f>
        <v>-42488.29999999999</v>
      </c>
      <c r="Q158" s="53">
        <f aca="true" t="shared" si="61" ref="Q158:Q168">IF(O158&lt;0,IF(P158=0,0,IF(OR(O158=0,F158=0),"N.M.",IF(ABS(P158/O158)&gt;=10,"N.M.",P158/(-O158)))),IF(P158=0,0,IF(OR(O158=0,F158=0),"N.M.",IF(ABS(P158/O158)&gt;=10,"N.M.",P158/O158))))</f>
        <v>-0.11547546315252444</v>
      </c>
    </row>
    <row r="159" spans="1:17" s="15" customFormat="1" ht="12.75" hidden="1" outlineLevel="2">
      <c r="A159" s="15" t="s">
        <v>606</v>
      </c>
      <c r="B159" s="15" t="s">
        <v>607</v>
      </c>
      <c r="C159" s="134" t="s">
        <v>608</v>
      </c>
      <c r="D159" s="16"/>
      <c r="E159" s="16"/>
      <c r="F159" s="16">
        <v>0</v>
      </c>
      <c r="G159" s="16">
        <v>437356.97000000003</v>
      </c>
      <c r="H159" s="16">
        <f t="shared" si="56"/>
        <v>-437356.97000000003</v>
      </c>
      <c r="I159" s="53" t="str">
        <f t="shared" si="57"/>
        <v>N.M.</v>
      </c>
      <c r="J159" s="174"/>
      <c r="K159" s="256">
        <v>0</v>
      </c>
      <c r="L159" s="16">
        <f t="shared" si="58"/>
        <v>0</v>
      </c>
      <c r="M159" s="53">
        <f t="shared" si="59"/>
        <v>0</v>
      </c>
      <c r="N159" s="174"/>
      <c r="O159" s="256">
        <v>374877.41000000003</v>
      </c>
      <c r="P159" s="16">
        <f t="shared" si="60"/>
        <v>-374877.41000000003</v>
      </c>
      <c r="Q159" s="53" t="str">
        <f t="shared" si="61"/>
        <v>N.M.</v>
      </c>
    </row>
    <row r="160" spans="1:17" s="15" customFormat="1" ht="12.75" hidden="1" outlineLevel="2">
      <c r="A160" s="15" t="s">
        <v>609</v>
      </c>
      <c r="B160" s="15" t="s">
        <v>610</v>
      </c>
      <c r="C160" s="134" t="s">
        <v>608</v>
      </c>
      <c r="D160" s="16"/>
      <c r="E160" s="16"/>
      <c r="F160" s="16">
        <v>466287.24</v>
      </c>
      <c r="G160" s="16">
        <v>0</v>
      </c>
      <c r="H160" s="16">
        <f t="shared" si="56"/>
        <v>466287.24</v>
      </c>
      <c r="I160" s="53" t="str">
        <f t="shared" si="57"/>
        <v>N.M.</v>
      </c>
      <c r="J160" s="174"/>
      <c r="K160" s="256">
        <v>532899.7</v>
      </c>
      <c r="L160" s="16">
        <f t="shared" si="58"/>
        <v>-66612.45999999996</v>
      </c>
      <c r="M160" s="53" t="str">
        <f t="shared" si="59"/>
        <v>N.M.</v>
      </c>
      <c r="N160" s="174"/>
      <c r="O160" s="256">
        <v>0</v>
      </c>
      <c r="P160" s="16">
        <f t="shared" si="60"/>
        <v>466287.24</v>
      </c>
      <c r="Q160" s="53" t="str">
        <f t="shared" si="61"/>
        <v>N.M.</v>
      </c>
    </row>
    <row r="161" spans="1:17" s="15" customFormat="1" ht="12.75" hidden="1" outlineLevel="2">
      <c r="A161" s="15" t="s">
        <v>611</v>
      </c>
      <c r="B161" s="15" t="s">
        <v>612</v>
      </c>
      <c r="C161" s="134" t="s">
        <v>613</v>
      </c>
      <c r="D161" s="16"/>
      <c r="E161" s="16"/>
      <c r="F161" s="16">
        <v>19067.14</v>
      </c>
      <c r="G161" s="16">
        <v>15571.4</v>
      </c>
      <c r="H161" s="16">
        <f t="shared" si="56"/>
        <v>3495.74</v>
      </c>
      <c r="I161" s="53">
        <f t="shared" si="57"/>
        <v>0.22449747614215804</v>
      </c>
      <c r="J161" s="174"/>
      <c r="K161" s="256">
        <v>17306.08</v>
      </c>
      <c r="L161" s="16">
        <f t="shared" si="58"/>
        <v>1761.0599999999977</v>
      </c>
      <c r="M161" s="53" t="str">
        <f t="shared" si="59"/>
        <v>N.M.</v>
      </c>
      <c r="N161" s="174"/>
      <c r="O161" s="256">
        <v>19411.28</v>
      </c>
      <c r="P161" s="16">
        <f t="shared" si="60"/>
        <v>-344.1399999999994</v>
      </c>
      <c r="Q161" s="53">
        <f t="shared" si="61"/>
        <v>-0.01772886692685899</v>
      </c>
    </row>
    <row r="162" spans="1:17" s="15" customFormat="1" ht="12.75" hidden="1" outlineLevel="2">
      <c r="A162" s="15" t="s">
        <v>614</v>
      </c>
      <c r="B162" s="15" t="s">
        <v>615</v>
      </c>
      <c r="C162" s="134" t="s">
        <v>616</v>
      </c>
      <c r="D162" s="16"/>
      <c r="E162" s="16"/>
      <c r="F162" s="16">
        <v>17976704.56</v>
      </c>
      <c r="G162" s="16">
        <v>15020799.18</v>
      </c>
      <c r="H162" s="16">
        <f t="shared" si="56"/>
        <v>2955905.379999999</v>
      </c>
      <c r="I162" s="53">
        <f t="shared" si="57"/>
        <v>0.19678749077051433</v>
      </c>
      <c r="J162" s="174"/>
      <c r="K162" s="256">
        <v>17928933.16</v>
      </c>
      <c r="L162" s="16">
        <f t="shared" si="58"/>
        <v>47771.39999999851</v>
      </c>
      <c r="M162" s="53" t="str">
        <f t="shared" si="59"/>
        <v>N.M.</v>
      </c>
      <c r="N162" s="174"/>
      <c r="O162" s="256">
        <v>14836181.16</v>
      </c>
      <c r="P162" s="16">
        <f t="shared" si="60"/>
        <v>3140523.3999999985</v>
      </c>
      <c r="Q162" s="53">
        <f t="shared" si="61"/>
        <v>0.21168003855784667</v>
      </c>
    </row>
    <row r="163" spans="1:17" s="15" customFormat="1" ht="12.75" hidden="1" outlineLevel="2">
      <c r="A163" s="15" t="s">
        <v>617</v>
      </c>
      <c r="B163" s="15" t="s">
        <v>618</v>
      </c>
      <c r="C163" s="134" t="s">
        <v>619</v>
      </c>
      <c r="D163" s="16"/>
      <c r="E163" s="16"/>
      <c r="F163" s="16">
        <v>355482.54</v>
      </c>
      <c r="G163" s="16">
        <v>0</v>
      </c>
      <c r="H163" s="16">
        <f t="shared" si="56"/>
        <v>355482.54</v>
      </c>
      <c r="I163" s="53" t="str">
        <f t="shared" si="57"/>
        <v>N.M.</v>
      </c>
      <c r="J163" s="174"/>
      <c r="K163" s="256">
        <v>343640.91000000003</v>
      </c>
      <c r="L163" s="16">
        <f t="shared" si="58"/>
        <v>11841.629999999946</v>
      </c>
      <c r="M163" s="53" t="str">
        <f t="shared" si="59"/>
        <v>N.M.</v>
      </c>
      <c r="N163" s="174"/>
      <c r="O163" s="256">
        <v>0</v>
      </c>
      <c r="P163" s="16">
        <f t="shared" si="60"/>
        <v>355482.54</v>
      </c>
      <c r="Q163" s="53" t="str">
        <f t="shared" si="61"/>
        <v>N.M.</v>
      </c>
    </row>
    <row r="164" spans="1:17" s="15" customFormat="1" ht="12.75" hidden="1" outlineLevel="2">
      <c r="A164" s="15" t="s">
        <v>620</v>
      </c>
      <c r="B164" s="15" t="s">
        <v>621</v>
      </c>
      <c r="C164" s="134" t="s">
        <v>622</v>
      </c>
      <c r="D164" s="16"/>
      <c r="E164" s="16"/>
      <c r="F164" s="16">
        <v>0</v>
      </c>
      <c r="G164" s="16">
        <v>345405.45</v>
      </c>
      <c r="H164" s="16">
        <f t="shared" si="56"/>
        <v>-345405.45</v>
      </c>
      <c r="I164" s="53" t="str">
        <f t="shared" si="57"/>
        <v>N.M.</v>
      </c>
      <c r="J164" s="174"/>
      <c r="K164" s="256">
        <v>0</v>
      </c>
      <c r="L164" s="16">
        <f t="shared" si="58"/>
        <v>0</v>
      </c>
      <c r="M164" s="53">
        <f t="shared" si="59"/>
        <v>0</v>
      </c>
      <c r="N164" s="174"/>
      <c r="O164" s="256">
        <v>340189.38</v>
      </c>
      <c r="P164" s="16">
        <f t="shared" si="60"/>
        <v>-340189.38</v>
      </c>
      <c r="Q164" s="53" t="str">
        <f t="shared" si="61"/>
        <v>N.M.</v>
      </c>
    </row>
    <row r="165" spans="1:17" s="15" customFormat="1" ht="12.75" hidden="1" outlineLevel="2">
      <c r="A165" s="15" t="s">
        <v>623</v>
      </c>
      <c r="B165" s="15" t="s">
        <v>624</v>
      </c>
      <c r="C165" s="134" t="s">
        <v>625</v>
      </c>
      <c r="D165" s="16"/>
      <c r="E165" s="16"/>
      <c r="F165" s="16">
        <v>26672.15</v>
      </c>
      <c r="G165" s="16">
        <v>0</v>
      </c>
      <c r="H165" s="16">
        <f t="shared" si="56"/>
        <v>26672.15</v>
      </c>
      <c r="I165" s="53" t="str">
        <f t="shared" si="57"/>
        <v>N.M.</v>
      </c>
      <c r="J165" s="174"/>
      <c r="K165" s="256">
        <v>27416.16</v>
      </c>
      <c r="L165" s="16">
        <f t="shared" si="58"/>
        <v>-744.0099999999984</v>
      </c>
      <c r="M165" s="53" t="str">
        <f t="shared" si="59"/>
        <v>N.M.</v>
      </c>
      <c r="N165" s="174"/>
      <c r="O165" s="256">
        <v>0</v>
      </c>
      <c r="P165" s="16">
        <f t="shared" si="60"/>
        <v>26672.15</v>
      </c>
      <c r="Q165" s="53" t="str">
        <f t="shared" si="61"/>
        <v>N.M.</v>
      </c>
    </row>
    <row r="166" spans="1:17" s="15" customFormat="1" ht="12.75" hidden="1" outlineLevel="2">
      <c r="A166" s="15" t="s">
        <v>626</v>
      </c>
      <c r="B166" s="15" t="s">
        <v>627</v>
      </c>
      <c r="C166" s="134" t="s">
        <v>628</v>
      </c>
      <c r="D166" s="16"/>
      <c r="E166" s="16"/>
      <c r="F166" s="16">
        <v>-17881161.76</v>
      </c>
      <c r="G166" s="16">
        <v>-15390035.22</v>
      </c>
      <c r="H166" s="16">
        <f t="shared" si="56"/>
        <v>-2491126.540000001</v>
      </c>
      <c r="I166" s="53">
        <f t="shared" si="57"/>
        <v>-0.16186620136922603</v>
      </c>
      <c r="J166" s="174"/>
      <c r="K166" s="256">
        <v>-17881161.76</v>
      </c>
      <c r="L166" s="16">
        <f t="shared" si="58"/>
        <v>0</v>
      </c>
      <c r="M166" s="53">
        <f t="shared" si="59"/>
        <v>0</v>
      </c>
      <c r="N166" s="174"/>
      <c r="O166" s="256">
        <v>-14836181.16</v>
      </c>
      <c r="P166" s="16">
        <f t="shared" si="60"/>
        <v>-3044980.6000000015</v>
      </c>
      <c r="Q166" s="53">
        <f t="shared" si="61"/>
        <v>-0.20524018729358798</v>
      </c>
    </row>
    <row r="167" spans="1:17" s="15" customFormat="1" ht="12.75" hidden="1" outlineLevel="2">
      <c r="A167" s="15" t="s">
        <v>629</v>
      </c>
      <c r="B167" s="15" t="s">
        <v>630</v>
      </c>
      <c r="C167" s="134" t="s">
        <v>631</v>
      </c>
      <c r="D167" s="16"/>
      <c r="E167" s="16"/>
      <c r="F167" s="16">
        <v>0</v>
      </c>
      <c r="G167" s="16">
        <v>122026.11</v>
      </c>
      <c r="H167" s="16">
        <f t="shared" si="56"/>
        <v>-122026.11</v>
      </c>
      <c r="I167" s="53" t="str">
        <f t="shared" si="57"/>
        <v>N.M.</v>
      </c>
      <c r="J167" s="174"/>
      <c r="K167" s="256">
        <v>0</v>
      </c>
      <c r="L167" s="16">
        <f t="shared" si="58"/>
        <v>0</v>
      </c>
      <c r="M167" s="53">
        <f t="shared" si="59"/>
        <v>0</v>
      </c>
      <c r="N167" s="174"/>
      <c r="O167" s="256">
        <v>0</v>
      </c>
      <c r="P167" s="16">
        <f t="shared" si="60"/>
        <v>0</v>
      </c>
      <c r="Q167" s="53">
        <f t="shared" si="61"/>
        <v>0</v>
      </c>
    </row>
    <row r="168" spans="1:17" s="15" customFormat="1" ht="12.75" hidden="1" outlineLevel="2">
      <c r="A168" s="15" t="s">
        <v>632</v>
      </c>
      <c r="B168" s="15" t="s">
        <v>633</v>
      </c>
      <c r="C168" s="134" t="s">
        <v>634</v>
      </c>
      <c r="D168" s="16"/>
      <c r="E168" s="16"/>
      <c r="F168" s="16">
        <v>342015.26</v>
      </c>
      <c r="G168" s="16">
        <v>253600.07</v>
      </c>
      <c r="H168" s="16">
        <f t="shared" si="56"/>
        <v>88415.19</v>
      </c>
      <c r="I168" s="53">
        <f t="shared" si="57"/>
        <v>0.3486402428832137</v>
      </c>
      <c r="J168" s="174"/>
      <c r="K168" s="256">
        <v>430691.05</v>
      </c>
      <c r="L168" s="16">
        <f t="shared" si="58"/>
        <v>-88675.78999999998</v>
      </c>
      <c r="M168" s="53" t="str">
        <f t="shared" si="59"/>
        <v>N.M.</v>
      </c>
      <c r="N168" s="174"/>
      <c r="O168" s="256">
        <v>179434.74</v>
      </c>
      <c r="P168" s="16">
        <f t="shared" si="60"/>
        <v>162580.52000000002</v>
      </c>
      <c r="Q168" s="53">
        <f t="shared" si="61"/>
        <v>0.906070474424295</v>
      </c>
    </row>
    <row r="169" spans="1:17" s="67" customFormat="1" ht="12.75" collapsed="1">
      <c r="A169" s="67" t="s">
        <v>133</v>
      </c>
      <c r="B169" s="87"/>
      <c r="C169" s="82" t="s">
        <v>109</v>
      </c>
      <c r="D169" s="66"/>
      <c r="E169" s="66"/>
      <c r="F169" s="51">
        <v>1630521.064999996</v>
      </c>
      <c r="G169" s="51">
        <v>1158818.2149999982</v>
      </c>
      <c r="H169" s="51">
        <f>+F169-G169</f>
        <v>471702.84999999776</v>
      </c>
      <c r="I169" s="136">
        <f>IF(G169&lt;0,IF(H169=0,0,IF(OR(G169=0,F169=0),"N.M.",IF(ABS(H169/G169)&gt;=10,"N.M.",H169/(-G169)))),IF(H169=0,0,IF(OR(G169=0,F169=0),"N.M.",IF(ABS(H169/G169)&gt;=10,"N.M.",H169/G169))))</f>
        <v>0.40705508758334324</v>
      </c>
      <c r="J169" s="157"/>
      <c r="K169" s="51">
        <v>1784821.8350000002</v>
      </c>
      <c r="L169" s="51">
        <f>+F169-K169</f>
        <v>-154300.7700000042</v>
      </c>
      <c r="M169" s="136" t="str">
        <f>IF(K169&lt;0,IF(L169=0,0,IF(OR(K169=0,N169=0),"N.M.",IF(ABS(L169/K169)&gt;=10,"N.M.",L169/(-K169)))),IF(L169=0,0,IF(OR(K169=0,N169=0),"N.M.",IF(ABS(L169/K169)&gt;=10,"N.M.",L169/K169))))</f>
        <v>N.M.</v>
      </c>
      <c r="N169" s="157"/>
      <c r="O169" s="51">
        <v>1281855.0450000016</v>
      </c>
      <c r="P169" s="51">
        <f>+F169-O169</f>
        <v>348666.01999999443</v>
      </c>
      <c r="Q169" s="136">
        <f>IF(O169&lt;0,IF(P169=0,0,IF(OR(O169=0,F169=0),"N.M.",IF(ABS(P169/O169)&gt;=10,"N.M.",P169/(-O169)))),IF(P169=0,0,IF(OR(O169=0,F169=0),"N.M.",IF(ABS(P169/O169)&gt;=10,"N.M.",P169/O169))))</f>
        <v>0.27200112942567073</v>
      </c>
    </row>
    <row r="170" spans="2:17" s="67" customFormat="1" ht="0.75" customHeight="1" hidden="1" outlineLevel="1">
      <c r="B170" s="87"/>
      <c r="C170" s="82"/>
      <c r="D170" s="66"/>
      <c r="E170" s="66"/>
      <c r="F170" s="51"/>
      <c r="G170" s="51"/>
      <c r="H170" s="51"/>
      <c r="I170" s="136"/>
      <c r="J170" s="157"/>
      <c r="K170" s="51"/>
      <c r="L170" s="51"/>
      <c r="M170" s="136"/>
      <c r="N170" s="157"/>
      <c r="O170" s="51"/>
      <c r="P170" s="51"/>
      <c r="Q170" s="136"/>
    </row>
    <row r="171" spans="1:17" s="15" customFormat="1" ht="12.75" hidden="1" outlineLevel="2">
      <c r="A171" s="15" t="s">
        <v>635</v>
      </c>
      <c r="B171" s="15" t="s">
        <v>636</v>
      </c>
      <c r="C171" s="134" t="s">
        <v>637</v>
      </c>
      <c r="D171" s="16"/>
      <c r="E171" s="16"/>
      <c r="F171" s="16">
        <v>67.56</v>
      </c>
      <c r="G171" s="16">
        <v>156.35</v>
      </c>
      <c r="H171" s="16">
        <f aca="true" t="shared" si="62" ref="H171:H181">+F171-G171</f>
        <v>-88.78999999999999</v>
      </c>
      <c r="I171" s="53">
        <f aca="true" t="shared" si="63" ref="I171:I181">IF(G171&lt;0,IF(H171=0,0,IF(OR(G171=0,F171=0),"N.M.",IF(ABS(H171/G171)&gt;=10,"N.M.",H171/(-G171)))),IF(H171=0,0,IF(OR(G171=0,F171=0),"N.M.",IF(ABS(H171/G171)&gt;=10,"N.M.",H171/G171))))</f>
        <v>-0.5678925487687879</v>
      </c>
      <c r="J171" s="174"/>
      <c r="K171" s="256">
        <v>67.56</v>
      </c>
      <c r="L171" s="16">
        <f aca="true" t="shared" si="64" ref="L171:L181">+F171-K171</f>
        <v>0</v>
      </c>
      <c r="M171" s="53">
        <f aca="true" t="shared" si="65" ref="M171:M181">IF(K171&lt;0,IF(L171=0,0,IF(OR(K171=0,N171=0),"N.M.",IF(ABS(L171/K171)&gt;=10,"N.M.",L171/(-K171)))),IF(L171=0,0,IF(OR(K171=0,N171=0),"N.M.",IF(ABS(L171/K171)&gt;=10,"N.M.",L171/K171))))</f>
        <v>0</v>
      </c>
      <c r="N171" s="174"/>
      <c r="O171" s="256">
        <v>156.35</v>
      </c>
      <c r="P171" s="16">
        <f aca="true" t="shared" si="66" ref="P171:P181">+F171-O171</f>
        <v>-88.78999999999999</v>
      </c>
      <c r="Q171" s="53">
        <f aca="true" t="shared" si="67" ref="Q171:Q181">IF(O171&lt;0,IF(P171=0,0,IF(OR(O171=0,F171=0),"N.M.",IF(ABS(P171/O171)&gt;=10,"N.M.",P171/(-O171)))),IF(P171=0,0,IF(OR(O171=0,F171=0),"N.M.",IF(ABS(P171/O171)&gt;=10,"N.M.",P171/O171))))</f>
        <v>-0.5678925487687879</v>
      </c>
    </row>
    <row r="172" spans="1:17" s="15" customFormat="1" ht="12.75" hidden="1" outlineLevel="2">
      <c r="A172" s="15" t="s">
        <v>638</v>
      </c>
      <c r="B172" s="15" t="s">
        <v>639</v>
      </c>
      <c r="C172" s="134" t="s">
        <v>640</v>
      </c>
      <c r="D172" s="16"/>
      <c r="E172" s="16"/>
      <c r="F172" s="16">
        <v>44.36</v>
      </c>
      <c r="G172" s="16">
        <v>22663.73</v>
      </c>
      <c r="H172" s="16">
        <f t="shared" si="62"/>
        <v>-22619.37</v>
      </c>
      <c r="I172" s="53">
        <f t="shared" si="63"/>
        <v>-0.9980426875893773</v>
      </c>
      <c r="J172" s="174"/>
      <c r="K172" s="256">
        <v>44.36</v>
      </c>
      <c r="L172" s="16">
        <f t="shared" si="64"/>
        <v>0</v>
      </c>
      <c r="M172" s="53">
        <f t="shared" si="65"/>
        <v>0</v>
      </c>
      <c r="N172" s="174"/>
      <c r="O172" s="256">
        <v>5189.400000000001</v>
      </c>
      <c r="P172" s="16">
        <f t="shared" si="66"/>
        <v>-5145.040000000001</v>
      </c>
      <c r="Q172" s="53">
        <f t="shared" si="67"/>
        <v>-0.9914518056037307</v>
      </c>
    </row>
    <row r="173" spans="1:17" s="15" customFormat="1" ht="12.75" hidden="1" outlineLevel="2">
      <c r="A173" s="15" t="s">
        <v>641</v>
      </c>
      <c r="B173" s="15" t="s">
        <v>642</v>
      </c>
      <c r="C173" s="134" t="s">
        <v>643</v>
      </c>
      <c r="D173" s="16"/>
      <c r="E173" s="16"/>
      <c r="F173" s="16">
        <v>482</v>
      </c>
      <c r="G173" s="16">
        <v>372.99</v>
      </c>
      <c r="H173" s="16">
        <f t="shared" si="62"/>
        <v>109.00999999999999</v>
      </c>
      <c r="I173" s="53">
        <f t="shared" si="63"/>
        <v>0.2922598461084747</v>
      </c>
      <c r="J173" s="174"/>
      <c r="K173" s="256">
        <v>482</v>
      </c>
      <c r="L173" s="16">
        <f t="shared" si="64"/>
        <v>0</v>
      </c>
      <c r="M173" s="53">
        <f t="shared" si="65"/>
        <v>0</v>
      </c>
      <c r="N173" s="174"/>
      <c r="O173" s="256">
        <v>372.99</v>
      </c>
      <c r="P173" s="16">
        <f t="shared" si="66"/>
        <v>109.00999999999999</v>
      </c>
      <c r="Q173" s="53">
        <f t="shared" si="67"/>
        <v>0.2922598461084747</v>
      </c>
    </row>
    <row r="174" spans="1:17" s="15" customFormat="1" ht="12.75" hidden="1" outlineLevel="2">
      <c r="A174" s="15" t="s">
        <v>644</v>
      </c>
      <c r="B174" s="15" t="s">
        <v>645</v>
      </c>
      <c r="C174" s="134" t="s">
        <v>646</v>
      </c>
      <c r="D174" s="16"/>
      <c r="E174" s="16"/>
      <c r="F174" s="16">
        <v>1684468.242</v>
      </c>
      <c r="G174" s="16">
        <v>785242.892</v>
      </c>
      <c r="H174" s="16">
        <f t="shared" si="62"/>
        <v>899225.3500000001</v>
      </c>
      <c r="I174" s="53">
        <f t="shared" si="63"/>
        <v>1.1451556698713805</v>
      </c>
      <c r="J174" s="174"/>
      <c r="K174" s="256">
        <v>3302195.092</v>
      </c>
      <c r="L174" s="16">
        <f t="shared" si="64"/>
        <v>-1617726.85</v>
      </c>
      <c r="M174" s="53" t="str">
        <f t="shared" si="65"/>
        <v>N.M.</v>
      </c>
      <c r="N174" s="174"/>
      <c r="O174" s="256">
        <v>618024.642</v>
      </c>
      <c r="P174" s="16">
        <f t="shared" si="66"/>
        <v>1066443.6</v>
      </c>
      <c r="Q174" s="53">
        <f t="shared" si="67"/>
        <v>1.7255680882705</v>
      </c>
    </row>
    <row r="175" spans="1:17" s="15" customFormat="1" ht="12.75" hidden="1" outlineLevel="2">
      <c r="A175" s="15" t="s">
        <v>647</v>
      </c>
      <c r="B175" s="15" t="s">
        <v>648</v>
      </c>
      <c r="C175" s="134" t="s">
        <v>649</v>
      </c>
      <c r="D175" s="16"/>
      <c r="E175" s="16"/>
      <c r="F175" s="16">
        <v>6206374.485</v>
      </c>
      <c r="G175" s="16">
        <v>11285470.665</v>
      </c>
      <c r="H175" s="16">
        <f t="shared" si="62"/>
        <v>-5079096.179999999</v>
      </c>
      <c r="I175" s="53">
        <f t="shared" si="63"/>
        <v>-0.4500562121659637</v>
      </c>
      <c r="J175" s="174"/>
      <c r="K175" s="256">
        <v>7775048.985</v>
      </c>
      <c r="L175" s="16">
        <f t="shared" si="64"/>
        <v>-1568674.5</v>
      </c>
      <c r="M175" s="53" t="str">
        <f t="shared" si="65"/>
        <v>N.M.</v>
      </c>
      <c r="N175" s="174"/>
      <c r="O175" s="256">
        <v>10898806.895</v>
      </c>
      <c r="P175" s="16">
        <f t="shared" si="66"/>
        <v>-4692432.409999999</v>
      </c>
      <c r="Q175" s="53">
        <f t="shared" si="67"/>
        <v>-0.43054551339493197</v>
      </c>
    </row>
    <row r="176" spans="1:17" s="15" customFormat="1" ht="12.75" hidden="1" outlineLevel="2">
      <c r="A176" s="15" t="s">
        <v>650</v>
      </c>
      <c r="B176" s="15" t="s">
        <v>651</v>
      </c>
      <c r="C176" s="134" t="s">
        <v>652</v>
      </c>
      <c r="D176" s="16"/>
      <c r="E176" s="16"/>
      <c r="F176" s="16">
        <v>-5443766</v>
      </c>
      <c r="G176" s="16">
        <v>-7316110</v>
      </c>
      <c r="H176" s="16">
        <f t="shared" si="62"/>
        <v>1872344</v>
      </c>
      <c r="I176" s="53">
        <f t="shared" si="63"/>
        <v>0.2559207010282787</v>
      </c>
      <c r="J176" s="174"/>
      <c r="K176" s="256">
        <v>-7745034</v>
      </c>
      <c r="L176" s="16">
        <f t="shared" si="64"/>
        <v>2301268</v>
      </c>
      <c r="M176" s="53" t="str">
        <f t="shared" si="65"/>
        <v>N.M.</v>
      </c>
      <c r="N176" s="174"/>
      <c r="O176" s="256">
        <v>-6406127</v>
      </c>
      <c r="P176" s="16">
        <f t="shared" si="66"/>
        <v>962361</v>
      </c>
      <c r="Q176" s="53">
        <f t="shared" si="67"/>
        <v>0.1502250891997614</v>
      </c>
    </row>
    <row r="177" spans="1:17" s="15" customFormat="1" ht="12.75" hidden="1" outlineLevel="2">
      <c r="A177" s="15" t="s">
        <v>653</v>
      </c>
      <c r="B177" s="15" t="s">
        <v>654</v>
      </c>
      <c r="C177" s="134" t="s">
        <v>655</v>
      </c>
      <c r="D177" s="16"/>
      <c r="E177" s="16"/>
      <c r="F177" s="16">
        <v>0</v>
      </c>
      <c r="G177" s="16">
        <v>244612.9</v>
      </c>
      <c r="H177" s="16">
        <f t="shared" si="62"/>
        <v>-244612.9</v>
      </c>
      <c r="I177" s="53" t="str">
        <f t="shared" si="63"/>
        <v>N.M.</v>
      </c>
      <c r="J177" s="174"/>
      <c r="K177" s="256">
        <v>0</v>
      </c>
      <c r="L177" s="16">
        <f t="shared" si="64"/>
        <v>0</v>
      </c>
      <c r="M177" s="53">
        <f t="shared" si="65"/>
        <v>0</v>
      </c>
      <c r="N177" s="174"/>
      <c r="O177" s="256">
        <v>0</v>
      </c>
      <c r="P177" s="16">
        <f t="shared" si="66"/>
        <v>0</v>
      </c>
      <c r="Q177" s="53">
        <f t="shared" si="67"/>
        <v>0</v>
      </c>
    </row>
    <row r="178" spans="1:17" s="15" customFormat="1" ht="12.75" hidden="1" outlineLevel="2">
      <c r="A178" s="15" t="s">
        <v>656</v>
      </c>
      <c r="B178" s="15" t="s">
        <v>657</v>
      </c>
      <c r="C178" s="134" t="s">
        <v>658</v>
      </c>
      <c r="D178" s="16"/>
      <c r="E178" s="16"/>
      <c r="F178" s="16">
        <v>0.02</v>
      </c>
      <c r="G178" s="16">
        <v>0</v>
      </c>
      <c r="H178" s="16">
        <f t="shared" si="62"/>
        <v>0.02</v>
      </c>
      <c r="I178" s="53" t="str">
        <f t="shared" si="63"/>
        <v>N.M.</v>
      </c>
      <c r="J178" s="174"/>
      <c r="K178" s="256">
        <v>0.02</v>
      </c>
      <c r="L178" s="16">
        <f t="shared" si="64"/>
        <v>0</v>
      </c>
      <c r="M178" s="53">
        <f t="shared" si="65"/>
        <v>0</v>
      </c>
      <c r="N178" s="174"/>
      <c r="O178" s="256">
        <v>0</v>
      </c>
      <c r="P178" s="16">
        <f t="shared" si="66"/>
        <v>0.02</v>
      </c>
      <c r="Q178" s="53" t="str">
        <f t="shared" si="67"/>
        <v>N.M.</v>
      </c>
    </row>
    <row r="179" spans="1:17" s="15" customFormat="1" ht="12.75" hidden="1" outlineLevel="2">
      <c r="A179" s="15" t="s">
        <v>659</v>
      </c>
      <c r="B179" s="15" t="s">
        <v>660</v>
      </c>
      <c r="C179" s="134" t="s">
        <v>661</v>
      </c>
      <c r="D179" s="16"/>
      <c r="E179" s="16"/>
      <c r="F179" s="16">
        <v>-0.02</v>
      </c>
      <c r="G179" s="16">
        <v>0</v>
      </c>
      <c r="H179" s="16">
        <f t="shared" si="62"/>
        <v>-0.02</v>
      </c>
      <c r="I179" s="53" t="str">
        <f t="shared" si="63"/>
        <v>N.M.</v>
      </c>
      <c r="J179" s="174"/>
      <c r="K179" s="256">
        <v>942</v>
      </c>
      <c r="L179" s="16">
        <f t="shared" si="64"/>
        <v>-942.02</v>
      </c>
      <c r="M179" s="53" t="str">
        <f t="shared" si="65"/>
        <v>N.M.</v>
      </c>
      <c r="N179" s="174"/>
      <c r="O179" s="256">
        <v>0</v>
      </c>
      <c r="P179" s="16">
        <f t="shared" si="66"/>
        <v>-0.02</v>
      </c>
      <c r="Q179" s="53" t="str">
        <f t="shared" si="67"/>
        <v>N.M.</v>
      </c>
    </row>
    <row r="180" spans="1:17" s="15" customFormat="1" ht="12.75" hidden="1" outlineLevel="2">
      <c r="A180" s="15" t="s">
        <v>662</v>
      </c>
      <c r="B180" s="15" t="s">
        <v>663</v>
      </c>
      <c r="C180" s="134" t="s">
        <v>664</v>
      </c>
      <c r="D180" s="16"/>
      <c r="E180" s="16"/>
      <c r="F180" s="16">
        <v>898115.457</v>
      </c>
      <c r="G180" s="16">
        <v>1166090.747</v>
      </c>
      <c r="H180" s="16">
        <f t="shared" si="62"/>
        <v>-267975.2899999999</v>
      </c>
      <c r="I180" s="53">
        <f t="shared" si="63"/>
        <v>-0.22980654866649064</v>
      </c>
      <c r="J180" s="174"/>
      <c r="K180" s="256">
        <v>1155622.457</v>
      </c>
      <c r="L180" s="16">
        <f t="shared" si="64"/>
        <v>-257506.99999999988</v>
      </c>
      <c r="M180" s="53" t="str">
        <f t="shared" si="65"/>
        <v>N.M.</v>
      </c>
      <c r="N180" s="174"/>
      <c r="O180" s="256">
        <v>1102111.917</v>
      </c>
      <c r="P180" s="16">
        <f t="shared" si="66"/>
        <v>-203996.45999999985</v>
      </c>
      <c r="Q180" s="53">
        <f t="shared" si="67"/>
        <v>-0.18509595700161535</v>
      </c>
    </row>
    <row r="181" spans="1:17" s="15" customFormat="1" ht="12.75" hidden="1" outlineLevel="2">
      <c r="A181" s="15" t="s">
        <v>665</v>
      </c>
      <c r="B181" s="15" t="s">
        <v>666</v>
      </c>
      <c r="C181" s="134" t="s">
        <v>667</v>
      </c>
      <c r="D181" s="16"/>
      <c r="E181" s="16"/>
      <c r="F181" s="16">
        <v>0</v>
      </c>
      <c r="G181" s="16">
        <v>29816.73</v>
      </c>
      <c r="H181" s="16">
        <f t="shared" si="62"/>
        <v>-29816.73</v>
      </c>
      <c r="I181" s="53" t="str">
        <f t="shared" si="63"/>
        <v>N.M.</v>
      </c>
      <c r="J181" s="174"/>
      <c r="K181" s="256">
        <v>0</v>
      </c>
      <c r="L181" s="16">
        <f t="shared" si="64"/>
        <v>0</v>
      </c>
      <c r="M181" s="53">
        <f t="shared" si="65"/>
        <v>0</v>
      </c>
      <c r="N181" s="174"/>
      <c r="O181" s="256">
        <v>24847.27</v>
      </c>
      <c r="P181" s="16">
        <f t="shared" si="66"/>
        <v>-24847.27</v>
      </c>
      <c r="Q181" s="53" t="str">
        <f t="shared" si="67"/>
        <v>N.M.</v>
      </c>
    </row>
    <row r="182" spans="1:17" s="67" customFormat="1" ht="12" customHeight="1" collapsed="1">
      <c r="A182" s="67" t="s">
        <v>134</v>
      </c>
      <c r="B182" s="87"/>
      <c r="C182" s="96" t="s">
        <v>110</v>
      </c>
      <c r="D182" s="51"/>
      <c r="E182" s="51"/>
      <c r="F182" s="197">
        <v>3345786.104</v>
      </c>
      <c r="G182" s="197">
        <v>6218317.003999999</v>
      </c>
      <c r="H182" s="197">
        <f>+F182-G182</f>
        <v>-2872530.899999999</v>
      </c>
      <c r="I182" s="138">
        <f>IF(G182&lt;0,IF(H182=0,0,IF(OR(G182=0,F182=0),"N.M.",IF(ABS(H182/G182)&gt;=10,"N.M.",H182/(-G182)))),IF(H182=0,0,IF(OR(G182=0,F182=0),"N.M.",IF(ABS(H182/G182)&gt;=10,"N.M.",H182/G182))))</f>
        <v>-0.4619466807742694</v>
      </c>
      <c r="J182" s="157"/>
      <c r="K182" s="197">
        <v>4489368.474000001</v>
      </c>
      <c r="L182" s="197">
        <f>+F182-K182</f>
        <v>-1143582.3700000015</v>
      </c>
      <c r="M182" s="138" t="str">
        <f>IF(K182&lt;0,IF(L182=0,0,IF(OR(K182=0,N182=0),"N.M.",IF(ABS(L182/K182)&gt;=10,"N.M.",L182/(-K182)))),IF(L182=0,0,IF(OR(K182=0,N182=0),"N.M.",IF(ABS(L182/K182)&gt;=10,"N.M.",L182/K182))))</f>
        <v>N.M.</v>
      </c>
      <c r="N182" s="157"/>
      <c r="O182" s="197">
        <v>6243382.463999998</v>
      </c>
      <c r="P182" s="197">
        <f>+F182-O182</f>
        <v>-2897596.359999998</v>
      </c>
      <c r="Q182" s="138">
        <f>IF(O182&lt;0,IF(P182=0,0,IF(OR(O182=0,F182=0),"N.M.",IF(ABS(P182/O182)&gt;=10,"N.M.",P182/(-O182)))),IF(P182=0,0,IF(OR(O182=0,F182=0),"N.M.",IF(ABS(P182/O182)&gt;=10,"N.M.",P182/O182))))</f>
        <v>-0.4641068165706401</v>
      </c>
    </row>
    <row r="183" spans="1:17" s="75" customFormat="1" ht="12" customHeight="1">
      <c r="A183" s="75" t="s">
        <v>113</v>
      </c>
      <c r="B183" s="93"/>
      <c r="C183" s="75" t="s">
        <v>146</v>
      </c>
      <c r="D183" s="74"/>
      <c r="E183" s="74"/>
      <c r="F183" s="74">
        <f>+F182+F169+F156+F149+F145+F130+F124+F114+F110+F94+F79+F76</f>
        <v>127092210.60499997</v>
      </c>
      <c r="G183" s="74">
        <f>+G182+G169+G156+G149+G145+G130+G124+G114+G110+G94+G79+G76</f>
        <v>102025000.53</v>
      </c>
      <c r="H183" s="74">
        <f>+F183-G183</f>
        <v>25067210.074999973</v>
      </c>
      <c r="I183" s="137">
        <f>IF(G183&lt;0,IF(H183=0,0,IF(OR(G183=0,F183=0),"N.M.",IF(ABS(H183/G183)&gt;=10,"N.M.",H183/(-G183)))),IF(H183=0,0,IF(OR(G183=0,F183=0),"N.M.",IF(ABS(H183/G183)&gt;=10,"N.M.",H183/G183))))</f>
        <v>0.24569674045362117</v>
      </c>
      <c r="J183" s="163" t="s">
        <v>72</v>
      </c>
      <c r="K183" s="74">
        <f>+K182+K169+K156+K149+K145+K130+K124+K114+K110+K94+K79+K76</f>
        <v>130826852.781</v>
      </c>
      <c r="L183" s="74">
        <f>+F183-K183</f>
        <v>-3734642.176000029</v>
      </c>
      <c r="M183" s="137">
        <f>IF(K183&lt;0,IF(L183=0,0,IF(OR(K183=0,N183=0),"N.M.",IF(ABS(L183/K183)&gt;=10,"N.M.",L183/(-K183)))),IF(L183=0,0,IF(OR(K183=0,N183=0),"N.M.",IF(ABS(L183/K183)&gt;=10,"N.M.",L183/K183))))</f>
        <v>-0.028546449728112783</v>
      </c>
      <c r="N183" s="163" t="s">
        <v>72</v>
      </c>
      <c r="O183" s="74">
        <f>+O182+O169+O156+O149+O145+O130+O124+O114+O110+O94+O79+O76</f>
        <v>107041160.77200003</v>
      </c>
      <c r="P183" s="74">
        <f>+F183-O183</f>
        <v>20051049.832999945</v>
      </c>
      <c r="Q183" s="137">
        <f>IF(O183&lt;0,IF(P183=0,0,IF(OR(O183=0,F183=0),"N.M.",IF(ABS(P183/O183)&gt;=10,"N.M.",P183/(-O183)))),IF(P183=0,0,IF(OR(O183=0,F183=0),"N.M.",IF(ABS(P183/O183)&gt;=10,"N.M.",P183/O183))))</f>
        <v>0.18732093045692125</v>
      </c>
    </row>
    <row r="184" spans="2:17" s="67" customFormat="1" ht="6" customHeight="1">
      <c r="B184" s="87"/>
      <c r="D184" s="51"/>
      <c r="E184" s="51"/>
      <c r="F184" s="51"/>
      <c r="G184" s="51"/>
      <c r="H184" s="51"/>
      <c r="I184" s="136"/>
      <c r="J184" s="162"/>
      <c r="K184" s="51"/>
      <c r="L184" s="51"/>
      <c r="M184" s="136"/>
      <c r="N184" s="162"/>
      <c r="O184" s="51"/>
      <c r="P184" s="51"/>
      <c r="Q184" s="136"/>
    </row>
    <row r="185" spans="2:17" s="67" customFormat="1" ht="0.75" customHeight="1" hidden="1" outlineLevel="1">
      <c r="B185" s="87"/>
      <c r="D185" s="51"/>
      <c r="E185" s="51"/>
      <c r="F185" s="51"/>
      <c r="G185" s="51"/>
      <c r="H185" s="51"/>
      <c r="I185" s="136"/>
      <c r="J185" s="162"/>
      <c r="K185" s="51"/>
      <c r="L185" s="51"/>
      <c r="M185" s="136"/>
      <c r="N185" s="162"/>
      <c r="O185" s="51"/>
      <c r="P185" s="51"/>
      <c r="Q185" s="136"/>
    </row>
    <row r="186" spans="1:17" s="15" customFormat="1" ht="12.75" hidden="1" outlineLevel="2">
      <c r="A186" s="15" t="s">
        <v>668</v>
      </c>
      <c r="B186" s="15" t="s">
        <v>669</v>
      </c>
      <c r="C186" s="134" t="s">
        <v>670</v>
      </c>
      <c r="D186" s="16"/>
      <c r="E186" s="16"/>
      <c r="F186" s="16">
        <v>6456335.62</v>
      </c>
      <c r="G186" s="16">
        <v>6519109.2</v>
      </c>
      <c r="H186" s="16">
        <f aca="true" t="shared" si="68" ref="H186:H206">+F186-G186</f>
        <v>-62773.580000000075</v>
      </c>
      <c r="I186" s="53">
        <f aca="true" t="shared" si="69" ref="I186:I206">IF(G186&lt;0,IF(H186=0,0,IF(OR(G186=0,F186=0),"N.M.",IF(ABS(H186/G186)&gt;=10,"N.M.",H186/(-G186)))),IF(H186=0,0,IF(OR(G186=0,F186=0),"N.M.",IF(ABS(H186/G186)&gt;=10,"N.M.",H186/G186))))</f>
        <v>-0.009629165285342984</v>
      </c>
      <c r="J186" s="174"/>
      <c r="K186" s="256">
        <v>6456335.62</v>
      </c>
      <c r="L186" s="16">
        <f aca="true" t="shared" si="70" ref="L186:L206">+F186-K186</f>
        <v>0</v>
      </c>
      <c r="M186" s="53">
        <f aca="true" t="shared" si="71" ref="M186:M206">IF(K186&lt;0,IF(L186=0,0,IF(OR(K186=0,N186=0),"N.M.",IF(ABS(L186/K186)&gt;=10,"N.M.",L186/(-K186)))),IF(L186=0,0,IF(OR(K186=0,N186=0),"N.M.",IF(ABS(L186/K186)&gt;=10,"N.M.",L186/K186))))</f>
        <v>0</v>
      </c>
      <c r="N186" s="174"/>
      <c r="O186" s="256">
        <v>7076806.39</v>
      </c>
      <c r="P186" s="16">
        <f aca="true" t="shared" si="72" ref="P186:P206">+F186-O186</f>
        <v>-620470.7699999996</v>
      </c>
      <c r="Q186" s="53">
        <f aca="true" t="shared" si="73" ref="Q186:Q206">IF(O186&lt;0,IF(P186=0,0,IF(OR(O186=0,F186=0),"N.M.",IF(ABS(P186/O186)&gt;=10,"N.M.",P186/(-O186)))),IF(P186=0,0,IF(OR(O186=0,F186=0),"N.M.",IF(ABS(P186/O186)&gt;=10,"N.M.",P186/O186))))</f>
        <v>-0.08767666314522413</v>
      </c>
    </row>
    <row r="187" spans="1:17" s="15" customFormat="1" ht="12.75" hidden="1" outlineLevel="2">
      <c r="A187" s="15" t="s">
        <v>671</v>
      </c>
      <c r="B187" s="15" t="s">
        <v>672</v>
      </c>
      <c r="C187" s="134" t="s">
        <v>673</v>
      </c>
      <c r="D187" s="16"/>
      <c r="E187" s="16"/>
      <c r="F187" s="16">
        <v>1224323</v>
      </c>
      <c r="G187" s="16">
        <v>978960</v>
      </c>
      <c r="H187" s="16">
        <f t="shared" si="68"/>
        <v>245363</v>
      </c>
      <c r="I187" s="53">
        <f t="shared" si="69"/>
        <v>0.2506363896379832</v>
      </c>
      <c r="J187" s="174"/>
      <c r="K187" s="256">
        <v>1204098</v>
      </c>
      <c r="L187" s="16">
        <f t="shared" si="70"/>
        <v>20225</v>
      </c>
      <c r="M187" s="53" t="str">
        <f t="shared" si="71"/>
        <v>N.M.</v>
      </c>
      <c r="N187" s="174"/>
      <c r="O187" s="256">
        <v>991571</v>
      </c>
      <c r="P187" s="16">
        <f t="shared" si="72"/>
        <v>232752</v>
      </c>
      <c r="Q187" s="53">
        <f t="shared" si="73"/>
        <v>0.23473054375329655</v>
      </c>
    </row>
    <row r="188" spans="1:17" s="15" customFormat="1" ht="12.75" hidden="1" outlineLevel="2">
      <c r="A188" s="15" t="s">
        <v>674</v>
      </c>
      <c r="B188" s="15" t="s">
        <v>675</v>
      </c>
      <c r="C188" s="134" t="s">
        <v>676</v>
      </c>
      <c r="D188" s="16"/>
      <c r="E188" s="16"/>
      <c r="F188" s="16">
        <v>-16502002</v>
      </c>
      <c r="G188" s="16">
        <v>-14583517</v>
      </c>
      <c r="H188" s="16">
        <f t="shared" si="68"/>
        <v>-1918485</v>
      </c>
      <c r="I188" s="53">
        <f t="shared" si="69"/>
        <v>-0.13155160034441624</v>
      </c>
      <c r="J188" s="174"/>
      <c r="K188" s="256">
        <v>-16251582</v>
      </c>
      <c r="L188" s="16">
        <f t="shared" si="70"/>
        <v>-250420</v>
      </c>
      <c r="M188" s="53" t="str">
        <f t="shared" si="71"/>
        <v>N.M.</v>
      </c>
      <c r="N188" s="174"/>
      <c r="O188" s="256">
        <v>-14670635</v>
      </c>
      <c r="P188" s="16">
        <f t="shared" si="72"/>
        <v>-1831367</v>
      </c>
      <c r="Q188" s="53">
        <f t="shared" si="73"/>
        <v>-0.124832156208644</v>
      </c>
    </row>
    <row r="189" spans="1:17" s="15" customFormat="1" ht="12.75" hidden="1" outlineLevel="2">
      <c r="A189" s="15" t="s">
        <v>677</v>
      </c>
      <c r="B189" s="15" t="s">
        <v>678</v>
      </c>
      <c r="C189" s="134" t="s">
        <v>679</v>
      </c>
      <c r="D189" s="16"/>
      <c r="E189" s="16"/>
      <c r="F189" s="16">
        <v>3987595</v>
      </c>
      <c r="G189" s="16">
        <v>3629346</v>
      </c>
      <c r="H189" s="16">
        <f t="shared" si="68"/>
        <v>358249</v>
      </c>
      <c r="I189" s="53">
        <f t="shared" si="69"/>
        <v>0.09870896850286526</v>
      </c>
      <c r="J189" s="174"/>
      <c r="K189" s="256">
        <v>3956671</v>
      </c>
      <c r="L189" s="16">
        <f t="shared" si="70"/>
        <v>30924</v>
      </c>
      <c r="M189" s="53" t="str">
        <f t="shared" si="71"/>
        <v>N.M.</v>
      </c>
      <c r="N189" s="174"/>
      <c r="O189" s="256">
        <v>3650578</v>
      </c>
      <c r="P189" s="16">
        <f t="shared" si="72"/>
        <v>337017</v>
      </c>
      <c r="Q189" s="53">
        <f t="shared" si="73"/>
        <v>0.09231880540560974</v>
      </c>
    </row>
    <row r="190" spans="1:17" s="15" customFormat="1" ht="12.75" hidden="1" outlineLevel="2">
      <c r="A190" s="15" t="s">
        <v>680</v>
      </c>
      <c r="B190" s="15" t="s">
        <v>681</v>
      </c>
      <c r="C190" s="134" t="s">
        <v>682</v>
      </c>
      <c r="D190" s="16"/>
      <c r="E190" s="16"/>
      <c r="F190" s="16">
        <v>11555961</v>
      </c>
      <c r="G190" s="16">
        <v>10200937</v>
      </c>
      <c r="H190" s="16">
        <f t="shared" si="68"/>
        <v>1355024</v>
      </c>
      <c r="I190" s="53">
        <f t="shared" si="69"/>
        <v>0.1328332877656239</v>
      </c>
      <c r="J190" s="174"/>
      <c r="K190" s="256">
        <v>11434235</v>
      </c>
      <c r="L190" s="16">
        <f t="shared" si="70"/>
        <v>121726</v>
      </c>
      <c r="M190" s="53" t="str">
        <f t="shared" si="71"/>
        <v>N.M.</v>
      </c>
      <c r="N190" s="174"/>
      <c r="O190" s="256">
        <v>10297990</v>
      </c>
      <c r="P190" s="16">
        <f t="shared" si="72"/>
        <v>1257971</v>
      </c>
      <c r="Q190" s="53">
        <f t="shared" si="73"/>
        <v>0.122156945190275</v>
      </c>
    </row>
    <row r="191" spans="1:17" s="15" customFormat="1" ht="12.75" hidden="1" outlineLevel="2">
      <c r="A191" s="15" t="s">
        <v>683</v>
      </c>
      <c r="B191" s="15" t="s">
        <v>684</v>
      </c>
      <c r="C191" s="134" t="s">
        <v>685</v>
      </c>
      <c r="D191" s="16"/>
      <c r="E191" s="16"/>
      <c r="F191" s="16">
        <v>735240</v>
      </c>
      <c r="G191" s="16">
        <v>768648</v>
      </c>
      <c r="H191" s="16">
        <f t="shared" si="68"/>
        <v>-33408</v>
      </c>
      <c r="I191" s="53">
        <f t="shared" si="69"/>
        <v>-0.04346332781715428</v>
      </c>
      <c r="J191" s="174"/>
      <c r="K191" s="256">
        <v>738024</v>
      </c>
      <c r="L191" s="16">
        <f t="shared" si="70"/>
        <v>-2784</v>
      </c>
      <c r="M191" s="53" t="str">
        <f t="shared" si="71"/>
        <v>N.M.</v>
      </c>
      <c r="N191" s="174"/>
      <c r="O191" s="256">
        <v>765864</v>
      </c>
      <c r="P191" s="16">
        <f t="shared" si="72"/>
        <v>-30624</v>
      </c>
      <c r="Q191" s="53">
        <f t="shared" si="73"/>
        <v>-0.03998621165115478</v>
      </c>
    </row>
    <row r="192" spans="1:17" s="15" customFormat="1" ht="12.75" hidden="1" outlineLevel="2">
      <c r="A192" s="15" t="s">
        <v>686</v>
      </c>
      <c r="B192" s="15" t="s">
        <v>687</v>
      </c>
      <c r="C192" s="134" t="s">
        <v>688</v>
      </c>
      <c r="D192" s="16"/>
      <c r="E192" s="16"/>
      <c r="F192" s="16">
        <v>114579</v>
      </c>
      <c r="G192" s="16">
        <v>119787</v>
      </c>
      <c r="H192" s="16">
        <f t="shared" si="68"/>
        <v>-5208</v>
      </c>
      <c r="I192" s="53">
        <f t="shared" si="69"/>
        <v>-0.04347717198026497</v>
      </c>
      <c r="J192" s="174"/>
      <c r="K192" s="256">
        <v>115013</v>
      </c>
      <c r="L192" s="16">
        <f t="shared" si="70"/>
        <v>-434</v>
      </c>
      <c r="M192" s="53" t="str">
        <f t="shared" si="71"/>
        <v>N.M.</v>
      </c>
      <c r="N192" s="174"/>
      <c r="O192" s="256">
        <v>119353</v>
      </c>
      <c r="P192" s="16">
        <f t="shared" si="72"/>
        <v>-4774</v>
      </c>
      <c r="Q192" s="53">
        <f t="shared" si="73"/>
        <v>-0.039998994579105676</v>
      </c>
    </row>
    <row r="193" spans="1:17" s="15" customFormat="1" ht="12.75" hidden="1" outlineLevel="2">
      <c r="A193" s="15" t="s">
        <v>689</v>
      </c>
      <c r="B193" s="15" t="s">
        <v>690</v>
      </c>
      <c r="C193" s="134" t="s">
        <v>691</v>
      </c>
      <c r="D193" s="16"/>
      <c r="E193" s="16"/>
      <c r="F193" s="16">
        <v>0</v>
      </c>
      <c r="G193" s="16">
        <v>-200000</v>
      </c>
      <c r="H193" s="16">
        <f t="shared" si="68"/>
        <v>200000</v>
      </c>
      <c r="I193" s="53" t="str">
        <f t="shared" si="69"/>
        <v>N.M.</v>
      </c>
      <c r="J193" s="174"/>
      <c r="K193" s="256">
        <v>0</v>
      </c>
      <c r="L193" s="16">
        <f t="shared" si="70"/>
        <v>0</v>
      </c>
      <c r="M193" s="53">
        <f t="shared" si="71"/>
        <v>0</v>
      </c>
      <c r="N193" s="174"/>
      <c r="O193" s="256">
        <v>0</v>
      </c>
      <c r="P193" s="16">
        <f t="shared" si="72"/>
        <v>0</v>
      </c>
      <c r="Q193" s="53">
        <f t="shared" si="73"/>
        <v>0</v>
      </c>
    </row>
    <row r="194" spans="1:17" s="15" customFormat="1" ht="12.75" hidden="1" outlineLevel="2">
      <c r="A194" s="15" t="s">
        <v>692</v>
      </c>
      <c r="B194" s="15" t="s">
        <v>693</v>
      </c>
      <c r="C194" s="134" t="s">
        <v>694</v>
      </c>
      <c r="D194" s="16"/>
      <c r="E194" s="16"/>
      <c r="F194" s="16">
        <v>21534535</v>
      </c>
      <c r="G194" s="16">
        <v>0</v>
      </c>
      <c r="H194" s="16">
        <f t="shared" si="68"/>
        <v>21534535</v>
      </c>
      <c r="I194" s="53" t="str">
        <f t="shared" si="69"/>
        <v>N.M.</v>
      </c>
      <c r="J194" s="174"/>
      <c r="K194" s="256">
        <v>21926072</v>
      </c>
      <c r="L194" s="16">
        <f t="shared" si="70"/>
        <v>-391537</v>
      </c>
      <c r="M194" s="53" t="str">
        <f t="shared" si="71"/>
        <v>N.M.</v>
      </c>
      <c r="N194" s="174"/>
      <c r="O194" s="256">
        <v>24355055</v>
      </c>
      <c r="P194" s="16">
        <f t="shared" si="72"/>
        <v>-2820520</v>
      </c>
      <c r="Q194" s="53">
        <f t="shared" si="73"/>
        <v>-0.1158084019929333</v>
      </c>
    </row>
    <row r="195" spans="1:17" s="15" customFormat="1" ht="12.75" hidden="1" outlineLevel="2">
      <c r="A195" s="15" t="s">
        <v>695</v>
      </c>
      <c r="B195" s="15" t="s">
        <v>696</v>
      </c>
      <c r="C195" s="134" t="s">
        <v>697</v>
      </c>
      <c r="D195" s="16"/>
      <c r="E195" s="16"/>
      <c r="F195" s="16">
        <v>-154409.65</v>
      </c>
      <c r="G195" s="16">
        <v>-176837.65</v>
      </c>
      <c r="H195" s="16">
        <f t="shared" si="68"/>
        <v>22428</v>
      </c>
      <c r="I195" s="53">
        <f t="shared" si="69"/>
        <v>0.12682819524009734</v>
      </c>
      <c r="J195" s="174"/>
      <c r="K195" s="256">
        <v>-156278.65</v>
      </c>
      <c r="L195" s="16">
        <f t="shared" si="70"/>
        <v>1869</v>
      </c>
      <c r="M195" s="53" t="str">
        <f t="shared" si="71"/>
        <v>N.M.</v>
      </c>
      <c r="N195" s="174"/>
      <c r="O195" s="256">
        <v>-174968.65</v>
      </c>
      <c r="P195" s="16">
        <f t="shared" si="72"/>
        <v>20559</v>
      </c>
      <c r="Q195" s="53">
        <f t="shared" si="73"/>
        <v>0.11750104947372</v>
      </c>
    </row>
    <row r="196" spans="1:17" s="15" customFormat="1" ht="12.75" hidden="1" outlineLevel="2">
      <c r="A196" s="15" t="s">
        <v>698</v>
      </c>
      <c r="B196" s="15" t="s">
        <v>699</v>
      </c>
      <c r="C196" s="134" t="s">
        <v>700</v>
      </c>
      <c r="D196" s="16"/>
      <c r="E196" s="16"/>
      <c r="F196" s="16">
        <v>316395.768</v>
      </c>
      <c r="G196" s="16">
        <v>338256.048</v>
      </c>
      <c r="H196" s="16">
        <f t="shared" si="68"/>
        <v>-21860.280000000028</v>
      </c>
      <c r="I196" s="53">
        <f t="shared" si="69"/>
        <v>-0.06462642761083766</v>
      </c>
      <c r="J196" s="174"/>
      <c r="K196" s="256">
        <v>318283.148</v>
      </c>
      <c r="L196" s="16">
        <f t="shared" si="70"/>
        <v>-1887.3800000000047</v>
      </c>
      <c r="M196" s="53" t="str">
        <f t="shared" si="71"/>
        <v>N.M.</v>
      </c>
      <c r="N196" s="174"/>
      <c r="O196" s="256">
        <v>336498.648</v>
      </c>
      <c r="P196" s="16">
        <f t="shared" si="72"/>
        <v>-20102.880000000005</v>
      </c>
      <c r="Q196" s="53">
        <f t="shared" si="73"/>
        <v>-0.05974133958481761</v>
      </c>
    </row>
    <row r="197" spans="1:17" s="15" customFormat="1" ht="12.75" hidden="1" outlineLevel="2">
      <c r="A197" s="15" t="s">
        <v>701</v>
      </c>
      <c r="B197" s="15" t="s">
        <v>702</v>
      </c>
      <c r="C197" s="134" t="s">
        <v>703</v>
      </c>
      <c r="D197" s="16"/>
      <c r="E197" s="16"/>
      <c r="F197" s="16">
        <v>519548.381</v>
      </c>
      <c r="G197" s="16">
        <v>624780.951</v>
      </c>
      <c r="H197" s="16">
        <f t="shared" si="68"/>
        <v>-105232.57</v>
      </c>
      <c r="I197" s="53">
        <f t="shared" si="69"/>
        <v>-0.16843114347767624</v>
      </c>
      <c r="J197" s="174"/>
      <c r="K197" s="256">
        <v>528614.291</v>
      </c>
      <c r="L197" s="16">
        <f t="shared" si="70"/>
        <v>-9065.909999999974</v>
      </c>
      <c r="M197" s="53" t="str">
        <f t="shared" si="71"/>
        <v>N.M.</v>
      </c>
      <c r="N197" s="174"/>
      <c r="O197" s="256">
        <v>616302.141</v>
      </c>
      <c r="P197" s="16">
        <f t="shared" si="72"/>
        <v>-96753.75999999995</v>
      </c>
      <c r="Q197" s="53">
        <f t="shared" si="73"/>
        <v>-0.15699079000927885</v>
      </c>
    </row>
    <row r="198" spans="1:17" s="15" customFormat="1" ht="12.75" hidden="1" outlineLevel="2">
      <c r="A198" s="15" t="s">
        <v>704</v>
      </c>
      <c r="B198" s="15" t="s">
        <v>705</v>
      </c>
      <c r="C198" s="134" t="s">
        <v>706</v>
      </c>
      <c r="D198" s="16"/>
      <c r="E198" s="16"/>
      <c r="F198" s="16">
        <v>334271.425</v>
      </c>
      <c r="G198" s="16">
        <v>357366.775</v>
      </c>
      <c r="H198" s="16">
        <f t="shared" si="68"/>
        <v>-23095.350000000035</v>
      </c>
      <c r="I198" s="53">
        <f t="shared" si="69"/>
        <v>-0.06462646114765434</v>
      </c>
      <c r="J198" s="174"/>
      <c r="K198" s="256">
        <v>336265.435</v>
      </c>
      <c r="L198" s="16">
        <f t="shared" si="70"/>
        <v>-1994.0100000000093</v>
      </c>
      <c r="M198" s="53" t="str">
        <f t="shared" si="71"/>
        <v>N.M.</v>
      </c>
      <c r="N198" s="174"/>
      <c r="O198" s="256">
        <v>355510.075</v>
      </c>
      <c r="P198" s="16">
        <f t="shared" si="72"/>
        <v>-21238.650000000023</v>
      </c>
      <c r="Q198" s="53">
        <f t="shared" si="73"/>
        <v>-0.05974134488312328</v>
      </c>
    </row>
    <row r="199" spans="1:17" s="15" customFormat="1" ht="12.75" hidden="1" outlineLevel="2">
      <c r="A199" s="15" t="s">
        <v>707</v>
      </c>
      <c r="B199" s="15" t="s">
        <v>708</v>
      </c>
      <c r="C199" s="134" t="s">
        <v>709</v>
      </c>
      <c r="D199" s="16"/>
      <c r="E199" s="16"/>
      <c r="F199" s="16">
        <v>205971.22</v>
      </c>
      <c r="G199" s="16">
        <v>230553.46</v>
      </c>
      <c r="H199" s="16">
        <f t="shared" si="68"/>
        <v>-24582.23999999999</v>
      </c>
      <c r="I199" s="53">
        <f t="shared" si="69"/>
        <v>-0.10662273296614153</v>
      </c>
      <c r="J199" s="174"/>
      <c r="K199" s="256">
        <v>208091.71</v>
      </c>
      <c r="L199" s="16">
        <f t="shared" si="70"/>
        <v>-2120.4899999999907</v>
      </c>
      <c r="M199" s="53" t="str">
        <f t="shared" si="71"/>
        <v>N.M.</v>
      </c>
      <c r="N199" s="174"/>
      <c r="O199" s="256">
        <v>228575.41</v>
      </c>
      <c r="P199" s="16">
        <f t="shared" si="72"/>
        <v>-22604.190000000002</v>
      </c>
      <c r="Q199" s="53">
        <f t="shared" si="73"/>
        <v>-0.09889160868179128</v>
      </c>
    </row>
    <row r="200" spans="1:17" s="15" customFormat="1" ht="12.75" hidden="1" outlineLevel="2">
      <c r="A200" s="15" t="s">
        <v>710</v>
      </c>
      <c r="B200" s="15" t="s">
        <v>711</v>
      </c>
      <c r="C200" s="134" t="s">
        <v>712</v>
      </c>
      <c r="D200" s="16"/>
      <c r="E200" s="16"/>
      <c r="F200" s="16">
        <v>165597.965</v>
      </c>
      <c r="G200" s="16">
        <v>177039.405</v>
      </c>
      <c r="H200" s="16">
        <f t="shared" si="68"/>
        <v>-11441.440000000002</v>
      </c>
      <c r="I200" s="53">
        <f t="shared" si="69"/>
        <v>-0.06462651633968157</v>
      </c>
      <c r="J200" s="174"/>
      <c r="K200" s="256">
        <v>166585.805</v>
      </c>
      <c r="L200" s="16">
        <f t="shared" si="70"/>
        <v>-987.8399999999965</v>
      </c>
      <c r="M200" s="53" t="str">
        <f t="shared" si="71"/>
        <v>N.M.</v>
      </c>
      <c r="N200" s="174"/>
      <c r="O200" s="256">
        <v>176119.595</v>
      </c>
      <c r="P200" s="16">
        <f t="shared" si="72"/>
        <v>-10521.630000000005</v>
      </c>
      <c r="Q200" s="53">
        <f t="shared" si="73"/>
        <v>-0.059741393341269065</v>
      </c>
    </row>
    <row r="201" spans="1:17" s="15" customFormat="1" ht="12.75" hidden="1" outlineLevel="2">
      <c r="A201" s="15" t="s">
        <v>713</v>
      </c>
      <c r="B201" s="15" t="s">
        <v>714</v>
      </c>
      <c r="C201" s="134" t="s">
        <v>715</v>
      </c>
      <c r="D201" s="16"/>
      <c r="E201" s="16"/>
      <c r="F201" s="16">
        <v>40052819</v>
      </c>
      <c r="G201" s="16">
        <v>39749073</v>
      </c>
      <c r="H201" s="16">
        <f t="shared" si="68"/>
        <v>303746</v>
      </c>
      <c r="I201" s="53">
        <f t="shared" si="69"/>
        <v>0.007641587012607816</v>
      </c>
      <c r="J201" s="174"/>
      <c r="K201" s="256">
        <v>40052819</v>
      </c>
      <c r="L201" s="16">
        <f t="shared" si="70"/>
        <v>0</v>
      </c>
      <c r="M201" s="53">
        <f t="shared" si="71"/>
        <v>0</v>
      </c>
      <c r="N201" s="174"/>
      <c r="O201" s="256">
        <v>41703110</v>
      </c>
      <c r="P201" s="16">
        <f t="shared" si="72"/>
        <v>-1650291</v>
      </c>
      <c r="Q201" s="53">
        <f t="shared" si="73"/>
        <v>-0.03957237242018641</v>
      </c>
    </row>
    <row r="202" spans="1:17" s="15" customFormat="1" ht="12.75" hidden="1" outlineLevel="2">
      <c r="A202" s="15" t="s">
        <v>716</v>
      </c>
      <c r="B202" s="15" t="s">
        <v>717</v>
      </c>
      <c r="C202" s="134" t="s">
        <v>718</v>
      </c>
      <c r="D202" s="16"/>
      <c r="E202" s="16"/>
      <c r="F202" s="16">
        <v>14351208</v>
      </c>
      <c r="G202" s="16">
        <v>19517241</v>
      </c>
      <c r="H202" s="16">
        <f t="shared" si="68"/>
        <v>-5166033</v>
      </c>
      <c r="I202" s="53">
        <f t="shared" si="69"/>
        <v>-0.26469074189328295</v>
      </c>
      <c r="J202" s="174"/>
      <c r="K202" s="256">
        <v>14351208</v>
      </c>
      <c r="L202" s="16">
        <f t="shared" si="70"/>
        <v>0</v>
      </c>
      <c r="M202" s="53">
        <f t="shared" si="71"/>
        <v>0</v>
      </c>
      <c r="N202" s="174"/>
      <c r="O202" s="256">
        <v>15266079</v>
      </c>
      <c r="P202" s="16">
        <f t="shared" si="72"/>
        <v>-914871</v>
      </c>
      <c r="Q202" s="53">
        <f t="shared" si="73"/>
        <v>-0.05992835488405372</v>
      </c>
    </row>
    <row r="203" spans="1:17" s="15" customFormat="1" ht="12.75" hidden="1" outlineLevel="2">
      <c r="A203" s="15" t="s">
        <v>719</v>
      </c>
      <c r="B203" s="15" t="s">
        <v>720</v>
      </c>
      <c r="C203" s="134" t="s">
        <v>721</v>
      </c>
      <c r="D203" s="16"/>
      <c r="E203" s="16"/>
      <c r="F203" s="16">
        <v>-122394</v>
      </c>
      <c r="G203" s="16">
        <v>-115707</v>
      </c>
      <c r="H203" s="16">
        <f t="shared" si="68"/>
        <v>-6687</v>
      </c>
      <c r="I203" s="53">
        <f t="shared" si="69"/>
        <v>-0.05779252767766859</v>
      </c>
      <c r="J203" s="174"/>
      <c r="K203" s="256">
        <v>-122394</v>
      </c>
      <c r="L203" s="16">
        <f t="shared" si="70"/>
        <v>0</v>
      </c>
      <c r="M203" s="53">
        <f t="shared" si="71"/>
        <v>0</v>
      </c>
      <c r="N203" s="174"/>
      <c r="O203" s="256">
        <v>-121317</v>
      </c>
      <c r="P203" s="16">
        <f t="shared" si="72"/>
        <v>-1077</v>
      </c>
      <c r="Q203" s="53">
        <f t="shared" si="73"/>
        <v>-0.008877568683696432</v>
      </c>
    </row>
    <row r="204" spans="1:17" s="15" customFormat="1" ht="12.75" hidden="1" outlineLevel="2">
      <c r="A204" s="15" t="s">
        <v>722</v>
      </c>
      <c r="B204" s="15" t="s">
        <v>723</v>
      </c>
      <c r="C204" s="134" t="s">
        <v>724</v>
      </c>
      <c r="D204" s="16"/>
      <c r="E204" s="16"/>
      <c r="F204" s="16">
        <v>245835</v>
      </c>
      <c r="G204" s="16">
        <v>150000</v>
      </c>
      <c r="H204" s="16">
        <f t="shared" si="68"/>
        <v>95835</v>
      </c>
      <c r="I204" s="53">
        <f t="shared" si="69"/>
        <v>0.6389</v>
      </c>
      <c r="J204" s="174"/>
      <c r="K204" s="256">
        <v>266668</v>
      </c>
      <c r="L204" s="16">
        <f t="shared" si="70"/>
        <v>-20833</v>
      </c>
      <c r="M204" s="53" t="str">
        <f t="shared" si="71"/>
        <v>N.M.</v>
      </c>
      <c r="N204" s="174"/>
      <c r="O204" s="256">
        <v>200000</v>
      </c>
      <c r="P204" s="16">
        <f t="shared" si="72"/>
        <v>45835</v>
      </c>
      <c r="Q204" s="53">
        <f t="shared" si="73"/>
        <v>0.229175</v>
      </c>
    </row>
    <row r="205" spans="1:17" s="15" customFormat="1" ht="12.75" hidden="1" outlineLevel="2">
      <c r="A205" s="15" t="s">
        <v>725</v>
      </c>
      <c r="B205" s="15" t="s">
        <v>726</v>
      </c>
      <c r="C205" s="134" t="s">
        <v>727</v>
      </c>
      <c r="D205" s="16"/>
      <c r="E205" s="16"/>
      <c r="F205" s="16">
        <v>82804857.43</v>
      </c>
      <c r="G205" s="16">
        <v>78389190.51</v>
      </c>
      <c r="H205" s="16">
        <f t="shared" si="68"/>
        <v>4415666.920000002</v>
      </c>
      <c r="I205" s="53">
        <f t="shared" si="69"/>
        <v>0.056330048712988065</v>
      </c>
      <c r="J205" s="174"/>
      <c r="K205" s="256">
        <v>79888998.15</v>
      </c>
      <c r="L205" s="16">
        <f t="shared" si="70"/>
        <v>2915859.280000001</v>
      </c>
      <c r="M205" s="53" t="str">
        <f t="shared" si="71"/>
        <v>N.M.</v>
      </c>
      <c r="N205" s="174"/>
      <c r="O205" s="256">
        <v>79448610.56</v>
      </c>
      <c r="P205" s="16">
        <f t="shared" si="72"/>
        <v>3356246.870000005</v>
      </c>
      <c r="Q205" s="53">
        <f t="shared" si="73"/>
        <v>0.04224424878349949</v>
      </c>
    </row>
    <row r="206" spans="1:17" s="15" customFormat="1" ht="12.75" hidden="1" outlineLevel="2">
      <c r="A206" s="15" t="s">
        <v>728</v>
      </c>
      <c r="B206" s="15" t="s">
        <v>729</v>
      </c>
      <c r="C206" s="134" t="s">
        <v>730</v>
      </c>
      <c r="D206" s="16"/>
      <c r="E206" s="16"/>
      <c r="F206" s="16">
        <v>42447756</v>
      </c>
      <c r="G206" s="16">
        <v>34477198</v>
      </c>
      <c r="H206" s="16">
        <f t="shared" si="68"/>
        <v>7970558</v>
      </c>
      <c r="I206" s="53">
        <f t="shared" si="69"/>
        <v>0.23118346218274466</v>
      </c>
      <c r="J206" s="174"/>
      <c r="K206" s="256">
        <v>37671563</v>
      </c>
      <c r="L206" s="16">
        <f t="shared" si="70"/>
        <v>4776193</v>
      </c>
      <c r="M206" s="53" t="str">
        <f t="shared" si="71"/>
        <v>N.M.</v>
      </c>
      <c r="N206" s="174"/>
      <c r="O206" s="256">
        <v>36824251</v>
      </c>
      <c r="P206" s="16">
        <f t="shared" si="72"/>
        <v>5623505</v>
      </c>
      <c r="Q206" s="53">
        <f t="shared" si="73"/>
        <v>0.1527119994918566</v>
      </c>
    </row>
    <row r="207" spans="1:17" s="67" customFormat="1" ht="12.75" hidden="1" outlineLevel="1">
      <c r="A207" s="67" t="s">
        <v>149</v>
      </c>
      <c r="B207" s="87"/>
      <c r="C207" s="82" t="s">
        <v>147</v>
      </c>
      <c r="D207" s="66"/>
      <c r="E207" s="66"/>
      <c r="F207" s="51">
        <v>210274023.159</v>
      </c>
      <c r="G207" s="51">
        <v>181151424.699</v>
      </c>
      <c r="H207" s="51">
        <f>+F207-G207</f>
        <v>29122598.46000001</v>
      </c>
      <c r="I207" s="136">
        <f>IF(G207&lt;0,IF(H207=0,0,IF(OR(G207=0,F207=0),"N.M.",IF(ABS(H207/G207)&gt;=10,"N.M.",H207/(-G207)))),IF(H207=0,0,IF(OR(G207=0,F207=0),"N.M.",IF(ABS(H207/G207)&gt;=10,"N.M.",H207/G207))))</f>
        <v>0.16076383891757917</v>
      </c>
      <c r="J207" s="162"/>
      <c r="K207" s="51">
        <v>203089290.509</v>
      </c>
      <c r="L207" s="51">
        <f>+F207-K207</f>
        <v>7184732.650000006</v>
      </c>
      <c r="M207" s="136" t="str">
        <f>IF(K207&lt;0,IF(L207=0,0,IF(OR(K207=0,N207=0),"N.M.",IF(ABS(L207/K207)&gt;=10,"N.M.",L207/(-K207)))),IF(L207=0,0,IF(OR(K207=0,N207=0),"N.M.",IF(ABS(L207/K207)&gt;=10,"N.M.",L207/K207))))</f>
        <v>N.M.</v>
      </c>
      <c r="N207" s="162"/>
      <c r="O207" s="51">
        <v>207445353.169</v>
      </c>
      <c r="P207" s="51">
        <f>+F207-O207</f>
        <v>2828669.9900000095</v>
      </c>
      <c r="Q207" s="136">
        <f>IF(O207&lt;0,IF(P207=0,0,IF(OR(O207=0,F207=0),"N.M.",IF(ABS(P207/O207)&gt;=10,"N.M.",P207/(-O207)))),IF(P207=0,0,IF(OR(O207=0,F207=0),"N.M.",IF(ABS(P207/O207)&gt;=10,"N.M.",P207/O207))))</f>
        <v>0.013635735613203012</v>
      </c>
    </row>
    <row r="208" spans="1:17" s="15" customFormat="1" ht="12.75" hidden="1" outlineLevel="2">
      <c r="A208" s="15" t="s">
        <v>731</v>
      </c>
      <c r="B208" s="15" t="s">
        <v>732</v>
      </c>
      <c r="C208" s="134" t="s">
        <v>733</v>
      </c>
      <c r="D208" s="16"/>
      <c r="E208" s="16"/>
      <c r="F208" s="16">
        <v>740268.65</v>
      </c>
      <c r="G208" s="16">
        <v>773917.25</v>
      </c>
      <c r="H208" s="16">
        <f>+F208-G208</f>
        <v>-33648.59999999998</v>
      </c>
      <c r="I208" s="53">
        <f>IF(G208&lt;0,IF(H208=0,0,IF(OR(G208=0,F208=0),"N.M.",IF(ABS(H208/G208)&gt;=10,"N.M.",H208/(-G208)))),IF(H208=0,0,IF(OR(G208=0,F208=0),"N.M.",IF(ABS(H208/G208)&gt;=10,"N.M.",H208/G208))))</f>
        <v>-0.04347829176827365</v>
      </c>
      <c r="J208" s="174"/>
      <c r="K208" s="256">
        <v>743072.7000000001</v>
      </c>
      <c r="L208" s="16">
        <f>+F208-K208</f>
        <v>-2804.0500000000466</v>
      </c>
      <c r="M208" s="53" t="str">
        <f>IF(K208&lt;0,IF(L208=0,0,IF(OR(K208=0,N208=0),"N.M.",IF(ABS(L208/K208)&gt;=10,"N.M.",L208/(-K208)))),IF(L208=0,0,IF(OR(K208=0,N208=0),"N.M.",IF(ABS(L208/K208)&gt;=10,"N.M.",L208/K208))))</f>
        <v>N.M.</v>
      </c>
      <c r="N208" s="174"/>
      <c r="O208" s="256">
        <v>771113.2000000001</v>
      </c>
      <c r="P208" s="16">
        <f>+F208-O208</f>
        <v>-30844.550000000047</v>
      </c>
      <c r="Q208" s="53">
        <f>IF(O208&lt;0,IF(P208=0,0,IF(OR(O208=0,F208=0),"N.M.",IF(ABS(P208/O208)&gt;=10,"N.M.",P208/(-O208)))),IF(P208=0,0,IF(OR(O208=0,F208=0),"N.M.",IF(ABS(P208/O208)&gt;=10,"N.M.",P208/O208))))</f>
        <v>-0.040000028530182134</v>
      </c>
    </row>
    <row r="209" spans="1:17" s="67" customFormat="1" ht="12.75" hidden="1" outlineLevel="1">
      <c r="A209" s="67" t="s">
        <v>150</v>
      </c>
      <c r="B209" s="87"/>
      <c r="C209" s="96" t="s">
        <v>148</v>
      </c>
      <c r="D209" s="66"/>
      <c r="E209" s="66"/>
      <c r="F209" s="197">
        <v>740268.65</v>
      </c>
      <c r="G209" s="197">
        <v>773917.25</v>
      </c>
      <c r="H209" s="197">
        <f>+F209-G209</f>
        <v>-33648.59999999998</v>
      </c>
      <c r="I209" s="138">
        <f>IF(G209&lt;0,IF(H209=0,0,IF(OR(G209=0,F209=0),"N.M.",IF(ABS(H209/G209)&gt;=10,"N.M.",H209/(-G209)))),IF(H209=0,0,IF(OR(G209=0,F209=0),"N.M.",IF(ABS(H209/G209)&gt;=10,"N.M.",H209/G209))))</f>
        <v>-0.04347829176827365</v>
      </c>
      <c r="J209" s="162"/>
      <c r="K209" s="197">
        <v>743072.7000000001</v>
      </c>
      <c r="L209" s="197">
        <f>+F209-K209</f>
        <v>-2804.0500000000466</v>
      </c>
      <c r="M209" s="138" t="str">
        <f>IF(K209&lt;0,IF(L209=0,0,IF(OR(K209=0,N209=0),"N.M.",IF(ABS(L209/K209)&gt;=10,"N.M.",L209/(-K209)))),IF(L209=0,0,IF(OR(K209=0,N209=0),"N.M.",IF(ABS(L209/K209)&gt;=10,"N.M.",L209/K209))))</f>
        <v>N.M.</v>
      </c>
      <c r="N209" s="162"/>
      <c r="O209" s="197">
        <v>771113.2000000001</v>
      </c>
      <c r="P209" s="197">
        <f>+F209-O209</f>
        <v>-30844.550000000047</v>
      </c>
      <c r="Q209" s="138">
        <f>IF(O209&lt;0,IF(P209=0,0,IF(OR(O209=0,F209=0),"N.M.",IF(ABS(P209/O209)&gt;=10,"N.M.",P209/(-O209)))),IF(P209=0,0,IF(OR(O209=0,F209=0),"N.M.",IF(ABS(P209/O209)&gt;=10,"N.M.",P209/O209))))</f>
        <v>-0.040000028530182134</v>
      </c>
    </row>
    <row r="210" spans="1:17" s="75" customFormat="1" ht="12" customHeight="1" collapsed="1">
      <c r="A210" s="75" t="s">
        <v>159</v>
      </c>
      <c r="B210" s="93"/>
      <c r="C210" s="75" t="s">
        <v>74</v>
      </c>
      <c r="D210" s="74"/>
      <c r="E210" s="74"/>
      <c r="F210" s="74">
        <f>+F209+F207</f>
        <v>211014291.80900002</v>
      </c>
      <c r="G210" s="74">
        <f>+G209+G207</f>
        <v>181925341.949</v>
      </c>
      <c r="H210" s="74">
        <f>+F210-G210</f>
        <v>29088949.860000014</v>
      </c>
      <c r="I210" s="137">
        <f>IF(G210&lt;0,IF(H210=0,0,IF(OR(G210=0,F210=0),"N.M.",IF(ABS(H210/G210)&gt;=10,"N.M.",H210/(-G210)))),IF(H210=0,0,IF(OR(G210=0,F210=0),"N.M.",IF(ABS(H210/G210)&gt;=10,"N.M.",H210/G210))))</f>
        <v>0.1598949852085734</v>
      </c>
      <c r="J210" s="163"/>
      <c r="K210" s="74">
        <f>+K209+K207</f>
        <v>203832363.209</v>
      </c>
      <c r="L210" s="74">
        <f>+F210-K210</f>
        <v>7181928.600000024</v>
      </c>
      <c r="M210" s="137" t="str">
        <f>IF(K210&lt;0,IF(L210=0,0,IF(OR(K210=0,N210=0),"N.M.",IF(ABS(L210/K210)&gt;=10,"N.M.",L210/(-K210)))),IF(L210=0,0,IF(OR(K210=0,N210=0),"N.M.",IF(ABS(L210/K210)&gt;=10,"N.M.",L210/K210))))</f>
        <v>N.M.</v>
      </c>
      <c r="N210" s="163"/>
      <c r="O210" s="74">
        <f>+O209+O207</f>
        <v>208216466.369</v>
      </c>
      <c r="P210" s="74">
        <f>+F210-O210</f>
        <v>2797825.4400000274</v>
      </c>
      <c r="Q210" s="137">
        <f>IF(O210&lt;0,IF(P210=0,0,IF(OR(O210=0,F210=0),"N.M.",IF(ABS(P210/O210)&gt;=10,"N.M.",P210/(-O210)))),IF(P210=0,0,IF(OR(O210=0,F210=0),"N.M.",IF(ABS(P210/O210)&gt;=10,"N.M.",P210/O210))))</f>
        <v>0.013437099806706631</v>
      </c>
    </row>
    <row r="211" spans="2:17" s="67" customFormat="1" ht="7.5" customHeight="1">
      <c r="B211" s="87"/>
      <c r="D211" s="51"/>
      <c r="E211" s="51"/>
      <c r="F211" s="51"/>
      <c r="G211" s="51"/>
      <c r="H211" s="51"/>
      <c r="I211" s="136"/>
      <c r="J211" s="162"/>
      <c r="K211" s="51"/>
      <c r="L211" s="51"/>
      <c r="M211" s="136"/>
      <c r="N211" s="162"/>
      <c r="O211" s="51"/>
      <c r="P211" s="51"/>
      <c r="Q211" s="136"/>
    </row>
    <row r="212" spans="2:17" s="67" customFormat="1" ht="0.75" customHeight="1" hidden="1" outlineLevel="1">
      <c r="B212" s="87"/>
      <c r="D212" s="51"/>
      <c r="E212" s="51"/>
      <c r="F212" s="51"/>
      <c r="G212" s="51"/>
      <c r="H212" s="51"/>
      <c r="I212" s="136"/>
      <c r="J212" s="162"/>
      <c r="K212" s="51"/>
      <c r="L212" s="51"/>
      <c r="M212" s="136"/>
      <c r="N212" s="162"/>
      <c r="O212" s="51"/>
      <c r="P212" s="51"/>
      <c r="Q212" s="136"/>
    </row>
    <row r="213" spans="1:17" s="15" customFormat="1" ht="12.75" hidden="1" outlineLevel="2">
      <c r="A213" s="15" t="s">
        <v>734</v>
      </c>
      <c r="B213" s="15" t="s">
        <v>735</v>
      </c>
      <c r="C213" s="134" t="s">
        <v>736</v>
      </c>
      <c r="D213" s="16"/>
      <c r="E213" s="16"/>
      <c r="F213" s="16">
        <v>2839574.34</v>
      </c>
      <c r="G213" s="16">
        <v>3144035.82</v>
      </c>
      <c r="H213" s="16">
        <f>+F213-G213</f>
        <v>-304461.48</v>
      </c>
      <c r="I213" s="53">
        <f>IF(G213&lt;0,IF(H213=0,0,IF(OR(G213=0,F213=0),"N.M.",IF(ABS(H213/G213)&gt;=10,"N.M.",H213/(-G213)))),IF(H213=0,0,IF(OR(G213=0,F213=0),"N.M.",IF(ABS(H213/G213)&gt;=10,"N.M.",H213/G213))))</f>
        <v>-0.09683778984426455</v>
      </c>
      <c r="J213" s="174"/>
      <c r="K213" s="256">
        <v>2864946.13</v>
      </c>
      <c r="L213" s="16">
        <f>+F213-K213</f>
        <v>-25371.790000000037</v>
      </c>
      <c r="M213" s="53" t="str">
        <f>IF(K213&lt;0,IF(L213=0,0,IF(OR(K213=0,N213=0),"N.M.",IF(ABS(L213/K213)&gt;=10,"N.M.",L213/(-K213)))),IF(L213=0,0,IF(OR(K213=0,N213=0),"N.M.",IF(ABS(L213/K213)&gt;=10,"N.M.",L213/K213))))</f>
        <v>N.M.</v>
      </c>
      <c r="N213" s="174"/>
      <c r="O213" s="256">
        <v>3118664.03</v>
      </c>
      <c r="P213" s="16">
        <f>+F213-O213</f>
        <v>-279089.68999999994</v>
      </c>
      <c r="Q213" s="53">
        <f>IF(O213&lt;0,IF(P213=0,0,IF(OR(O213=0,F213=0),"N.M.",IF(ABS(P213/O213)&gt;=10,"N.M.",P213/(-O213)))),IF(P213=0,0,IF(OR(O213=0,F213=0),"N.M.",IF(ABS(P213/O213)&gt;=10,"N.M.",P213/O213))))</f>
        <v>-0.0894901429956211</v>
      </c>
    </row>
    <row r="214" spans="1:17" s="67" customFormat="1" ht="12.75" hidden="1" outlineLevel="1">
      <c r="A214" s="67" t="s">
        <v>171</v>
      </c>
      <c r="B214" s="87"/>
      <c r="C214" s="82" t="s">
        <v>151</v>
      </c>
      <c r="D214" s="66"/>
      <c r="E214" s="66"/>
      <c r="F214" s="51">
        <v>2839574.34</v>
      </c>
      <c r="G214" s="51">
        <v>3144035.82</v>
      </c>
      <c r="H214" s="51">
        <f>+F214-G214</f>
        <v>-304461.48</v>
      </c>
      <c r="I214" s="136">
        <f>IF(G214&lt;0,IF(H214=0,0,IF(OR(G214=0,F214=0),"N.M.",IF(ABS(H214/G214)&gt;=10,"N.M.",H214/(-G214)))),IF(H214=0,0,IF(OR(G214=0,F214=0),"N.M.",IF(ABS(H214/G214)&gt;=10,"N.M.",H214/G214))))</f>
        <v>-0.09683778984426455</v>
      </c>
      <c r="J214" s="162"/>
      <c r="K214" s="51">
        <v>2864946.13</v>
      </c>
      <c r="L214" s="51">
        <f>+F214-K214</f>
        <v>-25371.790000000037</v>
      </c>
      <c r="M214" s="136" t="str">
        <f>IF(K214&lt;0,IF(L214=0,0,IF(OR(K214=0,N214=0),"N.M.",IF(ABS(L214/K214)&gt;=10,"N.M.",L214/(-K214)))),IF(L214=0,0,IF(OR(K214=0,N214=0),"N.M.",IF(ABS(L214/K214)&gt;=10,"N.M.",L214/K214))))</f>
        <v>N.M.</v>
      </c>
      <c r="N214" s="162"/>
      <c r="O214" s="51">
        <v>3118664.03</v>
      </c>
      <c r="P214" s="51">
        <f>+F214-O214</f>
        <v>-279089.68999999994</v>
      </c>
      <c r="Q214" s="136">
        <f>IF(O214&lt;0,IF(P214=0,0,IF(OR(O214=0,F214=0),"N.M.",IF(ABS(P214/O214)&gt;=10,"N.M.",P214/(-O214)))),IF(P214=0,0,IF(OR(O214=0,F214=0),"N.M.",IF(ABS(P214/O214)&gt;=10,"N.M.",P214/O214))))</f>
        <v>-0.0894901429956211</v>
      </c>
    </row>
    <row r="215" spans="1:17" s="15" customFormat="1" ht="12.75" hidden="1" outlineLevel="2">
      <c r="A215" s="15" t="s">
        <v>737</v>
      </c>
      <c r="B215" s="15" t="s">
        <v>738</v>
      </c>
      <c r="C215" s="134" t="s">
        <v>739</v>
      </c>
      <c r="D215" s="16"/>
      <c r="E215" s="16"/>
      <c r="F215" s="16">
        <v>0</v>
      </c>
      <c r="G215" s="16">
        <v>22.400000000000002</v>
      </c>
      <c r="H215" s="16">
        <f>+F215-G215</f>
        <v>-22.400000000000002</v>
      </c>
      <c r="I215" s="53" t="str">
        <f>IF(G215&lt;0,IF(H215=0,0,IF(OR(G215=0,F215=0),"N.M.",IF(ABS(H215/G215)&gt;=10,"N.M.",H215/(-G215)))),IF(H215=0,0,IF(OR(G215=0,F215=0),"N.M.",IF(ABS(H215/G215)&gt;=10,"N.M.",H215/G215))))</f>
        <v>N.M.</v>
      </c>
      <c r="J215" s="174"/>
      <c r="K215" s="256">
        <v>0</v>
      </c>
      <c r="L215" s="16">
        <f>+F215-K215</f>
        <v>0</v>
      </c>
      <c r="M215" s="53">
        <f>IF(K215&lt;0,IF(L215=0,0,IF(OR(K215=0,N215=0),"N.M.",IF(ABS(L215/K215)&gt;=10,"N.M.",L215/(-K215)))),IF(L215=0,0,IF(OR(K215=0,N215=0),"N.M.",IF(ABS(L215/K215)&gt;=10,"N.M.",L215/K215))))</f>
        <v>0</v>
      </c>
      <c r="N215" s="174"/>
      <c r="O215" s="256">
        <v>0</v>
      </c>
      <c r="P215" s="16">
        <f>+F215-O215</f>
        <v>0</v>
      </c>
      <c r="Q215" s="53">
        <f>IF(O215&lt;0,IF(P215=0,0,IF(OR(O215=0,F215=0),"N.M.",IF(ABS(P215/O215)&gt;=10,"N.M.",P215/(-O215)))),IF(P215=0,0,IF(OR(O215=0,F215=0),"N.M.",IF(ABS(P215/O215)&gt;=10,"N.M.",P215/O215))))</f>
        <v>0</v>
      </c>
    </row>
    <row r="216" spans="1:17" s="15" customFormat="1" ht="12.75" hidden="1" outlineLevel="2">
      <c r="A216" s="15" t="s">
        <v>740</v>
      </c>
      <c r="B216" s="15" t="s">
        <v>741</v>
      </c>
      <c r="C216" s="134" t="s">
        <v>742</v>
      </c>
      <c r="D216" s="16"/>
      <c r="E216" s="16"/>
      <c r="F216" s="16">
        <v>12715.5</v>
      </c>
      <c r="G216" s="16">
        <v>15176.59</v>
      </c>
      <c r="H216" s="16">
        <f>+F216-G216</f>
        <v>-2461.09</v>
      </c>
      <c r="I216" s="53">
        <f>IF(G216&lt;0,IF(H216=0,0,IF(OR(G216=0,F216=0),"N.M.",IF(ABS(H216/G216)&gt;=10,"N.M.",H216/(-G216)))),IF(H216=0,0,IF(OR(G216=0,F216=0),"N.M.",IF(ABS(H216/G216)&gt;=10,"N.M.",H216/G216))))</f>
        <v>-0.16216356902308096</v>
      </c>
      <c r="J216" s="174"/>
      <c r="K216" s="256">
        <v>9638.14</v>
      </c>
      <c r="L216" s="16">
        <f>+F216-K216</f>
        <v>3077.3600000000006</v>
      </c>
      <c r="M216" s="53" t="str">
        <f>IF(K216&lt;0,IF(L216=0,0,IF(OR(K216=0,N216=0),"N.M.",IF(ABS(L216/K216)&gt;=10,"N.M.",L216/(-K216)))),IF(L216=0,0,IF(OR(K216=0,N216=0),"N.M.",IF(ABS(L216/K216)&gt;=10,"N.M.",L216/K216))))</f>
        <v>N.M.</v>
      </c>
      <c r="N216" s="174"/>
      <c r="O216" s="256">
        <v>0</v>
      </c>
      <c r="P216" s="16">
        <f>+F216-O216</f>
        <v>12715.5</v>
      </c>
      <c r="Q216" s="53" t="str">
        <f>IF(O216&lt;0,IF(P216=0,0,IF(OR(O216=0,F216=0),"N.M.",IF(ABS(P216/O216)&gt;=10,"N.M.",P216/(-O216)))),IF(P216=0,0,IF(OR(O216=0,F216=0),"N.M.",IF(ABS(P216/O216)&gt;=10,"N.M.",P216/O216))))</f>
        <v>N.M.</v>
      </c>
    </row>
    <row r="217" spans="1:17" s="67" customFormat="1" ht="12.75" hidden="1" outlineLevel="1">
      <c r="A217" s="67" t="s">
        <v>157</v>
      </c>
      <c r="B217" s="87"/>
      <c r="C217" s="82" t="s">
        <v>152</v>
      </c>
      <c r="D217" s="66"/>
      <c r="E217" s="66"/>
      <c r="F217" s="51">
        <v>12715.5</v>
      </c>
      <c r="G217" s="51">
        <v>15198.99</v>
      </c>
      <c r="H217" s="51">
        <f>+F217-G217</f>
        <v>-2483.49</v>
      </c>
      <c r="I217" s="136">
        <f>IF(G217&lt;0,IF(H217=0,0,IF(OR(G217=0,F217=0),"N.M.",IF(ABS(H217/G217)&gt;=10,"N.M.",H217/(-G217)))),IF(H217=0,0,IF(OR(G217=0,F217=0),"N.M.",IF(ABS(H217/G217)&gt;=10,"N.M.",H217/G217))))</f>
        <v>-0.16339835739085293</v>
      </c>
      <c r="J217" s="162"/>
      <c r="K217" s="51">
        <v>9638.14</v>
      </c>
      <c r="L217" s="51">
        <f>+F217-K217</f>
        <v>3077.3600000000006</v>
      </c>
      <c r="M217" s="136" t="str">
        <f>IF(K217&lt;0,IF(L217=0,0,IF(OR(K217=0,N217=0),"N.M.",IF(ABS(L217/K217)&gt;=10,"N.M.",L217/(-K217)))),IF(L217=0,0,IF(OR(K217=0,N217=0),"N.M.",IF(ABS(L217/K217)&gt;=10,"N.M.",L217/K217))))</f>
        <v>N.M.</v>
      </c>
      <c r="N217" s="162"/>
      <c r="O217" s="51">
        <v>0</v>
      </c>
      <c r="P217" s="51">
        <f>+F217-O217</f>
        <v>12715.5</v>
      </c>
      <c r="Q217" s="136" t="str">
        <f>IF(O217&lt;0,IF(P217=0,0,IF(OR(O217=0,F217=0),"N.M.",IF(ABS(P217/O217)&gt;=10,"N.M.",P217/(-O217)))),IF(P217=0,0,IF(OR(O217=0,F217=0),"N.M.",IF(ABS(P217/O217)&gt;=10,"N.M.",P217/O217))))</f>
        <v>N.M.</v>
      </c>
    </row>
    <row r="218" spans="1:17" s="15" customFormat="1" ht="12.75" hidden="1" outlineLevel="2">
      <c r="A218" s="15" t="s">
        <v>743</v>
      </c>
      <c r="B218" s="15" t="s">
        <v>744</v>
      </c>
      <c r="C218" s="134" t="s">
        <v>745</v>
      </c>
      <c r="D218" s="16"/>
      <c r="E218" s="16"/>
      <c r="F218" s="16">
        <v>21576244.33</v>
      </c>
      <c r="G218" s="16">
        <v>21153390.01</v>
      </c>
      <c r="H218" s="16">
        <f aca="true" t="shared" si="74" ref="H218:H228">+F218-G218</f>
        <v>422854.3199999966</v>
      </c>
      <c r="I218" s="53">
        <f aca="true" t="shared" si="75" ref="I218:I228">IF(G218&lt;0,IF(H218=0,0,IF(OR(G218=0,F218=0),"N.M.",IF(ABS(H218/G218)&gt;=10,"N.M.",H218/(-G218)))),IF(H218=0,0,IF(OR(G218=0,F218=0),"N.M.",IF(ABS(H218/G218)&gt;=10,"N.M.",H218/G218))))</f>
        <v>0.01998990799111147</v>
      </c>
      <c r="J218" s="174"/>
      <c r="K218" s="256">
        <v>21417670.45</v>
      </c>
      <c r="L218" s="16">
        <f aca="true" t="shared" si="76" ref="L218:L228">+F218-K218</f>
        <v>158573.87999999896</v>
      </c>
      <c r="M218" s="53" t="str">
        <f aca="true" t="shared" si="77" ref="M218:M228">IF(K218&lt;0,IF(L218=0,0,IF(OR(K218=0,N218=0),"N.M.",IF(ABS(L218/K218)&gt;=10,"N.M.",L218/(-K218)))),IF(L218=0,0,IF(OR(K218=0,N218=0),"N.M.",IF(ABS(L218/K218)&gt;=10,"N.M.",L218/K218))))</f>
        <v>N.M.</v>
      </c>
      <c r="N218" s="174"/>
      <c r="O218" s="256">
        <v>21315585.94</v>
      </c>
      <c r="P218" s="16">
        <f aca="true" t="shared" si="78" ref="P218:P228">+F218-O218</f>
        <v>260658.38999999687</v>
      </c>
      <c r="Q218" s="53">
        <f aca="true" t="shared" si="79" ref="Q218:Q228">IF(O218&lt;0,IF(P218=0,0,IF(OR(O218=0,F218=0),"N.M.",IF(ABS(P218/O218)&gt;=10,"N.M.",P218/(-O218)))),IF(P218=0,0,IF(OR(O218=0,F218=0),"N.M.",IF(ABS(P218/O218)&gt;=10,"N.M.",P218/O218))))</f>
        <v>0.012228535060387688</v>
      </c>
    </row>
    <row r="219" spans="1:17" s="15" customFormat="1" ht="12.75" hidden="1" outlineLevel="2">
      <c r="A219" s="15" t="s">
        <v>746</v>
      </c>
      <c r="B219" s="15" t="s">
        <v>747</v>
      </c>
      <c r="C219" s="134" t="s">
        <v>748</v>
      </c>
      <c r="D219" s="16"/>
      <c r="E219" s="16"/>
      <c r="F219" s="16">
        <v>251.96</v>
      </c>
      <c r="G219" s="16">
        <v>-2257.34</v>
      </c>
      <c r="H219" s="16">
        <f t="shared" si="74"/>
        <v>2509.3</v>
      </c>
      <c r="I219" s="53">
        <f t="shared" si="75"/>
        <v>1.1116180991786793</v>
      </c>
      <c r="J219" s="174"/>
      <c r="K219" s="256">
        <v>251.96</v>
      </c>
      <c r="L219" s="16">
        <f t="shared" si="76"/>
        <v>0</v>
      </c>
      <c r="M219" s="53">
        <f t="shared" si="77"/>
        <v>0</v>
      </c>
      <c r="N219" s="174"/>
      <c r="O219" s="256">
        <v>0</v>
      </c>
      <c r="P219" s="16">
        <f t="shared" si="78"/>
        <v>251.96</v>
      </c>
      <c r="Q219" s="53" t="str">
        <f t="shared" si="79"/>
        <v>N.M.</v>
      </c>
    </row>
    <row r="220" spans="1:17" s="15" customFormat="1" ht="12.75" hidden="1" outlineLevel="2">
      <c r="A220" s="15" t="s">
        <v>749</v>
      </c>
      <c r="B220" s="15" t="s">
        <v>750</v>
      </c>
      <c r="C220" s="134" t="s">
        <v>751</v>
      </c>
      <c r="D220" s="16"/>
      <c r="E220" s="16"/>
      <c r="F220" s="16">
        <v>0</v>
      </c>
      <c r="G220" s="16">
        <v>754657</v>
      </c>
      <c r="H220" s="16">
        <f t="shared" si="74"/>
        <v>-754657</v>
      </c>
      <c r="I220" s="53" t="str">
        <f t="shared" si="75"/>
        <v>N.M.</v>
      </c>
      <c r="J220" s="174"/>
      <c r="K220" s="256">
        <v>0</v>
      </c>
      <c r="L220" s="16">
        <f t="shared" si="76"/>
        <v>0</v>
      </c>
      <c r="M220" s="53">
        <f t="shared" si="77"/>
        <v>0</v>
      </c>
      <c r="N220" s="174"/>
      <c r="O220" s="256">
        <v>0</v>
      </c>
      <c r="P220" s="16">
        <f t="shared" si="78"/>
        <v>0</v>
      </c>
      <c r="Q220" s="53">
        <f t="shared" si="79"/>
        <v>0</v>
      </c>
    </row>
    <row r="221" spans="1:17" s="15" customFormat="1" ht="12.75" hidden="1" outlineLevel="2">
      <c r="A221" s="15" t="s">
        <v>752</v>
      </c>
      <c r="B221" s="15" t="s">
        <v>753</v>
      </c>
      <c r="C221" s="134" t="s">
        <v>751</v>
      </c>
      <c r="D221" s="16"/>
      <c r="E221" s="16"/>
      <c r="F221" s="16">
        <v>753526</v>
      </c>
      <c r="G221" s="16">
        <v>0</v>
      </c>
      <c r="H221" s="16">
        <f t="shared" si="74"/>
        <v>753526</v>
      </c>
      <c r="I221" s="53" t="str">
        <f t="shared" si="75"/>
        <v>N.M.</v>
      </c>
      <c r="J221" s="174"/>
      <c r="K221" s="256">
        <v>1507060</v>
      </c>
      <c r="L221" s="16">
        <f t="shared" si="76"/>
        <v>-753534</v>
      </c>
      <c r="M221" s="53" t="str">
        <f t="shared" si="77"/>
        <v>N.M.</v>
      </c>
      <c r="N221" s="174"/>
      <c r="O221" s="256">
        <v>9323500</v>
      </c>
      <c r="P221" s="16">
        <f t="shared" si="78"/>
        <v>-8569974</v>
      </c>
      <c r="Q221" s="53">
        <f t="shared" si="79"/>
        <v>-0.919179921703223</v>
      </c>
    </row>
    <row r="222" spans="1:17" s="15" customFormat="1" ht="12.75" hidden="1" outlineLevel="2">
      <c r="A222" s="15" t="s">
        <v>754</v>
      </c>
      <c r="B222" s="15" t="s">
        <v>755</v>
      </c>
      <c r="C222" s="134" t="s">
        <v>756</v>
      </c>
      <c r="D222" s="16"/>
      <c r="E222" s="16"/>
      <c r="F222" s="16">
        <v>0</v>
      </c>
      <c r="G222" s="16">
        <v>-170</v>
      </c>
      <c r="H222" s="16">
        <f t="shared" si="74"/>
        <v>170</v>
      </c>
      <c r="I222" s="53" t="str">
        <f t="shared" si="75"/>
        <v>N.M.</v>
      </c>
      <c r="J222" s="174"/>
      <c r="K222" s="256">
        <v>24.13</v>
      </c>
      <c r="L222" s="16">
        <f t="shared" si="76"/>
        <v>-24.13</v>
      </c>
      <c r="M222" s="53" t="str">
        <f t="shared" si="77"/>
        <v>N.M.</v>
      </c>
      <c r="N222" s="174"/>
      <c r="O222" s="256">
        <v>0</v>
      </c>
      <c r="P222" s="16">
        <f t="shared" si="78"/>
        <v>0</v>
      </c>
      <c r="Q222" s="53">
        <f t="shared" si="79"/>
        <v>0</v>
      </c>
    </row>
    <row r="223" spans="1:17" s="15" customFormat="1" ht="12.75" hidden="1" outlineLevel="2">
      <c r="A223" s="15" t="s">
        <v>757</v>
      </c>
      <c r="B223" s="15" t="s">
        <v>758</v>
      </c>
      <c r="C223" s="134" t="s">
        <v>759</v>
      </c>
      <c r="D223" s="16"/>
      <c r="E223" s="16"/>
      <c r="F223" s="16">
        <v>861743.87</v>
      </c>
      <c r="G223" s="16">
        <v>832442.77</v>
      </c>
      <c r="H223" s="16">
        <f t="shared" si="74"/>
        <v>29301.099999999977</v>
      </c>
      <c r="I223" s="53">
        <f t="shared" si="75"/>
        <v>0.03519893625840486</v>
      </c>
      <c r="J223" s="174"/>
      <c r="K223" s="256">
        <v>797177.67</v>
      </c>
      <c r="L223" s="16">
        <f t="shared" si="76"/>
        <v>64566.19999999995</v>
      </c>
      <c r="M223" s="53" t="str">
        <f t="shared" si="77"/>
        <v>N.M.</v>
      </c>
      <c r="N223" s="174"/>
      <c r="O223" s="256">
        <v>825908.49</v>
      </c>
      <c r="P223" s="16">
        <f t="shared" si="78"/>
        <v>35835.380000000005</v>
      </c>
      <c r="Q223" s="53">
        <f t="shared" si="79"/>
        <v>0.04338904422692156</v>
      </c>
    </row>
    <row r="224" spans="1:17" s="15" customFormat="1" ht="12.75" hidden="1" outlineLevel="2">
      <c r="A224" s="15" t="s">
        <v>760</v>
      </c>
      <c r="B224" s="15" t="s">
        <v>761</v>
      </c>
      <c r="C224" s="134" t="s">
        <v>762</v>
      </c>
      <c r="D224" s="16"/>
      <c r="E224" s="16"/>
      <c r="F224" s="16">
        <v>0</v>
      </c>
      <c r="G224" s="16">
        <v>2750</v>
      </c>
      <c r="H224" s="16">
        <f t="shared" si="74"/>
        <v>-2750</v>
      </c>
      <c r="I224" s="53" t="str">
        <f t="shared" si="75"/>
        <v>N.M.</v>
      </c>
      <c r="J224" s="174"/>
      <c r="K224" s="256">
        <v>0</v>
      </c>
      <c r="L224" s="16">
        <f t="shared" si="76"/>
        <v>0</v>
      </c>
      <c r="M224" s="53">
        <f t="shared" si="77"/>
        <v>0</v>
      </c>
      <c r="N224" s="174"/>
      <c r="O224" s="256">
        <v>0</v>
      </c>
      <c r="P224" s="16">
        <f t="shared" si="78"/>
        <v>0</v>
      </c>
      <c r="Q224" s="53">
        <f t="shared" si="79"/>
        <v>0</v>
      </c>
    </row>
    <row r="225" spans="1:17" s="15" customFormat="1" ht="12.75" hidden="1" outlineLevel="2">
      <c r="A225" s="15" t="s">
        <v>763</v>
      </c>
      <c r="B225" s="15" t="s">
        <v>764</v>
      </c>
      <c r="C225" s="134" t="s">
        <v>762</v>
      </c>
      <c r="D225" s="16"/>
      <c r="E225" s="16"/>
      <c r="F225" s="16">
        <v>8851</v>
      </c>
      <c r="G225" s="16">
        <v>0</v>
      </c>
      <c r="H225" s="16">
        <f t="shared" si="74"/>
        <v>8851</v>
      </c>
      <c r="I225" s="53" t="str">
        <f t="shared" si="75"/>
        <v>N.M.</v>
      </c>
      <c r="J225" s="174"/>
      <c r="K225" s="256">
        <v>17710</v>
      </c>
      <c r="L225" s="16">
        <f t="shared" si="76"/>
        <v>-8859</v>
      </c>
      <c r="M225" s="53" t="str">
        <f t="shared" si="77"/>
        <v>N.M.</v>
      </c>
      <c r="N225" s="174"/>
      <c r="O225" s="256">
        <v>0</v>
      </c>
      <c r="P225" s="16">
        <f t="shared" si="78"/>
        <v>8851</v>
      </c>
      <c r="Q225" s="53" t="str">
        <f t="shared" si="79"/>
        <v>N.M.</v>
      </c>
    </row>
    <row r="226" spans="1:17" s="15" customFormat="1" ht="12.75" hidden="1" outlineLevel="2">
      <c r="A226" s="15" t="s">
        <v>765</v>
      </c>
      <c r="B226" s="15" t="s">
        <v>766</v>
      </c>
      <c r="C226" s="134" t="s">
        <v>767</v>
      </c>
      <c r="D226" s="16"/>
      <c r="E226" s="16"/>
      <c r="F226" s="16">
        <v>323548.81</v>
      </c>
      <c r="G226" s="16">
        <v>99537.09</v>
      </c>
      <c r="H226" s="16">
        <f t="shared" si="74"/>
        <v>224011.72</v>
      </c>
      <c r="I226" s="53">
        <f t="shared" si="75"/>
        <v>2.2505351522733887</v>
      </c>
      <c r="J226" s="174"/>
      <c r="K226" s="256">
        <v>335481.92</v>
      </c>
      <c r="L226" s="16">
        <f t="shared" si="76"/>
        <v>-11933.109999999986</v>
      </c>
      <c r="M226" s="53" t="str">
        <f t="shared" si="77"/>
        <v>N.M.</v>
      </c>
      <c r="N226" s="174"/>
      <c r="O226" s="256">
        <v>94643.74</v>
      </c>
      <c r="P226" s="16">
        <f t="shared" si="78"/>
        <v>228905.07</v>
      </c>
      <c r="Q226" s="53">
        <f t="shared" si="79"/>
        <v>2.418597046143781</v>
      </c>
    </row>
    <row r="227" spans="1:17" s="15" customFormat="1" ht="12.75" hidden="1" outlineLevel="2">
      <c r="A227" s="15" t="s">
        <v>768</v>
      </c>
      <c r="B227" s="15" t="s">
        <v>769</v>
      </c>
      <c r="C227" s="134" t="s">
        <v>770</v>
      </c>
      <c r="D227" s="16"/>
      <c r="E227" s="16"/>
      <c r="F227" s="16">
        <v>1989.47</v>
      </c>
      <c r="G227" s="16">
        <v>1567.23</v>
      </c>
      <c r="H227" s="16">
        <f t="shared" si="74"/>
        <v>422.24</v>
      </c>
      <c r="I227" s="53">
        <f t="shared" si="75"/>
        <v>0.2694180177765867</v>
      </c>
      <c r="J227" s="174"/>
      <c r="K227" s="256">
        <v>2373.76</v>
      </c>
      <c r="L227" s="16">
        <f t="shared" si="76"/>
        <v>-384.2900000000002</v>
      </c>
      <c r="M227" s="53" t="str">
        <f t="shared" si="77"/>
        <v>N.M.</v>
      </c>
      <c r="N227" s="174"/>
      <c r="O227" s="256">
        <v>1873.14</v>
      </c>
      <c r="P227" s="16">
        <f t="shared" si="78"/>
        <v>116.32999999999993</v>
      </c>
      <c r="Q227" s="53">
        <f t="shared" si="79"/>
        <v>0.06210427410658035</v>
      </c>
    </row>
    <row r="228" spans="1:17" s="15" customFormat="1" ht="12.75" hidden="1" outlineLevel="2">
      <c r="A228" s="15" t="s">
        <v>771</v>
      </c>
      <c r="B228" s="15" t="s">
        <v>772</v>
      </c>
      <c r="C228" s="134" t="s">
        <v>773</v>
      </c>
      <c r="D228" s="16"/>
      <c r="E228" s="16"/>
      <c r="F228" s="16">
        <v>26580.31</v>
      </c>
      <c r="G228" s="16">
        <v>31280.72</v>
      </c>
      <c r="H228" s="16">
        <f t="shared" si="74"/>
        <v>-4700.41</v>
      </c>
      <c r="I228" s="53">
        <f t="shared" si="75"/>
        <v>-0.1502654030981384</v>
      </c>
      <c r="J228" s="174"/>
      <c r="K228" s="256">
        <v>13403.31</v>
      </c>
      <c r="L228" s="16">
        <f t="shared" si="76"/>
        <v>13177.000000000002</v>
      </c>
      <c r="M228" s="53" t="str">
        <f t="shared" si="77"/>
        <v>N.M.</v>
      </c>
      <c r="N228" s="174"/>
      <c r="O228" s="256">
        <v>0</v>
      </c>
      <c r="P228" s="16">
        <f t="shared" si="78"/>
        <v>26580.31</v>
      </c>
      <c r="Q228" s="53" t="str">
        <f t="shared" si="79"/>
        <v>N.M.</v>
      </c>
    </row>
    <row r="229" spans="1:17" s="67" customFormat="1" ht="12.75" hidden="1" outlineLevel="1">
      <c r="A229" s="67" t="s">
        <v>156</v>
      </c>
      <c r="B229" s="87"/>
      <c r="C229" s="82" t="s">
        <v>153</v>
      </c>
      <c r="D229" s="66"/>
      <c r="E229" s="66"/>
      <c r="F229" s="51">
        <v>23552735.749999996</v>
      </c>
      <c r="G229" s="51">
        <v>22873197.48</v>
      </c>
      <c r="H229" s="51">
        <f>+F229-G229</f>
        <v>679538.2699999958</v>
      </c>
      <c r="I229" s="136">
        <f>IF(G229&lt;0,IF(H229=0,0,IF(OR(G229=0,F229=0),"N.M.",IF(ABS(H229/G229)&gt;=10,"N.M.",H229/(-G229)))),IF(H229=0,0,IF(OR(G229=0,F229=0),"N.M.",IF(ABS(H229/G229)&gt;=10,"N.M.",H229/G229))))</f>
        <v>0.029708932063135223</v>
      </c>
      <c r="J229" s="162"/>
      <c r="K229" s="51">
        <v>24091153.200000003</v>
      </c>
      <c r="L229" s="51">
        <f>+F229-K229</f>
        <v>-538417.4500000067</v>
      </c>
      <c r="M229" s="136" t="str">
        <f>IF(K229&lt;0,IF(L229=0,0,IF(OR(K229=0,N229=0),"N.M.",IF(ABS(L229/K229)&gt;=10,"N.M.",L229/(-K229)))),IF(L229=0,0,IF(OR(K229=0,N229=0),"N.M.",IF(ABS(L229/K229)&gt;=10,"N.M.",L229/K229))))</f>
        <v>N.M.</v>
      </c>
      <c r="N229" s="162"/>
      <c r="O229" s="51">
        <v>31561511.31</v>
      </c>
      <c r="P229" s="51">
        <f>+F229-O229</f>
        <v>-8008775.560000002</v>
      </c>
      <c r="Q229" s="136">
        <f>IF(O229&lt;0,IF(P229=0,0,IF(OR(O229=0,F229=0),"N.M.",IF(ABS(P229/O229)&gt;=10,"N.M.",P229/(-O229)))),IF(P229=0,0,IF(OR(O229=0,F229=0),"N.M.",IF(ABS(P229/O229)&gt;=10,"N.M.",P229/O229))))</f>
        <v>-0.25375133279699724</v>
      </c>
    </row>
    <row r="230" spans="1:17" s="15" customFormat="1" ht="12.75" hidden="1" outlineLevel="2">
      <c r="A230" s="15" t="s">
        <v>774</v>
      </c>
      <c r="B230" s="15" t="s">
        <v>775</v>
      </c>
      <c r="C230" s="134" t="s">
        <v>776</v>
      </c>
      <c r="D230" s="16"/>
      <c r="E230" s="16"/>
      <c r="F230" s="16">
        <v>145510.75</v>
      </c>
      <c r="G230" s="16">
        <v>316459.2</v>
      </c>
      <c r="H230" s="16">
        <f aca="true" t="shared" si="80" ref="H230:H235">+F230-G230</f>
        <v>-170948.45</v>
      </c>
      <c r="I230" s="53">
        <f aca="true" t="shared" si="81" ref="I230:I235">IF(G230&lt;0,IF(H230=0,0,IF(OR(G230=0,F230=0),"N.M.",IF(ABS(H230/G230)&gt;=10,"N.M.",H230/(-G230)))),IF(H230=0,0,IF(OR(G230=0,F230=0),"N.M.",IF(ABS(H230/G230)&gt;=10,"N.M.",H230/G230))))</f>
        <v>-0.5401911210039083</v>
      </c>
      <c r="J230" s="174"/>
      <c r="K230" s="256">
        <v>190554.15</v>
      </c>
      <c r="L230" s="16">
        <f aca="true" t="shared" si="82" ref="L230:L235">+F230-K230</f>
        <v>-45043.399999999994</v>
      </c>
      <c r="M230" s="53" t="str">
        <f aca="true" t="shared" si="83" ref="M230:M235">IF(K230&lt;0,IF(L230=0,0,IF(OR(K230=0,N230=0),"N.M.",IF(ABS(L230/K230)&gt;=10,"N.M.",L230/(-K230)))),IF(L230=0,0,IF(OR(K230=0,N230=0),"N.M.",IF(ABS(L230/K230)&gt;=10,"N.M.",L230/K230))))</f>
        <v>N.M.</v>
      </c>
      <c r="N230" s="174"/>
      <c r="O230" s="256">
        <v>252948.30000000002</v>
      </c>
      <c r="P230" s="16">
        <f aca="true" t="shared" si="84" ref="P230:P235">+F230-O230</f>
        <v>-107437.55000000002</v>
      </c>
      <c r="Q230" s="53">
        <f aca="true" t="shared" si="85" ref="Q230:Q235">IF(O230&lt;0,IF(P230=0,0,IF(OR(O230=0,F230=0),"N.M.",IF(ABS(P230/O230)&gt;=10,"N.M.",P230/(-O230)))),IF(P230=0,0,IF(OR(O230=0,F230=0),"N.M.",IF(ABS(P230/O230)&gt;=10,"N.M.",P230/O230))))</f>
        <v>-0.4247411427552587</v>
      </c>
    </row>
    <row r="231" spans="1:17" s="15" customFormat="1" ht="12.75" hidden="1" outlineLevel="2">
      <c r="A231" s="15" t="s">
        <v>777</v>
      </c>
      <c r="B231" s="15" t="s">
        <v>778</v>
      </c>
      <c r="C231" s="134" t="s">
        <v>779</v>
      </c>
      <c r="D231" s="16"/>
      <c r="E231" s="16"/>
      <c r="F231" s="16">
        <v>219608.82</v>
      </c>
      <c r="G231" s="16">
        <v>252143.46</v>
      </c>
      <c r="H231" s="16">
        <f t="shared" si="80"/>
        <v>-32534.639999999985</v>
      </c>
      <c r="I231" s="53">
        <f t="shared" si="81"/>
        <v>-0.12903225806451607</v>
      </c>
      <c r="J231" s="174"/>
      <c r="K231" s="256">
        <v>222320.04</v>
      </c>
      <c r="L231" s="16">
        <f t="shared" si="82"/>
        <v>-2711.220000000001</v>
      </c>
      <c r="M231" s="53" t="str">
        <f t="shared" si="83"/>
        <v>N.M.</v>
      </c>
      <c r="N231" s="174"/>
      <c r="O231" s="256">
        <v>249432.24</v>
      </c>
      <c r="P231" s="16">
        <f t="shared" si="84"/>
        <v>-29823.419999999984</v>
      </c>
      <c r="Q231" s="53">
        <f t="shared" si="85"/>
        <v>-0.11956521739130428</v>
      </c>
    </row>
    <row r="232" spans="1:17" s="15" customFormat="1" ht="12.75" hidden="1" outlineLevel="2">
      <c r="A232" s="15" t="s">
        <v>780</v>
      </c>
      <c r="B232" s="15" t="s">
        <v>781</v>
      </c>
      <c r="C232" s="134" t="s">
        <v>782</v>
      </c>
      <c r="D232" s="16"/>
      <c r="E232" s="16"/>
      <c r="F232" s="16">
        <v>13520888.7</v>
      </c>
      <c r="G232" s="16">
        <v>29577123.19</v>
      </c>
      <c r="H232" s="16">
        <f t="shared" si="80"/>
        <v>-16056234.490000002</v>
      </c>
      <c r="I232" s="53">
        <f t="shared" si="81"/>
        <v>-0.5428599119277632</v>
      </c>
      <c r="J232" s="174"/>
      <c r="K232" s="256">
        <v>9821964.79</v>
      </c>
      <c r="L232" s="16">
        <f t="shared" si="82"/>
        <v>3698923.91</v>
      </c>
      <c r="M232" s="53" t="str">
        <f t="shared" si="83"/>
        <v>N.M.</v>
      </c>
      <c r="N232" s="174"/>
      <c r="O232" s="256">
        <v>14157012.45</v>
      </c>
      <c r="P232" s="16">
        <f t="shared" si="84"/>
        <v>-636123.75</v>
      </c>
      <c r="Q232" s="53">
        <f t="shared" si="85"/>
        <v>-0.04493347394068302</v>
      </c>
    </row>
    <row r="233" spans="1:17" s="15" customFormat="1" ht="12.75" hidden="1" outlineLevel="2">
      <c r="A233" s="15" t="s">
        <v>783</v>
      </c>
      <c r="B233" s="15" t="s">
        <v>784</v>
      </c>
      <c r="C233" s="134" t="s">
        <v>785</v>
      </c>
      <c r="D233" s="16"/>
      <c r="E233" s="16"/>
      <c r="F233" s="16">
        <v>407209.39</v>
      </c>
      <c r="G233" s="16">
        <v>1223219.59</v>
      </c>
      <c r="H233" s="16">
        <f t="shared" si="80"/>
        <v>-816010.2000000001</v>
      </c>
      <c r="I233" s="53">
        <f t="shared" si="81"/>
        <v>-0.6671003364162931</v>
      </c>
      <c r="J233" s="174"/>
      <c r="K233" s="256">
        <v>516500.04000000004</v>
      </c>
      <c r="L233" s="16">
        <f t="shared" si="82"/>
        <v>-109290.65000000002</v>
      </c>
      <c r="M233" s="53" t="str">
        <f t="shared" si="83"/>
        <v>N.M.</v>
      </c>
      <c r="N233" s="174"/>
      <c r="O233" s="256">
        <v>607057.99</v>
      </c>
      <c r="P233" s="16">
        <f t="shared" si="84"/>
        <v>-199848.59999999998</v>
      </c>
      <c r="Q233" s="53">
        <f t="shared" si="85"/>
        <v>-0.32920841713985177</v>
      </c>
    </row>
    <row r="234" spans="1:17" s="15" customFormat="1" ht="12.75" hidden="1" outlineLevel="2">
      <c r="A234" s="15" t="s">
        <v>786</v>
      </c>
      <c r="B234" s="15" t="s">
        <v>787</v>
      </c>
      <c r="C234" s="134" t="s">
        <v>788</v>
      </c>
      <c r="D234" s="16"/>
      <c r="E234" s="16"/>
      <c r="F234" s="16">
        <v>13799002.77</v>
      </c>
      <c r="G234" s="16">
        <v>13017869.11</v>
      </c>
      <c r="H234" s="16">
        <f t="shared" si="80"/>
        <v>781133.6600000001</v>
      </c>
      <c r="I234" s="53">
        <f t="shared" si="81"/>
        <v>0.060004725304846775</v>
      </c>
      <c r="J234" s="174"/>
      <c r="K234" s="256">
        <v>12112798.32</v>
      </c>
      <c r="L234" s="16">
        <f t="shared" si="82"/>
        <v>1686204.4499999993</v>
      </c>
      <c r="M234" s="53" t="str">
        <f t="shared" si="83"/>
        <v>N.M.</v>
      </c>
      <c r="N234" s="174"/>
      <c r="O234" s="256">
        <v>13730759.07</v>
      </c>
      <c r="P234" s="16">
        <f t="shared" si="84"/>
        <v>68243.69999999925</v>
      </c>
      <c r="Q234" s="53">
        <f t="shared" si="85"/>
        <v>0.004970133089663138</v>
      </c>
    </row>
    <row r="235" spans="1:17" s="15" customFormat="1" ht="12.75" hidden="1" outlineLevel="2">
      <c r="A235" s="15" t="s">
        <v>789</v>
      </c>
      <c r="B235" s="15" t="s">
        <v>790</v>
      </c>
      <c r="C235" s="134" t="s">
        <v>791</v>
      </c>
      <c r="D235" s="16"/>
      <c r="E235" s="16"/>
      <c r="F235" s="16">
        <v>385797.97000000003</v>
      </c>
      <c r="G235" s="16">
        <v>435541.59</v>
      </c>
      <c r="H235" s="16">
        <f t="shared" si="80"/>
        <v>-49743.619999999995</v>
      </c>
      <c r="I235" s="53">
        <f t="shared" si="81"/>
        <v>-0.11421095285067952</v>
      </c>
      <c r="J235" s="174"/>
      <c r="K235" s="256">
        <v>390287.13</v>
      </c>
      <c r="L235" s="16">
        <f t="shared" si="82"/>
        <v>-4489.159999999974</v>
      </c>
      <c r="M235" s="53" t="str">
        <f t="shared" si="83"/>
        <v>N.M.</v>
      </c>
      <c r="N235" s="174"/>
      <c r="O235" s="256">
        <v>429831.75</v>
      </c>
      <c r="P235" s="16">
        <f t="shared" si="84"/>
        <v>-44033.77999999997</v>
      </c>
      <c r="Q235" s="53">
        <f t="shared" si="85"/>
        <v>-0.10244422381548123</v>
      </c>
    </row>
    <row r="236" spans="1:17" s="67" customFormat="1" ht="12.75" hidden="1" outlineLevel="1">
      <c r="A236" s="67" t="s">
        <v>155</v>
      </c>
      <c r="B236" s="87"/>
      <c r="C236" s="96" t="s">
        <v>154</v>
      </c>
      <c r="D236" s="66"/>
      <c r="E236" s="66"/>
      <c r="F236" s="197">
        <v>28478018.4</v>
      </c>
      <c r="G236" s="197">
        <v>44822356.14</v>
      </c>
      <c r="H236" s="197">
        <f>+F236-G236</f>
        <v>-16344337.740000002</v>
      </c>
      <c r="I236" s="138">
        <f>IF(G236&lt;0,IF(H236=0,0,IF(OR(G236=0,F236=0),"N.M.",IF(ABS(H236/G236)&gt;=10,"N.M.",H236/(-G236)))),IF(H236=0,0,IF(OR(G236=0,F236=0),"N.M.",IF(ABS(H236/G236)&gt;=10,"N.M.",H236/G236))))</f>
        <v>-0.3646470009061867</v>
      </c>
      <c r="J236" s="162"/>
      <c r="K236" s="197">
        <v>23254424.47</v>
      </c>
      <c r="L236" s="197">
        <f>+F236-K236</f>
        <v>5223593.93</v>
      </c>
      <c r="M236" s="138" t="str">
        <f>IF(K236&lt;0,IF(L236=0,0,IF(OR(K236=0,N236=0),"N.M.",IF(ABS(L236/K236)&gt;=10,"N.M.",L236/(-K236)))),IF(L236=0,0,IF(OR(K236=0,N236=0),"N.M.",IF(ABS(L236/K236)&gt;=10,"N.M.",L236/K236))))</f>
        <v>N.M.</v>
      </c>
      <c r="N236" s="162"/>
      <c r="O236" s="197">
        <v>29427041.799999997</v>
      </c>
      <c r="P236" s="197">
        <f>+F236-O236</f>
        <v>-949023.3999999985</v>
      </c>
      <c r="Q236" s="138">
        <f>IF(O236&lt;0,IF(P236=0,0,IF(OR(O236=0,F236=0),"N.M.",IF(ABS(P236/O236)&gt;=10,"N.M.",P236/(-O236)))),IF(P236=0,0,IF(OR(O236=0,F236=0),"N.M.",IF(ABS(P236/O236)&gt;=10,"N.M.",P236/O236))))</f>
        <v>-0.03225004424331904</v>
      </c>
    </row>
    <row r="237" spans="1:17" s="75" customFormat="1" ht="12" customHeight="1" collapsed="1">
      <c r="A237" s="75" t="s">
        <v>158</v>
      </c>
      <c r="B237" s="93"/>
      <c r="C237" s="75" t="s">
        <v>75</v>
      </c>
      <c r="D237" s="74"/>
      <c r="E237" s="74"/>
      <c r="F237" s="74">
        <f>+F214+F217+F229+F236</f>
        <v>54883043.989999995</v>
      </c>
      <c r="G237" s="74">
        <f>+G214+G217+G229+G236</f>
        <v>70854788.43</v>
      </c>
      <c r="H237" s="74">
        <f>+F237-G237</f>
        <v>-15971744.440000013</v>
      </c>
      <c r="I237" s="137">
        <f>IF(G237&lt;0,IF(H237=0,0,IF(OR(G237=0,F237=0),"N.M.",IF(ABS(H237/G237)&gt;=10,"N.M.",H237/(-G237)))),IF(H237=0,0,IF(OR(G237=0,F237=0),"N.M.",IF(ABS(H237/G237)&gt;=10,"N.M.",H237/G237))))</f>
        <v>-0.22541517367988578</v>
      </c>
      <c r="J237" s="163"/>
      <c r="K237" s="74">
        <f>+K214+K217+K229+K236</f>
        <v>50220161.94</v>
      </c>
      <c r="L237" s="74">
        <f>+F237-K237</f>
        <v>4662882.049999997</v>
      </c>
      <c r="M237" s="137" t="str">
        <f>IF(K237&lt;0,IF(L237=0,0,IF(OR(K237=0,N237=0),"N.M.",IF(ABS(L237/K237)&gt;=10,"N.M.",L237/(-K237)))),IF(L237=0,0,IF(OR(K237=0,N237=0),"N.M.",IF(ABS(L237/K237)&gt;=10,"N.M.",L237/K237))))</f>
        <v>N.M.</v>
      </c>
      <c r="N237" s="163"/>
      <c r="O237" s="74">
        <f>+O214+O217+O229+O236</f>
        <v>64107217.13999999</v>
      </c>
      <c r="P237" s="74">
        <f>+F237-O237</f>
        <v>-9224173.149999999</v>
      </c>
      <c r="Q237" s="137">
        <f>IF(O237&lt;0,IF(P237=0,0,IF(OR(O237=0,F237=0),"N.M.",IF(ABS(P237/O237)&gt;=10,"N.M.",P237/(-O237)))),IF(P237=0,0,IF(OR(O237=0,F237=0),"N.M.",IF(ABS(P237/O237)&gt;=10,"N.M.",P237/O237))))</f>
        <v>-0.14388665678399154</v>
      </c>
    </row>
    <row r="238" spans="1:17" s="75" customFormat="1" ht="9" customHeight="1">
      <c r="A238" s="67"/>
      <c r="B238" s="88"/>
      <c r="C238" s="71"/>
      <c r="D238" s="74"/>
      <c r="E238" s="74"/>
      <c r="F238" s="74"/>
      <c r="G238" s="74"/>
      <c r="H238" s="74"/>
      <c r="I238" s="137"/>
      <c r="J238" s="163"/>
      <c r="K238" s="74"/>
      <c r="L238" s="74"/>
      <c r="M238" s="137"/>
      <c r="N238" s="163"/>
      <c r="O238" s="74"/>
      <c r="P238" s="74"/>
      <c r="Q238" s="137"/>
    </row>
    <row r="239" spans="1:17" s="95" customFormat="1" ht="12" customHeight="1">
      <c r="A239" s="93" t="s">
        <v>160</v>
      </c>
      <c r="B239" s="93"/>
      <c r="C239" s="75" t="s">
        <v>76</v>
      </c>
      <c r="D239" s="94"/>
      <c r="E239" s="94"/>
      <c r="F239" s="232">
        <v>1517435408.844</v>
      </c>
      <c r="G239" s="232">
        <v>1477461683.5930002</v>
      </c>
      <c r="H239" s="74">
        <f>+F239-G239</f>
        <v>39973725.25099993</v>
      </c>
      <c r="I239" s="137">
        <f>IF(G239&lt;0,IF(H239=0,0,IF(OR(G239=0,F239=0),"N.M.",IF(ABS(H239/G239)&gt;=10,"N.M.",H239/(-G239)))),IF(H239=0,0,IF(OR(G239=0,F239=0),"N.M.",IF(ABS(H239/G239)&gt;=10,"N.M.",H239/G239))))</f>
        <v>0.027055676431343302</v>
      </c>
      <c r="J239" s="164"/>
      <c r="K239" s="232">
        <v>1510689869.5810003</v>
      </c>
      <c r="L239" s="74">
        <f>+F239-K239</f>
        <v>6745539.262999773</v>
      </c>
      <c r="M239" s="137" t="str">
        <f>IF(K239&lt;0,IF(L239=0,0,IF(OR(K239=0,N239=0),"N.M.",IF(ABS(L239/K239)&gt;=10,"N.M.",L239/(-K239)))),IF(L239=0,0,IF(OR(K239=0,N239=0),"N.M.",IF(ABS(L239/K239)&gt;=10,"N.M.",L239/K239))))</f>
        <v>N.M.</v>
      </c>
      <c r="N239" s="164"/>
      <c r="O239" s="232">
        <v>1504334100.6949997</v>
      </c>
      <c r="P239" s="74">
        <f>+F239-O239</f>
        <v>13101308.149000406</v>
      </c>
      <c r="Q239" s="137">
        <f>IF(O239&lt;0,IF(P239=0,0,IF(OR(O239=0,F239=0),"N.M.",IF(ABS(P239/O239)&gt;=10,"N.M.",P239/(-O239)))),IF(P239=0,0,IF(OR(O239=0,F239=0),"N.M.",IF(ABS(P239/O239)&gt;=10,"N.M.",P239/O239))))</f>
        <v>0.008709041524052153</v>
      </c>
    </row>
    <row r="240" spans="2:17" s="89" customFormat="1" ht="12" customHeight="1">
      <c r="B240" s="90"/>
      <c r="C240" s="91"/>
      <c r="D240" s="92"/>
      <c r="E240" s="92"/>
      <c r="F240" s="233" t="str">
        <f>IF(ABS(F31+F62+F183+F210+F237-F239)&gt;$C$574,$C$575," ")</f>
        <v> </v>
      </c>
      <c r="G240" s="233" t="str">
        <f>IF(ABS(G31+G62+G183+G210+G237-G239)&gt;$C$574,$C$575," ")</f>
        <v> </v>
      </c>
      <c r="H240" s="233"/>
      <c r="I240" s="140"/>
      <c r="J240" s="165"/>
      <c r="K240" s="233" t="str">
        <f>IF(ABS(K31+K62+K183+K210+K237-K239)&gt;$C$574,$C$575," ")</f>
        <v> </v>
      </c>
      <c r="L240" s="233"/>
      <c r="M240" s="140"/>
      <c r="N240" s="165"/>
      <c r="O240" s="233" t="str">
        <f>IF(ABS(O31+O62+O183+O210+O237-O239)&gt;$C$574,$C$575," ")</f>
        <v> </v>
      </c>
      <c r="P240" s="233"/>
      <c r="Q240" s="140"/>
    </row>
    <row r="241" spans="3:17" s="63" customFormat="1" ht="12.75">
      <c r="C241" s="62" t="s">
        <v>188</v>
      </c>
      <c r="D241" s="64"/>
      <c r="E241" s="64"/>
      <c r="F241" s="231"/>
      <c r="G241" s="231"/>
      <c r="H241" s="244"/>
      <c r="I241" s="65"/>
      <c r="J241" s="158"/>
      <c r="K241" s="231"/>
      <c r="L241" s="244"/>
      <c r="M241" s="65"/>
      <c r="N241" s="158"/>
      <c r="O241" s="231"/>
      <c r="P241" s="244"/>
      <c r="Q241" s="65"/>
    </row>
    <row r="242" spans="3:17" ht="12.75">
      <c r="C242" s="97" t="s">
        <v>177</v>
      </c>
      <c r="D242" s="98"/>
      <c r="E242" s="99"/>
      <c r="F242" s="98"/>
      <c r="G242" s="98"/>
      <c r="H242" s="98"/>
      <c r="I242" s="141"/>
      <c r="J242" s="166"/>
      <c r="K242" s="98"/>
      <c r="L242" s="98"/>
      <c r="M242" s="141"/>
      <c r="N242" s="166"/>
      <c r="O242" s="98"/>
      <c r="P242" s="98"/>
      <c r="Q242" s="141"/>
    </row>
    <row r="243" spans="3:17" s="1" customFormat="1" ht="12.75">
      <c r="C243" s="100" t="str">
        <f>"Authorized: "&amp;TEXT(CSA,"#,##0")&amp;" Shares"</f>
        <v>Authorized: 0 Shares</v>
      </c>
      <c r="D243" s="101" t="s">
        <v>19</v>
      </c>
      <c r="E243" s="102"/>
      <c r="F243" s="101" t="s">
        <v>19</v>
      </c>
      <c r="G243" s="101"/>
      <c r="H243" s="101" t="s">
        <v>19</v>
      </c>
      <c r="I243" s="142"/>
      <c r="J243" s="167"/>
      <c r="K243" s="101" t="s">
        <v>19</v>
      </c>
      <c r="L243" s="101" t="s">
        <v>19</v>
      </c>
      <c r="M243" s="142"/>
      <c r="N243" s="167"/>
      <c r="O243" s="101" t="s">
        <v>19</v>
      </c>
      <c r="P243" s="101" t="s">
        <v>19</v>
      </c>
      <c r="Q243" s="142"/>
    </row>
    <row r="244" spans="3:17" s="1" customFormat="1" ht="12.75">
      <c r="C244" s="100" t="str">
        <f>"Outstanding: "&amp;TEXT(CSO,"#,##0")&amp;" Shares"</f>
        <v>Outstanding: 1,009,000 Shares</v>
      </c>
      <c r="D244" s="101" t="s">
        <v>19</v>
      </c>
      <c r="E244" s="102"/>
      <c r="F244" s="101" t="s">
        <v>19</v>
      </c>
      <c r="G244" s="101"/>
      <c r="H244" s="101" t="s">
        <v>19</v>
      </c>
      <c r="I244" s="142"/>
      <c r="J244" s="167"/>
      <c r="K244" s="101" t="s">
        <v>19</v>
      </c>
      <c r="L244" s="101" t="s">
        <v>19</v>
      </c>
      <c r="M244" s="142"/>
      <c r="N244" s="167"/>
      <c r="O244" s="101" t="s">
        <v>19</v>
      </c>
      <c r="P244" s="101" t="s">
        <v>19</v>
      </c>
      <c r="Q244" s="142"/>
    </row>
    <row r="245" spans="3:17" s="1" customFormat="1" ht="0.75" customHeight="1" hidden="1" outlineLevel="1">
      <c r="C245" s="100"/>
      <c r="D245" s="101"/>
      <c r="E245" s="102"/>
      <c r="F245" s="101"/>
      <c r="G245" s="101"/>
      <c r="H245" s="101"/>
      <c r="I245" s="142"/>
      <c r="J245" s="167"/>
      <c r="K245" s="101"/>
      <c r="L245" s="101"/>
      <c r="M245" s="142"/>
      <c r="N245" s="167"/>
      <c r="O245" s="101"/>
      <c r="P245" s="101"/>
      <c r="Q245" s="142"/>
    </row>
    <row r="246" spans="1:17" s="15" customFormat="1" ht="12.75" hidden="1" outlineLevel="2">
      <c r="A246" s="15" t="s">
        <v>792</v>
      </c>
      <c r="B246" s="15" t="s">
        <v>793</v>
      </c>
      <c r="C246" s="134" t="s">
        <v>794</v>
      </c>
      <c r="D246" s="16"/>
      <c r="E246" s="16"/>
      <c r="F246" s="16">
        <v>50450000</v>
      </c>
      <c r="G246" s="16">
        <v>50450000</v>
      </c>
      <c r="H246" s="16">
        <f>+F246-G246</f>
        <v>0</v>
      </c>
      <c r="I246" s="53">
        <f>IF(G246&lt;0,IF(H246=0,0,IF(OR(G246=0,F246=0),"N.M.",IF(ABS(H246/G246)&gt;=10,"N.M.",H246/(-G246)))),IF(H246=0,0,IF(OR(G246=0,F246=0),"N.M.",IF(ABS(H246/G246)&gt;=10,"N.M.",H246/G246))))</f>
        <v>0</v>
      </c>
      <c r="J246" s="174"/>
      <c r="K246" s="256">
        <v>50450000</v>
      </c>
      <c r="L246" s="16">
        <f>+F246-K246</f>
        <v>0</v>
      </c>
      <c r="M246" s="53">
        <f>IF(K246&lt;0,IF(L246=0,0,IF(OR(K246=0,N246=0),"N.M.",IF(ABS(L246/K246)&gt;=10,"N.M.",L246/(-K246)))),IF(L246=0,0,IF(OR(K246=0,N246=0),"N.M.",IF(ABS(L246/K246)&gt;=10,"N.M.",L246/K246))))</f>
        <v>0</v>
      </c>
      <c r="N246" s="174"/>
      <c r="O246" s="256">
        <v>50450000</v>
      </c>
      <c r="P246" s="16">
        <f>+F246-O246</f>
        <v>0</v>
      </c>
      <c r="Q246" s="53">
        <f>IF(O246&lt;0,IF(P246=0,0,IF(OR(O246=0,F246=0),"N.M.",IF(ABS(P246/O246)&gt;=10,"N.M.",P246/(-O246)))),IF(P246=0,0,IF(OR(O246=0,F246=0),"N.M.",IF(ABS(P246/O246)&gt;=10,"N.M.",P246/O246))))</f>
        <v>0</v>
      </c>
    </row>
    <row r="247" spans="1:17" ht="12.75" collapsed="1">
      <c r="A247" s="11" t="s">
        <v>248</v>
      </c>
      <c r="C247" s="111" t="s">
        <v>182</v>
      </c>
      <c r="D247" s="103"/>
      <c r="E247" s="104"/>
      <c r="F247" s="103">
        <v>50450000</v>
      </c>
      <c r="G247" s="103">
        <v>50450000</v>
      </c>
      <c r="H247" s="51">
        <f>+F247-G247</f>
        <v>0</v>
      </c>
      <c r="I247" s="136">
        <f>IF(G247&lt;0,IF(H247=0,0,IF(OR(G247=0,F247=0),"N.M.",IF(ABS(H247/G247)&gt;=10,"N.M.",H247/(-G247)))),IF(H247=0,0,IF(OR(G247=0,F247=0),"N.M.",IF(ABS(H247/G247)&gt;=10,"N.M.",H247/G247))))</f>
        <v>0</v>
      </c>
      <c r="J247" s="166"/>
      <c r="K247" s="103">
        <v>50450000</v>
      </c>
      <c r="L247" s="51">
        <f>+F247-K247</f>
        <v>0</v>
      </c>
      <c r="M247" s="136">
        <f>IF(K247&lt;0,IF(L247=0,0,IF(OR(K247=0,N247=0),"N.M.",IF(ABS(L247/K247)&gt;=10,"N.M.",L247/(-K247)))),IF(L247=0,0,IF(OR(K247=0,N247=0),"N.M.",IF(ABS(L247/K247)&gt;=10,"N.M.",L247/K247))))</f>
        <v>0</v>
      </c>
      <c r="N247" s="166"/>
      <c r="O247" s="103">
        <v>50450000</v>
      </c>
      <c r="P247" s="51">
        <f>+F247-O247</f>
        <v>0</v>
      </c>
      <c r="Q247" s="136">
        <f>IF(O247&lt;0,IF(P247=0,0,IF(OR(O247=0,F247=0),"N.M.",IF(ABS(P247/O247)&gt;=10,"N.M.",P247/(-O247)))),IF(P247=0,0,IF(OR(O247=0,F247=0),"N.M.",IF(ABS(P247/O247)&gt;=10,"N.M.",P247/O247))))</f>
        <v>0</v>
      </c>
    </row>
    <row r="248" spans="3:17" ht="0.75" customHeight="1" hidden="1" outlineLevel="1">
      <c r="C248" s="111"/>
      <c r="D248" s="103"/>
      <c r="E248" s="104"/>
      <c r="F248" s="103"/>
      <c r="G248" s="103"/>
      <c r="H248" s="51"/>
      <c r="I248" s="136"/>
      <c r="J248" s="166"/>
      <c r="K248" s="103"/>
      <c r="L248" s="51"/>
      <c r="M248" s="136"/>
      <c r="N248" s="166"/>
      <c r="O248" s="103"/>
      <c r="P248" s="51"/>
      <c r="Q248" s="136"/>
    </row>
    <row r="249" spans="1:17" ht="12.75" collapsed="1">
      <c r="A249" s="11" t="s">
        <v>249</v>
      </c>
      <c r="C249" s="111" t="s">
        <v>183</v>
      </c>
      <c r="D249" s="103"/>
      <c r="E249" s="104"/>
      <c r="F249" s="103">
        <v>0</v>
      </c>
      <c r="G249" s="103">
        <v>0</v>
      </c>
      <c r="H249" s="51">
        <f>+F249-G249</f>
        <v>0</v>
      </c>
      <c r="I249" s="136">
        <f>IF(G249&lt;0,IF(H249=0,0,IF(OR(G249=0,F249=0),"N.M.",IF(ABS(H249/G249)&gt;=10,"N.M.",H249/(-G249)))),IF(H249=0,0,IF(OR(G249=0,F249=0),"N.M.",IF(ABS(H249/G249)&gt;=10,"N.M.",H249/G249))))</f>
        <v>0</v>
      </c>
      <c r="J249" s="166"/>
      <c r="K249" s="103">
        <v>0</v>
      </c>
      <c r="L249" s="51">
        <f>+F249-K249</f>
        <v>0</v>
      </c>
      <c r="M249" s="136">
        <f>IF(K249&lt;0,IF(L249=0,0,IF(OR(K249=0,N249=0),"N.M.",IF(ABS(L249/K249)&gt;=10,"N.M.",L249/(-K249)))),IF(L249=0,0,IF(OR(K249=0,N249=0),"N.M.",IF(ABS(L249/K249)&gt;=10,"N.M.",L249/K249))))</f>
        <v>0</v>
      </c>
      <c r="N249" s="166"/>
      <c r="O249" s="103">
        <v>0</v>
      </c>
      <c r="P249" s="51">
        <f>+F249-O249</f>
        <v>0</v>
      </c>
      <c r="Q249" s="136">
        <f>IF(O249&lt;0,IF(P249=0,0,IF(OR(O249=0,F249=0),"N.M.",IF(ABS(P249/O249)&gt;=10,"N.M.",P249/(-O249)))),IF(P249=0,0,IF(OR(O249=0,F249=0),"N.M.",IF(ABS(P249/O249)&gt;=10,"N.M.",P249/O249))))</f>
        <v>0</v>
      </c>
    </row>
    <row r="250" spans="3:17" ht="0.75" customHeight="1" hidden="1" outlineLevel="1">
      <c r="C250" s="111"/>
      <c r="D250" s="103"/>
      <c r="E250" s="104"/>
      <c r="F250" s="103"/>
      <c r="G250" s="103"/>
      <c r="H250" s="51"/>
      <c r="I250" s="136"/>
      <c r="J250" s="166"/>
      <c r="K250" s="103"/>
      <c r="L250" s="51"/>
      <c r="M250" s="136"/>
      <c r="N250" s="166"/>
      <c r="O250" s="103"/>
      <c r="P250" s="51"/>
      <c r="Q250" s="136"/>
    </row>
    <row r="251" spans="1:17" s="15" customFormat="1" ht="12.75" hidden="1" outlineLevel="2">
      <c r="A251" s="15" t="s">
        <v>795</v>
      </c>
      <c r="B251" s="15" t="s">
        <v>796</v>
      </c>
      <c r="C251" s="134" t="s">
        <v>797</v>
      </c>
      <c r="D251" s="16"/>
      <c r="E251" s="16"/>
      <c r="F251" s="16">
        <v>238750000</v>
      </c>
      <c r="G251" s="16">
        <v>238750000</v>
      </c>
      <c r="H251" s="16">
        <f>+F251-G251</f>
        <v>0</v>
      </c>
      <c r="I251" s="53">
        <f>IF(G251&lt;0,IF(H251=0,0,IF(OR(G251=0,F251=0),"N.M.",IF(ABS(H251/G251)&gt;=10,"N.M.",H251/(-G251)))),IF(H251=0,0,IF(OR(G251=0,F251=0),"N.M.",IF(ABS(H251/G251)&gt;=10,"N.M.",H251/G251))))</f>
        <v>0</v>
      </c>
      <c r="J251" s="174"/>
      <c r="K251" s="256">
        <v>238750000</v>
      </c>
      <c r="L251" s="16">
        <f>+F251-K251</f>
        <v>0</v>
      </c>
      <c r="M251" s="53">
        <f>IF(K251&lt;0,IF(L251=0,0,IF(OR(K251=0,N251=0),"N.M.",IF(ABS(L251/K251)&gt;=10,"N.M.",L251/(-K251)))),IF(L251=0,0,IF(OR(K251=0,N251=0),"N.M.",IF(ABS(L251/K251)&gt;=10,"N.M.",L251/K251))))</f>
        <v>0</v>
      </c>
      <c r="N251" s="174"/>
      <c r="O251" s="256">
        <v>238750000</v>
      </c>
      <c r="P251" s="16">
        <f>+F251-O251</f>
        <v>0</v>
      </c>
      <c r="Q251" s="53">
        <f>IF(O251&lt;0,IF(P251=0,0,IF(OR(O251=0,F251=0),"N.M.",IF(ABS(P251/O251)&gt;=10,"N.M.",P251/(-O251)))),IF(P251=0,0,IF(OR(O251=0,F251=0),"N.M.",IF(ABS(P251/O251)&gt;=10,"N.M.",P251/O251))))</f>
        <v>0</v>
      </c>
    </row>
    <row r="252" spans="1:17" s="15" customFormat="1" ht="12.75" hidden="1" outlineLevel="2">
      <c r="A252" s="15" t="s">
        <v>798</v>
      </c>
      <c r="B252" s="15" t="s">
        <v>799</v>
      </c>
      <c r="C252" s="134" t="s">
        <v>800</v>
      </c>
      <c r="D252" s="16"/>
      <c r="E252" s="16"/>
      <c r="F252" s="16">
        <v>-250228.92</v>
      </c>
      <c r="G252" s="16">
        <v>-167497.30000000002</v>
      </c>
      <c r="H252" s="16">
        <f>+F252-G252</f>
        <v>-82731.62</v>
      </c>
      <c r="I252" s="53">
        <f>IF(G252&lt;0,IF(H252=0,0,IF(OR(G252=0,F252=0),"N.M.",IF(ABS(H252/G252)&gt;=10,"N.M.",H252/(-G252)))),IF(H252=0,0,IF(OR(G252=0,F252=0),"N.M.",IF(ABS(H252/G252)&gt;=10,"N.M.",H252/G252))))</f>
        <v>-0.49392808122877196</v>
      </c>
      <c r="J252" s="174"/>
      <c r="K252" s="256">
        <v>-341369.77</v>
      </c>
      <c r="L252" s="16">
        <f>+F252-K252</f>
        <v>91140.85</v>
      </c>
      <c r="M252" s="53" t="str">
        <f>IF(K252&lt;0,IF(L252=0,0,IF(OR(K252=0,N252=0),"N.M.",IF(ABS(L252/K252)&gt;=10,"N.M.",L252/(-K252)))),IF(L252=0,0,IF(OR(K252=0,N252=0),"N.M.",IF(ABS(L252/K252)&gt;=10,"N.M.",L252/K252))))</f>
        <v>N.M.</v>
      </c>
      <c r="N252" s="174"/>
      <c r="O252" s="256">
        <v>-137709.73</v>
      </c>
      <c r="P252" s="16">
        <f>+F252-O252</f>
        <v>-112519.19</v>
      </c>
      <c r="Q252" s="53">
        <f>IF(O252&lt;0,IF(P252=0,0,IF(OR(O252=0,F252=0),"N.M.",IF(ABS(P252/O252)&gt;=10,"N.M.",P252/(-O252)))),IF(P252=0,0,IF(OR(O252=0,F252=0),"N.M.",IF(ABS(P252/O252)&gt;=10,"N.M.",P252/O252))))</f>
        <v>-0.8170750897558219</v>
      </c>
    </row>
    <row r="253" spans="1:17" s="15" customFormat="1" ht="12.75" hidden="1" outlineLevel="2">
      <c r="A253" s="15" t="s">
        <v>801</v>
      </c>
      <c r="B253" s="15" t="s">
        <v>802</v>
      </c>
      <c r="C253" s="134" t="s">
        <v>803</v>
      </c>
      <c r="D253" s="16"/>
      <c r="E253" s="16"/>
      <c r="F253" s="16">
        <v>-407845.53</v>
      </c>
      <c r="G253" s="16">
        <v>-468267.09</v>
      </c>
      <c r="H253" s="16">
        <f>+F253-G253</f>
        <v>60421.56</v>
      </c>
      <c r="I253" s="53">
        <f>IF(G253&lt;0,IF(H253=0,0,IF(OR(G253=0,F253=0),"N.M.",IF(ABS(H253/G253)&gt;=10,"N.M.",H253/(-G253)))),IF(H253=0,0,IF(OR(G253=0,F253=0),"N.M.",IF(ABS(H253/G253)&gt;=10,"N.M.",H253/G253))))</f>
        <v>0.12903225806451613</v>
      </c>
      <c r="J253" s="174"/>
      <c r="K253" s="256">
        <v>-412880.66000000003</v>
      </c>
      <c r="L253" s="16">
        <f>+F253-K253</f>
        <v>5035.130000000005</v>
      </c>
      <c r="M253" s="53" t="str">
        <f>IF(K253&lt;0,IF(L253=0,0,IF(OR(K253=0,N253=0),"N.M.",IF(ABS(L253/K253)&gt;=10,"N.M.",L253/(-K253)))),IF(L253=0,0,IF(OR(K253=0,N253=0),"N.M.",IF(ABS(L253/K253)&gt;=10,"N.M.",L253/K253))))</f>
        <v>N.M.</v>
      </c>
      <c r="N253" s="174"/>
      <c r="O253" s="256">
        <v>-463231.96</v>
      </c>
      <c r="P253" s="16">
        <f>+F253-O253</f>
        <v>55386.42999999999</v>
      </c>
      <c r="Q253" s="53">
        <f>IF(O253&lt;0,IF(P253=0,0,IF(OR(O253=0,F253=0),"N.M.",IF(ABS(P253/O253)&gt;=10,"N.M.",P253/(-O253)))),IF(P253=0,0,IF(OR(O253=0,F253=0),"N.M.",IF(ABS(P253/O253)&gt;=10,"N.M.",P253/O253))))</f>
        <v>0.11956521739130432</v>
      </c>
    </row>
    <row r="254" spans="1:17" ht="12.75" collapsed="1">
      <c r="A254" s="11" t="s">
        <v>250</v>
      </c>
      <c r="C254" s="111" t="s">
        <v>184</v>
      </c>
      <c r="D254" s="103"/>
      <c r="E254" s="104"/>
      <c r="F254" s="103">
        <v>238091925.55</v>
      </c>
      <c r="G254" s="103">
        <v>238114235.60999998</v>
      </c>
      <c r="H254" s="51">
        <f>+F254-G254</f>
        <v>-22310.059999972582</v>
      </c>
      <c r="I254" s="136">
        <f>IF(G254&lt;0,IF(H254=0,0,IF(OR(G254=0,F254=0),"N.M.",IF(ABS(H254/G254)&gt;=10,"N.M.",H254/(-G254)))),IF(H254=0,0,IF(OR(G254=0,F254=0),"N.M.",IF(ABS(H254/G254)&gt;=10,"N.M.",H254/G254))))</f>
        <v>-9.369477613473537E-05</v>
      </c>
      <c r="J254" s="166"/>
      <c r="K254" s="103">
        <v>237995749.57</v>
      </c>
      <c r="L254" s="51">
        <f>+F254-K254</f>
        <v>96175.98000001907</v>
      </c>
      <c r="M254" s="136" t="str">
        <f>IF(K254&lt;0,IF(L254=0,0,IF(OR(K254=0,N254=0),"N.M.",IF(ABS(L254/K254)&gt;=10,"N.M.",L254/(-K254)))),IF(L254=0,0,IF(OR(K254=0,N254=0),"N.M.",IF(ABS(L254/K254)&gt;=10,"N.M.",L254/K254))))</f>
        <v>N.M.</v>
      </c>
      <c r="N254" s="166"/>
      <c r="O254" s="103">
        <v>238149058.31</v>
      </c>
      <c r="P254" s="51">
        <f>+F254-O254</f>
        <v>-57132.75999999046</v>
      </c>
      <c r="Q254" s="136">
        <f>IF(O254&lt;0,IF(P254=0,0,IF(OR(O254=0,F254=0),"N.M.",IF(ABS(P254/O254)&gt;=10,"N.M.",P254/(-O254)))),IF(P254=0,0,IF(OR(O254=0,F254=0),"N.M.",IF(ABS(P254/O254)&gt;=10,"N.M.",P254/O254))))</f>
        <v>-0.00023990336306776582</v>
      </c>
    </row>
    <row r="255" spans="3:17" ht="0.75" customHeight="1" hidden="1" outlineLevel="1">
      <c r="C255" s="111"/>
      <c r="D255" s="103"/>
      <c r="E255" s="104"/>
      <c r="F255" s="103"/>
      <c r="G255" s="103"/>
      <c r="H255" s="51"/>
      <c r="I255" s="136"/>
      <c r="J255" s="166"/>
      <c r="K255" s="103"/>
      <c r="L255" s="51"/>
      <c r="M255" s="136"/>
      <c r="N255" s="166"/>
      <c r="O255" s="103"/>
      <c r="P255" s="51"/>
      <c r="Q255" s="136"/>
    </row>
    <row r="256" spans="1:17" ht="12.75" collapsed="1">
      <c r="A256" s="11" t="s">
        <v>251</v>
      </c>
      <c r="C256" s="112" t="s">
        <v>235</v>
      </c>
      <c r="D256" s="103"/>
      <c r="E256" s="104"/>
      <c r="F256" s="234">
        <v>147666710.64100006</v>
      </c>
      <c r="G256" s="234">
        <v>136133022.29600024</v>
      </c>
      <c r="H256" s="197">
        <f>+F256-G256</f>
        <v>11533688.34499982</v>
      </c>
      <c r="I256" s="138">
        <f>IF(G256&lt;0,IF(H256=0,0,IF(OR(G256=0,F256=0),"N.M.",IF(ABS(H256/G256)&gt;=10,"N.M.",H256/(-G256)))),IF(H256=0,0,IF(OR(G256=0,F256=0),"N.M.",IF(ABS(H256/G256)&gt;=10,"N.M.",H256/G256))))</f>
        <v>0.08472366329986852</v>
      </c>
      <c r="J256" s="166"/>
      <c r="K256" s="234">
        <v>149639865.028</v>
      </c>
      <c r="L256" s="197">
        <f>+F256-K256</f>
        <v>-1973154.386999935</v>
      </c>
      <c r="M256" s="138" t="str">
        <f>IF(K256&lt;0,IF(L256=0,0,IF(OR(K256=0,N256=0),"N.M.",IF(ABS(L256/K256)&gt;=10,"N.M.",L256/(-K256)))),IF(L256=0,0,IF(OR(K256=0,N256=0),"N.M.",IF(ABS(L256/K256)&gt;=10,"N.M.",L256/K256))))</f>
        <v>N.M.</v>
      </c>
      <c r="N256" s="166"/>
      <c r="O256" s="234">
        <v>143184638.96199968</v>
      </c>
      <c r="P256" s="197">
        <f>+F256-O256</f>
        <v>4482071.679000378</v>
      </c>
      <c r="Q256" s="138">
        <f>IF(O256&lt;0,IF(P256=0,0,IF(OR(O256=0,F256=0),"N.M.",IF(ABS(P256/O256)&gt;=10,"N.M.",P256/(-O256)))),IF(P256=0,0,IF(OR(O256=0,F256=0),"N.M.",IF(ABS(P256/O256)&gt;=10,"N.M.",P256/O256))))</f>
        <v>0.03130274107259433</v>
      </c>
    </row>
    <row r="257" spans="1:17" s="13" customFormat="1" ht="12.75">
      <c r="A257" s="13" t="s">
        <v>252</v>
      </c>
      <c r="C257" s="110" t="s">
        <v>178</v>
      </c>
      <c r="D257" s="33"/>
      <c r="F257" s="33">
        <v>436208636.1910003</v>
      </c>
      <c r="G257" s="33">
        <v>424697257.90599996</v>
      </c>
      <c r="H257" s="74">
        <f>+F257-G257</f>
        <v>11511378.285000324</v>
      </c>
      <c r="I257" s="137">
        <f>IF(G257&lt;0,IF(H257=0,0,IF(OR(G257=0,F257=0),"N.M.",IF(ABS(H257/G257)&gt;=10,"N.M.",H257/(-G257)))),IF(H257=0,0,IF(OR(G257=0,F257=0),"N.M.",IF(ABS(H257/G257)&gt;=10,"N.M.",H257/G257))))</f>
        <v>0.02710490371837575</v>
      </c>
      <c r="J257" s="168"/>
      <c r="K257" s="33">
        <v>438085614.59799975</v>
      </c>
      <c r="L257" s="74">
        <f>+F257-K257</f>
        <v>-1876978.4069994688</v>
      </c>
      <c r="M257" s="137" t="str">
        <f>IF(K257&lt;0,IF(L257=0,0,IF(OR(K257=0,N257=0),"N.M.",IF(ABS(L257/K257)&gt;=10,"N.M.",L257/(-K257)))),IF(L257=0,0,IF(OR(K257=0,N257=0),"N.M.",IF(ABS(L257/K257)&gt;=10,"N.M.",L257/K257))))</f>
        <v>N.M.</v>
      </c>
      <c r="N257" s="168"/>
      <c r="O257" s="33">
        <v>431783697.27199996</v>
      </c>
      <c r="P257" s="74">
        <f>+F257-O257</f>
        <v>4424938.919000328</v>
      </c>
      <c r="Q257" s="137">
        <f>IF(O257&lt;0,IF(P257=0,0,IF(OR(O257=0,F257=0),"N.M.",IF(ABS(P257/O257)&gt;=10,"N.M.",P257/(-O257)))),IF(P257=0,0,IF(OR(O257=0,F257=0),"N.M.",IF(ABS(P257/O257)&gt;=10,"N.M.",P257/O257))))</f>
        <v>0.010248045368449516</v>
      </c>
    </row>
    <row r="258" spans="3:17" ht="12.75">
      <c r="C258" s="105"/>
      <c r="D258" s="105"/>
      <c r="E258" s="105"/>
      <c r="F258" s="108"/>
      <c r="G258" s="108"/>
      <c r="H258" s="108"/>
      <c r="I258" s="143"/>
      <c r="J258" s="169"/>
      <c r="K258" s="108"/>
      <c r="L258" s="108"/>
      <c r="M258" s="143"/>
      <c r="N258" s="169"/>
      <c r="O258" s="108"/>
      <c r="P258" s="108"/>
      <c r="Q258" s="143"/>
    </row>
    <row r="259" spans="3:17" ht="0.75" customHeight="1" hidden="1" outlineLevel="1">
      <c r="C259" s="105"/>
      <c r="D259" s="108"/>
      <c r="E259" s="107"/>
      <c r="F259" s="108"/>
      <c r="G259" s="108"/>
      <c r="H259" s="108"/>
      <c r="I259" s="141"/>
      <c r="J259" s="166"/>
      <c r="K259" s="108"/>
      <c r="L259" s="108"/>
      <c r="M259" s="141"/>
      <c r="N259" s="166"/>
      <c r="O259" s="108"/>
      <c r="P259" s="108"/>
      <c r="Q259" s="141"/>
    </row>
    <row r="260" spans="1:17" ht="14.25" customHeight="1" collapsed="1">
      <c r="A260" s="11" t="s">
        <v>253</v>
      </c>
      <c r="C260" s="111" t="s">
        <v>185</v>
      </c>
      <c r="D260" s="103"/>
      <c r="E260" s="104"/>
      <c r="F260" s="103">
        <v>0</v>
      </c>
      <c r="G260" s="103">
        <v>0</v>
      </c>
      <c r="H260" s="51">
        <f>+F260-G260</f>
        <v>0</v>
      </c>
      <c r="I260" s="136">
        <f>IF(G260&lt;0,IF(H260=0,0,IF(OR(G260=0,F260=0),"N.M.",IF(ABS(H260/G260)&gt;=10,"N.M.",H260/(-G260)))),IF(H260=0,0,IF(OR(G260=0,F260=0),"N.M.",IF(ABS(H260/G260)&gt;=10,"N.M.",H260/G260))))</f>
        <v>0</v>
      </c>
      <c r="J260" s="166"/>
      <c r="K260" s="103">
        <v>0</v>
      </c>
      <c r="L260" s="51">
        <f>+F260-K260</f>
        <v>0</v>
      </c>
      <c r="M260" s="136">
        <f>IF(K260&lt;0,IF(L260=0,0,IF(OR(K260=0,N260=0),"N.M.",IF(ABS(L260/K260)&gt;=10,"N.M.",L260/(-K260)))),IF(L260=0,0,IF(OR(K260=0,N260=0),"N.M.",IF(ABS(L260/K260)&gt;=10,"N.M.",L260/K260))))</f>
        <v>0</v>
      </c>
      <c r="N260" s="166"/>
      <c r="O260" s="103">
        <v>0</v>
      </c>
      <c r="P260" s="51">
        <f>+F260-O260</f>
        <v>0</v>
      </c>
      <c r="Q260" s="136">
        <f>IF(O260&lt;0,IF(P260=0,0,IF(OR(O260=0,F260=0),"N.M.",IF(ABS(P260/O260)&gt;=10,"N.M.",P260/(-O260)))),IF(P260=0,0,IF(OR(O260=0,F260=0),"N.M.",IF(ABS(P260/O260)&gt;=10,"N.M.",P260/O260))))</f>
        <v>0</v>
      </c>
    </row>
    <row r="261" spans="3:17" ht="0.75" customHeight="1" hidden="1" outlineLevel="1">
      <c r="C261" s="111"/>
      <c r="D261" s="103"/>
      <c r="E261" s="104"/>
      <c r="F261" s="103"/>
      <c r="G261" s="103"/>
      <c r="H261" s="51"/>
      <c r="I261" s="136"/>
      <c r="J261" s="166"/>
      <c r="K261" s="103"/>
      <c r="L261" s="51"/>
      <c r="M261" s="136"/>
      <c r="N261" s="166"/>
      <c r="O261" s="103"/>
      <c r="P261" s="51"/>
      <c r="Q261" s="136"/>
    </row>
    <row r="262" spans="1:17" ht="12.75" collapsed="1">
      <c r="A262" s="11" t="s">
        <v>254</v>
      </c>
      <c r="C262" s="112" t="s">
        <v>186</v>
      </c>
      <c r="D262" s="103"/>
      <c r="E262" s="104"/>
      <c r="F262" s="234">
        <v>0</v>
      </c>
      <c r="G262" s="234">
        <v>0</v>
      </c>
      <c r="H262" s="197">
        <f>+F262-G262</f>
        <v>0</v>
      </c>
      <c r="I262" s="138">
        <f>IF(G262&lt;0,IF(H262=0,0,IF(OR(G262=0,F262=0),"N.M.",IF(ABS(H262/G262)&gt;=10,"N.M.",H262/(-G262)))),IF(H262=0,0,IF(OR(G262=0,F262=0),"N.M.",IF(ABS(H262/G262)&gt;=10,"N.M.",H262/G262))))</f>
        <v>0</v>
      </c>
      <c r="J262" s="166"/>
      <c r="K262" s="234">
        <v>0</v>
      </c>
      <c r="L262" s="197">
        <f>+F262-K262</f>
        <v>0</v>
      </c>
      <c r="M262" s="138">
        <f>IF(K262&lt;0,IF(L262=0,0,IF(OR(K262=0,N262=0),"N.M.",IF(ABS(L262/K262)&gt;=10,"N.M.",L262/(-K262)))),IF(L262=0,0,IF(OR(K262=0,N262=0),"N.M.",IF(ABS(L262/K262)&gt;=10,"N.M.",L262/K262))))</f>
        <v>0</v>
      </c>
      <c r="N262" s="166"/>
      <c r="O262" s="234">
        <v>0</v>
      </c>
      <c r="P262" s="197">
        <f>+F262-O262</f>
        <v>0</v>
      </c>
      <c r="Q262" s="138">
        <f>IF(O262&lt;0,IF(P262=0,0,IF(OR(O262=0,F262=0),"N.M.",IF(ABS(P262/O262)&gt;=10,"N.M.",P262/(-O262)))),IF(P262=0,0,IF(OR(O262=0,F262=0),"N.M.",IF(ABS(P262/O262)&gt;=10,"N.M.",P262/O262))))</f>
        <v>0</v>
      </c>
    </row>
    <row r="263" spans="3:17" s="13" customFormat="1" ht="12.75">
      <c r="C263" s="110" t="s">
        <v>179</v>
      </c>
      <c r="D263" s="33"/>
      <c r="F263" s="33">
        <f>+F262+F260</f>
        <v>0</v>
      </c>
      <c r="G263" s="33"/>
      <c r="H263" s="74">
        <f>+F263-G263</f>
        <v>0</v>
      </c>
      <c r="I263" s="137">
        <f>IF(G263&lt;0,IF(H263=0,0,IF(OR(G263=0,F263=0),"N.M.",IF(ABS(H263/G263)&gt;=10,"N.M.",H263/(-G263)))),IF(H263=0,0,IF(OR(G263=0,F263=0),"N.M.",IF(ABS(H263/G263)&gt;=10,"N.M.",H263/G263))))</f>
        <v>0</v>
      </c>
      <c r="J263" s="168"/>
      <c r="K263" s="33">
        <f>+K262+K260</f>
        <v>0</v>
      </c>
      <c r="L263" s="74">
        <f>+F263-K263</f>
        <v>0</v>
      </c>
      <c r="M263" s="137">
        <f>IF(K263&lt;0,IF(L263=0,0,IF(OR(K263=0,N263=0),"N.M.",IF(ABS(L263/K263)&gt;=10,"N.M.",L263/(-K263)))),IF(L263=0,0,IF(OR(K263=0,N263=0),"N.M.",IF(ABS(L263/K263)&gt;=10,"N.M.",L263/K263))))</f>
        <v>0</v>
      </c>
      <c r="N263" s="168"/>
      <c r="O263" s="33">
        <f>+O262+O260</f>
        <v>0</v>
      </c>
      <c r="P263" s="74">
        <f>+F263-O263</f>
        <v>0</v>
      </c>
      <c r="Q263" s="137">
        <f>IF(O263&lt;0,IF(P263=0,0,IF(OR(O263=0,F263=0),"N.M.",IF(ABS(P263/O263)&gt;=10,"N.M.",P263/(-O263)))),IF(P263=0,0,IF(OR(O263=0,F263=0),"N.M.",IF(ABS(P263/O263)&gt;=10,"N.M.",P263/O263))))</f>
        <v>0</v>
      </c>
    </row>
    <row r="264" spans="3:17" ht="12.75">
      <c r="C264" s="105"/>
      <c r="D264" s="108"/>
      <c r="E264" s="107"/>
      <c r="F264" s="108"/>
      <c r="G264" s="108"/>
      <c r="H264" s="108"/>
      <c r="I264" s="141"/>
      <c r="J264" s="166"/>
      <c r="K264" s="108"/>
      <c r="L264" s="108"/>
      <c r="M264" s="141"/>
      <c r="N264" s="166"/>
      <c r="O264" s="108"/>
      <c r="P264" s="108"/>
      <c r="Q264" s="141"/>
    </row>
    <row r="265" spans="1:17" s="14" customFormat="1" ht="12.75">
      <c r="A265" s="14" t="s">
        <v>255</v>
      </c>
      <c r="C265" s="109" t="s">
        <v>180</v>
      </c>
      <c r="D265" s="31"/>
      <c r="F265" s="31">
        <v>0</v>
      </c>
      <c r="G265" s="31">
        <v>0</v>
      </c>
      <c r="H265" s="74">
        <f>+F265-G265</f>
        <v>0</v>
      </c>
      <c r="I265" s="137">
        <f>IF(G265&lt;0,IF(H265=0,0,IF(OR(G265=0,F265=0),"N.M.",IF(ABS(H265/G265)&gt;=10,"N.M.",H265/(-G265)))),IF(H265=0,0,IF(OR(G265=0,F265=0),"N.M.",IF(ABS(H265/G265)&gt;=10,"N.M.",H265/G265))))</f>
        <v>0</v>
      </c>
      <c r="J265" s="170"/>
      <c r="K265" s="31">
        <v>0</v>
      </c>
      <c r="L265" s="74">
        <f>+F265-K265</f>
        <v>0</v>
      </c>
      <c r="M265" s="137">
        <f>IF(K265&lt;0,IF(L265=0,0,IF(OR(K265=0,N265=0),"N.M.",IF(ABS(L265/K265)&gt;=10,"N.M.",L265/(-K265)))),IF(L265=0,0,IF(OR(K265=0,N265=0),"N.M.",IF(ABS(L265/K265)&gt;=10,"N.M.",L265/K265))))</f>
        <v>0</v>
      </c>
      <c r="N265" s="170"/>
      <c r="O265" s="31">
        <v>0</v>
      </c>
      <c r="P265" s="74">
        <f>+F265-O265</f>
        <v>0</v>
      </c>
      <c r="Q265" s="137">
        <f>IF(O265&lt;0,IF(P265=0,0,IF(OR(O265=0,F265=0),"N.M.",IF(ABS(P265/O265)&gt;=10,"N.M.",P265/(-O265)))),IF(P265=0,0,IF(OR(O265=0,F265=0),"N.M.",IF(ABS(P265/O265)&gt;=10,"N.M.",P265/O265))))</f>
        <v>0</v>
      </c>
    </row>
    <row r="266" spans="3:17" ht="12.75">
      <c r="C266" s="105"/>
      <c r="D266" s="108"/>
      <c r="E266" s="107"/>
      <c r="F266" s="108"/>
      <c r="G266" s="108"/>
      <c r="H266" s="108"/>
      <c r="I266" s="141"/>
      <c r="J266" s="166"/>
      <c r="K266" s="108"/>
      <c r="L266" s="108"/>
      <c r="M266" s="141"/>
      <c r="N266" s="166"/>
      <c r="O266" s="108"/>
      <c r="P266" s="108"/>
      <c r="Q266" s="141"/>
    </row>
    <row r="267" spans="3:17" ht="0.75" customHeight="1" hidden="1" outlineLevel="1">
      <c r="C267" s="105"/>
      <c r="D267" s="108"/>
      <c r="E267" s="107"/>
      <c r="F267" s="108"/>
      <c r="G267" s="108"/>
      <c r="H267" s="108"/>
      <c r="I267" s="141"/>
      <c r="J267" s="166"/>
      <c r="K267" s="108"/>
      <c r="L267" s="108"/>
      <c r="M267" s="141"/>
      <c r="N267" s="166"/>
      <c r="O267" s="108"/>
      <c r="P267" s="108"/>
      <c r="Q267" s="141"/>
    </row>
    <row r="268" spans="1:17" s="15" customFormat="1" ht="12.75" hidden="1" outlineLevel="2">
      <c r="A268" s="15" t="s">
        <v>804</v>
      </c>
      <c r="B268" s="15" t="s">
        <v>805</v>
      </c>
      <c r="C268" s="134" t="s">
        <v>806</v>
      </c>
      <c r="D268" s="16"/>
      <c r="E268" s="16"/>
      <c r="F268" s="16">
        <v>20000000</v>
      </c>
      <c r="G268" s="16">
        <v>20000000</v>
      </c>
      <c r="H268" s="16">
        <f>+F268-G268</f>
        <v>0</v>
      </c>
      <c r="I268" s="53">
        <f>IF(G268&lt;0,IF(H268=0,0,IF(OR(G268=0,F268=0),"N.M.",IF(ABS(H268/G268)&gt;=10,"N.M.",H268/(-G268)))),IF(H268=0,0,IF(OR(G268=0,F268=0),"N.M.",IF(ABS(H268/G268)&gt;=10,"N.M.",H268/G268))))</f>
        <v>0</v>
      </c>
      <c r="J268" s="174"/>
      <c r="K268" s="256">
        <v>20000000</v>
      </c>
      <c r="L268" s="16">
        <f>+F268-K268</f>
        <v>0</v>
      </c>
      <c r="M268" s="53">
        <f>IF(K268&lt;0,IF(L268=0,0,IF(OR(K268=0,N268=0),"N.M.",IF(ABS(L268/K268)&gt;=10,"N.M.",L268/(-K268)))),IF(L268=0,0,IF(OR(K268=0,N268=0),"N.M.",IF(ABS(L268/K268)&gt;=10,"N.M.",L268/K268))))</f>
        <v>0</v>
      </c>
      <c r="N268" s="174"/>
      <c r="O268" s="256">
        <v>20000000</v>
      </c>
      <c r="P268" s="16">
        <f>+F268-O268</f>
        <v>0</v>
      </c>
      <c r="Q268" s="53">
        <f>IF(O268&lt;0,IF(P268=0,0,IF(OR(O268=0,F268=0),"N.M.",IF(ABS(P268/O268)&gt;=10,"N.M.",P268/(-O268)))),IF(P268=0,0,IF(OR(O268=0,F268=0),"N.M.",IF(ABS(P268/O268)&gt;=10,"N.M.",P268/O268))))</f>
        <v>0</v>
      </c>
    </row>
    <row r="269" spans="1:17" s="15" customFormat="1" ht="12.75" hidden="1" outlineLevel="2">
      <c r="A269" s="15" t="s">
        <v>807</v>
      </c>
      <c r="B269" s="15" t="s">
        <v>808</v>
      </c>
      <c r="C269" s="134" t="s">
        <v>809</v>
      </c>
      <c r="D269" s="16"/>
      <c r="E269" s="16"/>
      <c r="F269" s="16">
        <v>530000000</v>
      </c>
      <c r="G269" s="16">
        <v>530000000</v>
      </c>
      <c r="H269" s="16">
        <f>+F269-G269</f>
        <v>0</v>
      </c>
      <c r="I269" s="53">
        <f>IF(G269&lt;0,IF(H269=0,0,IF(OR(G269=0,F269=0),"N.M.",IF(ABS(H269/G269)&gt;=10,"N.M.",H269/(-G269)))),IF(H269=0,0,IF(OR(G269=0,F269=0),"N.M.",IF(ABS(H269/G269)&gt;=10,"N.M.",H269/G269))))</f>
        <v>0</v>
      </c>
      <c r="J269" s="174"/>
      <c r="K269" s="256">
        <v>530000000</v>
      </c>
      <c r="L269" s="16">
        <f>+F269-K269</f>
        <v>0</v>
      </c>
      <c r="M269" s="53">
        <f>IF(K269&lt;0,IF(L269=0,0,IF(OR(K269=0,N269=0),"N.M.",IF(ABS(L269/K269)&gt;=10,"N.M.",L269/(-K269)))),IF(L269=0,0,IF(OR(K269=0,N269=0),"N.M.",IF(ABS(L269/K269)&gt;=10,"N.M.",L269/K269))))</f>
        <v>0</v>
      </c>
      <c r="N269" s="174"/>
      <c r="O269" s="256">
        <v>530000000</v>
      </c>
      <c r="P269" s="16">
        <f>+F269-O269</f>
        <v>0</v>
      </c>
      <c r="Q269" s="53">
        <f>IF(O269&lt;0,IF(P269=0,0,IF(OR(O269=0,F269=0),"N.M.",IF(ABS(P269/O269)&gt;=10,"N.M.",P269/(-O269)))),IF(P269=0,0,IF(OR(O269=0,F269=0),"N.M.",IF(ABS(P269/O269)&gt;=10,"N.M.",P269/O269))))</f>
        <v>0</v>
      </c>
    </row>
    <row r="270" spans="1:17" s="15" customFormat="1" ht="12.75" hidden="1" outlineLevel="2">
      <c r="A270" s="15" t="s">
        <v>810</v>
      </c>
      <c r="B270" s="15" t="s">
        <v>811</v>
      </c>
      <c r="C270" s="134" t="s">
        <v>812</v>
      </c>
      <c r="D270" s="16"/>
      <c r="E270" s="16"/>
      <c r="F270" s="16">
        <v>-1125393.75</v>
      </c>
      <c r="G270" s="16">
        <v>-1292118.75</v>
      </c>
      <c r="H270" s="16">
        <f>+F270-G270</f>
        <v>166725</v>
      </c>
      <c r="I270" s="53">
        <f>IF(G270&lt;0,IF(H270=0,0,IF(OR(G270=0,F270=0),"N.M.",IF(ABS(H270/G270)&gt;=10,"N.M.",H270/(-G270)))),IF(H270=0,0,IF(OR(G270=0,F270=0),"N.M.",IF(ABS(H270/G270)&gt;=10,"N.M.",H270/G270))))</f>
        <v>0.12903225806451613</v>
      </c>
      <c r="J270" s="174"/>
      <c r="K270" s="256">
        <v>-1139287.5</v>
      </c>
      <c r="L270" s="16">
        <f>+F270-K270</f>
        <v>13893.75</v>
      </c>
      <c r="M270" s="53" t="str">
        <f>IF(K270&lt;0,IF(L270=0,0,IF(OR(K270=0,N270=0),"N.M.",IF(ABS(L270/K270)&gt;=10,"N.M.",L270/(-K270)))),IF(L270=0,0,IF(OR(K270=0,N270=0),"N.M.",IF(ABS(L270/K270)&gt;=10,"N.M.",L270/K270))))</f>
        <v>N.M.</v>
      </c>
      <c r="N270" s="174"/>
      <c r="O270" s="256">
        <v>-1278225</v>
      </c>
      <c r="P270" s="16">
        <f>+F270-O270</f>
        <v>152831.25</v>
      </c>
      <c r="Q270" s="53">
        <f>IF(O270&lt;0,IF(P270=0,0,IF(OR(O270=0,F270=0),"N.M.",IF(ABS(P270/O270)&gt;=10,"N.M.",P270/(-O270)))),IF(P270=0,0,IF(OR(O270=0,F270=0),"N.M.",IF(ABS(P270/O270)&gt;=10,"N.M.",P270/O270))))</f>
        <v>0.11956521739130435</v>
      </c>
    </row>
    <row r="271" spans="1:17" s="13" customFormat="1" ht="12.75" collapsed="1">
      <c r="A271" s="13" t="s">
        <v>256</v>
      </c>
      <c r="C271" s="109" t="s">
        <v>187</v>
      </c>
      <c r="D271" s="33"/>
      <c r="F271" s="33">
        <v>548874606.25</v>
      </c>
      <c r="G271" s="33">
        <v>548707881.25</v>
      </c>
      <c r="H271" s="74">
        <f>+F271-G271</f>
        <v>166725</v>
      </c>
      <c r="I271" s="137">
        <f>IF(G271&lt;0,IF(H271=0,0,IF(OR(G271=0,F271=0),"N.M.",IF(ABS(H271/G271)&gt;=10,"N.M.",H271/(-G271)))),IF(H271=0,0,IF(OR(G271=0,F271=0),"N.M.",IF(ABS(H271/G271)&gt;=10,"N.M.",H271/G271))))</f>
        <v>0.00030385020098524417</v>
      </c>
      <c r="J271" s="168"/>
      <c r="K271" s="33">
        <v>548860712.5</v>
      </c>
      <c r="L271" s="74">
        <f>+F271-K271</f>
        <v>13893.75</v>
      </c>
      <c r="M271" s="137" t="str">
        <f>IF(K271&lt;0,IF(L271=0,0,IF(OR(K271=0,N271=0),"N.M.",IF(ABS(L271/K271)&gt;=10,"N.M.",L271/(-K271)))),IF(L271=0,0,IF(OR(K271=0,N271=0),"N.M.",IF(ABS(L271/K271)&gt;=10,"N.M.",L271/K271))))</f>
        <v>N.M.</v>
      </c>
      <c r="N271" s="168"/>
      <c r="O271" s="33">
        <v>548721775</v>
      </c>
      <c r="P271" s="74">
        <f>+F271-O271</f>
        <v>152831.25</v>
      </c>
      <c r="Q271" s="137">
        <f>IF(O271&lt;0,IF(P271=0,0,IF(OR(O271=0,F271=0),"N.M.",IF(ABS(P271/O271)&gt;=10,"N.M.",P271/(-O271)))),IF(P271=0,0,IF(OR(O271=0,F271=0),"N.M.",IF(ABS(P271/O271)&gt;=10,"N.M.",P271/O271))))</f>
        <v>0.00027852229848177615</v>
      </c>
    </row>
    <row r="272" spans="1:17" ht="12.75">
      <c r="A272" s="11" t="s">
        <v>181</v>
      </c>
      <c r="C272" s="113"/>
      <c r="D272" s="103"/>
      <c r="E272" s="104"/>
      <c r="F272" s="234"/>
      <c r="G272" s="234"/>
      <c r="H272" s="234"/>
      <c r="I272" s="144"/>
      <c r="J272" s="166"/>
      <c r="K272" s="234"/>
      <c r="L272" s="234"/>
      <c r="M272" s="144"/>
      <c r="N272" s="166"/>
      <c r="O272" s="234"/>
      <c r="P272" s="234"/>
      <c r="Q272" s="144"/>
    </row>
    <row r="273" spans="1:17" s="13" customFormat="1" ht="12.75">
      <c r="A273" s="13" t="s">
        <v>257</v>
      </c>
      <c r="C273" s="13" t="s">
        <v>176</v>
      </c>
      <c r="D273" s="33"/>
      <c r="F273" s="33">
        <v>985083242.4410007</v>
      </c>
      <c r="G273" s="33">
        <v>973405139.1560004</v>
      </c>
      <c r="H273" s="74">
        <f>+F273-G273</f>
        <v>11678103.285000324</v>
      </c>
      <c r="I273" s="137">
        <f>IF(G273&lt;0,IF(H273=0,0,IF(OR(G273=0,F273=0),"N.M.",IF(ABS(H273/G273)&gt;=10,"N.M.",H273/(-G273)))),IF(H273=0,0,IF(OR(G273=0,F273=0),"N.M.",IF(ABS(H273/G273)&gt;=10,"N.M.",H273/G273))))</f>
        <v>0.011997166251994444</v>
      </c>
      <c r="J273" s="168"/>
      <c r="K273" s="33">
        <v>986946327.0980012</v>
      </c>
      <c r="L273" s="74">
        <f>+F273-K273</f>
        <v>-1863084.6570005417</v>
      </c>
      <c r="M273" s="137" t="str">
        <f>IF(K273&lt;0,IF(L273=0,0,IF(OR(K273=0,N273=0),"N.M.",IF(ABS(L273/K273)&gt;=10,"N.M.",L273/(-K273)))),IF(L273=0,0,IF(OR(K273=0,N273=0),"N.M.",IF(ABS(L273/K273)&gt;=10,"N.M.",L273/K273))))</f>
        <v>N.M.</v>
      </c>
      <c r="N273" s="168"/>
      <c r="O273" s="33">
        <v>980505472.2719994</v>
      </c>
      <c r="P273" s="74">
        <f>+F273-O273</f>
        <v>4577770.169001341</v>
      </c>
      <c r="Q273" s="137">
        <f>IF(O273&lt;0,IF(P273=0,0,IF(OR(O273=0,F273=0),"N.M.",IF(ABS(P273/O273)&gt;=10,"N.M.",P273/(-O273)))),IF(P273=0,0,IF(OR(O273=0,F273=0),"N.M.",IF(ABS(P273/O273)&gt;=10,"N.M.",P273/O273))))</f>
        <v>0.004668785946083363</v>
      </c>
    </row>
    <row r="274" spans="4:17" ht="12.75">
      <c r="D274" s="106"/>
      <c r="E274" s="11"/>
      <c r="F274" s="233" t="str">
        <f>IF(ABS(+F257+F260+F262+F265+F271-F273)&gt;$C$574,$J$182," ")</f>
        <v> </v>
      </c>
      <c r="G274" s="233" t="str">
        <f>IF(ABS(+G257+G260+G262+G265+G271-G273)&gt;$C$574,$J$182," ")</f>
        <v> </v>
      </c>
      <c r="H274" s="233" t="str">
        <f>IF(ABS(+H257+H260+H262+H265+H271-H273)&gt;$C$574,$J$182," ")</f>
        <v> </v>
      </c>
      <c r="I274" s="141"/>
      <c r="J274" s="166"/>
      <c r="K274" s="233" t="str">
        <f>IF(ABS(+K257+K260+K262+K265+K271-K273)&gt;$C$574,$J$182," ")</f>
        <v> </v>
      </c>
      <c r="L274" s="233" t="str">
        <f>IF(ABS(+L257+L260+L262+L265+L271-L273)&gt;$C$574,$J$182," ")</f>
        <v> </v>
      </c>
      <c r="M274" s="141"/>
      <c r="N274" s="166"/>
      <c r="O274" s="233" t="str">
        <f>IF(ABS(+O257+O260+O262+O265+O271-O273)&gt;$C$574,$J$182," ")</f>
        <v> </v>
      </c>
      <c r="P274" s="233" t="str">
        <f>IF(ABS(+P257+P260+P262+P265+P271-P273)&gt;$C$574,$J$182," ")</f>
        <v> </v>
      </c>
      <c r="Q274" s="141"/>
    </row>
    <row r="275" spans="3:17" ht="0.75" customHeight="1" hidden="1" outlineLevel="1">
      <c r="C275" s="119"/>
      <c r="D275" s="108"/>
      <c r="E275" s="107"/>
      <c r="F275" s="108"/>
      <c r="G275" s="108"/>
      <c r="H275" s="108"/>
      <c r="I275" s="141"/>
      <c r="J275" s="166"/>
      <c r="K275" s="108"/>
      <c r="L275" s="108"/>
      <c r="M275" s="141"/>
      <c r="N275" s="166"/>
      <c r="O275" s="108"/>
      <c r="P275" s="108"/>
      <c r="Q275" s="141"/>
    </row>
    <row r="276" spans="1:17" s="15" customFormat="1" ht="12.75" hidden="1" outlineLevel="2">
      <c r="A276" s="15" t="s">
        <v>813</v>
      </c>
      <c r="B276" s="15" t="s">
        <v>814</v>
      </c>
      <c r="C276" s="134" t="s">
        <v>815</v>
      </c>
      <c r="D276" s="16"/>
      <c r="E276" s="16"/>
      <c r="F276" s="16">
        <v>2710531.8</v>
      </c>
      <c r="G276" s="16">
        <v>1112372.58</v>
      </c>
      <c r="H276" s="16">
        <f>+F276-G276</f>
        <v>1598159.2199999997</v>
      </c>
      <c r="I276" s="53">
        <f>IF(G276&lt;0,IF(H276=0,0,IF(OR(G276=0,F276=0),"N.M.",IF(ABS(H276/G276)&gt;=10,"N.M.",H276/(-G276)))),IF(H276=0,0,IF(OR(G276=0,F276=0),"N.M.",IF(ABS(H276/G276)&gt;=10,"N.M.",H276/G276))))</f>
        <v>1.4367121670690586</v>
      </c>
      <c r="J276" s="174"/>
      <c r="K276" s="256">
        <v>2817055.24</v>
      </c>
      <c r="L276" s="16">
        <f>+F276-K276</f>
        <v>-106523.44000000041</v>
      </c>
      <c r="M276" s="53" t="str">
        <f>IF(K276&lt;0,IF(L276=0,0,IF(OR(K276=0,N276=0),"N.M.",IF(ABS(L276/K276)&gt;=10,"N.M.",L276/(-K276)))),IF(L276=0,0,IF(OR(K276=0,N276=0),"N.M.",IF(ABS(L276/K276)&gt;=10,"N.M.",L276/K276))))</f>
        <v>N.M.</v>
      </c>
      <c r="N276" s="174"/>
      <c r="O276" s="256">
        <v>1111891.07</v>
      </c>
      <c r="P276" s="16">
        <f>+F276-O276</f>
        <v>1598640.7299999997</v>
      </c>
      <c r="Q276" s="53">
        <f>IF(O276&lt;0,IF(P276=0,0,IF(OR(O276=0,F276=0),"N.M.",IF(ABS(P276/O276)&gt;=10,"N.M.",P276/(-O276)))),IF(P276=0,0,IF(OR(O276=0,F276=0),"N.M.",IF(ABS(P276/O276)&gt;=10,"N.M.",P276/O276))))</f>
        <v>1.4377673974843594</v>
      </c>
    </row>
    <row r="277" spans="1:17" s="15" customFormat="1" ht="12.75" hidden="1" outlineLevel="2">
      <c r="A277" s="15" t="s">
        <v>816</v>
      </c>
      <c r="B277" s="15" t="s">
        <v>817</v>
      </c>
      <c r="C277" s="134" t="s">
        <v>818</v>
      </c>
      <c r="D277" s="16"/>
      <c r="E277" s="16"/>
      <c r="F277" s="16">
        <v>3779.2200000000003</v>
      </c>
      <c r="G277" s="16">
        <v>4113.86</v>
      </c>
      <c r="H277" s="16">
        <f>+F277-G277</f>
        <v>-334.6399999999994</v>
      </c>
      <c r="I277" s="53">
        <f>IF(G277&lt;0,IF(H277=0,0,IF(OR(G277=0,F277=0),"N.M.",IF(ABS(H277/G277)&gt;=10,"N.M.",H277/(-G277)))),IF(H277=0,0,IF(OR(G277=0,F277=0),"N.M.",IF(ABS(H277/G277)&gt;=10,"N.M.",H277/G277))))</f>
        <v>-0.0813445280101898</v>
      </c>
      <c r="J277" s="174"/>
      <c r="K277" s="256">
        <v>25.51</v>
      </c>
      <c r="L277" s="16">
        <f>+F277-K277</f>
        <v>3753.71</v>
      </c>
      <c r="M277" s="53" t="str">
        <f>IF(K277&lt;0,IF(L277=0,0,IF(OR(K277=0,N277=0),"N.M.",IF(ABS(L277/K277)&gt;=10,"N.M.",L277/(-K277)))),IF(L277=0,0,IF(OR(K277=0,N277=0),"N.M.",IF(ABS(L277/K277)&gt;=10,"N.M.",L277/K277))))</f>
        <v>N.M.</v>
      </c>
      <c r="N277" s="174"/>
      <c r="O277" s="256">
        <v>1210.88</v>
      </c>
      <c r="P277" s="16">
        <f>+F277-O277</f>
        <v>2568.34</v>
      </c>
      <c r="Q277" s="53">
        <f>IF(O277&lt;0,IF(P277=0,0,IF(OR(O277=0,F277=0),"N.M.",IF(ABS(P277/O277)&gt;=10,"N.M.",P277/(-O277)))),IF(P277=0,0,IF(OR(O277=0,F277=0),"N.M.",IF(ABS(P277/O277)&gt;=10,"N.M.",P277/O277))))</f>
        <v>2.121052457716702</v>
      </c>
    </row>
    <row r="278" spans="1:17" ht="12.75" collapsed="1">
      <c r="A278" s="11" t="s">
        <v>258</v>
      </c>
      <c r="C278" s="120" t="s">
        <v>190</v>
      </c>
      <c r="D278" s="103"/>
      <c r="E278" s="104"/>
      <c r="F278" s="103">
        <v>2714311.02</v>
      </c>
      <c r="G278" s="103">
        <v>1116486.4400000002</v>
      </c>
      <c r="H278" s="51">
        <f>+F278-G278</f>
        <v>1597824.5799999998</v>
      </c>
      <c r="I278" s="136">
        <f>IF(G278&lt;0,IF(H278=0,0,IF(OR(G278=0,F278=0),"N.M.",IF(ABS(H278/G278)&gt;=10,"N.M.",H278/(-G278)))),IF(H278=0,0,IF(OR(G278=0,F278=0),"N.M.",IF(ABS(H278/G278)&gt;=10,"N.M.",H278/G278))))</f>
        <v>1.4311186618621177</v>
      </c>
      <c r="J278" s="166"/>
      <c r="K278" s="103">
        <v>2817080.75</v>
      </c>
      <c r="L278" s="51">
        <f>+F278-K278</f>
        <v>-102769.72999999998</v>
      </c>
      <c r="M278" s="136" t="str">
        <f>IF(K278&lt;0,IF(L278=0,0,IF(OR(K278=0,N278=0),"N.M.",IF(ABS(L278/K278)&gt;=10,"N.M.",L278/(-K278)))),IF(L278=0,0,IF(OR(K278=0,N278=0),"N.M.",IF(ABS(L278/K278)&gt;=10,"N.M.",L278/K278))))</f>
        <v>N.M.</v>
      </c>
      <c r="N278" s="166"/>
      <c r="O278" s="103">
        <v>1113101.95</v>
      </c>
      <c r="P278" s="51">
        <f>+F278-O278</f>
        <v>1601209.07</v>
      </c>
      <c r="Q278" s="136">
        <f>IF(O278&lt;0,IF(P278=0,0,IF(OR(O278=0,F278=0),"N.M.",IF(ABS(P278/O278)&gt;=10,"N.M.",P278/(-O278)))),IF(P278=0,0,IF(OR(O278=0,F278=0),"N.M.",IF(ABS(P278/O278)&gt;=10,"N.M.",P278/O278))))</f>
        <v>1.4385107042531011</v>
      </c>
    </row>
    <row r="279" spans="3:17" ht="0.75" customHeight="1" hidden="1" outlineLevel="1">
      <c r="C279" s="120"/>
      <c r="D279" s="103"/>
      <c r="E279" s="104"/>
      <c r="F279" s="103"/>
      <c r="G279" s="103"/>
      <c r="H279" s="51"/>
      <c r="I279" s="136"/>
      <c r="J279" s="166"/>
      <c r="K279" s="103"/>
      <c r="L279" s="51"/>
      <c r="M279" s="136"/>
      <c r="N279" s="166"/>
      <c r="O279" s="103"/>
      <c r="P279" s="51"/>
      <c r="Q279" s="136"/>
    </row>
    <row r="280" spans="1:17" ht="12.75" collapsed="1">
      <c r="A280" s="11" t="s">
        <v>259</v>
      </c>
      <c r="C280" s="120" t="s">
        <v>191</v>
      </c>
      <c r="E280" s="11"/>
      <c r="F280" s="18">
        <v>0</v>
      </c>
      <c r="G280" s="18">
        <v>0</v>
      </c>
      <c r="H280" s="51">
        <f>+F280-G280</f>
        <v>0</v>
      </c>
      <c r="I280" s="136">
        <f>IF(G280&lt;0,IF(H280=0,0,IF(OR(G280=0,F280=0),"N.M.",IF(ABS(H280/G280)&gt;=10,"N.M.",H280/(-G280)))),IF(H280=0,0,IF(OR(G280=0,F280=0),"N.M.",IF(ABS(H280/G280)&gt;=10,"N.M.",H280/G280))))</f>
        <v>0</v>
      </c>
      <c r="J280" s="166"/>
      <c r="K280" s="18">
        <v>0</v>
      </c>
      <c r="L280" s="51">
        <f>+F280-K280</f>
        <v>0</v>
      </c>
      <c r="M280" s="136">
        <f>IF(K280&lt;0,IF(L280=0,0,IF(OR(K280=0,N280=0),"N.M.",IF(ABS(L280/K280)&gt;=10,"N.M.",L280/(-K280)))),IF(L280=0,0,IF(OR(K280=0,N280=0),"N.M.",IF(ABS(L280/K280)&gt;=10,"N.M.",L280/K280))))</f>
        <v>0</v>
      </c>
      <c r="N280" s="166"/>
      <c r="O280" s="18">
        <v>0</v>
      </c>
      <c r="P280" s="51">
        <f>+F280-O280</f>
        <v>0</v>
      </c>
      <c r="Q280" s="136">
        <f>IF(O280&lt;0,IF(P280=0,0,IF(OR(O280=0,F280=0),"N.M.",IF(ABS(P280/O280)&gt;=10,"N.M.",P280/(-O280)))),IF(P280=0,0,IF(OR(O280=0,F280=0),"N.M.",IF(ABS(P280/O280)&gt;=10,"N.M.",P280/O280))))</f>
        <v>0</v>
      </c>
    </row>
    <row r="281" spans="3:17" ht="0.75" customHeight="1" hidden="1" outlineLevel="1">
      <c r="C281" s="120"/>
      <c r="E281" s="11"/>
      <c r="H281" s="51"/>
      <c r="I281" s="136"/>
      <c r="J281" s="166"/>
      <c r="K281" s="18"/>
      <c r="L281" s="51"/>
      <c r="M281" s="136"/>
      <c r="N281" s="166"/>
      <c r="O281" s="18"/>
      <c r="P281" s="51"/>
      <c r="Q281" s="136"/>
    </row>
    <row r="282" spans="1:17" s="15" customFormat="1" ht="12.75" hidden="1" outlineLevel="2">
      <c r="A282" s="15" t="s">
        <v>819</v>
      </c>
      <c r="B282" s="15" t="s">
        <v>820</v>
      </c>
      <c r="C282" s="134" t="s">
        <v>821</v>
      </c>
      <c r="D282" s="16"/>
      <c r="E282" s="16"/>
      <c r="F282" s="16">
        <v>53394.21</v>
      </c>
      <c r="G282" s="16">
        <v>47010.1</v>
      </c>
      <c r="H282" s="16">
        <f aca="true" t="shared" si="86" ref="H282:H294">+F282-G282</f>
        <v>6384.110000000001</v>
      </c>
      <c r="I282" s="53">
        <f aca="true" t="shared" si="87" ref="I282:I294">IF(G282&lt;0,IF(H282=0,0,IF(OR(G282=0,F282=0),"N.M.",IF(ABS(H282/G282)&gt;=10,"N.M.",H282/(-G282)))),IF(H282=0,0,IF(OR(G282=0,F282=0),"N.M.",IF(ABS(H282/G282)&gt;=10,"N.M.",H282/G282))))</f>
        <v>0.13580294447363442</v>
      </c>
      <c r="J282" s="174"/>
      <c r="K282" s="256">
        <v>55754.090000000004</v>
      </c>
      <c r="L282" s="16">
        <f aca="true" t="shared" si="88" ref="L282:L294">+F282-K282</f>
        <v>-2359.8800000000047</v>
      </c>
      <c r="M282" s="53" t="str">
        <f aca="true" t="shared" si="89" ref="M282:M294">IF(K282&lt;0,IF(L282=0,0,IF(OR(K282=0,N282=0),"N.M.",IF(ABS(L282/K282)&gt;=10,"N.M.",L282/(-K282)))),IF(L282=0,0,IF(OR(K282=0,N282=0),"N.M.",IF(ABS(L282/K282)&gt;=10,"N.M.",L282/K282))))</f>
        <v>N.M.</v>
      </c>
      <c r="N282" s="174"/>
      <c r="O282" s="256">
        <v>61505.76</v>
      </c>
      <c r="P282" s="16">
        <f aca="true" t="shared" si="90" ref="P282:P294">+F282-O282</f>
        <v>-8111.550000000003</v>
      </c>
      <c r="Q282" s="53">
        <f aca="true" t="shared" si="91" ref="Q282:Q294">IF(O282&lt;0,IF(P282=0,0,IF(OR(O282=0,F282=0),"N.M.",IF(ABS(P282/O282)&gt;=10,"N.M.",P282/(-O282)))),IF(P282=0,0,IF(OR(O282=0,F282=0),"N.M.",IF(ABS(P282/O282)&gt;=10,"N.M.",P282/O282))))</f>
        <v>-0.13188277000398016</v>
      </c>
    </row>
    <row r="283" spans="1:17" s="15" customFormat="1" ht="12.75" hidden="1" outlineLevel="2">
      <c r="A283" s="15" t="s">
        <v>822</v>
      </c>
      <c r="B283" s="15" t="s">
        <v>823</v>
      </c>
      <c r="C283" s="134" t="s">
        <v>824</v>
      </c>
      <c r="D283" s="16"/>
      <c r="E283" s="16"/>
      <c r="F283" s="16">
        <v>129420.22</v>
      </c>
      <c r="G283" s="16">
        <v>128239.47</v>
      </c>
      <c r="H283" s="16">
        <f t="shared" si="86"/>
        <v>1180.75</v>
      </c>
      <c r="I283" s="53">
        <f t="shared" si="87"/>
        <v>0.009207383654969878</v>
      </c>
      <c r="J283" s="174"/>
      <c r="K283" s="256">
        <v>129334.09</v>
      </c>
      <c r="L283" s="16">
        <f t="shared" si="88"/>
        <v>86.13000000000466</v>
      </c>
      <c r="M283" s="53" t="str">
        <f t="shared" si="89"/>
        <v>N.M.</v>
      </c>
      <c r="N283" s="174"/>
      <c r="O283" s="256">
        <v>128472.79000000001</v>
      </c>
      <c r="P283" s="16">
        <f t="shared" si="90"/>
        <v>947.429999999993</v>
      </c>
      <c r="Q283" s="53">
        <f t="shared" si="91"/>
        <v>0.007374557678711523</v>
      </c>
    </row>
    <row r="284" spans="1:17" s="15" customFormat="1" ht="12.75" hidden="1" outlineLevel="2">
      <c r="A284" s="15" t="s">
        <v>825</v>
      </c>
      <c r="B284" s="15" t="s">
        <v>826</v>
      </c>
      <c r="C284" s="134" t="s">
        <v>827</v>
      </c>
      <c r="D284" s="16"/>
      <c r="E284" s="16"/>
      <c r="F284" s="16">
        <v>664313.83</v>
      </c>
      <c r="G284" s="16">
        <v>604443.28</v>
      </c>
      <c r="H284" s="16">
        <f t="shared" si="86"/>
        <v>59870.54999999993</v>
      </c>
      <c r="I284" s="53">
        <f t="shared" si="87"/>
        <v>0.0990507330977357</v>
      </c>
      <c r="J284" s="174"/>
      <c r="K284" s="256">
        <v>662005.27</v>
      </c>
      <c r="L284" s="16">
        <f t="shared" si="88"/>
        <v>2308.5599999999395</v>
      </c>
      <c r="M284" s="53" t="str">
        <f t="shared" si="89"/>
        <v>N.M.</v>
      </c>
      <c r="N284" s="174"/>
      <c r="O284" s="256">
        <v>638495.23</v>
      </c>
      <c r="P284" s="16">
        <f t="shared" si="90"/>
        <v>25818.599999999977</v>
      </c>
      <c r="Q284" s="53">
        <f t="shared" si="91"/>
        <v>0.04043663724786163</v>
      </c>
    </row>
    <row r="285" spans="1:17" s="15" customFormat="1" ht="12.75" hidden="1" outlineLevel="2">
      <c r="A285" s="15" t="s">
        <v>828</v>
      </c>
      <c r="B285" s="15" t="s">
        <v>829</v>
      </c>
      <c r="C285" s="134" t="s">
        <v>830</v>
      </c>
      <c r="D285" s="16"/>
      <c r="E285" s="16"/>
      <c r="F285" s="16">
        <v>5519621.43</v>
      </c>
      <c r="G285" s="16">
        <v>4938098.51</v>
      </c>
      <c r="H285" s="16">
        <f t="shared" si="86"/>
        <v>581522.9199999999</v>
      </c>
      <c r="I285" s="53">
        <f t="shared" si="87"/>
        <v>0.11776251907943407</v>
      </c>
      <c r="J285" s="174"/>
      <c r="K285" s="256">
        <v>5430434.26</v>
      </c>
      <c r="L285" s="16">
        <f t="shared" si="88"/>
        <v>89187.16999999993</v>
      </c>
      <c r="M285" s="53" t="str">
        <f t="shared" si="89"/>
        <v>N.M.</v>
      </c>
      <c r="N285" s="174"/>
      <c r="O285" s="256">
        <v>5007379.01</v>
      </c>
      <c r="P285" s="16">
        <f t="shared" si="90"/>
        <v>512242.4199999999</v>
      </c>
      <c r="Q285" s="53">
        <f t="shared" si="91"/>
        <v>0.1022975131255343</v>
      </c>
    </row>
    <row r="286" spans="1:17" s="15" customFormat="1" ht="12.75" hidden="1" outlineLevel="2">
      <c r="A286" s="15" t="s">
        <v>831</v>
      </c>
      <c r="B286" s="15" t="s">
        <v>832</v>
      </c>
      <c r="C286" s="134" t="s">
        <v>670</v>
      </c>
      <c r="D286" s="16"/>
      <c r="E286" s="16"/>
      <c r="F286" s="16">
        <v>5182903.62</v>
      </c>
      <c r="G286" s="16">
        <v>5663168.3100000005</v>
      </c>
      <c r="H286" s="16">
        <f t="shared" si="86"/>
        <v>-480264.6900000004</v>
      </c>
      <c r="I286" s="53">
        <f t="shared" si="87"/>
        <v>-0.08480494728577127</v>
      </c>
      <c r="J286" s="174"/>
      <c r="K286" s="256">
        <v>5182903.62</v>
      </c>
      <c r="L286" s="16">
        <f t="shared" si="88"/>
        <v>0</v>
      </c>
      <c r="M286" s="53">
        <f t="shared" si="89"/>
        <v>0</v>
      </c>
      <c r="N286" s="174"/>
      <c r="O286" s="256">
        <v>6098839.39</v>
      </c>
      <c r="P286" s="16">
        <f t="shared" si="90"/>
        <v>-915935.7699999996</v>
      </c>
      <c r="Q286" s="53">
        <f t="shared" si="91"/>
        <v>-0.15018197913226233</v>
      </c>
    </row>
    <row r="287" spans="1:17" s="15" customFormat="1" ht="12.75" hidden="1" outlineLevel="2">
      <c r="A287" s="15" t="s">
        <v>833</v>
      </c>
      <c r="B287" s="15" t="s">
        <v>834</v>
      </c>
      <c r="C287" s="134" t="s">
        <v>835</v>
      </c>
      <c r="D287" s="16"/>
      <c r="E287" s="16"/>
      <c r="F287" s="16">
        <v>-3044980.6</v>
      </c>
      <c r="G287" s="16">
        <v>1661562.1800000002</v>
      </c>
      <c r="H287" s="16">
        <f t="shared" si="86"/>
        <v>-4706542.78</v>
      </c>
      <c r="I287" s="53">
        <f t="shared" si="87"/>
        <v>-2.832601052582937</v>
      </c>
      <c r="J287" s="174"/>
      <c r="K287" s="256">
        <v>-3044980.6</v>
      </c>
      <c r="L287" s="16">
        <f t="shared" si="88"/>
        <v>0</v>
      </c>
      <c r="M287" s="53">
        <f t="shared" si="89"/>
        <v>0</v>
      </c>
      <c r="N287" s="174"/>
      <c r="O287" s="256">
        <v>0</v>
      </c>
      <c r="P287" s="16">
        <f t="shared" si="90"/>
        <v>-3044980.6</v>
      </c>
      <c r="Q287" s="53" t="str">
        <f t="shared" si="91"/>
        <v>N.M.</v>
      </c>
    </row>
    <row r="288" spans="1:17" s="15" customFormat="1" ht="12.75" hidden="1" outlineLevel="2">
      <c r="A288" s="15" t="s">
        <v>836</v>
      </c>
      <c r="B288" s="15" t="s">
        <v>837</v>
      </c>
      <c r="C288" s="134" t="s">
        <v>838</v>
      </c>
      <c r="D288" s="16"/>
      <c r="E288" s="16"/>
      <c r="F288" s="16">
        <v>744493.74</v>
      </c>
      <c r="G288" s="16">
        <v>597465.33</v>
      </c>
      <c r="H288" s="16">
        <f t="shared" si="86"/>
        <v>147028.41000000003</v>
      </c>
      <c r="I288" s="53">
        <f t="shared" si="87"/>
        <v>0.24608693193963246</v>
      </c>
      <c r="J288" s="174"/>
      <c r="K288" s="256">
        <v>734293.62</v>
      </c>
      <c r="L288" s="16">
        <f t="shared" si="88"/>
        <v>10200.119999999995</v>
      </c>
      <c r="M288" s="53" t="str">
        <f t="shared" si="89"/>
        <v>N.M.</v>
      </c>
      <c r="N288" s="174"/>
      <c r="O288" s="256">
        <v>674441.3</v>
      </c>
      <c r="P288" s="16">
        <f t="shared" si="90"/>
        <v>70052.43999999994</v>
      </c>
      <c r="Q288" s="53">
        <f t="shared" si="91"/>
        <v>0.10386736399446467</v>
      </c>
    </row>
    <row r="289" spans="1:17" s="15" customFormat="1" ht="12.75" hidden="1" outlineLevel="2">
      <c r="A289" s="15" t="s">
        <v>839</v>
      </c>
      <c r="B289" s="15" t="s">
        <v>840</v>
      </c>
      <c r="C289" s="134" t="s">
        <v>841</v>
      </c>
      <c r="D289" s="16"/>
      <c r="E289" s="16"/>
      <c r="F289" s="16">
        <v>320334.93</v>
      </c>
      <c r="G289" s="16">
        <v>221797.69</v>
      </c>
      <c r="H289" s="16">
        <f t="shared" si="86"/>
        <v>98537.23999999999</v>
      </c>
      <c r="I289" s="53">
        <f t="shared" si="87"/>
        <v>0.4442663041260709</v>
      </c>
      <c r="J289" s="174"/>
      <c r="K289" s="256">
        <v>320334.93</v>
      </c>
      <c r="L289" s="16">
        <f t="shared" si="88"/>
        <v>0</v>
      </c>
      <c r="M289" s="53">
        <f t="shared" si="89"/>
        <v>0</v>
      </c>
      <c r="N289" s="174"/>
      <c r="O289" s="256">
        <v>222622.74</v>
      </c>
      <c r="P289" s="16">
        <f t="shared" si="90"/>
        <v>97712.19</v>
      </c>
      <c r="Q289" s="53">
        <f t="shared" si="91"/>
        <v>0.4389137875133511</v>
      </c>
    </row>
    <row r="290" spans="1:17" s="15" customFormat="1" ht="12.75" hidden="1" outlineLevel="2">
      <c r="A290" s="15" t="s">
        <v>842</v>
      </c>
      <c r="B290" s="15" t="s">
        <v>843</v>
      </c>
      <c r="C290" s="134" t="s">
        <v>844</v>
      </c>
      <c r="D290" s="16"/>
      <c r="E290" s="16"/>
      <c r="F290" s="16">
        <v>-122588</v>
      </c>
      <c r="G290" s="16">
        <v>-115830</v>
      </c>
      <c r="H290" s="16">
        <f t="shared" si="86"/>
        <v>-6758</v>
      </c>
      <c r="I290" s="53">
        <f t="shared" si="87"/>
        <v>-0.05834412501079168</v>
      </c>
      <c r="J290" s="174"/>
      <c r="K290" s="256">
        <v>-122588</v>
      </c>
      <c r="L290" s="16">
        <f t="shared" si="88"/>
        <v>0</v>
      </c>
      <c r="M290" s="53">
        <f t="shared" si="89"/>
        <v>0</v>
      </c>
      <c r="N290" s="174"/>
      <c r="O290" s="256">
        <v>-121511</v>
      </c>
      <c r="P290" s="16">
        <f t="shared" si="90"/>
        <v>-1077</v>
      </c>
      <c r="Q290" s="53">
        <f t="shared" si="91"/>
        <v>-0.008863395083572681</v>
      </c>
    </row>
    <row r="291" spans="1:17" s="15" customFormat="1" ht="12.75" hidden="1" outlineLevel="2">
      <c r="A291" s="15" t="s">
        <v>845</v>
      </c>
      <c r="B291" s="15" t="s">
        <v>846</v>
      </c>
      <c r="C291" s="134" t="s">
        <v>847</v>
      </c>
      <c r="D291" s="16"/>
      <c r="E291" s="16"/>
      <c r="F291" s="16">
        <v>25216637.84</v>
      </c>
      <c r="G291" s="16">
        <v>22697475.6</v>
      </c>
      <c r="H291" s="16">
        <f t="shared" si="86"/>
        <v>2519162.2399999984</v>
      </c>
      <c r="I291" s="53">
        <f t="shared" si="87"/>
        <v>0.1109886528526546</v>
      </c>
      <c r="J291" s="174"/>
      <c r="K291" s="256">
        <v>25216637.84</v>
      </c>
      <c r="L291" s="16">
        <f t="shared" si="88"/>
        <v>0</v>
      </c>
      <c r="M291" s="53">
        <f t="shared" si="89"/>
        <v>0</v>
      </c>
      <c r="N291" s="174"/>
      <c r="O291" s="256">
        <v>26866928.84</v>
      </c>
      <c r="P291" s="16">
        <f t="shared" si="90"/>
        <v>-1650291</v>
      </c>
      <c r="Q291" s="53">
        <f t="shared" si="91"/>
        <v>-0.06142462392437706</v>
      </c>
    </row>
    <row r="292" spans="1:17" s="15" customFormat="1" ht="12.75" hidden="1" outlineLevel="2">
      <c r="A292" s="15" t="s">
        <v>848</v>
      </c>
      <c r="B292" s="15" t="s">
        <v>849</v>
      </c>
      <c r="C292" s="134" t="s">
        <v>850</v>
      </c>
      <c r="D292" s="16"/>
      <c r="E292" s="16"/>
      <c r="F292" s="16">
        <v>14351208</v>
      </c>
      <c r="G292" s="16">
        <v>19517241</v>
      </c>
      <c r="H292" s="16">
        <f t="shared" si="86"/>
        <v>-5166033</v>
      </c>
      <c r="I292" s="53">
        <f t="shared" si="87"/>
        <v>-0.26469074189328295</v>
      </c>
      <c r="J292" s="174"/>
      <c r="K292" s="256">
        <v>14351208</v>
      </c>
      <c r="L292" s="16">
        <f t="shared" si="88"/>
        <v>0</v>
      </c>
      <c r="M292" s="53">
        <f t="shared" si="89"/>
        <v>0</v>
      </c>
      <c r="N292" s="174"/>
      <c r="O292" s="256">
        <v>15266079</v>
      </c>
      <c r="P292" s="16">
        <f t="shared" si="90"/>
        <v>-914871</v>
      </c>
      <c r="Q292" s="53">
        <f t="shared" si="91"/>
        <v>-0.05992835488405372</v>
      </c>
    </row>
    <row r="293" spans="1:17" s="15" customFormat="1" ht="12.75" hidden="1" outlineLevel="2">
      <c r="A293" s="15" t="s">
        <v>851</v>
      </c>
      <c r="B293" s="15" t="s">
        <v>852</v>
      </c>
      <c r="C293" s="134" t="s">
        <v>853</v>
      </c>
      <c r="D293" s="16"/>
      <c r="E293" s="16"/>
      <c r="F293" s="16">
        <v>-5521919.05</v>
      </c>
      <c r="G293" s="16">
        <v>-4927788.98</v>
      </c>
      <c r="H293" s="16">
        <f t="shared" si="86"/>
        <v>-594130.0699999994</v>
      </c>
      <c r="I293" s="53">
        <f t="shared" si="87"/>
        <v>-0.12056727112531497</v>
      </c>
      <c r="J293" s="174"/>
      <c r="K293" s="256">
        <v>-5442342.49</v>
      </c>
      <c r="L293" s="16">
        <f t="shared" si="88"/>
        <v>-79576.55999999959</v>
      </c>
      <c r="M293" s="53" t="str">
        <f t="shared" si="89"/>
        <v>N.M.</v>
      </c>
      <c r="N293" s="174"/>
      <c r="O293" s="256">
        <v>-5000070.7</v>
      </c>
      <c r="P293" s="16">
        <f t="shared" si="90"/>
        <v>-521848.3499999996</v>
      </c>
      <c r="Q293" s="53">
        <f t="shared" si="91"/>
        <v>-0.10436819423373346</v>
      </c>
    </row>
    <row r="294" spans="1:17" s="15" customFormat="1" ht="12.75" hidden="1" outlineLevel="2">
      <c r="A294" s="15" t="s">
        <v>854</v>
      </c>
      <c r="B294" s="15" t="s">
        <v>855</v>
      </c>
      <c r="C294" s="134" t="s">
        <v>856</v>
      </c>
      <c r="D294" s="16"/>
      <c r="E294" s="16"/>
      <c r="F294" s="16">
        <v>3344867.0300000003</v>
      </c>
      <c r="G294" s="16">
        <v>3496743.4</v>
      </c>
      <c r="H294" s="16">
        <f t="shared" si="86"/>
        <v>-151876.36999999965</v>
      </c>
      <c r="I294" s="53">
        <f t="shared" si="87"/>
        <v>-0.043433661732227666</v>
      </c>
      <c r="J294" s="174"/>
      <c r="K294" s="256">
        <v>3325414.75</v>
      </c>
      <c r="L294" s="16">
        <f t="shared" si="88"/>
        <v>19452.28000000026</v>
      </c>
      <c r="M294" s="53" t="str">
        <f t="shared" si="89"/>
        <v>N.M.</v>
      </c>
      <c r="N294" s="174"/>
      <c r="O294" s="256">
        <v>3505419.4</v>
      </c>
      <c r="P294" s="16">
        <f t="shared" si="90"/>
        <v>-160552.36999999965</v>
      </c>
      <c r="Q294" s="53">
        <f t="shared" si="91"/>
        <v>-0.04580118715609312</v>
      </c>
    </row>
    <row r="295" spans="1:17" ht="12.75" collapsed="1">
      <c r="A295" s="11" t="s">
        <v>260</v>
      </c>
      <c r="C295" s="121" t="s">
        <v>192</v>
      </c>
      <c r="D295" s="103"/>
      <c r="E295" s="104"/>
      <c r="F295" s="234">
        <v>46837707.2</v>
      </c>
      <c r="G295" s="234">
        <v>54529625.88999999</v>
      </c>
      <c r="H295" s="197">
        <f>+F295-G295</f>
        <v>-7691918.68999999</v>
      </c>
      <c r="I295" s="138">
        <f>IF(G295&lt;0,IF(H295=0,0,IF(OR(G295=0,F295=0),"N.M.",IF(ABS(H295/G295)&gt;=10,"N.M.",H295/(-G295)))),IF(H295=0,0,IF(OR(G295=0,F295=0),"N.M.",IF(ABS(H295/G295)&gt;=10,"N.M.",H295/G295))))</f>
        <v>-0.14105944364108658</v>
      </c>
      <c r="J295" s="166"/>
      <c r="K295" s="234">
        <v>46798409.379999995</v>
      </c>
      <c r="L295" s="197">
        <f>+F295-K295</f>
        <v>39297.82000000775</v>
      </c>
      <c r="M295" s="138" t="str">
        <f>IF(K295&lt;0,IF(L295=0,0,IF(OR(K295=0,N295=0),"N.M.",IF(ABS(L295/K295)&gt;=10,"N.M.",L295/(-K295)))),IF(L295=0,0,IF(OR(K295=0,N295=0),"N.M.",IF(ABS(L295/K295)&gt;=10,"N.M.",L295/K295))))</f>
        <v>N.M.</v>
      </c>
      <c r="N295" s="166"/>
      <c r="O295" s="234">
        <v>53348601.76</v>
      </c>
      <c r="P295" s="197">
        <f>+F295-O295</f>
        <v>-6510894.559999995</v>
      </c>
      <c r="Q295" s="138">
        <f>IF(O295&lt;0,IF(P295=0,0,IF(OR(O295=0,F295=0),"N.M.",IF(ABS(P295/O295)&gt;=10,"N.M.",P295/(-O295)))),IF(P295=0,0,IF(OR(O295=0,F295=0),"N.M.",IF(ABS(P295/O295)&gt;=10,"N.M.",P295/O295))))</f>
        <v>-0.1220443337819918</v>
      </c>
    </row>
    <row r="296" spans="1:17" s="13" customFormat="1" ht="12.75">
      <c r="A296" s="13" t="s">
        <v>261</v>
      </c>
      <c r="C296" s="110" t="s">
        <v>189</v>
      </c>
      <c r="D296" s="33"/>
      <c r="F296" s="33">
        <v>49552018.220000006</v>
      </c>
      <c r="G296" s="33">
        <v>55646112.33</v>
      </c>
      <c r="H296" s="74">
        <f>+F296-G296</f>
        <v>-6094094.109999992</v>
      </c>
      <c r="I296" s="137">
        <f>IF(G296&lt;0,IF(H296=0,0,IF(OR(G296=0,F296=0),"N.M.",IF(ABS(H296/G296)&gt;=10,"N.M.",H296/(-G296)))),IF(H296=0,0,IF(OR(G296=0,F296=0),"N.M.",IF(ABS(H296/G296)&gt;=10,"N.M.",H296/G296))))</f>
        <v>-0.10951518183085247</v>
      </c>
      <c r="J296" s="168"/>
      <c r="K296" s="33">
        <v>49615490.13</v>
      </c>
      <c r="L296" s="74">
        <f>+F296-K296</f>
        <v>-63471.909999996424</v>
      </c>
      <c r="M296" s="137" t="str">
        <f>IF(K296&lt;0,IF(L296=0,0,IF(OR(K296=0,N296=0),"N.M.",IF(ABS(L296/K296)&gt;=10,"N.M.",L296/(-K296)))),IF(L296=0,0,IF(OR(K296=0,N296=0),"N.M.",IF(ABS(L296/K296)&gt;=10,"N.M.",L296/K296))))</f>
        <v>N.M.</v>
      </c>
      <c r="N296" s="168"/>
      <c r="O296" s="33">
        <v>54461703.71</v>
      </c>
      <c r="P296" s="74">
        <f>+F296-O296</f>
        <v>-4909685.489999995</v>
      </c>
      <c r="Q296" s="137">
        <f>IF(O296&lt;0,IF(P296=0,0,IF(OR(O296=0,F296=0),"N.M.",IF(ABS(P296/O296)&gt;=10,"N.M.",P296/(-O296)))),IF(P296=0,0,IF(OR(O296=0,F296=0),"N.M.",IF(ABS(P296/O296)&gt;=10,"N.M.",P296/O296))))</f>
        <v>-0.09014931879735708</v>
      </c>
    </row>
    <row r="297" spans="3:17" ht="12.75">
      <c r="C297" s="122"/>
      <c r="D297" s="106"/>
      <c r="E297" s="11"/>
      <c r="F297" s="233" t="str">
        <f>IF(ABS(+F278+F280+F295-F296)&gt;$C$574,$J$182," ")</f>
        <v> </v>
      </c>
      <c r="G297" s="233" t="str">
        <f>IF(ABS(+G278+G280+G295-G296)&gt;$C$574,$J$182," ")</f>
        <v> </v>
      </c>
      <c r="H297" s="233" t="str">
        <f>IF(ABS(+H278+H280+H295-H296)&gt;$C$574,$J$182," ")</f>
        <v> </v>
      </c>
      <c r="I297" s="141"/>
      <c r="J297" s="166"/>
      <c r="K297" s="233" t="str">
        <f>IF(ABS(+K278+K280+K295-K296)&gt;$C$574,$J$182," ")</f>
        <v> </v>
      </c>
      <c r="L297" s="233" t="str">
        <f>IF(ABS(+L278+L280+L295-L296)&gt;$C$574,$J$182," ")</f>
        <v> </v>
      </c>
      <c r="M297" s="141"/>
      <c r="N297" s="166"/>
      <c r="O297" s="233" t="str">
        <f>IF(ABS(+O278+O280+O295-O296)&gt;$C$574,$J$182," ")</f>
        <v> </v>
      </c>
      <c r="P297" s="233" t="str">
        <f>IF(ABS(+P278+P280+P295-P296)&gt;$C$574,$J$182," ")</f>
        <v> </v>
      </c>
      <c r="Q297" s="141"/>
    </row>
    <row r="298" spans="3:17" ht="0.75" customHeight="1" hidden="1" outlineLevel="1">
      <c r="C298" s="122"/>
      <c r="D298" s="106"/>
      <c r="E298" s="11"/>
      <c r="F298" s="106"/>
      <c r="G298" s="106"/>
      <c r="H298" s="106"/>
      <c r="I298" s="141"/>
      <c r="J298" s="166"/>
      <c r="K298" s="106"/>
      <c r="L298" s="106"/>
      <c r="M298" s="141"/>
      <c r="N298" s="166"/>
      <c r="O298" s="106"/>
      <c r="P298" s="106"/>
      <c r="Q298" s="141"/>
    </row>
    <row r="299" spans="1:17" s="227" customFormat="1" ht="12.75" collapsed="1">
      <c r="A299" s="227" t="s">
        <v>262</v>
      </c>
      <c r="C299" s="228" t="s">
        <v>193</v>
      </c>
      <c r="D299" s="18"/>
      <c r="E299" s="11"/>
      <c r="F299" s="18">
        <v>0</v>
      </c>
      <c r="G299" s="18">
        <v>0</v>
      </c>
      <c r="H299" s="51">
        <f>+F299-G299</f>
        <v>0</v>
      </c>
      <c r="I299" s="136">
        <f>IF(G299&lt;0,IF(H299=0,0,IF(OR(G299=0,F299=0),"N.M.",IF(ABS(H299/G299)&gt;=10,"N.M.",H299/(-G299)))),IF(H299=0,0,IF(OR(G299=0,F299=0),"N.M.",IF(ABS(H299/G299)&gt;=10,"N.M.",H299/G299))))</f>
        <v>0</v>
      </c>
      <c r="J299" s="229"/>
      <c r="K299" s="18">
        <v>0</v>
      </c>
      <c r="L299" s="51">
        <f>+F299-K299</f>
        <v>0</v>
      </c>
      <c r="M299" s="136">
        <f>IF(K299&lt;0,IF(L299=0,0,IF(OR(K299=0,N299=0),"N.M.",IF(ABS(L299/K299)&gt;=10,"N.M.",L299/(-K299)))),IF(L299=0,0,IF(OR(K299=0,N299=0),"N.M.",IF(ABS(L299/K299)&gt;=10,"N.M.",L299/K299))))</f>
        <v>0</v>
      </c>
      <c r="N299" s="229"/>
      <c r="O299" s="18">
        <v>0</v>
      </c>
      <c r="P299" s="51">
        <f>+F299-O299</f>
        <v>0</v>
      </c>
      <c r="Q299" s="136">
        <f>IF(O299&lt;0,IF(P299=0,0,IF(OR(O299=0,F299=0),"N.M.",IF(ABS(P299/O299)&gt;=10,"N.M.",P299/(-O299)))),IF(P299=0,0,IF(OR(O299=0,F299=0),"N.M.",IF(ABS(P299/O299)&gt;=10,"N.M.",P299/O299))))</f>
        <v>0</v>
      </c>
    </row>
    <row r="300" spans="3:17" s="227" customFormat="1" ht="0.75" customHeight="1" hidden="1" outlineLevel="1">
      <c r="C300" s="228"/>
      <c r="D300" s="18"/>
      <c r="E300" s="11"/>
      <c r="F300" s="18"/>
      <c r="G300" s="18"/>
      <c r="H300" s="51"/>
      <c r="I300" s="136"/>
      <c r="J300" s="229"/>
      <c r="K300" s="18"/>
      <c r="L300" s="51"/>
      <c r="M300" s="136"/>
      <c r="N300" s="229"/>
      <c r="O300" s="18"/>
      <c r="P300" s="51"/>
      <c r="Q300" s="136"/>
    </row>
    <row r="301" spans="1:17" ht="12.75" collapsed="1">
      <c r="A301" s="11" t="s">
        <v>263</v>
      </c>
      <c r="C301" s="228" t="s">
        <v>194</v>
      </c>
      <c r="E301" s="11"/>
      <c r="F301" s="18">
        <v>0</v>
      </c>
      <c r="G301" s="18">
        <v>0</v>
      </c>
      <c r="H301" s="51">
        <f>+F301-G301</f>
        <v>0</v>
      </c>
      <c r="I301" s="136">
        <f>IF(G301&lt;0,IF(H301=0,0,IF(OR(G301=0,F301=0),"N.M.",IF(ABS(H301/G301)&gt;=10,"N.M.",H301/(-G301)))),IF(H301=0,0,IF(OR(G301=0,F301=0),"N.M.",IF(ABS(H301/G301)&gt;=10,"N.M.",H301/G301))))</f>
        <v>0</v>
      </c>
      <c r="J301" s="166"/>
      <c r="K301" s="18">
        <v>0</v>
      </c>
      <c r="L301" s="51">
        <f>+F301-K301</f>
        <v>0</v>
      </c>
      <c r="M301" s="136">
        <f>IF(K301&lt;0,IF(L301=0,0,IF(OR(K301=0,N301=0),"N.M.",IF(ABS(L301/K301)&gt;=10,"N.M.",L301/(-K301)))),IF(L301=0,0,IF(OR(K301=0,N301=0),"N.M.",IF(ABS(L301/K301)&gt;=10,"N.M.",L301/K301))))</f>
        <v>0</v>
      </c>
      <c r="N301" s="166"/>
      <c r="O301" s="18">
        <v>0</v>
      </c>
      <c r="P301" s="51">
        <f>+F301-O301</f>
        <v>0</v>
      </c>
      <c r="Q301" s="136">
        <f>IF(O301&lt;0,IF(P301=0,0,IF(OR(O301=0,F301=0),"N.M.",IF(ABS(P301/O301)&gt;=10,"N.M.",P301/(-O301)))),IF(P301=0,0,IF(OR(O301=0,F301=0),"N.M.",IF(ABS(P301/O301)&gt;=10,"N.M.",P301/O301))))</f>
        <v>0</v>
      </c>
    </row>
    <row r="302" spans="3:17" ht="0.75" customHeight="1" hidden="1" outlineLevel="1">
      <c r="C302" s="228"/>
      <c r="E302" s="11"/>
      <c r="H302" s="51"/>
      <c r="I302" s="136"/>
      <c r="J302" s="166"/>
      <c r="K302" s="18"/>
      <c r="L302" s="51"/>
      <c r="M302" s="136"/>
      <c r="N302" s="166"/>
      <c r="O302" s="18"/>
      <c r="P302" s="51"/>
      <c r="Q302" s="136"/>
    </row>
    <row r="303" spans="1:17" ht="12.75" collapsed="1">
      <c r="A303" s="11" t="s">
        <v>264</v>
      </c>
      <c r="C303" s="228" t="s">
        <v>195</v>
      </c>
      <c r="E303" s="11"/>
      <c r="F303" s="18">
        <v>0</v>
      </c>
      <c r="G303" s="18">
        <v>0</v>
      </c>
      <c r="H303" s="51">
        <f>+F303-G303</f>
        <v>0</v>
      </c>
      <c r="I303" s="136">
        <f>IF(G303&lt;0,IF(H303=0,0,IF(OR(G303=0,F303=0),"N.M.",IF(ABS(H303/G303)&gt;=10,"N.M.",H303/(-G303)))),IF(H303=0,0,IF(OR(G303=0,F303=0),"N.M.",IF(ABS(H303/G303)&gt;=10,"N.M.",H303/G303))))</f>
        <v>0</v>
      </c>
      <c r="J303" s="166"/>
      <c r="K303" s="18">
        <v>0</v>
      </c>
      <c r="L303" s="51">
        <f>+F303-K303</f>
        <v>0</v>
      </c>
      <c r="M303" s="136">
        <f>IF(K303&lt;0,IF(L303=0,0,IF(OR(K303=0,N303=0),"N.M.",IF(ABS(L303/K303)&gt;=10,"N.M.",L303/(-K303)))),IF(L303=0,0,IF(OR(K303=0,N303=0),"N.M.",IF(ABS(L303/K303)&gt;=10,"N.M.",L303/K303))))</f>
        <v>0</v>
      </c>
      <c r="N303" s="166"/>
      <c r="O303" s="18">
        <v>0</v>
      </c>
      <c r="P303" s="51">
        <f>+F303-O303</f>
        <v>0</v>
      </c>
      <c r="Q303" s="136">
        <f>IF(O303&lt;0,IF(P303=0,0,IF(OR(O303=0,F303=0),"N.M.",IF(ABS(P303/O303)&gt;=10,"N.M.",P303/(-O303)))),IF(P303=0,0,IF(OR(O303=0,F303=0),"N.M.",IF(ABS(P303/O303)&gt;=10,"N.M.",P303/O303))))</f>
        <v>0</v>
      </c>
    </row>
    <row r="304" spans="3:17" ht="0.75" customHeight="1" hidden="1" outlineLevel="1">
      <c r="C304" s="228"/>
      <c r="E304" s="11"/>
      <c r="H304" s="51"/>
      <c r="I304" s="136"/>
      <c r="J304" s="166"/>
      <c r="K304" s="18"/>
      <c r="L304" s="51"/>
      <c r="M304" s="136"/>
      <c r="N304" s="166"/>
      <c r="O304" s="18"/>
      <c r="P304" s="51"/>
      <c r="Q304" s="136"/>
    </row>
    <row r="305" spans="1:17" ht="12.75" collapsed="1">
      <c r="A305" s="11" t="s">
        <v>265</v>
      </c>
      <c r="C305" s="228" t="s">
        <v>196</v>
      </c>
      <c r="E305" s="11"/>
      <c r="F305" s="18">
        <v>0</v>
      </c>
      <c r="G305" s="18">
        <v>0</v>
      </c>
      <c r="H305" s="51">
        <f>+F305-G305</f>
        <v>0</v>
      </c>
      <c r="I305" s="136">
        <f>IF(G305&lt;0,IF(H305=0,0,IF(OR(G305=0,F305=0),"N.M.",IF(ABS(H305/G305)&gt;=10,"N.M.",H305/(-G305)))),IF(H305=0,0,IF(OR(G305=0,F305=0),"N.M.",IF(ABS(H305/G305)&gt;=10,"N.M.",H305/G305))))</f>
        <v>0</v>
      </c>
      <c r="J305" s="166"/>
      <c r="K305" s="18">
        <v>0</v>
      </c>
      <c r="L305" s="51">
        <f>+F305-K305</f>
        <v>0</v>
      </c>
      <c r="M305" s="136">
        <f>IF(K305&lt;0,IF(L305=0,0,IF(OR(K305=0,N305=0),"N.M.",IF(ABS(L305/K305)&gt;=10,"N.M.",L305/(-K305)))),IF(L305=0,0,IF(OR(K305=0,N305=0),"N.M.",IF(ABS(L305/K305)&gt;=10,"N.M.",L305/K305))))</f>
        <v>0</v>
      </c>
      <c r="N305" s="166"/>
      <c r="O305" s="18">
        <v>0</v>
      </c>
      <c r="P305" s="51">
        <f>+F305-O305</f>
        <v>0</v>
      </c>
      <c r="Q305" s="136">
        <f>IF(O305&lt;0,IF(P305=0,0,IF(OR(O305=0,F305=0),"N.M.",IF(ABS(P305/O305)&gt;=10,"N.M.",P305/(-O305)))),IF(P305=0,0,IF(OR(O305=0,F305=0),"N.M.",IF(ABS(P305/O305)&gt;=10,"N.M.",P305/O305))))</f>
        <v>0</v>
      </c>
    </row>
    <row r="306" spans="3:17" ht="0.75" customHeight="1" hidden="1" outlineLevel="1">
      <c r="C306" s="228"/>
      <c r="E306" s="11"/>
      <c r="H306" s="51"/>
      <c r="I306" s="136"/>
      <c r="J306" s="166"/>
      <c r="K306" s="18"/>
      <c r="L306" s="51"/>
      <c r="M306" s="136"/>
      <c r="N306" s="166"/>
      <c r="O306" s="18"/>
      <c r="P306" s="51"/>
      <c r="Q306" s="136"/>
    </row>
    <row r="307" spans="1:17" s="15" customFormat="1" ht="12.75" hidden="1" outlineLevel="2">
      <c r="A307" s="15" t="s">
        <v>857</v>
      </c>
      <c r="B307" s="15" t="s">
        <v>858</v>
      </c>
      <c r="C307" s="134" t="s">
        <v>859</v>
      </c>
      <c r="D307" s="16"/>
      <c r="E307" s="16"/>
      <c r="F307" s="16">
        <v>0</v>
      </c>
      <c r="G307" s="16">
        <v>0</v>
      </c>
      <c r="H307" s="16">
        <f>+F307-G307</f>
        <v>0</v>
      </c>
      <c r="I307" s="53">
        <f>IF(G307&lt;0,IF(H307=0,0,IF(OR(G307=0,F307=0),"N.M.",IF(ABS(H307/G307)&gt;=10,"N.M.",H307/(-G307)))),IF(H307=0,0,IF(OR(G307=0,F307=0),"N.M.",IF(ABS(H307/G307)&gt;=10,"N.M.",H307/G307))))</f>
        <v>0</v>
      </c>
      <c r="J307" s="174"/>
      <c r="K307" s="256">
        <v>0</v>
      </c>
      <c r="L307" s="16">
        <f>+F307-K307</f>
        <v>0</v>
      </c>
      <c r="M307" s="53">
        <f>IF(K307&lt;0,IF(L307=0,0,IF(OR(K307=0,N307=0),"N.M.",IF(ABS(L307/K307)&gt;=10,"N.M.",L307/(-K307)))),IF(L307=0,0,IF(OR(K307=0,N307=0),"N.M.",IF(ABS(L307/K307)&gt;=10,"N.M.",L307/K307))))</f>
        <v>0</v>
      </c>
      <c r="N307" s="174"/>
      <c r="O307" s="256">
        <v>485336.84</v>
      </c>
      <c r="P307" s="16">
        <f>+F307-O307</f>
        <v>-485336.84</v>
      </c>
      <c r="Q307" s="53" t="str">
        <f>IF(O307&lt;0,IF(P307=0,0,IF(OR(O307=0,F307=0),"N.M.",IF(ABS(P307/O307)&gt;=10,"N.M.",P307/(-O307)))),IF(P307=0,0,IF(OR(O307=0,F307=0),"N.M.",IF(ABS(P307/O307)&gt;=10,"N.M.",P307/O307))))</f>
        <v>N.M.</v>
      </c>
    </row>
    <row r="308" spans="1:17" ht="12.75" collapsed="1">
      <c r="A308" s="11" t="s">
        <v>266</v>
      </c>
      <c r="C308" s="228" t="s">
        <v>197</v>
      </c>
      <c r="E308" s="11"/>
      <c r="F308" s="18">
        <v>0</v>
      </c>
      <c r="G308" s="18">
        <v>0</v>
      </c>
      <c r="H308" s="51">
        <f>+F308-G308</f>
        <v>0</v>
      </c>
      <c r="I308" s="136">
        <f>IF(G308&lt;0,IF(H308=0,0,IF(OR(G308=0,F308=0),"N.M.",IF(ABS(H308/G308)&gt;=10,"N.M.",H308/(-G308)))),IF(H308=0,0,IF(OR(G308=0,F308=0),"N.M.",IF(ABS(H308/G308)&gt;=10,"N.M.",H308/G308))))</f>
        <v>0</v>
      </c>
      <c r="J308" s="166"/>
      <c r="K308" s="18">
        <v>0</v>
      </c>
      <c r="L308" s="51">
        <f>+F308-K308</f>
        <v>0</v>
      </c>
      <c r="M308" s="136">
        <f>IF(K308&lt;0,IF(L308=0,0,IF(OR(K308=0,N308=0),"N.M.",IF(ABS(L308/K308)&gt;=10,"N.M.",L308/(-K308)))),IF(L308=0,0,IF(OR(K308=0,N308=0),"N.M.",IF(ABS(L308/K308)&gt;=10,"N.M.",L308/K308))))</f>
        <v>0</v>
      </c>
      <c r="N308" s="166"/>
      <c r="O308" s="18">
        <v>485336.84</v>
      </c>
      <c r="P308" s="51">
        <f>+F308-O308</f>
        <v>-485336.84</v>
      </c>
      <c r="Q308" s="136" t="str">
        <f>IF(O308&lt;0,IF(P308=0,0,IF(OR(O308=0,F308=0),"N.M.",IF(ABS(P308/O308)&gt;=10,"N.M.",P308/(-O308)))),IF(P308=0,0,IF(OR(O308=0,F308=0),"N.M.",IF(ABS(P308/O308)&gt;=10,"N.M.",P308/O308))))</f>
        <v>N.M.</v>
      </c>
    </row>
    <row r="309" spans="3:17" ht="0.75" customHeight="1" hidden="1" outlineLevel="1">
      <c r="C309" s="228"/>
      <c r="E309" s="11"/>
      <c r="H309" s="51"/>
      <c r="I309" s="136"/>
      <c r="J309" s="166"/>
      <c r="K309" s="18"/>
      <c r="L309" s="51"/>
      <c r="M309" s="136"/>
      <c r="N309" s="166"/>
      <c r="O309" s="18"/>
      <c r="P309" s="51"/>
      <c r="Q309" s="136"/>
    </row>
    <row r="310" spans="1:17" s="15" customFormat="1" ht="12.75" hidden="1" outlineLevel="2">
      <c r="A310" s="15" t="s">
        <v>860</v>
      </c>
      <c r="B310" s="15" t="s">
        <v>861</v>
      </c>
      <c r="C310" s="134" t="s">
        <v>862</v>
      </c>
      <c r="D310" s="16"/>
      <c r="E310" s="16"/>
      <c r="F310" s="16">
        <v>3226409.462</v>
      </c>
      <c r="G310" s="16">
        <v>2951665.652</v>
      </c>
      <c r="H310" s="16">
        <f aca="true" t="shared" si="92" ref="H310:H329">+F310-G310</f>
        <v>274743.81000000006</v>
      </c>
      <c r="I310" s="53">
        <f aca="true" t="shared" si="93" ref="I310:I329">IF(G310&lt;0,IF(H310=0,0,IF(OR(G310=0,F310=0),"N.M.",IF(ABS(H310/G310)&gt;=10,"N.M.",H310/(-G310)))),IF(H310=0,0,IF(OR(G310=0,F310=0),"N.M.",IF(ABS(H310/G310)&gt;=10,"N.M.",H310/G310))))</f>
        <v>0.09308093882985635</v>
      </c>
      <c r="J310" s="174"/>
      <c r="K310" s="256">
        <v>6784001.802</v>
      </c>
      <c r="L310" s="16">
        <f aca="true" t="shared" si="94" ref="L310:L329">+F310-K310</f>
        <v>-3557592.3400000003</v>
      </c>
      <c r="M310" s="53" t="str">
        <f aca="true" t="shared" si="95" ref="M310:M329">IF(K310&lt;0,IF(L310=0,0,IF(OR(K310=0,N310=0),"N.M.",IF(ABS(L310/K310)&gt;=10,"N.M.",L310/(-K310)))),IF(L310=0,0,IF(OR(K310=0,N310=0),"N.M.",IF(ABS(L310/K310)&gt;=10,"N.M.",L310/K310))))</f>
        <v>N.M.</v>
      </c>
      <c r="N310" s="174"/>
      <c r="O310" s="256">
        <v>7623949.072</v>
      </c>
      <c r="P310" s="16">
        <f aca="true" t="shared" si="96" ref="P310:P329">+F310-O310</f>
        <v>-4397539.609999999</v>
      </c>
      <c r="Q310" s="53">
        <f aca="true" t="shared" si="97" ref="Q310:Q329">IF(O310&lt;0,IF(P310=0,0,IF(OR(O310=0,F310=0),"N.M.",IF(ABS(P310/O310)&gt;=10,"N.M.",P310/(-O310)))),IF(P310=0,0,IF(OR(O310=0,F310=0),"N.M.",IF(ABS(P310/O310)&gt;=10,"N.M.",P310/O310))))</f>
        <v>-0.5768060054533375</v>
      </c>
    </row>
    <row r="311" spans="1:17" s="15" customFormat="1" ht="12.75" hidden="1" outlineLevel="2">
      <c r="A311" s="15" t="s">
        <v>863</v>
      </c>
      <c r="B311" s="15" t="s">
        <v>864</v>
      </c>
      <c r="C311" s="134" t="s">
        <v>865</v>
      </c>
      <c r="D311" s="16"/>
      <c r="E311" s="16"/>
      <c r="F311" s="16">
        <v>5042005.08</v>
      </c>
      <c r="G311" s="16">
        <v>2507677.77</v>
      </c>
      <c r="H311" s="16">
        <f t="shared" si="92"/>
        <v>2534327.31</v>
      </c>
      <c r="I311" s="53">
        <f t="shared" si="93"/>
        <v>1.0106271787862122</v>
      </c>
      <c r="J311" s="174"/>
      <c r="K311" s="256">
        <v>4145527.61</v>
      </c>
      <c r="L311" s="16">
        <f t="shared" si="94"/>
        <v>896477.4700000002</v>
      </c>
      <c r="M311" s="53" t="str">
        <f t="shared" si="95"/>
        <v>N.M.</v>
      </c>
      <c r="N311" s="174"/>
      <c r="O311" s="256">
        <v>19565726.5</v>
      </c>
      <c r="P311" s="16">
        <f t="shared" si="96"/>
        <v>-14523721.42</v>
      </c>
      <c r="Q311" s="53">
        <f t="shared" si="97"/>
        <v>-0.7423042236637623</v>
      </c>
    </row>
    <row r="312" spans="1:17" s="15" customFormat="1" ht="12.75" hidden="1" outlineLevel="2">
      <c r="A312" s="15" t="s">
        <v>866</v>
      </c>
      <c r="B312" s="15" t="s">
        <v>867</v>
      </c>
      <c r="C312" s="134" t="s">
        <v>868</v>
      </c>
      <c r="D312" s="16"/>
      <c r="E312" s="16"/>
      <c r="F312" s="16">
        <v>147288.13</v>
      </c>
      <c r="G312" s="16">
        <v>203006.66</v>
      </c>
      <c r="H312" s="16">
        <f t="shared" si="92"/>
        <v>-55718.53</v>
      </c>
      <c r="I312" s="53">
        <f t="shared" si="93"/>
        <v>-0.2744665125764839</v>
      </c>
      <c r="J312" s="174"/>
      <c r="K312" s="256">
        <v>120925.24</v>
      </c>
      <c r="L312" s="16">
        <f t="shared" si="94"/>
        <v>26362.89</v>
      </c>
      <c r="M312" s="53" t="str">
        <f t="shared" si="95"/>
        <v>N.M.</v>
      </c>
      <c r="N312" s="174"/>
      <c r="O312" s="256">
        <v>191541.57</v>
      </c>
      <c r="P312" s="16">
        <f t="shared" si="96"/>
        <v>-44253.44</v>
      </c>
      <c r="Q312" s="53">
        <f t="shared" si="97"/>
        <v>-0.23103830672370493</v>
      </c>
    </row>
    <row r="313" spans="1:17" s="15" customFormat="1" ht="12.75" hidden="1" outlineLevel="2">
      <c r="A313" s="15" t="s">
        <v>869</v>
      </c>
      <c r="B313" s="15" t="s">
        <v>870</v>
      </c>
      <c r="C313" s="134" t="s">
        <v>871</v>
      </c>
      <c r="D313" s="16"/>
      <c r="E313" s="16"/>
      <c r="F313" s="16">
        <v>0</v>
      </c>
      <c r="G313" s="16">
        <v>0</v>
      </c>
      <c r="H313" s="16">
        <f t="shared" si="92"/>
        <v>0</v>
      </c>
      <c r="I313" s="53">
        <f t="shared" si="93"/>
        <v>0</v>
      </c>
      <c r="J313" s="174"/>
      <c r="K313" s="256">
        <v>0</v>
      </c>
      <c r="L313" s="16">
        <f t="shared" si="94"/>
        <v>0</v>
      </c>
      <c r="M313" s="53">
        <f t="shared" si="95"/>
        <v>0</v>
      </c>
      <c r="N313" s="174"/>
      <c r="O313" s="256">
        <v>441600</v>
      </c>
      <c r="P313" s="16">
        <f t="shared" si="96"/>
        <v>-441600</v>
      </c>
      <c r="Q313" s="53" t="str">
        <f t="shared" si="97"/>
        <v>N.M.</v>
      </c>
    </row>
    <row r="314" spans="1:17" s="15" customFormat="1" ht="12.75" hidden="1" outlineLevel="2">
      <c r="A314" s="15" t="s">
        <v>872</v>
      </c>
      <c r="B314" s="15" t="s">
        <v>873</v>
      </c>
      <c r="C314" s="134" t="s">
        <v>874</v>
      </c>
      <c r="D314" s="16"/>
      <c r="E314" s="16"/>
      <c r="F314" s="16">
        <v>14780007.14</v>
      </c>
      <c r="G314" s="16">
        <v>10396091.53</v>
      </c>
      <c r="H314" s="16">
        <f t="shared" si="92"/>
        <v>4383915.610000001</v>
      </c>
      <c r="I314" s="53">
        <f t="shared" si="93"/>
        <v>0.4216888238574407</v>
      </c>
      <c r="J314" s="174"/>
      <c r="K314" s="256">
        <v>19078382.99</v>
      </c>
      <c r="L314" s="16">
        <f t="shared" si="94"/>
        <v>-4298375.849999998</v>
      </c>
      <c r="M314" s="53" t="str">
        <f t="shared" si="95"/>
        <v>N.M.</v>
      </c>
      <c r="N314" s="174"/>
      <c r="O314" s="256">
        <v>8293879.38</v>
      </c>
      <c r="P314" s="16">
        <f t="shared" si="96"/>
        <v>6486127.760000001</v>
      </c>
      <c r="Q314" s="53">
        <f t="shared" si="97"/>
        <v>0.7820378694728498</v>
      </c>
    </row>
    <row r="315" spans="1:17" s="15" customFormat="1" ht="12.75" hidden="1" outlineLevel="2">
      <c r="A315" s="15" t="s">
        <v>875</v>
      </c>
      <c r="B315" s="15" t="s">
        <v>876</v>
      </c>
      <c r="C315" s="134" t="s">
        <v>475</v>
      </c>
      <c r="D315" s="16"/>
      <c r="E315" s="16"/>
      <c r="F315" s="16">
        <v>180158.04</v>
      </c>
      <c r="G315" s="16">
        <v>173705.97</v>
      </c>
      <c r="H315" s="16">
        <f t="shared" si="92"/>
        <v>6452.070000000007</v>
      </c>
      <c r="I315" s="53">
        <f t="shared" si="93"/>
        <v>0.03714362839688243</v>
      </c>
      <c r="J315" s="174"/>
      <c r="K315" s="256">
        <v>336852.52</v>
      </c>
      <c r="L315" s="16">
        <f t="shared" si="94"/>
        <v>-156694.48</v>
      </c>
      <c r="M315" s="53" t="str">
        <f t="shared" si="95"/>
        <v>N.M.</v>
      </c>
      <c r="N315" s="174"/>
      <c r="O315" s="256">
        <v>284612.5</v>
      </c>
      <c r="P315" s="16">
        <f t="shared" si="96"/>
        <v>-104454.45999999999</v>
      </c>
      <c r="Q315" s="53">
        <f t="shared" si="97"/>
        <v>-0.36700587641090954</v>
      </c>
    </row>
    <row r="316" spans="1:17" s="15" customFormat="1" ht="12.75" hidden="1" outlineLevel="2">
      <c r="A316" s="15" t="s">
        <v>877</v>
      </c>
      <c r="B316" s="15" t="s">
        <v>878</v>
      </c>
      <c r="C316" s="134" t="s">
        <v>879</v>
      </c>
      <c r="D316" s="16"/>
      <c r="E316" s="16"/>
      <c r="F316" s="16">
        <v>2139199.609</v>
      </c>
      <c r="G316" s="16">
        <v>3224825.341</v>
      </c>
      <c r="H316" s="16">
        <f t="shared" si="92"/>
        <v>-1085625.7319999998</v>
      </c>
      <c r="I316" s="53">
        <f t="shared" si="93"/>
        <v>-0.33664636598996506</v>
      </c>
      <c r="J316" s="174"/>
      <c r="K316" s="256">
        <v>2230434.259</v>
      </c>
      <c r="L316" s="16">
        <f t="shared" si="94"/>
        <v>-91234.6499999999</v>
      </c>
      <c r="M316" s="53" t="str">
        <f t="shared" si="95"/>
        <v>N.M.</v>
      </c>
      <c r="N316" s="174"/>
      <c r="O316" s="256">
        <v>3256899.271</v>
      </c>
      <c r="P316" s="16">
        <f t="shared" si="96"/>
        <v>-1117699.662</v>
      </c>
      <c r="Q316" s="53">
        <f t="shared" si="97"/>
        <v>-0.3431790697219877</v>
      </c>
    </row>
    <row r="317" spans="1:17" s="15" customFormat="1" ht="12.75" hidden="1" outlineLevel="2">
      <c r="A317" s="15" t="s">
        <v>880</v>
      </c>
      <c r="B317" s="15" t="s">
        <v>881</v>
      </c>
      <c r="C317" s="134" t="s">
        <v>882</v>
      </c>
      <c r="D317" s="16"/>
      <c r="E317" s="16"/>
      <c r="F317" s="16">
        <v>980808.8</v>
      </c>
      <c r="G317" s="16">
        <v>1079602.31</v>
      </c>
      <c r="H317" s="16">
        <f t="shared" si="92"/>
        <v>-98793.51000000001</v>
      </c>
      <c r="I317" s="53">
        <f t="shared" si="93"/>
        <v>-0.09150916877901086</v>
      </c>
      <c r="J317" s="174"/>
      <c r="K317" s="256">
        <v>1134234.83</v>
      </c>
      <c r="L317" s="16">
        <f t="shared" si="94"/>
        <v>-153426.03000000003</v>
      </c>
      <c r="M317" s="53" t="str">
        <f t="shared" si="95"/>
        <v>N.M.</v>
      </c>
      <c r="N317" s="174"/>
      <c r="O317" s="256">
        <v>732586.47</v>
      </c>
      <c r="P317" s="16">
        <f t="shared" si="96"/>
        <v>248222.33000000007</v>
      </c>
      <c r="Q317" s="53">
        <f t="shared" si="97"/>
        <v>0.33883007694641165</v>
      </c>
    </row>
    <row r="318" spans="1:17" s="15" customFormat="1" ht="12.75" hidden="1" outlineLevel="2">
      <c r="A318" s="15" t="s">
        <v>883</v>
      </c>
      <c r="B318" s="15" t="s">
        <v>884</v>
      </c>
      <c r="C318" s="134" t="s">
        <v>885</v>
      </c>
      <c r="D318" s="16"/>
      <c r="E318" s="16"/>
      <c r="F318" s="16">
        <v>0</v>
      </c>
      <c r="G318" s="16">
        <v>0.01</v>
      </c>
      <c r="H318" s="16">
        <f t="shared" si="92"/>
        <v>-0.01</v>
      </c>
      <c r="I318" s="53" t="str">
        <f t="shared" si="93"/>
        <v>N.M.</v>
      </c>
      <c r="J318" s="174"/>
      <c r="K318" s="256">
        <v>-27.42</v>
      </c>
      <c r="L318" s="16">
        <f t="shared" si="94"/>
        <v>27.42</v>
      </c>
      <c r="M318" s="53" t="str">
        <f t="shared" si="95"/>
        <v>N.M.</v>
      </c>
      <c r="N318" s="174"/>
      <c r="O318" s="256">
        <v>2257.34</v>
      </c>
      <c r="P318" s="16">
        <f t="shared" si="96"/>
        <v>-2257.34</v>
      </c>
      <c r="Q318" s="53" t="str">
        <f t="shared" si="97"/>
        <v>N.M.</v>
      </c>
    </row>
    <row r="319" spans="1:17" s="15" customFormat="1" ht="12.75" hidden="1" outlineLevel="2">
      <c r="A319" s="15" t="s">
        <v>886</v>
      </c>
      <c r="B319" s="15" t="s">
        <v>887</v>
      </c>
      <c r="C319" s="134" t="s">
        <v>888</v>
      </c>
      <c r="D319" s="16"/>
      <c r="E319" s="16"/>
      <c r="F319" s="16">
        <v>0.002</v>
      </c>
      <c r="G319" s="16">
        <v>2584.6020000000003</v>
      </c>
      <c r="H319" s="16">
        <f t="shared" si="92"/>
        <v>-2584.6000000000004</v>
      </c>
      <c r="I319" s="53">
        <f t="shared" si="93"/>
        <v>-0.999999226186469</v>
      </c>
      <c r="J319" s="174"/>
      <c r="K319" s="256">
        <v>0.002</v>
      </c>
      <c r="L319" s="16">
        <f t="shared" si="94"/>
        <v>0</v>
      </c>
      <c r="M319" s="53">
        <f t="shared" si="95"/>
        <v>0</v>
      </c>
      <c r="N319" s="174"/>
      <c r="O319" s="256">
        <v>156.722</v>
      </c>
      <c r="P319" s="16">
        <f t="shared" si="96"/>
        <v>-156.72</v>
      </c>
      <c r="Q319" s="53">
        <f t="shared" si="97"/>
        <v>-0.9999872385497888</v>
      </c>
    </row>
    <row r="320" spans="1:17" s="15" customFormat="1" ht="12.75" hidden="1" outlineLevel="2">
      <c r="A320" s="15" t="s">
        <v>889</v>
      </c>
      <c r="B320" s="15" t="s">
        <v>890</v>
      </c>
      <c r="C320" s="134" t="s">
        <v>891</v>
      </c>
      <c r="D320" s="16"/>
      <c r="E320" s="16"/>
      <c r="F320" s="16">
        <v>7604.311000000001</v>
      </c>
      <c r="G320" s="16">
        <v>5806.400000000001</v>
      </c>
      <c r="H320" s="16">
        <f t="shared" si="92"/>
        <v>1797.911</v>
      </c>
      <c r="I320" s="53">
        <f t="shared" si="93"/>
        <v>0.3096429801598236</v>
      </c>
      <c r="J320" s="174"/>
      <c r="K320" s="256">
        <v>8390.941</v>
      </c>
      <c r="L320" s="16">
        <f t="shared" si="94"/>
        <v>-786.6300000000001</v>
      </c>
      <c r="M320" s="53" t="str">
        <f t="shared" si="95"/>
        <v>N.M.</v>
      </c>
      <c r="N320" s="174"/>
      <c r="O320" s="256">
        <v>11607.94</v>
      </c>
      <c r="P320" s="16">
        <f t="shared" si="96"/>
        <v>-4003.629</v>
      </c>
      <c r="Q320" s="53">
        <f t="shared" si="97"/>
        <v>-0.3449043499535662</v>
      </c>
    </row>
    <row r="321" spans="1:17" s="15" customFormat="1" ht="12.75" hidden="1" outlineLevel="2">
      <c r="A321" s="15" t="s">
        <v>892</v>
      </c>
      <c r="B321" s="15" t="s">
        <v>893</v>
      </c>
      <c r="C321" s="134" t="s">
        <v>894</v>
      </c>
      <c r="D321" s="16"/>
      <c r="E321" s="16"/>
      <c r="F321" s="16">
        <v>821.63</v>
      </c>
      <c r="G321" s="16">
        <v>0</v>
      </c>
      <c r="H321" s="16">
        <f t="shared" si="92"/>
        <v>821.63</v>
      </c>
      <c r="I321" s="53" t="str">
        <f t="shared" si="93"/>
        <v>N.M.</v>
      </c>
      <c r="J321" s="174"/>
      <c r="K321" s="256">
        <v>0</v>
      </c>
      <c r="L321" s="16">
        <f t="shared" si="94"/>
        <v>821.63</v>
      </c>
      <c r="M321" s="53" t="str">
        <f t="shared" si="95"/>
        <v>N.M.</v>
      </c>
      <c r="N321" s="174"/>
      <c r="O321" s="256">
        <v>1348.53</v>
      </c>
      <c r="P321" s="16">
        <f t="shared" si="96"/>
        <v>-526.9</v>
      </c>
      <c r="Q321" s="53">
        <f t="shared" si="97"/>
        <v>-0.3907217488672851</v>
      </c>
    </row>
    <row r="322" spans="1:17" s="15" customFormat="1" ht="12.75" hidden="1" outlineLevel="2">
      <c r="A322" s="15" t="s">
        <v>895</v>
      </c>
      <c r="B322" s="15" t="s">
        <v>896</v>
      </c>
      <c r="C322" s="134" t="s">
        <v>897</v>
      </c>
      <c r="D322" s="16"/>
      <c r="E322" s="16"/>
      <c r="F322" s="16">
        <v>8470.5</v>
      </c>
      <c r="G322" s="16">
        <v>8065.5</v>
      </c>
      <c r="H322" s="16">
        <f t="shared" si="92"/>
        <v>405</v>
      </c>
      <c r="I322" s="53">
        <f t="shared" si="93"/>
        <v>0.0502138739073833</v>
      </c>
      <c r="J322" s="174"/>
      <c r="K322" s="256">
        <v>7158</v>
      </c>
      <c r="L322" s="16">
        <f t="shared" si="94"/>
        <v>1312.5</v>
      </c>
      <c r="M322" s="53" t="str">
        <f t="shared" si="95"/>
        <v>N.M.</v>
      </c>
      <c r="N322" s="174"/>
      <c r="O322" s="256">
        <v>11272.5</v>
      </c>
      <c r="P322" s="16">
        <f t="shared" si="96"/>
        <v>-2802</v>
      </c>
      <c r="Q322" s="53">
        <f t="shared" si="97"/>
        <v>-0.24856952761144377</v>
      </c>
    </row>
    <row r="323" spans="1:17" s="15" customFormat="1" ht="12.75" hidden="1" outlineLevel="2">
      <c r="A323" s="15" t="s">
        <v>898</v>
      </c>
      <c r="B323" s="15" t="s">
        <v>899</v>
      </c>
      <c r="C323" s="134" t="s">
        <v>900</v>
      </c>
      <c r="D323" s="16"/>
      <c r="E323" s="16"/>
      <c r="F323" s="16">
        <v>132351.47</v>
      </c>
      <c r="G323" s="16">
        <v>149421.07</v>
      </c>
      <c r="H323" s="16">
        <f t="shared" si="92"/>
        <v>-17069.600000000006</v>
      </c>
      <c r="I323" s="53">
        <f t="shared" si="93"/>
        <v>-0.11423823962711555</v>
      </c>
      <c r="J323" s="174"/>
      <c r="K323" s="256">
        <v>152890.25</v>
      </c>
      <c r="L323" s="16">
        <f t="shared" si="94"/>
        <v>-20538.78</v>
      </c>
      <c r="M323" s="53" t="str">
        <f t="shared" si="95"/>
        <v>N.M.</v>
      </c>
      <c r="N323" s="174"/>
      <c r="O323" s="256">
        <v>483880.39</v>
      </c>
      <c r="P323" s="16">
        <f t="shared" si="96"/>
        <v>-351528.92000000004</v>
      </c>
      <c r="Q323" s="53">
        <f t="shared" si="97"/>
        <v>-0.7264789548508053</v>
      </c>
    </row>
    <row r="324" spans="1:17" s="15" customFormat="1" ht="12.75" hidden="1" outlineLevel="2">
      <c r="A324" s="15" t="s">
        <v>901</v>
      </c>
      <c r="B324" s="15" t="s">
        <v>902</v>
      </c>
      <c r="C324" s="134" t="s">
        <v>903</v>
      </c>
      <c r="D324" s="16"/>
      <c r="E324" s="16"/>
      <c r="F324" s="16">
        <v>982080.064</v>
      </c>
      <c r="G324" s="16">
        <v>564216.664</v>
      </c>
      <c r="H324" s="16">
        <f t="shared" si="92"/>
        <v>417863.4</v>
      </c>
      <c r="I324" s="53">
        <f t="shared" si="93"/>
        <v>0.740608044146672</v>
      </c>
      <c r="J324" s="174"/>
      <c r="K324" s="256">
        <v>967289.044</v>
      </c>
      <c r="L324" s="16">
        <f t="shared" si="94"/>
        <v>14791.020000000019</v>
      </c>
      <c r="M324" s="53" t="str">
        <f t="shared" si="95"/>
        <v>N.M.</v>
      </c>
      <c r="N324" s="174"/>
      <c r="O324" s="256">
        <v>911849.894</v>
      </c>
      <c r="P324" s="16">
        <f t="shared" si="96"/>
        <v>70230.17000000004</v>
      </c>
      <c r="Q324" s="53">
        <f t="shared" si="97"/>
        <v>0.07701944197407566</v>
      </c>
    </row>
    <row r="325" spans="1:17" s="15" customFormat="1" ht="12.75" hidden="1" outlineLevel="2">
      <c r="A325" s="15" t="s">
        <v>904</v>
      </c>
      <c r="B325" s="15" t="s">
        <v>905</v>
      </c>
      <c r="C325" s="134" t="s">
        <v>906</v>
      </c>
      <c r="D325" s="16"/>
      <c r="E325" s="16"/>
      <c r="F325" s="16">
        <v>3.958</v>
      </c>
      <c r="G325" s="16">
        <v>31.268</v>
      </c>
      <c r="H325" s="16">
        <f t="shared" si="92"/>
        <v>-27.310000000000002</v>
      </c>
      <c r="I325" s="53">
        <f t="shared" si="93"/>
        <v>-0.8734169118587694</v>
      </c>
      <c r="J325" s="174"/>
      <c r="K325" s="256">
        <v>-0.002</v>
      </c>
      <c r="L325" s="16">
        <f t="shared" si="94"/>
        <v>3.96</v>
      </c>
      <c r="M325" s="53" t="str">
        <f t="shared" si="95"/>
        <v>N.M.</v>
      </c>
      <c r="N325" s="174"/>
      <c r="O325" s="256">
        <v>39.228</v>
      </c>
      <c r="P325" s="16">
        <f t="shared" si="96"/>
        <v>-35.27</v>
      </c>
      <c r="Q325" s="53">
        <f t="shared" si="97"/>
        <v>-0.8991026817579281</v>
      </c>
    </row>
    <row r="326" spans="1:17" s="15" customFormat="1" ht="12.75" hidden="1" outlineLevel="2">
      <c r="A326" s="15" t="s">
        <v>907</v>
      </c>
      <c r="B326" s="15" t="s">
        <v>908</v>
      </c>
      <c r="C326" s="134" t="s">
        <v>909</v>
      </c>
      <c r="D326" s="16"/>
      <c r="E326" s="16"/>
      <c r="F326" s="16">
        <v>0</v>
      </c>
      <c r="G326" s="16">
        <v>0</v>
      </c>
      <c r="H326" s="16">
        <f t="shared" si="92"/>
        <v>0</v>
      </c>
      <c r="I326" s="53">
        <f t="shared" si="93"/>
        <v>0</v>
      </c>
      <c r="J326" s="174"/>
      <c r="K326" s="256">
        <v>0</v>
      </c>
      <c r="L326" s="16">
        <f t="shared" si="94"/>
        <v>0</v>
      </c>
      <c r="M326" s="53">
        <f t="shared" si="95"/>
        <v>0</v>
      </c>
      <c r="N326" s="174"/>
      <c r="O326" s="256">
        <v>9389.47</v>
      </c>
      <c r="P326" s="16">
        <f t="shared" si="96"/>
        <v>-9389.47</v>
      </c>
      <c r="Q326" s="53" t="str">
        <f t="shared" si="97"/>
        <v>N.M.</v>
      </c>
    </row>
    <row r="327" spans="1:17" s="15" customFormat="1" ht="12.75" hidden="1" outlineLevel="2">
      <c r="A327" s="15" t="s">
        <v>910</v>
      </c>
      <c r="B327" s="15" t="s">
        <v>911</v>
      </c>
      <c r="C327" s="134" t="s">
        <v>912</v>
      </c>
      <c r="D327" s="16"/>
      <c r="E327" s="16"/>
      <c r="F327" s="16">
        <v>2766634.41</v>
      </c>
      <c r="G327" s="16">
        <v>470788.47000000003</v>
      </c>
      <c r="H327" s="16">
        <f t="shared" si="92"/>
        <v>2295845.94</v>
      </c>
      <c r="I327" s="53">
        <f t="shared" si="93"/>
        <v>4.876597636301501</v>
      </c>
      <c r="J327" s="174"/>
      <c r="K327" s="256">
        <v>1141362.92</v>
      </c>
      <c r="L327" s="16">
        <f t="shared" si="94"/>
        <v>1625271.4900000002</v>
      </c>
      <c r="M327" s="53" t="str">
        <f t="shared" si="95"/>
        <v>N.M.</v>
      </c>
      <c r="N327" s="174"/>
      <c r="O327" s="256">
        <v>0</v>
      </c>
      <c r="P327" s="16">
        <f t="shared" si="96"/>
        <v>2766634.41</v>
      </c>
      <c r="Q327" s="53" t="str">
        <f t="shared" si="97"/>
        <v>N.M.</v>
      </c>
    </row>
    <row r="328" spans="1:17" s="15" customFormat="1" ht="12.75" hidden="1" outlineLevel="2">
      <c r="A328" s="15" t="s">
        <v>913</v>
      </c>
      <c r="B328" s="15" t="s">
        <v>914</v>
      </c>
      <c r="C328" s="134" t="s">
        <v>498</v>
      </c>
      <c r="D328" s="16"/>
      <c r="E328" s="16"/>
      <c r="F328" s="16">
        <v>561885.91</v>
      </c>
      <c r="G328" s="16">
        <v>43403.37</v>
      </c>
      <c r="H328" s="16">
        <f t="shared" si="92"/>
        <v>518482.54000000004</v>
      </c>
      <c r="I328" s="53" t="str">
        <f t="shared" si="93"/>
        <v>N.M.</v>
      </c>
      <c r="J328" s="174"/>
      <c r="K328" s="256">
        <v>642465.68</v>
      </c>
      <c r="L328" s="16">
        <f t="shared" si="94"/>
        <v>-80579.77000000002</v>
      </c>
      <c r="M328" s="53" t="str">
        <f t="shared" si="95"/>
        <v>N.M.</v>
      </c>
      <c r="N328" s="174"/>
      <c r="O328" s="256">
        <v>298002.44</v>
      </c>
      <c r="P328" s="16">
        <f t="shared" si="96"/>
        <v>263883.47000000003</v>
      </c>
      <c r="Q328" s="53">
        <f t="shared" si="97"/>
        <v>0.885507749533863</v>
      </c>
    </row>
    <row r="329" spans="1:17" s="15" customFormat="1" ht="12.75" hidden="1" outlineLevel="2">
      <c r="A329" s="15" t="s">
        <v>915</v>
      </c>
      <c r="B329" s="15" t="s">
        <v>916</v>
      </c>
      <c r="C329" s="134" t="s">
        <v>917</v>
      </c>
      <c r="D329" s="16"/>
      <c r="E329" s="16"/>
      <c r="F329" s="16">
        <v>323123.06</v>
      </c>
      <c r="G329" s="16">
        <v>388035.81</v>
      </c>
      <c r="H329" s="16">
        <f t="shared" si="92"/>
        <v>-64912.75</v>
      </c>
      <c r="I329" s="53">
        <f t="shared" si="93"/>
        <v>-0.16728546264840866</v>
      </c>
      <c r="J329" s="174"/>
      <c r="K329" s="256">
        <v>520295.85000000003</v>
      </c>
      <c r="L329" s="16">
        <f t="shared" si="94"/>
        <v>-197172.79000000004</v>
      </c>
      <c r="M329" s="53" t="str">
        <f t="shared" si="95"/>
        <v>N.M.</v>
      </c>
      <c r="N329" s="174"/>
      <c r="O329" s="256">
        <v>474031.38</v>
      </c>
      <c r="P329" s="16">
        <f t="shared" si="96"/>
        <v>-150908.32</v>
      </c>
      <c r="Q329" s="53">
        <f t="shared" si="97"/>
        <v>-0.3183509074863356</v>
      </c>
    </row>
    <row r="330" spans="1:17" ht="12.75" collapsed="1">
      <c r="A330" s="11" t="s">
        <v>267</v>
      </c>
      <c r="C330" s="228" t="s">
        <v>198</v>
      </c>
      <c r="E330" s="11"/>
      <c r="F330" s="18">
        <v>31278851.575999998</v>
      </c>
      <c r="G330" s="18">
        <v>22168928.397</v>
      </c>
      <c r="H330" s="51">
        <f>+F330-G330</f>
        <v>9109923.178999998</v>
      </c>
      <c r="I330" s="136">
        <f>IF(G330&lt;0,IF(H330=0,0,IF(OR(G330=0,F330=0),"N.M.",IF(ABS(H330/G330)&gt;=10,"N.M.",H330/(-G330)))),IF(H330=0,0,IF(OR(G330=0,F330=0),"N.M.",IF(ABS(H330/G330)&gt;=10,"N.M.",H330/G330))))</f>
        <v>0.4109320493918323</v>
      </c>
      <c r="J330" s="166"/>
      <c r="K330" s="18">
        <v>37270184.515999995</v>
      </c>
      <c r="L330" s="51">
        <f>+F330-K330</f>
        <v>-5991332.939999998</v>
      </c>
      <c r="M330" s="136" t="str">
        <f>IF(K330&lt;0,IF(L330=0,0,IF(OR(K330=0,N330=0),"N.M.",IF(ABS(L330/K330)&gt;=10,"N.M.",L330/(-K330)))),IF(L330=0,0,IF(OR(K330=0,N330=0),"N.M.",IF(ABS(L330/K330)&gt;=10,"N.M.",L330/K330))))</f>
        <v>N.M.</v>
      </c>
      <c r="N330" s="166"/>
      <c r="O330" s="18">
        <v>42594630.597</v>
      </c>
      <c r="P330" s="51">
        <f>+F330-O330</f>
        <v>-11315779.021000005</v>
      </c>
      <c r="Q330" s="136">
        <f>IF(O330&lt;0,IF(P330=0,0,IF(OR(O330=0,F330=0),"N.M.",IF(ABS(P330/O330)&gt;=10,"N.M.",P330/(-O330)))),IF(P330=0,0,IF(OR(O330=0,F330=0),"N.M.",IF(ABS(P330/O330)&gt;=10,"N.M.",P330/O330))))</f>
        <v>-0.2656621001849231</v>
      </c>
    </row>
    <row r="331" spans="3:17" ht="0.75" customHeight="1" hidden="1" outlineLevel="1">
      <c r="C331" s="228"/>
      <c r="E331" s="11"/>
      <c r="H331" s="51"/>
      <c r="I331" s="136"/>
      <c r="J331" s="166"/>
      <c r="K331" s="18"/>
      <c r="L331" s="51"/>
      <c r="M331" s="136"/>
      <c r="N331" s="166"/>
      <c r="O331" s="18"/>
      <c r="P331" s="51"/>
      <c r="Q331" s="136"/>
    </row>
    <row r="332" spans="1:17" s="15" customFormat="1" ht="12.75" hidden="1" outlineLevel="2">
      <c r="A332" s="15" t="s">
        <v>918</v>
      </c>
      <c r="B332" s="15" t="s">
        <v>919</v>
      </c>
      <c r="C332" s="134" t="s">
        <v>920</v>
      </c>
      <c r="D332" s="16"/>
      <c r="E332" s="16"/>
      <c r="F332" s="16">
        <v>14945894.22</v>
      </c>
      <c r="G332" s="16">
        <v>8918146.52</v>
      </c>
      <c r="H332" s="16">
        <f aca="true" t="shared" si="98" ref="H332:H343">+F332-G332</f>
        <v>6027747.700000001</v>
      </c>
      <c r="I332" s="53">
        <f aca="true" t="shared" si="99" ref="I332:I343">IF(G332&lt;0,IF(H332=0,0,IF(OR(G332=0,F332=0),"N.M.",IF(ABS(H332/G332)&gt;=10,"N.M.",H332/(-G332)))),IF(H332=0,0,IF(OR(G332=0,F332=0),"N.M.",IF(ABS(H332/G332)&gt;=10,"N.M.",H332/G332))))</f>
        <v>0.6758969127141008</v>
      </c>
      <c r="J332" s="174"/>
      <c r="K332" s="256">
        <v>12310811.81</v>
      </c>
      <c r="L332" s="16">
        <f aca="true" t="shared" si="100" ref="L332:L343">+F332-K332</f>
        <v>2635082.41</v>
      </c>
      <c r="M332" s="53" t="str">
        <f aca="true" t="shared" si="101" ref="M332:M343">IF(K332&lt;0,IF(L332=0,0,IF(OR(K332=0,N332=0),"N.M.",IF(ABS(L332/K332)&gt;=10,"N.M.",L332/(-K332)))),IF(L332=0,0,IF(OR(K332=0,N332=0),"N.M.",IF(ABS(L332/K332)&gt;=10,"N.M.",L332/K332))))</f>
        <v>N.M.</v>
      </c>
      <c r="N332" s="174"/>
      <c r="O332" s="256">
        <v>12478213.72</v>
      </c>
      <c r="P332" s="16">
        <f aca="true" t="shared" si="102" ref="P332:P343">+F332-O332</f>
        <v>2467680.5</v>
      </c>
      <c r="Q332" s="53">
        <f aca="true" t="shared" si="103" ref="Q332:Q343">IF(O332&lt;0,IF(P332=0,0,IF(OR(O332=0,F332=0),"N.M.",IF(ABS(P332/O332)&gt;=10,"N.M.",P332/(-O332)))),IF(P332=0,0,IF(OR(O332=0,F332=0),"N.M.",IF(ABS(P332/O332)&gt;=10,"N.M.",P332/O332))))</f>
        <v>0.1977591148358693</v>
      </c>
    </row>
    <row r="333" spans="1:17" s="15" customFormat="1" ht="12.75" hidden="1" outlineLevel="2">
      <c r="A333" s="15" t="s">
        <v>921</v>
      </c>
      <c r="B333" s="15" t="s">
        <v>922</v>
      </c>
      <c r="C333" s="134" t="s">
        <v>923</v>
      </c>
      <c r="D333" s="16"/>
      <c r="E333" s="16"/>
      <c r="F333" s="16">
        <v>0</v>
      </c>
      <c r="G333" s="16">
        <v>0</v>
      </c>
      <c r="H333" s="16">
        <f t="shared" si="98"/>
        <v>0</v>
      </c>
      <c r="I333" s="53">
        <f t="shared" si="99"/>
        <v>0</v>
      </c>
      <c r="J333" s="174"/>
      <c r="K333" s="256">
        <v>0</v>
      </c>
      <c r="L333" s="16">
        <f t="shared" si="100"/>
        <v>0</v>
      </c>
      <c r="M333" s="53">
        <f t="shared" si="101"/>
        <v>0</v>
      </c>
      <c r="N333" s="174"/>
      <c r="O333" s="256">
        <v>6338684.45</v>
      </c>
      <c r="P333" s="16">
        <f t="shared" si="102"/>
        <v>-6338684.45</v>
      </c>
      <c r="Q333" s="53" t="str">
        <f t="shared" si="103"/>
        <v>N.M.</v>
      </c>
    </row>
    <row r="334" spans="1:17" s="15" customFormat="1" ht="12.75" hidden="1" outlineLevel="2">
      <c r="A334" s="15" t="s">
        <v>924</v>
      </c>
      <c r="B334" s="15" t="s">
        <v>925</v>
      </c>
      <c r="C334" s="134" t="s">
        <v>926</v>
      </c>
      <c r="D334" s="16"/>
      <c r="E334" s="16"/>
      <c r="F334" s="16">
        <v>1572444</v>
      </c>
      <c r="G334" s="16">
        <v>3926835.3200000003</v>
      </c>
      <c r="H334" s="16">
        <f t="shared" si="98"/>
        <v>-2354391.3200000003</v>
      </c>
      <c r="I334" s="53">
        <f t="shared" si="99"/>
        <v>-0.599564567428817</v>
      </c>
      <c r="J334" s="174"/>
      <c r="K334" s="256">
        <v>53028</v>
      </c>
      <c r="L334" s="16">
        <f t="shared" si="100"/>
        <v>1519416</v>
      </c>
      <c r="M334" s="53" t="str">
        <f t="shared" si="101"/>
        <v>N.M.</v>
      </c>
      <c r="N334" s="174"/>
      <c r="O334" s="256">
        <v>4464362</v>
      </c>
      <c r="P334" s="16">
        <f t="shared" si="102"/>
        <v>-2891918</v>
      </c>
      <c r="Q334" s="53">
        <f t="shared" si="103"/>
        <v>-0.6477785627599195</v>
      </c>
    </row>
    <row r="335" spans="1:17" s="15" customFormat="1" ht="12.75" hidden="1" outlineLevel="2">
      <c r="A335" s="15" t="s">
        <v>927</v>
      </c>
      <c r="B335" s="15" t="s">
        <v>928</v>
      </c>
      <c r="C335" s="134" t="s">
        <v>929</v>
      </c>
      <c r="D335" s="16"/>
      <c r="E335" s="16"/>
      <c r="F335" s="16">
        <v>52069.71</v>
      </c>
      <c r="G335" s="16">
        <v>18713.91</v>
      </c>
      <c r="H335" s="16">
        <f t="shared" si="98"/>
        <v>33355.8</v>
      </c>
      <c r="I335" s="53">
        <f t="shared" si="99"/>
        <v>1.7824067765635296</v>
      </c>
      <c r="J335" s="174"/>
      <c r="K335" s="256">
        <v>48559.01</v>
      </c>
      <c r="L335" s="16">
        <f t="shared" si="100"/>
        <v>3510.699999999997</v>
      </c>
      <c r="M335" s="53" t="str">
        <f t="shared" si="101"/>
        <v>N.M.</v>
      </c>
      <c r="N335" s="174"/>
      <c r="O335" s="256">
        <v>39405.61</v>
      </c>
      <c r="P335" s="16">
        <f t="shared" si="102"/>
        <v>12664.099999999999</v>
      </c>
      <c r="Q335" s="53">
        <f t="shared" si="103"/>
        <v>0.32137809819464785</v>
      </c>
    </row>
    <row r="336" spans="1:17" s="15" customFormat="1" ht="12.75" hidden="1" outlineLevel="2">
      <c r="A336" s="15" t="s">
        <v>930</v>
      </c>
      <c r="B336" s="15" t="s">
        <v>931</v>
      </c>
      <c r="C336" s="134" t="s">
        <v>932</v>
      </c>
      <c r="D336" s="16"/>
      <c r="E336" s="16"/>
      <c r="F336" s="16">
        <v>114179.82</v>
      </c>
      <c r="G336" s="16">
        <v>187632.77</v>
      </c>
      <c r="H336" s="16">
        <f t="shared" si="98"/>
        <v>-73452.94999999998</v>
      </c>
      <c r="I336" s="53">
        <f t="shared" si="99"/>
        <v>-0.3914718628307837</v>
      </c>
      <c r="J336" s="174"/>
      <c r="K336" s="256">
        <v>193544.92</v>
      </c>
      <c r="L336" s="16">
        <f t="shared" si="100"/>
        <v>-79365.1</v>
      </c>
      <c r="M336" s="53" t="str">
        <f t="shared" si="101"/>
        <v>N.M.</v>
      </c>
      <c r="N336" s="174"/>
      <c r="O336" s="256">
        <v>586843.51</v>
      </c>
      <c r="P336" s="16">
        <f t="shared" si="102"/>
        <v>-472663.69</v>
      </c>
      <c r="Q336" s="53">
        <f t="shared" si="103"/>
        <v>-0.8054339563199736</v>
      </c>
    </row>
    <row r="337" spans="1:17" s="15" customFormat="1" ht="12.75" hidden="1" outlineLevel="2">
      <c r="A337" s="15" t="s">
        <v>933</v>
      </c>
      <c r="B337" s="15" t="s">
        <v>934</v>
      </c>
      <c r="C337" s="134" t="s">
        <v>935</v>
      </c>
      <c r="D337" s="16"/>
      <c r="E337" s="16"/>
      <c r="F337" s="16">
        <v>2468816.37</v>
      </c>
      <c r="G337" s="16">
        <v>2558050.5300000003</v>
      </c>
      <c r="H337" s="16">
        <f t="shared" si="98"/>
        <v>-89234.16000000015</v>
      </c>
      <c r="I337" s="53">
        <f t="shared" si="99"/>
        <v>-0.03488365806440897</v>
      </c>
      <c r="J337" s="174"/>
      <c r="K337" s="256">
        <v>2693580.7800000003</v>
      </c>
      <c r="L337" s="16">
        <f t="shared" si="100"/>
        <v>-224764.41000000015</v>
      </c>
      <c r="M337" s="53" t="str">
        <f t="shared" si="101"/>
        <v>N.M.</v>
      </c>
      <c r="N337" s="174"/>
      <c r="O337" s="256">
        <v>3389351.642</v>
      </c>
      <c r="P337" s="16">
        <f t="shared" si="102"/>
        <v>-920535.2719999999</v>
      </c>
      <c r="Q337" s="53">
        <f t="shared" si="103"/>
        <v>-0.2715962724531018</v>
      </c>
    </row>
    <row r="338" spans="1:17" s="15" customFormat="1" ht="12.75" hidden="1" outlineLevel="2">
      <c r="A338" s="15" t="s">
        <v>936</v>
      </c>
      <c r="B338" s="15" t="s">
        <v>937</v>
      </c>
      <c r="C338" s="134" t="s">
        <v>938</v>
      </c>
      <c r="D338" s="16"/>
      <c r="E338" s="16"/>
      <c r="F338" s="16">
        <v>389809.06</v>
      </c>
      <c r="G338" s="16">
        <v>3478.5</v>
      </c>
      <c r="H338" s="16">
        <f t="shared" si="98"/>
        <v>386330.56</v>
      </c>
      <c r="I338" s="53" t="str">
        <f t="shared" si="99"/>
        <v>N.M.</v>
      </c>
      <c r="J338" s="174"/>
      <c r="K338" s="256">
        <v>41207.6</v>
      </c>
      <c r="L338" s="16">
        <f t="shared" si="100"/>
        <v>348601.46</v>
      </c>
      <c r="M338" s="53" t="str">
        <f t="shared" si="101"/>
        <v>N.M.</v>
      </c>
      <c r="N338" s="174"/>
      <c r="O338" s="256">
        <v>29898.81</v>
      </c>
      <c r="P338" s="16">
        <f t="shared" si="102"/>
        <v>359910.25</v>
      </c>
      <c r="Q338" s="53" t="str">
        <f t="shared" si="103"/>
        <v>N.M.</v>
      </c>
    </row>
    <row r="339" spans="1:17" s="15" customFormat="1" ht="12.75" hidden="1" outlineLevel="2">
      <c r="A339" s="15" t="s">
        <v>939</v>
      </c>
      <c r="B339" s="15" t="s">
        <v>940</v>
      </c>
      <c r="C339" s="134" t="s">
        <v>941</v>
      </c>
      <c r="D339" s="16"/>
      <c r="E339" s="16"/>
      <c r="F339" s="16">
        <v>1272.81</v>
      </c>
      <c r="G339" s="16">
        <v>368.34000000000003</v>
      </c>
      <c r="H339" s="16">
        <f t="shared" si="98"/>
        <v>904.4699999999999</v>
      </c>
      <c r="I339" s="53">
        <f t="shared" si="99"/>
        <v>2.455530216647662</v>
      </c>
      <c r="J339" s="174"/>
      <c r="K339" s="256">
        <v>394.14</v>
      </c>
      <c r="L339" s="16">
        <f t="shared" si="100"/>
        <v>878.67</v>
      </c>
      <c r="M339" s="53" t="str">
        <f t="shared" si="101"/>
        <v>N.M.</v>
      </c>
      <c r="N339" s="174"/>
      <c r="O339" s="256">
        <v>383.29</v>
      </c>
      <c r="P339" s="16">
        <f t="shared" si="102"/>
        <v>889.52</v>
      </c>
      <c r="Q339" s="53">
        <f t="shared" si="103"/>
        <v>2.3207493020950194</v>
      </c>
    </row>
    <row r="340" spans="1:17" s="15" customFormat="1" ht="12.75" hidden="1" outlineLevel="2">
      <c r="A340" s="15" t="s">
        <v>942</v>
      </c>
      <c r="B340" s="15" t="s">
        <v>943</v>
      </c>
      <c r="C340" s="134" t="s">
        <v>944</v>
      </c>
      <c r="D340" s="16"/>
      <c r="E340" s="16"/>
      <c r="F340" s="16">
        <v>2792.09</v>
      </c>
      <c r="G340" s="16">
        <v>1038.49</v>
      </c>
      <c r="H340" s="16">
        <f t="shared" si="98"/>
        <v>1753.6000000000001</v>
      </c>
      <c r="I340" s="53">
        <f t="shared" si="99"/>
        <v>1.688605571551002</v>
      </c>
      <c r="J340" s="174"/>
      <c r="K340" s="256">
        <v>4397.64</v>
      </c>
      <c r="L340" s="16">
        <f t="shared" si="100"/>
        <v>-1605.5500000000002</v>
      </c>
      <c r="M340" s="53" t="str">
        <f t="shared" si="101"/>
        <v>N.M.</v>
      </c>
      <c r="N340" s="174"/>
      <c r="O340" s="256">
        <v>742.42</v>
      </c>
      <c r="P340" s="16">
        <f t="shared" si="102"/>
        <v>2049.67</v>
      </c>
      <c r="Q340" s="53">
        <f t="shared" si="103"/>
        <v>2.760795775975863</v>
      </c>
    </row>
    <row r="341" spans="1:17" s="15" customFormat="1" ht="12.75" hidden="1" outlineLevel="2">
      <c r="A341" s="15" t="s">
        <v>945</v>
      </c>
      <c r="B341" s="15" t="s">
        <v>946</v>
      </c>
      <c r="C341" s="134" t="s">
        <v>947</v>
      </c>
      <c r="D341" s="16"/>
      <c r="E341" s="16"/>
      <c r="F341" s="16">
        <v>2884.52</v>
      </c>
      <c r="G341" s="16">
        <v>25388.25</v>
      </c>
      <c r="H341" s="16">
        <f t="shared" si="98"/>
        <v>-22503.73</v>
      </c>
      <c r="I341" s="53">
        <f t="shared" si="99"/>
        <v>-0.8863836617332821</v>
      </c>
      <c r="J341" s="174"/>
      <c r="K341" s="256">
        <v>2547.43</v>
      </c>
      <c r="L341" s="16">
        <f t="shared" si="100"/>
        <v>337.09000000000015</v>
      </c>
      <c r="M341" s="53" t="str">
        <f t="shared" si="101"/>
        <v>N.M.</v>
      </c>
      <c r="N341" s="174"/>
      <c r="O341" s="256">
        <v>12713.64</v>
      </c>
      <c r="P341" s="16">
        <f t="shared" si="102"/>
        <v>-9829.119999999999</v>
      </c>
      <c r="Q341" s="53">
        <f t="shared" si="103"/>
        <v>-0.7731161178073312</v>
      </c>
    </row>
    <row r="342" spans="1:17" s="15" customFormat="1" ht="12.75" hidden="1" outlineLevel="2">
      <c r="A342" s="15" t="s">
        <v>948</v>
      </c>
      <c r="B342" s="15" t="s">
        <v>949</v>
      </c>
      <c r="C342" s="134" t="s">
        <v>950</v>
      </c>
      <c r="D342" s="16"/>
      <c r="E342" s="16"/>
      <c r="F342" s="16">
        <v>525000</v>
      </c>
      <c r="G342" s="16">
        <v>525000</v>
      </c>
      <c r="H342" s="16">
        <f t="shared" si="98"/>
        <v>0</v>
      </c>
      <c r="I342" s="53">
        <f t="shared" si="99"/>
        <v>0</v>
      </c>
      <c r="J342" s="174"/>
      <c r="K342" s="256">
        <v>437500</v>
      </c>
      <c r="L342" s="16">
        <f t="shared" si="100"/>
        <v>87500</v>
      </c>
      <c r="M342" s="53" t="str">
        <f t="shared" si="101"/>
        <v>N.M.</v>
      </c>
      <c r="N342" s="174"/>
      <c r="O342" s="256">
        <v>87500</v>
      </c>
      <c r="P342" s="16">
        <f t="shared" si="102"/>
        <v>437500</v>
      </c>
      <c r="Q342" s="53">
        <f t="shared" si="103"/>
        <v>5</v>
      </c>
    </row>
    <row r="343" spans="1:17" s="15" customFormat="1" ht="12.75" hidden="1" outlineLevel="2">
      <c r="A343" s="15" t="s">
        <v>951</v>
      </c>
      <c r="B343" s="15" t="s">
        <v>952</v>
      </c>
      <c r="C343" s="134" t="s">
        <v>953</v>
      </c>
      <c r="D343" s="16"/>
      <c r="E343" s="16"/>
      <c r="F343" s="16">
        <v>10</v>
      </c>
      <c r="G343" s="16">
        <v>0</v>
      </c>
      <c r="H343" s="16">
        <f t="shared" si="98"/>
        <v>10</v>
      </c>
      <c r="I343" s="53" t="str">
        <f t="shared" si="99"/>
        <v>N.M.</v>
      </c>
      <c r="J343" s="174"/>
      <c r="K343" s="256">
        <v>1024</v>
      </c>
      <c r="L343" s="16">
        <f t="shared" si="100"/>
        <v>-1014</v>
      </c>
      <c r="M343" s="53" t="str">
        <f t="shared" si="101"/>
        <v>N.M.</v>
      </c>
      <c r="N343" s="174"/>
      <c r="O343" s="256">
        <v>0</v>
      </c>
      <c r="P343" s="16">
        <f t="shared" si="102"/>
        <v>10</v>
      </c>
      <c r="Q343" s="53" t="str">
        <f t="shared" si="103"/>
        <v>N.M.</v>
      </c>
    </row>
    <row r="344" spans="1:17" ht="12.75" collapsed="1">
      <c r="A344" s="11" t="s">
        <v>268</v>
      </c>
      <c r="C344" s="228" t="s">
        <v>199</v>
      </c>
      <c r="E344" s="11"/>
      <c r="F344" s="18">
        <v>20075172.599999998</v>
      </c>
      <c r="G344" s="18">
        <v>16164652.63</v>
      </c>
      <c r="H344" s="51">
        <f>+F344-G344</f>
        <v>3910519.969999997</v>
      </c>
      <c r="I344" s="136">
        <f>IF(G344&lt;0,IF(H344=0,0,IF(OR(G344=0,F344=0),"N.M.",IF(ABS(H344/G344)&gt;=10,"N.M.",H344/(-G344)))),IF(H344=0,0,IF(OR(G344=0,F344=0),"N.M.",IF(ABS(H344/G344)&gt;=10,"N.M.",H344/G344))))</f>
        <v>0.2419179712369728</v>
      </c>
      <c r="J344" s="166"/>
      <c r="K344" s="18">
        <v>15786595.33</v>
      </c>
      <c r="L344" s="51">
        <f>+F344-K344</f>
        <v>4288577.269999998</v>
      </c>
      <c r="M344" s="136" t="str">
        <f>IF(K344&lt;0,IF(L344=0,0,IF(OR(K344=0,N344=0),"N.M.",IF(ABS(L344/K344)&gt;=10,"N.M.",L344/(-K344)))),IF(L344=0,0,IF(OR(K344=0,N344=0),"N.M.",IF(ABS(L344/K344)&gt;=10,"N.M.",L344/K344))))</f>
        <v>N.M.</v>
      </c>
      <c r="N344" s="166"/>
      <c r="O344" s="18">
        <v>27428099.092000004</v>
      </c>
      <c r="P344" s="51">
        <f>+F344-O344</f>
        <v>-7352926.492000006</v>
      </c>
      <c r="Q344" s="136">
        <f>IF(O344&lt;0,IF(P344=0,0,IF(OR(O344=0,F344=0),"N.M.",IF(ABS(P344/O344)&gt;=10,"N.M.",P344/(-O344)))),IF(P344=0,0,IF(OR(O344=0,F344=0),"N.M.",IF(ABS(P344/O344)&gt;=10,"N.M.",P344/O344))))</f>
        <v>-0.26808006152145797</v>
      </c>
    </row>
    <row r="345" spans="3:17" ht="0.75" customHeight="1" hidden="1" outlineLevel="1">
      <c r="C345" s="228"/>
      <c r="E345" s="11"/>
      <c r="H345" s="51"/>
      <c r="I345" s="136"/>
      <c r="J345" s="166"/>
      <c r="K345" s="18"/>
      <c r="L345" s="51"/>
      <c r="M345" s="136"/>
      <c r="N345" s="166"/>
      <c r="O345" s="18"/>
      <c r="P345" s="51"/>
      <c r="Q345" s="136"/>
    </row>
    <row r="346" spans="1:17" s="15" customFormat="1" ht="12.75" hidden="1" outlineLevel="2">
      <c r="A346" s="15" t="s">
        <v>954</v>
      </c>
      <c r="B346" s="15" t="s">
        <v>955</v>
      </c>
      <c r="C346" s="134" t="s">
        <v>956</v>
      </c>
      <c r="D346" s="16"/>
      <c r="E346" s="16"/>
      <c r="F346" s="16">
        <v>19191742.13</v>
      </c>
      <c r="G346" s="16">
        <v>17671713.07</v>
      </c>
      <c r="H346" s="16">
        <f>+F346-G346</f>
        <v>1520029.0599999987</v>
      </c>
      <c r="I346" s="53">
        <f>IF(G346&lt;0,IF(H346=0,0,IF(OR(G346=0,F346=0),"N.M.",IF(ABS(H346/G346)&gt;=10,"N.M.",H346/(-G346)))),IF(H346=0,0,IF(OR(G346=0,F346=0),"N.M.",IF(ABS(H346/G346)&gt;=10,"N.M.",H346/G346))))</f>
        <v>0.08601481101345194</v>
      </c>
      <c r="J346" s="174"/>
      <c r="K346" s="256">
        <v>18992050.77</v>
      </c>
      <c r="L346" s="16">
        <f>+F346-K346</f>
        <v>199691.3599999994</v>
      </c>
      <c r="M346" s="53" t="str">
        <f>IF(K346&lt;0,IF(L346=0,0,IF(OR(K346=0,N346=0),"N.M.",IF(ABS(L346/K346)&gt;=10,"N.M.",L346/(-K346)))),IF(L346=0,0,IF(OR(K346=0,N346=0),"N.M.",IF(ABS(L346/K346)&gt;=10,"N.M.",L346/K346))))</f>
        <v>N.M.</v>
      </c>
      <c r="N346" s="174"/>
      <c r="O346" s="256">
        <v>18049036.2</v>
      </c>
      <c r="P346" s="16">
        <f>+F346-O346</f>
        <v>1142705.9299999997</v>
      </c>
      <c r="Q346" s="53">
        <f>IF(O346&lt;0,IF(P346=0,0,IF(OR(O346=0,F346=0),"N.M.",IF(ABS(P346/O346)&gt;=10,"N.M.",P346/(-O346)))),IF(P346=0,0,IF(OR(O346=0,F346=0),"N.M.",IF(ABS(P346/O346)&gt;=10,"N.M.",P346/O346))))</f>
        <v>0.06331118832816124</v>
      </c>
    </row>
    <row r="347" spans="1:17" s="15" customFormat="1" ht="12.75" hidden="1" outlineLevel="2">
      <c r="A347" s="15" t="s">
        <v>957</v>
      </c>
      <c r="B347" s="15" t="s">
        <v>958</v>
      </c>
      <c r="C347" s="134" t="s">
        <v>959</v>
      </c>
      <c r="D347" s="16"/>
      <c r="E347" s="16"/>
      <c r="F347" s="16">
        <v>684164.67</v>
      </c>
      <c r="G347" s="16">
        <v>1707948.006</v>
      </c>
      <c r="H347" s="16">
        <f>+F347-G347</f>
        <v>-1023783.336</v>
      </c>
      <c r="I347" s="53">
        <f>IF(G347&lt;0,IF(H347=0,0,IF(OR(G347=0,F347=0),"N.M.",IF(ABS(H347/G347)&gt;=10,"N.M.",H347/(-G347)))),IF(H347=0,0,IF(OR(G347=0,F347=0),"N.M.",IF(ABS(H347/G347)&gt;=10,"N.M.",H347/G347))))</f>
        <v>-0.5994230107728467</v>
      </c>
      <c r="J347" s="174"/>
      <c r="K347" s="256">
        <v>1355461.4</v>
      </c>
      <c r="L347" s="16">
        <f>+F347-K347</f>
        <v>-671296.7299999999</v>
      </c>
      <c r="M347" s="53" t="str">
        <f>IF(K347&lt;0,IF(L347=0,0,IF(OR(K347=0,N347=0),"N.M.",IF(ABS(L347/K347)&gt;=10,"N.M.",L347/(-K347)))),IF(L347=0,0,IF(OR(K347=0,N347=0),"N.M.",IF(ABS(L347/K347)&gt;=10,"N.M.",L347/K347))))</f>
        <v>N.M.</v>
      </c>
      <c r="N347" s="174"/>
      <c r="O347" s="256">
        <v>972831.178</v>
      </c>
      <c r="P347" s="16">
        <f>+F347-O347</f>
        <v>-288666.5079999999</v>
      </c>
      <c r="Q347" s="53">
        <f>IF(O347&lt;0,IF(P347=0,0,IF(OR(O347=0,F347=0),"N.M.",IF(ABS(P347/O347)&gt;=10,"N.M.",P347/(-O347)))),IF(P347=0,0,IF(OR(O347=0,F347=0),"N.M.",IF(ABS(P347/O347)&gt;=10,"N.M.",P347/O347))))</f>
        <v>-0.29672826542572006</v>
      </c>
    </row>
    <row r="348" spans="1:17" s="15" customFormat="1" ht="12.75" hidden="1" outlineLevel="2">
      <c r="A348" s="15" t="s">
        <v>960</v>
      </c>
      <c r="B348" s="15" t="s">
        <v>961</v>
      </c>
      <c r="C348" s="134" t="s">
        <v>962</v>
      </c>
      <c r="D348" s="16"/>
      <c r="E348" s="16"/>
      <c r="F348" s="16">
        <v>-430178</v>
      </c>
      <c r="G348" s="16">
        <v>-1467755</v>
      </c>
      <c r="H348" s="16">
        <f>+F348-G348</f>
        <v>1037577</v>
      </c>
      <c r="I348" s="53">
        <f>IF(G348&lt;0,IF(H348=0,0,IF(OR(G348=0,F348=0),"N.M.",IF(ABS(H348/G348)&gt;=10,"N.M.",H348/(-G348)))),IF(H348=0,0,IF(OR(G348=0,F348=0),"N.M.",IF(ABS(H348/G348)&gt;=10,"N.M.",H348/G348))))</f>
        <v>0.7069143010924848</v>
      </c>
      <c r="J348" s="174"/>
      <c r="K348" s="256">
        <v>-1102584</v>
      </c>
      <c r="L348" s="16">
        <f>+F348-K348</f>
        <v>672406</v>
      </c>
      <c r="M348" s="53" t="str">
        <f>IF(K348&lt;0,IF(L348=0,0,IF(OR(K348=0,N348=0),"N.M.",IF(ABS(L348/K348)&gt;=10,"N.M.",L348/(-K348)))),IF(L348=0,0,IF(OR(K348=0,N348=0),"N.M.",IF(ABS(L348/K348)&gt;=10,"N.M.",L348/K348))))</f>
        <v>N.M.</v>
      </c>
      <c r="N348" s="174"/>
      <c r="O348" s="256">
        <v>-763538</v>
      </c>
      <c r="P348" s="16">
        <f>+F348-O348</f>
        <v>333360</v>
      </c>
      <c r="Q348" s="53">
        <f>IF(O348&lt;0,IF(P348=0,0,IF(OR(O348=0,F348=0),"N.M.",IF(ABS(P348/O348)&gt;=10,"N.M.",P348/(-O348)))),IF(P348=0,0,IF(OR(O348=0,F348=0),"N.M.",IF(ABS(P348/O348)&gt;=10,"N.M.",P348/O348))))</f>
        <v>0.4365990952644138</v>
      </c>
    </row>
    <row r="349" spans="1:17" ht="12.75" collapsed="1">
      <c r="A349" s="11" t="s">
        <v>269</v>
      </c>
      <c r="C349" s="228" t="s">
        <v>200</v>
      </c>
      <c r="E349" s="11"/>
      <c r="F349" s="18">
        <v>19445728.8</v>
      </c>
      <c r="G349" s="18">
        <v>17911906.076</v>
      </c>
      <c r="H349" s="51">
        <f>+F349-G349</f>
        <v>1533822.7239999995</v>
      </c>
      <c r="I349" s="136">
        <f>IF(G349&lt;0,IF(H349=0,0,IF(OR(G349=0,F349=0),"N.M.",IF(ABS(H349/G349)&gt;=10,"N.M.",H349/(-G349)))),IF(H349=0,0,IF(OR(G349=0,F349=0),"N.M.",IF(ABS(H349/G349)&gt;=10,"N.M.",H349/G349))))</f>
        <v>0.08563146308896485</v>
      </c>
      <c r="J349" s="166"/>
      <c r="K349" s="18">
        <v>19244928.169999998</v>
      </c>
      <c r="L349" s="51">
        <f>+F349-K349</f>
        <v>200800.63000000268</v>
      </c>
      <c r="M349" s="136" t="str">
        <f>IF(K349&lt;0,IF(L349=0,0,IF(OR(K349=0,N349=0),"N.M.",IF(ABS(L349/K349)&gt;=10,"N.M.",L349/(-K349)))),IF(L349=0,0,IF(OR(K349=0,N349=0),"N.M.",IF(ABS(L349/K349)&gt;=10,"N.M.",L349/K349))))</f>
        <v>N.M.</v>
      </c>
      <c r="N349" s="166"/>
      <c r="O349" s="18">
        <v>18258329.378</v>
      </c>
      <c r="P349" s="51">
        <f>+F349-O349</f>
        <v>1187399.422000002</v>
      </c>
      <c r="Q349" s="136">
        <f>IF(O349&lt;0,IF(P349=0,0,IF(OR(O349=0,F349=0),"N.M.",IF(ABS(P349/O349)&gt;=10,"N.M.",P349/(-O349)))),IF(P349=0,0,IF(OR(O349=0,F349=0),"N.M.",IF(ABS(P349/O349)&gt;=10,"N.M.",P349/O349))))</f>
        <v>0.06503330055107533</v>
      </c>
    </row>
    <row r="350" spans="3:17" ht="0.75" customHeight="1" hidden="1" outlineLevel="1">
      <c r="C350" s="228"/>
      <c r="E350" s="11"/>
      <c r="H350" s="51"/>
      <c r="I350" s="136"/>
      <c r="J350" s="166"/>
      <c r="K350" s="18"/>
      <c r="L350" s="51"/>
      <c r="M350" s="136"/>
      <c r="N350" s="166"/>
      <c r="O350" s="18"/>
      <c r="P350" s="51"/>
      <c r="Q350" s="136"/>
    </row>
    <row r="351" spans="1:17" s="15" customFormat="1" ht="12.75" hidden="1" outlineLevel="2">
      <c r="A351" s="15" t="s">
        <v>963</v>
      </c>
      <c r="B351" s="15" t="s">
        <v>964</v>
      </c>
      <c r="C351" s="134" t="s">
        <v>965</v>
      </c>
      <c r="D351" s="16"/>
      <c r="E351" s="16"/>
      <c r="F351" s="16">
        <v>1796159.96</v>
      </c>
      <c r="G351" s="16">
        <v>-12633009.52</v>
      </c>
      <c r="H351" s="16">
        <f aca="true" t="shared" si="104" ref="H351:H380">+F351-G351</f>
        <v>14429169.48</v>
      </c>
      <c r="I351" s="53">
        <f aca="true" t="shared" si="105" ref="I351:I380">IF(G351&lt;0,IF(H351=0,0,IF(OR(G351=0,F351=0),"N.M.",IF(ABS(H351/G351)&gt;=10,"N.M.",H351/(-G351)))),IF(H351=0,0,IF(OR(G351=0,F351=0),"N.M.",IF(ABS(H351/G351)&gt;=10,"N.M.",H351/G351))))</f>
        <v>1.1421798944389618</v>
      </c>
      <c r="J351" s="174"/>
      <c r="K351" s="256">
        <v>-1987621.32</v>
      </c>
      <c r="L351" s="16">
        <f aca="true" t="shared" si="106" ref="L351:L380">+F351-K351</f>
        <v>3783781.2800000003</v>
      </c>
      <c r="M351" s="53" t="str">
        <f aca="true" t="shared" si="107" ref="M351:M380">IF(K351&lt;0,IF(L351=0,0,IF(OR(K351=0,N351=0),"N.M.",IF(ABS(L351/K351)&gt;=10,"N.M.",L351/(-K351)))),IF(L351=0,0,IF(OR(K351=0,N351=0),"N.M.",IF(ABS(L351/K351)&gt;=10,"N.M.",L351/K351))))</f>
        <v>N.M.</v>
      </c>
      <c r="N351" s="174"/>
      <c r="O351" s="256">
        <v>-24771724.67</v>
      </c>
      <c r="P351" s="16">
        <f aca="true" t="shared" si="108" ref="P351:P380">+F351-O351</f>
        <v>26567884.630000003</v>
      </c>
      <c r="Q351" s="53">
        <f aca="true" t="shared" si="109" ref="Q351:Q380">IF(O351&lt;0,IF(P351=0,0,IF(OR(O351=0,F351=0),"N.M.",IF(ABS(P351/O351)&gt;=10,"N.M.",P351/(-O351)))),IF(P351=0,0,IF(OR(O351=0,F351=0),"N.M.",IF(ABS(P351/O351)&gt;=10,"N.M.",P351/O351))))</f>
        <v>1.072508474235355</v>
      </c>
    </row>
    <row r="352" spans="1:17" s="15" customFormat="1" ht="12.75" hidden="1" outlineLevel="2">
      <c r="A352" s="15" t="s">
        <v>966</v>
      </c>
      <c r="B352" s="15" t="s">
        <v>967</v>
      </c>
      <c r="C352" s="134" t="s">
        <v>968</v>
      </c>
      <c r="D352" s="16"/>
      <c r="E352" s="16"/>
      <c r="F352" s="16">
        <v>0</v>
      </c>
      <c r="G352" s="16">
        <v>-751201</v>
      </c>
      <c r="H352" s="16">
        <f t="shared" si="104"/>
        <v>751201</v>
      </c>
      <c r="I352" s="53" t="str">
        <f t="shared" si="105"/>
        <v>N.M.</v>
      </c>
      <c r="J352" s="174"/>
      <c r="K352" s="256">
        <v>0</v>
      </c>
      <c r="L352" s="16">
        <f t="shared" si="106"/>
        <v>0</v>
      </c>
      <c r="M352" s="53">
        <f t="shared" si="107"/>
        <v>0</v>
      </c>
      <c r="N352" s="174"/>
      <c r="O352" s="256">
        <v>0</v>
      </c>
      <c r="P352" s="16">
        <f t="shared" si="108"/>
        <v>0</v>
      </c>
      <c r="Q352" s="53">
        <f t="shared" si="109"/>
        <v>0</v>
      </c>
    </row>
    <row r="353" spans="1:17" s="15" customFormat="1" ht="12.75" hidden="1" outlineLevel="2">
      <c r="A353" s="15" t="s">
        <v>969</v>
      </c>
      <c r="B353" s="15" t="s">
        <v>970</v>
      </c>
      <c r="C353" s="134" t="s">
        <v>968</v>
      </c>
      <c r="D353" s="16"/>
      <c r="E353" s="16"/>
      <c r="F353" s="16">
        <v>-4454169</v>
      </c>
      <c r="G353" s="16">
        <v>-2381224.08</v>
      </c>
      <c r="H353" s="16">
        <f t="shared" si="104"/>
        <v>-2072944.92</v>
      </c>
      <c r="I353" s="53">
        <f t="shared" si="105"/>
        <v>-0.8705375262289469</v>
      </c>
      <c r="J353" s="174"/>
      <c r="K353" s="256">
        <v>-4725396.5600000005</v>
      </c>
      <c r="L353" s="16">
        <f t="shared" si="106"/>
        <v>271227.5600000005</v>
      </c>
      <c r="M353" s="53" t="str">
        <f t="shared" si="107"/>
        <v>N.M.</v>
      </c>
      <c r="N353" s="174"/>
      <c r="O353" s="256">
        <v>-4725396.5600000005</v>
      </c>
      <c r="P353" s="16">
        <f t="shared" si="108"/>
        <v>271227.5600000005</v>
      </c>
      <c r="Q353" s="53">
        <f t="shared" si="109"/>
        <v>0.05739784091263665</v>
      </c>
    </row>
    <row r="354" spans="1:17" s="15" customFormat="1" ht="12.75" hidden="1" outlineLevel="2">
      <c r="A354" s="15" t="s">
        <v>971</v>
      </c>
      <c r="B354" s="15" t="s">
        <v>972</v>
      </c>
      <c r="C354" s="134" t="s">
        <v>968</v>
      </c>
      <c r="D354" s="16"/>
      <c r="E354" s="16"/>
      <c r="F354" s="16">
        <v>2069928.68</v>
      </c>
      <c r="G354" s="16">
        <v>0</v>
      </c>
      <c r="H354" s="16">
        <f t="shared" si="104"/>
        <v>2069928.68</v>
      </c>
      <c r="I354" s="53" t="str">
        <f t="shared" si="105"/>
        <v>N.M.</v>
      </c>
      <c r="J354" s="174"/>
      <c r="K354" s="256">
        <v>726359.13</v>
      </c>
      <c r="L354" s="16">
        <f t="shared" si="106"/>
        <v>1343569.5499999998</v>
      </c>
      <c r="M354" s="53" t="str">
        <f t="shared" si="107"/>
        <v>N.M.</v>
      </c>
      <c r="N354" s="174"/>
      <c r="O354" s="256">
        <v>0</v>
      </c>
      <c r="P354" s="16">
        <f t="shared" si="108"/>
        <v>2069928.68</v>
      </c>
      <c r="Q354" s="53" t="str">
        <f t="shared" si="109"/>
        <v>N.M.</v>
      </c>
    </row>
    <row r="355" spans="1:17" s="15" customFormat="1" ht="12.75" hidden="1" outlineLevel="2">
      <c r="A355" s="15" t="s">
        <v>973</v>
      </c>
      <c r="B355" s="15" t="s">
        <v>974</v>
      </c>
      <c r="C355" s="134" t="s">
        <v>975</v>
      </c>
      <c r="D355" s="16"/>
      <c r="E355" s="16"/>
      <c r="F355" s="16">
        <v>105024.67</v>
      </c>
      <c r="G355" s="16">
        <v>103191.13</v>
      </c>
      <c r="H355" s="16">
        <f t="shared" si="104"/>
        <v>1833.5399999999936</v>
      </c>
      <c r="I355" s="53">
        <f t="shared" si="105"/>
        <v>0.01776838765114786</v>
      </c>
      <c r="J355" s="174"/>
      <c r="K355" s="256">
        <v>88997.63</v>
      </c>
      <c r="L355" s="16">
        <f t="shared" si="106"/>
        <v>16027.039999999994</v>
      </c>
      <c r="M355" s="53" t="str">
        <f t="shared" si="107"/>
        <v>N.M.</v>
      </c>
      <c r="N355" s="174"/>
      <c r="O355" s="256">
        <v>170270.83000000002</v>
      </c>
      <c r="P355" s="16">
        <f t="shared" si="108"/>
        <v>-65246.16000000002</v>
      </c>
      <c r="Q355" s="53">
        <f t="shared" si="109"/>
        <v>-0.38319047367068104</v>
      </c>
    </row>
    <row r="356" spans="1:17" s="15" customFormat="1" ht="12.75" hidden="1" outlineLevel="2">
      <c r="A356" s="15" t="s">
        <v>976</v>
      </c>
      <c r="B356" s="15" t="s">
        <v>977</v>
      </c>
      <c r="C356" s="134" t="s">
        <v>978</v>
      </c>
      <c r="D356" s="16"/>
      <c r="E356" s="16"/>
      <c r="F356" s="16">
        <v>409.71000000000004</v>
      </c>
      <c r="G356" s="16">
        <v>230.12</v>
      </c>
      <c r="H356" s="16">
        <f t="shared" si="104"/>
        <v>179.59000000000003</v>
      </c>
      <c r="I356" s="53">
        <f t="shared" si="105"/>
        <v>0.7804189118720669</v>
      </c>
      <c r="J356" s="174"/>
      <c r="K356" s="256">
        <v>1478.26</v>
      </c>
      <c r="L356" s="16">
        <f t="shared" si="106"/>
        <v>-1068.55</v>
      </c>
      <c r="M356" s="53" t="str">
        <f t="shared" si="107"/>
        <v>N.M.</v>
      </c>
      <c r="N356" s="174"/>
      <c r="O356" s="256">
        <v>5059.02</v>
      </c>
      <c r="P356" s="16">
        <f t="shared" si="108"/>
        <v>-4649.31</v>
      </c>
      <c r="Q356" s="53">
        <f t="shared" si="109"/>
        <v>-0.9190139592253045</v>
      </c>
    </row>
    <row r="357" spans="1:17" s="15" customFormat="1" ht="12.75" hidden="1" outlineLevel="2">
      <c r="A357" s="15" t="s">
        <v>979</v>
      </c>
      <c r="B357" s="15" t="s">
        <v>980</v>
      </c>
      <c r="C357" s="134" t="s">
        <v>981</v>
      </c>
      <c r="D357" s="16"/>
      <c r="E357" s="16"/>
      <c r="F357" s="16">
        <v>579.41</v>
      </c>
      <c r="G357" s="16">
        <v>316.90000000000003</v>
      </c>
      <c r="H357" s="16">
        <f t="shared" si="104"/>
        <v>262.50999999999993</v>
      </c>
      <c r="I357" s="53">
        <f t="shared" si="105"/>
        <v>0.8283685705269799</v>
      </c>
      <c r="J357" s="174"/>
      <c r="K357" s="256">
        <v>319.34000000000003</v>
      </c>
      <c r="L357" s="16">
        <f t="shared" si="106"/>
        <v>260.06999999999994</v>
      </c>
      <c r="M357" s="53" t="str">
        <f t="shared" si="107"/>
        <v>N.M.</v>
      </c>
      <c r="N357" s="174"/>
      <c r="O357" s="256">
        <v>4809.54</v>
      </c>
      <c r="P357" s="16">
        <f t="shared" si="108"/>
        <v>-4230.13</v>
      </c>
      <c r="Q357" s="53">
        <f t="shared" si="109"/>
        <v>-0.8795290194072615</v>
      </c>
    </row>
    <row r="358" spans="1:17" s="15" customFormat="1" ht="12.75" hidden="1" outlineLevel="2">
      <c r="A358" s="15" t="s">
        <v>982</v>
      </c>
      <c r="B358" s="15" t="s">
        <v>983</v>
      </c>
      <c r="C358" s="134" t="s">
        <v>984</v>
      </c>
      <c r="D358" s="16"/>
      <c r="E358" s="16"/>
      <c r="F358" s="16">
        <v>0</v>
      </c>
      <c r="G358" s="16">
        <v>49365.770000000004</v>
      </c>
      <c r="H358" s="16">
        <f t="shared" si="104"/>
        <v>-49365.770000000004</v>
      </c>
      <c r="I358" s="53" t="str">
        <f t="shared" si="105"/>
        <v>N.M.</v>
      </c>
      <c r="J358" s="174"/>
      <c r="K358" s="256">
        <v>0</v>
      </c>
      <c r="L358" s="16">
        <f t="shared" si="106"/>
        <v>0</v>
      </c>
      <c r="M358" s="53">
        <f t="shared" si="107"/>
        <v>0</v>
      </c>
      <c r="N358" s="174"/>
      <c r="O358" s="256">
        <v>65729.17</v>
      </c>
      <c r="P358" s="16">
        <f t="shared" si="108"/>
        <v>-65729.17</v>
      </c>
      <c r="Q358" s="53" t="str">
        <f t="shared" si="109"/>
        <v>N.M.</v>
      </c>
    </row>
    <row r="359" spans="1:17" s="15" customFormat="1" ht="12.75" hidden="1" outlineLevel="2">
      <c r="A359" s="15" t="s">
        <v>985</v>
      </c>
      <c r="B359" s="15" t="s">
        <v>986</v>
      </c>
      <c r="C359" s="134" t="s">
        <v>984</v>
      </c>
      <c r="D359" s="16"/>
      <c r="E359" s="16"/>
      <c r="F359" s="16">
        <v>36768.9</v>
      </c>
      <c r="G359" s="16">
        <v>0</v>
      </c>
      <c r="H359" s="16">
        <f t="shared" si="104"/>
        <v>36768.9</v>
      </c>
      <c r="I359" s="53" t="str">
        <f t="shared" si="105"/>
        <v>N.M.</v>
      </c>
      <c r="J359" s="174"/>
      <c r="K359" s="256">
        <v>30330.31</v>
      </c>
      <c r="L359" s="16">
        <f t="shared" si="106"/>
        <v>6438.59</v>
      </c>
      <c r="M359" s="53" t="str">
        <f t="shared" si="107"/>
        <v>N.M.</v>
      </c>
      <c r="N359" s="174"/>
      <c r="O359" s="256">
        <v>0</v>
      </c>
      <c r="P359" s="16">
        <f t="shared" si="108"/>
        <v>36768.9</v>
      </c>
      <c r="Q359" s="53" t="str">
        <f t="shared" si="109"/>
        <v>N.M.</v>
      </c>
    </row>
    <row r="360" spans="1:17" s="15" customFormat="1" ht="12.75" hidden="1" outlineLevel="2">
      <c r="A360" s="15" t="s">
        <v>987</v>
      </c>
      <c r="B360" s="15" t="s">
        <v>988</v>
      </c>
      <c r="C360" s="134" t="s">
        <v>989</v>
      </c>
      <c r="D360" s="16"/>
      <c r="E360" s="16"/>
      <c r="F360" s="16">
        <v>136503.8</v>
      </c>
      <c r="G360" s="16">
        <v>3905607.27</v>
      </c>
      <c r="H360" s="16">
        <f t="shared" si="104"/>
        <v>-3769103.47</v>
      </c>
      <c r="I360" s="53">
        <f t="shared" si="105"/>
        <v>-0.9650492764470915</v>
      </c>
      <c r="J360" s="174"/>
      <c r="K360" s="256">
        <v>164590.69</v>
      </c>
      <c r="L360" s="16">
        <f t="shared" si="106"/>
        <v>-28086.890000000014</v>
      </c>
      <c r="M360" s="53" t="str">
        <f t="shared" si="107"/>
        <v>N.M.</v>
      </c>
      <c r="N360" s="174"/>
      <c r="O360" s="256">
        <v>2477010.54</v>
      </c>
      <c r="P360" s="16">
        <f t="shared" si="108"/>
        <v>-2340506.74</v>
      </c>
      <c r="Q360" s="53">
        <f t="shared" si="109"/>
        <v>-0.9448917161248738</v>
      </c>
    </row>
    <row r="361" spans="1:17" s="15" customFormat="1" ht="12.75" hidden="1" outlineLevel="2">
      <c r="A361" s="15" t="s">
        <v>990</v>
      </c>
      <c r="B361" s="15" t="s">
        <v>991</v>
      </c>
      <c r="C361" s="134" t="s">
        <v>989</v>
      </c>
      <c r="D361" s="16"/>
      <c r="E361" s="16"/>
      <c r="F361" s="16">
        <v>6047910.83</v>
      </c>
      <c r="G361" s="16">
        <v>0</v>
      </c>
      <c r="H361" s="16">
        <f t="shared" si="104"/>
        <v>6047910.83</v>
      </c>
      <c r="I361" s="53" t="str">
        <f t="shared" si="105"/>
        <v>N.M.</v>
      </c>
      <c r="J361" s="174"/>
      <c r="K361" s="256">
        <v>6048898.84</v>
      </c>
      <c r="L361" s="16">
        <f t="shared" si="106"/>
        <v>-988.0099999997765</v>
      </c>
      <c r="M361" s="53" t="str">
        <f t="shared" si="107"/>
        <v>N.M.</v>
      </c>
      <c r="N361" s="174"/>
      <c r="O361" s="256">
        <v>9323500</v>
      </c>
      <c r="P361" s="16">
        <f t="shared" si="108"/>
        <v>-3275589.17</v>
      </c>
      <c r="Q361" s="53">
        <f t="shared" si="109"/>
        <v>-0.35132612967233334</v>
      </c>
    </row>
    <row r="362" spans="1:17" s="15" customFormat="1" ht="12.75" hidden="1" outlineLevel="2">
      <c r="A362" s="15" t="s">
        <v>992</v>
      </c>
      <c r="B362" s="15" t="s">
        <v>993</v>
      </c>
      <c r="C362" s="134" t="s">
        <v>994</v>
      </c>
      <c r="D362" s="16"/>
      <c r="E362" s="16"/>
      <c r="F362" s="16">
        <v>0</v>
      </c>
      <c r="G362" s="16">
        <v>0</v>
      </c>
      <c r="H362" s="16">
        <f t="shared" si="104"/>
        <v>0</v>
      </c>
      <c r="I362" s="53">
        <f t="shared" si="105"/>
        <v>0</v>
      </c>
      <c r="J362" s="174"/>
      <c r="K362" s="256">
        <v>1312</v>
      </c>
      <c r="L362" s="16">
        <f t="shared" si="106"/>
        <v>-1312</v>
      </c>
      <c r="M362" s="53" t="str">
        <f t="shared" si="107"/>
        <v>N.M.</v>
      </c>
      <c r="N362" s="174"/>
      <c r="O362" s="256">
        <v>0</v>
      </c>
      <c r="P362" s="16">
        <f t="shared" si="108"/>
        <v>0</v>
      </c>
      <c r="Q362" s="53">
        <f t="shared" si="109"/>
        <v>0</v>
      </c>
    </row>
    <row r="363" spans="1:17" s="15" customFormat="1" ht="12.75" hidden="1" outlineLevel="2">
      <c r="A363" s="15" t="s">
        <v>995</v>
      </c>
      <c r="B363" s="15" t="s">
        <v>996</v>
      </c>
      <c r="C363" s="134" t="s">
        <v>997</v>
      </c>
      <c r="D363" s="16"/>
      <c r="E363" s="16"/>
      <c r="F363" s="16">
        <v>0</v>
      </c>
      <c r="G363" s="16">
        <v>-46192</v>
      </c>
      <c r="H363" s="16">
        <f t="shared" si="104"/>
        <v>46192</v>
      </c>
      <c r="I363" s="53" t="str">
        <f t="shared" si="105"/>
        <v>N.M.</v>
      </c>
      <c r="J363" s="174"/>
      <c r="K363" s="256">
        <v>0</v>
      </c>
      <c r="L363" s="16">
        <f t="shared" si="106"/>
        <v>0</v>
      </c>
      <c r="M363" s="53">
        <f t="shared" si="107"/>
        <v>0</v>
      </c>
      <c r="N363" s="174"/>
      <c r="O363" s="256">
        <v>0</v>
      </c>
      <c r="P363" s="16">
        <f t="shared" si="108"/>
        <v>0</v>
      </c>
      <c r="Q363" s="53">
        <f t="shared" si="109"/>
        <v>0</v>
      </c>
    </row>
    <row r="364" spans="1:17" s="15" customFormat="1" ht="12.75" hidden="1" outlineLevel="2">
      <c r="A364" s="15" t="s">
        <v>998</v>
      </c>
      <c r="B364" s="15" t="s">
        <v>999</v>
      </c>
      <c r="C364" s="134" t="s">
        <v>997</v>
      </c>
      <c r="D364" s="16"/>
      <c r="E364" s="16"/>
      <c r="F364" s="16">
        <v>-42047</v>
      </c>
      <c r="G364" s="16">
        <v>-25500</v>
      </c>
      <c r="H364" s="16">
        <f t="shared" si="104"/>
        <v>-16547</v>
      </c>
      <c r="I364" s="53">
        <f t="shared" si="105"/>
        <v>-0.6489019607843137</v>
      </c>
      <c r="J364" s="174"/>
      <c r="K364" s="256">
        <v>-25500</v>
      </c>
      <c r="L364" s="16">
        <f t="shared" si="106"/>
        <v>-16547</v>
      </c>
      <c r="M364" s="53" t="str">
        <f t="shared" si="107"/>
        <v>N.M.</v>
      </c>
      <c r="N364" s="174"/>
      <c r="O364" s="256">
        <v>-25500</v>
      </c>
      <c r="P364" s="16">
        <f t="shared" si="108"/>
        <v>-16547</v>
      </c>
      <c r="Q364" s="53">
        <f t="shared" si="109"/>
        <v>-0.6489019607843137</v>
      </c>
    </row>
    <row r="365" spans="1:17" s="15" customFormat="1" ht="12.75" hidden="1" outlineLevel="2">
      <c r="A365" s="15" t="s">
        <v>1000</v>
      </c>
      <c r="B365" s="15" t="s">
        <v>1001</v>
      </c>
      <c r="C365" s="134" t="s">
        <v>997</v>
      </c>
      <c r="D365" s="16"/>
      <c r="E365" s="16"/>
      <c r="F365" s="16">
        <v>80100</v>
      </c>
      <c r="G365" s="16">
        <v>0</v>
      </c>
      <c r="H365" s="16">
        <f t="shared" si="104"/>
        <v>80100</v>
      </c>
      <c r="I365" s="53" t="str">
        <f t="shared" si="105"/>
        <v>N.M.</v>
      </c>
      <c r="J365" s="174"/>
      <c r="K365" s="256">
        <v>80100</v>
      </c>
      <c r="L365" s="16">
        <f t="shared" si="106"/>
        <v>0</v>
      </c>
      <c r="M365" s="53">
        <f t="shared" si="107"/>
        <v>0</v>
      </c>
      <c r="N365" s="174"/>
      <c r="O365" s="256">
        <v>0</v>
      </c>
      <c r="P365" s="16">
        <f t="shared" si="108"/>
        <v>80100</v>
      </c>
      <c r="Q365" s="53" t="str">
        <f t="shared" si="109"/>
        <v>N.M.</v>
      </c>
    </row>
    <row r="366" spans="1:17" s="15" customFormat="1" ht="12.75" hidden="1" outlineLevel="2">
      <c r="A366" s="15" t="s">
        <v>1002</v>
      </c>
      <c r="B366" s="15" t="s">
        <v>1003</v>
      </c>
      <c r="C366" s="134" t="s">
        <v>1004</v>
      </c>
      <c r="D366" s="16"/>
      <c r="E366" s="16"/>
      <c r="F366" s="16">
        <v>0</v>
      </c>
      <c r="G366" s="16">
        <v>27834</v>
      </c>
      <c r="H366" s="16">
        <f t="shared" si="104"/>
        <v>-27834</v>
      </c>
      <c r="I366" s="53" t="str">
        <f t="shared" si="105"/>
        <v>N.M.</v>
      </c>
      <c r="J366" s="174"/>
      <c r="K366" s="256">
        <v>0</v>
      </c>
      <c r="L366" s="16">
        <f t="shared" si="106"/>
        <v>0</v>
      </c>
      <c r="M366" s="53">
        <f t="shared" si="107"/>
        <v>0</v>
      </c>
      <c r="N366" s="174"/>
      <c r="O366" s="256">
        <v>41747</v>
      </c>
      <c r="P366" s="16">
        <f t="shared" si="108"/>
        <v>-41747</v>
      </c>
      <c r="Q366" s="53" t="str">
        <f t="shared" si="109"/>
        <v>N.M.</v>
      </c>
    </row>
    <row r="367" spans="1:17" s="15" customFormat="1" ht="12.75" hidden="1" outlineLevel="2">
      <c r="A367" s="15" t="s">
        <v>1005</v>
      </c>
      <c r="B367" s="15" t="s">
        <v>1006</v>
      </c>
      <c r="C367" s="134" t="s">
        <v>1004</v>
      </c>
      <c r="D367" s="16"/>
      <c r="E367" s="16"/>
      <c r="F367" s="16">
        <v>43144</v>
      </c>
      <c r="G367" s="16">
        <v>0</v>
      </c>
      <c r="H367" s="16">
        <f t="shared" si="104"/>
        <v>43144</v>
      </c>
      <c r="I367" s="53" t="str">
        <f t="shared" si="105"/>
        <v>N.M.</v>
      </c>
      <c r="J367" s="174"/>
      <c r="K367" s="256">
        <v>86288</v>
      </c>
      <c r="L367" s="16">
        <f t="shared" si="106"/>
        <v>-43144</v>
      </c>
      <c r="M367" s="53" t="str">
        <f t="shared" si="107"/>
        <v>N.M.</v>
      </c>
      <c r="N367" s="174"/>
      <c r="O367" s="256">
        <v>0</v>
      </c>
      <c r="P367" s="16">
        <f t="shared" si="108"/>
        <v>43144</v>
      </c>
      <c r="Q367" s="53" t="str">
        <f t="shared" si="109"/>
        <v>N.M.</v>
      </c>
    </row>
    <row r="368" spans="1:17" s="15" customFormat="1" ht="12.75" hidden="1" outlineLevel="2">
      <c r="A368" s="15" t="s">
        <v>1007</v>
      </c>
      <c r="B368" s="15" t="s">
        <v>1008</v>
      </c>
      <c r="C368" s="134" t="s">
        <v>1009</v>
      </c>
      <c r="D368" s="16"/>
      <c r="E368" s="16"/>
      <c r="F368" s="16">
        <v>0</v>
      </c>
      <c r="G368" s="16">
        <v>-15</v>
      </c>
      <c r="H368" s="16">
        <f t="shared" si="104"/>
        <v>15</v>
      </c>
      <c r="I368" s="53" t="str">
        <f t="shared" si="105"/>
        <v>N.M.</v>
      </c>
      <c r="J368" s="174"/>
      <c r="K368" s="256">
        <v>0</v>
      </c>
      <c r="L368" s="16">
        <f t="shared" si="106"/>
        <v>0</v>
      </c>
      <c r="M368" s="53">
        <f t="shared" si="107"/>
        <v>0</v>
      </c>
      <c r="N368" s="174"/>
      <c r="O368" s="256">
        <v>0</v>
      </c>
      <c r="P368" s="16">
        <f t="shared" si="108"/>
        <v>0</v>
      </c>
      <c r="Q368" s="53">
        <f t="shared" si="109"/>
        <v>0</v>
      </c>
    </row>
    <row r="369" spans="1:17" s="15" customFormat="1" ht="12.75" hidden="1" outlineLevel="2">
      <c r="A369" s="15" t="s">
        <v>1010</v>
      </c>
      <c r="B369" s="15" t="s">
        <v>1011</v>
      </c>
      <c r="C369" s="134" t="s">
        <v>1012</v>
      </c>
      <c r="D369" s="16"/>
      <c r="E369" s="16"/>
      <c r="F369" s="16">
        <v>-3341.12</v>
      </c>
      <c r="G369" s="16">
        <v>-2052.56</v>
      </c>
      <c r="H369" s="16">
        <f t="shared" si="104"/>
        <v>-1288.56</v>
      </c>
      <c r="I369" s="53">
        <f t="shared" si="105"/>
        <v>-0.6277818918813579</v>
      </c>
      <c r="J369" s="174"/>
      <c r="K369" s="256">
        <v>-3339.56</v>
      </c>
      <c r="L369" s="16">
        <f t="shared" si="106"/>
        <v>-1.5599999999999454</v>
      </c>
      <c r="M369" s="53" t="str">
        <f t="shared" si="107"/>
        <v>N.M.</v>
      </c>
      <c r="N369" s="174"/>
      <c r="O369" s="256">
        <v>-2776.35</v>
      </c>
      <c r="P369" s="16">
        <f t="shared" si="108"/>
        <v>-564.77</v>
      </c>
      <c r="Q369" s="53">
        <f t="shared" si="109"/>
        <v>-0.20342175878401497</v>
      </c>
    </row>
    <row r="370" spans="1:17" s="15" customFormat="1" ht="12.75" hidden="1" outlineLevel="2">
      <c r="A370" s="15" t="s">
        <v>1013</v>
      </c>
      <c r="B370" s="15" t="s">
        <v>1014</v>
      </c>
      <c r="C370" s="134" t="s">
        <v>1012</v>
      </c>
      <c r="D370" s="16"/>
      <c r="E370" s="16"/>
      <c r="F370" s="16">
        <v>106300</v>
      </c>
      <c r="G370" s="16">
        <v>0</v>
      </c>
      <c r="H370" s="16">
        <f t="shared" si="104"/>
        <v>106300</v>
      </c>
      <c r="I370" s="53" t="str">
        <f t="shared" si="105"/>
        <v>N.M.</v>
      </c>
      <c r="J370" s="174"/>
      <c r="K370" s="256">
        <v>106300</v>
      </c>
      <c r="L370" s="16">
        <f t="shared" si="106"/>
        <v>0</v>
      </c>
      <c r="M370" s="53">
        <f t="shared" si="107"/>
        <v>0</v>
      </c>
      <c r="N370" s="174"/>
      <c r="O370" s="256">
        <v>0</v>
      </c>
      <c r="P370" s="16">
        <f t="shared" si="108"/>
        <v>106300</v>
      </c>
      <c r="Q370" s="53" t="str">
        <f t="shared" si="109"/>
        <v>N.M.</v>
      </c>
    </row>
    <row r="371" spans="1:17" s="15" customFormat="1" ht="12.75" hidden="1" outlineLevel="2">
      <c r="A371" s="15" t="s">
        <v>1015</v>
      </c>
      <c r="B371" s="15" t="s">
        <v>1016</v>
      </c>
      <c r="C371" s="134" t="s">
        <v>1017</v>
      </c>
      <c r="D371" s="16"/>
      <c r="E371" s="16"/>
      <c r="F371" s="16">
        <v>-14699.81</v>
      </c>
      <c r="G371" s="16">
        <v>-11922.74</v>
      </c>
      <c r="H371" s="16">
        <f t="shared" si="104"/>
        <v>-2777.0699999999997</v>
      </c>
      <c r="I371" s="53">
        <f t="shared" si="105"/>
        <v>-0.23292213031568246</v>
      </c>
      <c r="J371" s="174"/>
      <c r="K371" s="256">
        <v>-14699.81</v>
      </c>
      <c r="L371" s="16">
        <f t="shared" si="106"/>
        <v>0</v>
      </c>
      <c r="M371" s="53">
        <f t="shared" si="107"/>
        <v>0</v>
      </c>
      <c r="N371" s="174"/>
      <c r="O371" s="256">
        <v>-14660.81</v>
      </c>
      <c r="P371" s="16">
        <f t="shared" si="108"/>
        <v>-39</v>
      </c>
      <c r="Q371" s="53">
        <f t="shared" si="109"/>
        <v>-0.002660153156612766</v>
      </c>
    </row>
    <row r="372" spans="1:17" s="15" customFormat="1" ht="12.75" hidden="1" outlineLevel="2">
      <c r="A372" s="15" t="s">
        <v>1018</v>
      </c>
      <c r="B372" s="15" t="s">
        <v>1019</v>
      </c>
      <c r="C372" s="134" t="s">
        <v>1017</v>
      </c>
      <c r="D372" s="16"/>
      <c r="E372" s="16"/>
      <c r="F372" s="16">
        <v>11560.17</v>
      </c>
      <c r="G372" s="16">
        <v>0</v>
      </c>
      <c r="H372" s="16">
        <f t="shared" si="104"/>
        <v>11560.17</v>
      </c>
      <c r="I372" s="53" t="str">
        <f t="shared" si="105"/>
        <v>N.M.</v>
      </c>
      <c r="J372" s="174"/>
      <c r="K372" s="256">
        <v>18018.11</v>
      </c>
      <c r="L372" s="16">
        <f t="shared" si="106"/>
        <v>-6457.9400000000005</v>
      </c>
      <c r="M372" s="53" t="str">
        <f t="shared" si="107"/>
        <v>N.M.</v>
      </c>
      <c r="N372" s="174"/>
      <c r="O372" s="256">
        <v>0</v>
      </c>
      <c r="P372" s="16">
        <f t="shared" si="108"/>
        <v>11560.17</v>
      </c>
      <c r="Q372" s="53" t="str">
        <f t="shared" si="109"/>
        <v>N.M.</v>
      </c>
    </row>
    <row r="373" spans="1:17" s="15" customFormat="1" ht="12.75" hidden="1" outlineLevel="2">
      <c r="A373" s="15" t="s">
        <v>1020</v>
      </c>
      <c r="B373" s="15" t="s">
        <v>1021</v>
      </c>
      <c r="C373" s="134" t="s">
        <v>1022</v>
      </c>
      <c r="D373" s="16"/>
      <c r="E373" s="16"/>
      <c r="F373" s="16">
        <v>150282.27</v>
      </c>
      <c r="G373" s="16">
        <v>50074.99</v>
      </c>
      <c r="H373" s="16">
        <f t="shared" si="104"/>
        <v>100207.28</v>
      </c>
      <c r="I373" s="53">
        <f t="shared" si="105"/>
        <v>2.001144283803152</v>
      </c>
      <c r="J373" s="174"/>
      <c r="K373" s="256">
        <v>120224.14</v>
      </c>
      <c r="L373" s="16">
        <f t="shared" si="106"/>
        <v>30058.12999999999</v>
      </c>
      <c r="M373" s="53" t="str">
        <f t="shared" si="107"/>
        <v>N.M.</v>
      </c>
      <c r="N373" s="174"/>
      <c r="O373" s="256">
        <v>40894.76</v>
      </c>
      <c r="P373" s="16">
        <f t="shared" si="108"/>
        <v>109387.50999999998</v>
      </c>
      <c r="Q373" s="53">
        <f t="shared" si="109"/>
        <v>2.674853942167651</v>
      </c>
    </row>
    <row r="374" spans="1:17" s="15" customFormat="1" ht="12.75" hidden="1" outlineLevel="2">
      <c r="A374" s="15" t="s">
        <v>1023</v>
      </c>
      <c r="B374" s="15" t="s">
        <v>1024</v>
      </c>
      <c r="C374" s="134" t="s">
        <v>1025</v>
      </c>
      <c r="D374" s="16"/>
      <c r="E374" s="16"/>
      <c r="F374" s="16">
        <v>2428.495</v>
      </c>
      <c r="G374" s="16">
        <v>0</v>
      </c>
      <c r="H374" s="16">
        <f t="shared" si="104"/>
        <v>2428.495</v>
      </c>
      <c r="I374" s="53" t="str">
        <f t="shared" si="105"/>
        <v>N.M.</v>
      </c>
      <c r="J374" s="174"/>
      <c r="K374" s="256">
        <v>3209.985</v>
      </c>
      <c r="L374" s="16">
        <f t="shared" si="106"/>
        <v>-781.4900000000002</v>
      </c>
      <c r="M374" s="53" t="str">
        <f t="shared" si="107"/>
        <v>N.M.</v>
      </c>
      <c r="N374" s="174"/>
      <c r="O374" s="256">
        <v>0</v>
      </c>
      <c r="P374" s="16">
        <f t="shared" si="108"/>
        <v>2428.495</v>
      </c>
      <c r="Q374" s="53" t="str">
        <f t="shared" si="109"/>
        <v>N.M.</v>
      </c>
    </row>
    <row r="375" spans="1:17" s="15" customFormat="1" ht="12.75" hidden="1" outlineLevel="2">
      <c r="A375" s="15" t="s">
        <v>1026</v>
      </c>
      <c r="B375" s="15" t="s">
        <v>1027</v>
      </c>
      <c r="C375" s="134" t="s">
        <v>1028</v>
      </c>
      <c r="D375" s="16"/>
      <c r="E375" s="16"/>
      <c r="F375" s="16">
        <v>495839</v>
      </c>
      <c r="G375" s="16">
        <v>0</v>
      </c>
      <c r="H375" s="16">
        <f t="shared" si="104"/>
        <v>495839</v>
      </c>
      <c r="I375" s="53" t="str">
        <f t="shared" si="105"/>
        <v>N.M.</v>
      </c>
      <c r="J375" s="174"/>
      <c r="K375" s="256">
        <v>495839</v>
      </c>
      <c r="L375" s="16">
        <f t="shared" si="106"/>
        <v>0</v>
      </c>
      <c r="M375" s="53">
        <f t="shared" si="107"/>
        <v>0</v>
      </c>
      <c r="N375" s="174"/>
      <c r="O375" s="256">
        <v>495839</v>
      </c>
      <c r="P375" s="16">
        <f t="shared" si="108"/>
        <v>0</v>
      </c>
      <c r="Q375" s="53">
        <f t="shared" si="109"/>
        <v>0</v>
      </c>
    </row>
    <row r="376" spans="1:17" s="15" customFormat="1" ht="12.75" hidden="1" outlineLevel="2">
      <c r="A376" s="15" t="s">
        <v>1029</v>
      </c>
      <c r="B376" s="15" t="s">
        <v>1030</v>
      </c>
      <c r="C376" s="134" t="s">
        <v>1031</v>
      </c>
      <c r="D376" s="16"/>
      <c r="E376" s="16"/>
      <c r="F376" s="16">
        <v>211473</v>
      </c>
      <c r="G376" s="16">
        <v>0</v>
      </c>
      <c r="H376" s="16">
        <f t="shared" si="104"/>
        <v>211473</v>
      </c>
      <c r="I376" s="53" t="str">
        <f t="shared" si="105"/>
        <v>N.M.</v>
      </c>
      <c r="J376" s="174"/>
      <c r="K376" s="256">
        <v>211473</v>
      </c>
      <c r="L376" s="16">
        <f t="shared" si="106"/>
        <v>0</v>
      </c>
      <c r="M376" s="53">
        <f t="shared" si="107"/>
        <v>0</v>
      </c>
      <c r="N376" s="174"/>
      <c r="O376" s="256">
        <v>0</v>
      </c>
      <c r="P376" s="16">
        <f t="shared" si="108"/>
        <v>211473</v>
      </c>
      <c r="Q376" s="53" t="str">
        <f t="shared" si="109"/>
        <v>N.M.</v>
      </c>
    </row>
    <row r="377" spans="1:17" s="15" customFormat="1" ht="12.75" hidden="1" outlineLevel="2">
      <c r="A377" s="15" t="s">
        <v>1032</v>
      </c>
      <c r="B377" s="15" t="s">
        <v>1033</v>
      </c>
      <c r="C377" s="134" t="s">
        <v>1034</v>
      </c>
      <c r="D377" s="16"/>
      <c r="E377" s="16"/>
      <c r="F377" s="16">
        <v>1822331.06</v>
      </c>
      <c r="G377" s="16">
        <v>1738026.06</v>
      </c>
      <c r="H377" s="16">
        <f t="shared" si="104"/>
        <v>84305</v>
      </c>
      <c r="I377" s="53">
        <f t="shared" si="105"/>
        <v>0.048506177174351454</v>
      </c>
      <c r="J377" s="174"/>
      <c r="K377" s="256">
        <v>1130375.06</v>
      </c>
      <c r="L377" s="16">
        <f t="shared" si="106"/>
        <v>691956</v>
      </c>
      <c r="M377" s="53" t="str">
        <f t="shared" si="107"/>
        <v>N.M.</v>
      </c>
      <c r="N377" s="174"/>
      <c r="O377" s="256">
        <v>1242187.06</v>
      </c>
      <c r="P377" s="16">
        <f t="shared" si="108"/>
        <v>580144</v>
      </c>
      <c r="Q377" s="53">
        <f t="shared" si="109"/>
        <v>0.467034328952034</v>
      </c>
    </row>
    <row r="378" spans="1:17" s="15" customFormat="1" ht="12.75" hidden="1" outlineLevel="2">
      <c r="A378" s="15" t="s">
        <v>1035</v>
      </c>
      <c r="B378" s="15" t="s">
        <v>1036</v>
      </c>
      <c r="C378" s="134" t="s">
        <v>1037</v>
      </c>
      <c r="D378" s="16"/>
      <c r="E378" s="16"/>
      <c r="F378" s="16">
        <v>331827</v>
      </c>
      <c r="G378" s="16">
        <v>1062554</v>
      </c>
      <c r="H378" s="16">
        <f t="shared" si="104"/>
        <v>-730727</v>
      </c>
      <c r="I378" s="53">
        <f t="shared" si="105"/>
        <v>-0.687708107070323</v>
      </c>
      <c r="J378" s="174"/>
      <c r="K378" s="256">
        <v>738115</v>
      </c>
      <c r="L378" s="16">
        <f t="shared" si="106"/>
        <v>-406288</v>
      </c>
      <c r="M378" s="53" t="str">
        <f t="shared" si="107"/>
        <v>N.M.</v>
      </c>
      <c r="N378" s="174"/>
      <c r="O378" s="256">
        <v>965474</v>
      </c>
      <c r="P378" s="16">
        <f t="shared" si="108"/>
        <v>-633647</v>
      </c>
      <c r="Q378" s="53">
        <f t="shared" si="109"/>
        <v>-0.6563066431618044</v>
      </c>
    </row>
    <row r="379" spans="1:17" s="15" customFormat="1" ht="12.75" hidden="1" outlineLevel="2">
      <c r="A379" s="15" t="s">
        <v>1038</v>
      </c>
      <c r="B379" s="15" t="s">
        <v>1039</v>
      </c>
      <c r="C379" s="134" t="s">
        <v>1040</v>
      </c>
      <c r="D379" s="16"/>
      <c r="E379" s="16"/>
      <c r="F379" s="16">
        <v>-2389490</v>
      </c>
      <c r="G379" s="16">
        <v>-1809347</v>
      </c>
      <c r="H379" s="16">
        <f t="shared" si="104"/>
        <v>-580143</v>
      </c>
      <c r="I379" s="53">
        <f t="shared" si="105"/>
        <v>-0.3206366716832095</v>
      </c>
      <c r="J379" s="174"/>
      <c r="K379" s="256">
        <v>-1697535</v>
      </c>
      <c r="L379" s="16">
        <f t="shared" si="106"/>
        <v>-691955</v>
      </c>
      <c r="M379" s="53" t="str">
        <f t="shared" si="107"/>
        <v>N.M.</v>
      </c>
      <c r="N379" s="174"/>
      <c r="O379" s="256">
        <v>-1809347</v>
      </c>
      <c r="P379" s="16">
        <f t="shared" si="108"/>
        <v>-580143</v>
      </c>
      <c r="Q379" s="53">
        <f t="shared" si="109"/>
        <v>-0.3206366716832095</v>
      </c>
    </row>
    <row r="380" spans="1:17" s="15" customFormat="1" ht="12.75" hidden="1" outlineLevel="2">
      <c r="A380" s="15" t="s">
        <v>1041</v>
      </c>
      <c r="B380" s="15" t="s">
        <v>1042</v>
      </c>
      <c r="C380" s="134" t="s">
        <v>1043</v>
      </c>
      <c r="D380" s="16"/>
      <c r="E380" s="16"/>
      <c r="F380" s="16">
        <v>-377056</v>
      </c>
      <c r="G380" s="16">
        <v>-271007</v>
      </c>
      <c r="H380" s="16">
        <f t="shared" si="104"/>
        <v>-106049</v>
      </c>
      <c r="I380" s="53">
        <f t="shared" si="105"/>
        <v>-0.3913146154896368</v>
      </c>
      <c r="J380" s="174"/>
      <c r="K380" s="256">
        <v>-244199</v>
      </c>
      <c r="L380" s="16">
        <f t="shared" si="106"/>
        <v>-132857</v>
      </c>
      <c r="M380" s="53" t="str">
        <f t="shared" si="107"/>
        <v>N.M.</v>
      </c>
      <c r="N380" s="174"/>
      <c r="O380" s="256">
        <v>-260095</v>
      </c>
      <c r="P380" s="16">
        <f t="shared" si="108"/>
        <v>-116961</v>
      </c>
      <c r="Q380" s="53">
        <f t="shared" si="109"/>
        <v>-0.44968569176646994</v>
      </c>
    </row>
    <row r="381" spans="1:17" ht="12.75" collapsed="1">
      <c r="A381" s="11" t="s">
        <v>270</v>
      </c>
      <c r="C381" s="228" t="s">
        <v>201</v>
      </c>
      <c r="E381" s="11"/>
      <c r="F381" s="18">
        <v>6167768.025</v>
      </c>
      <c r="G381" s="18">
        <v>-10994270.66</v>
      </c>
      <c r="H381" s="51">
        <f>+F381-G381</f>
        <v>17162038.685000002</v>
      </c>
      <c r="I381" s="136">
        <f>IF(G381&lt;0,IF(H381=0,0,IF(OR(G381=0,F381=0),"N.M.",IF(ABS(H381/G381)&gt;=10,"N.M.",H381/(-G381)))),IF(H381=0,0,IF(OR(G381=0,F381=0),"N.M.",IF(ABS(H381/G381)&gt;=10,"N.M.",H381/G381))))</f>
        <v>1.5609983795869187</v>
      </c>
      <c r="J381" s="166"/>
      <c r="K381" s="18">
        <v>1353937.2449999982</v>
      </c>
      <c r="L381" s="51">
        <f>+F381-K381</f>
        <v>4813830.780000002</v>
      </c>
      <c r="M381" s="136" t="str">
        <f>IF(K381&lt;0,IF(L381=0,0,IF(OR(K381=0,N381=0),"N.M.",IF(ABS(L381/K381)&gt;=10,"N.M.",L381/(-K381)))),IF(L381=0,0,IF(OR(K381=0,N381=0),"N.M.",IF(ABS(L381/K381)&gt;=10,"N.M.",L381/K381))))</f>
        <v>N.M.</v>
      </c>
      <c r="N381" s="166"/>
      <c r="O381" s="18">
        <v>-16776979.470000004</v>
      </c>
      <c r="P381" s="51">
        <f>+F381-O381</f>
        <v>22944747.495000005</v>
      </c>
      <c r="Q381" s="136">
        <f>IF(O381&lt;0,IF(P381=0,0,IF(OR(O381=0,F381=0),"N.M.",IF(ABS(P381/O381)&gt;=10,"N.M.",P381/(-O381)))),IF(P381=0,0,IF(OR(O381=0,F381=0),"N.M.",IF(ABS(P381/O381)&gt;=10,"N.M.",P381/O381))))</f>
        <v>1.367632805179799</v>
      </c>
    </row>
    <row r="382" spans="3:17" ht="0.75" customHeight="1" hidden="1" outlineLevel="1">
      <c r="C382" s="228"/>
      <c r="E382" s="11"/>
      <c r="H382" s="51"/>
      <c r="I382" s="136"/>
      <c r="J382" s="166"/>
      <c r="K382" s="18"/>
      <c r="L382" s="51"/>
      <c r="M382" s="136"/>
      <c r="N382" s="166"/>
      <c r="O382" s="18"/>
      <c r="P382" s="51"/>
      <c r="Q382" s="136"/>
    </row>
    <row r="383" spans="1:17" s="15" customFormat="1" ht="12.75" hidden="1" outlineLevel="2">
      <c r="A383" s="15" t="s">
        <v>1044</v>
      </c>
      <c r="B383" s="15" t="s">
        <v>1045</v>
      </c>
      <c r="C383" s="134" t="s">
        <v>1046</v>
      </c>
      <c r="D383" s="16"/>
      <c r="E383" s="16"/>
      <c r="F383" s="16">
        <v>10838488.93</v>
      </c>
      <c r="G383" s="16">
        <v>10838488.9</v>
      </c>
      <c r="H383" s="16">
        <f aca="true" t="shared" si="110" ref="H383:H388">+F383-G383</f>
        <v>0.029999999329447746</v>
      </c>
      <c r="I383" s="53">
        <f aca="true" t="shared" si="111" ref="I383:I388">IF(G383&lt;0,IF(H383=0,0,IF(OR(G383=0,F383=0),"N.M.",IF(ABS(H383/G383)&gt;=10,"N.M.",H383/(-G383)))),IF(H383=0,0,IF(OR(G383=0,F383=0),"N.M.",IF(ABS(H383/G383)&gt;=10,"N.M.",H383/G383))))</f>
        <v>2.7679134615756028E-09</v>
      </c>
      <c r="J383" s="174"/>
      <c r="K383" s="256">
        <v>8013009.76</v>
      </c>
      <c r="L383" s="16">
        <f aca="true" t="shared" si="112" ref="L383:L388">+F383-K383</f>
        <v>2825479.17</v>
      </c>
      <c r="M383" s="53" t="str">
        <f aca="true" t="shared" si="113" ref="M383:M388">IF(K383&lt;0,IF(L383=0,0,IF(OR(K383=0,N383=0),"N.M.",IF(ABS(L383/K383)&gt;=10,"N.M.",L383/(-K383)))),IF(L383=0,0,IF(OR(K383=0,N383=0),"N.M.",IF(ABS(L383/K383)&gt;=10,"N.M.",L383/K383))))</f>
        <v>N.M.</v>
      </c>
      <c r="N383" s="174"/>
      <c r="O383" s="256">
        <v>6461093.06</v>
      </c>
      <c r="P383" s="16">
        <f aca="true" t="shared" si="114" ref="P383:P388">+F383-O383</f>
        <v>4377395.87</v>
      </c>
      <c r="Q383" s="53">
        <f aca="true" t="shared" si="115" ref="Q383:Q388">IF(O383&lt;0,IF(P383=0,0,IF(OR(O383=0,F383=0),"N.M.",IF(ABS(P383/O383)&gt;=10,"N.M.",P383/(-O383)))),IF(P383=0,0,IF(OR(O383=0,F383=0),"N.M.",IF(ABS(P383/O383)&gt;=10,"N.M.",P383/O383))))</f>
        <v>0.67750082367642</v>
      </c>
    </row>
    <row r="384" spans="1:17" s="15" customFormat="1" ht="12.75" hidden="1" outlineLevel="2">
      <c r="A384" s="15" t="s">
        <v>1047</v>
      </c>
      <c r="B384" s="15" t="s">
        <v>1048</v>
      </c>
      <c r="C384" s="134" t="s">
        <v>1049</v>
      </c>
      <c r="D384" s="16"/>
      <c r="E384" s="16"/>
      <c r="F384" s="16">
        <v>928100.14</v>
      </c>
      <c r="G384" s="16">
        <v>830563.4500000001</v>
      </c>
      <c r="H384" s="16">
        <f t="shared" si="110"/>
        <v>97536.68999999994</v>
      </c>
      <c r="I384" s="53">
        <f t="shared" si="111"/>
        <v>0.11743436338307439</v>
      </c>
      <c r="J384" s="174"/>
      <c r="K384" s="256">
        <v>844588.8</v>
      </c>
      <c r="L384" s="16">
        <f t="shared" si="112"/>
        <v>83511.33999999997</v>
      </c>
      <c r="M384" s="53" t="str">
        <f t="shared" si="113"/>
        <v>N.M.</v>
      </c>
      <c r="N384" s="174"/>
      <c r="O384" s="256">
        <v>915060.68</v>
      </c>
      <c r="P384" s="16">
        <f t="shared" si="114"/>
        <v>13039.459999999963</v>
      </c>
      <c r="Q384" s="53">
        <f t="shared" si="115"/>
        <v>0.014249830951101475</v>
      </c>
    </row>
    <row r="385" spans="1:17" s="15" customFormat="1" ht="12.75" hidden="1" outlineLevel="2">
      <c r="A385" s="15" t="s">
        <v>1050</v>
      </c>
      <c r="B385" s="15" t="s">
        <v>1051</v>
      </c>
      <c r="C385" s="134" t="s">
        <v>1052</v>
      </c>
      <c r="D385" s="16"/>
      <c r="E385" s="16"/>
      <c r="F385" s="16">
        <v>2997.974</v>
      </c>
      <c r="G385" s="16">
        <v>2476.3540000000003</v>
      </c>
      <c r="H385" s="16">
        <f t="shared" si="110"/>
        <v>521.6199999999999</v>
      </c>
      <c r="I385" s="53">
        <f t="shared" si="111"/>
        <v>0.21064032040653308</v>
      </c>
      <c r="J385" s="174"/>
      <c r="K385" s="256">
        <v>2953.164</v>
      </c>
      <c r="L385" s="16">
        <f t="shared" si="112"/>
        <v>44.809999999999945</v>
      </c>
      <c r="M385" s="53" t="str">
        <f t="shared" si="113"/>
        <v>N.M.</v>
      </c>
      <c r="N385" s="174"/>
      <c r="O385" s="256">
        <v>2466.694</v>
      </c>
      <c r="P385" s="16">
        <f t="shared" si="114"/>
        <v>531.2800000000002</v>
      </c>
      <c r="Q385" s="53">
        <f t="shared" si="115"/>
        <v>0.21538139712505897</v>
      </c>
    </row>
    <row r="386" spans="1:17" s="15" customFormat="1" ht="12.75" hidden="1" outlineLevel="2">
      <c r="A386" s="15" t="s">
        <v>1053</v>
      </c>
      <c r="B386" s="15" t="s">
        <v>1054</v>
      </c>
      <c r="C386" s="134" t="s">
        <v>1055</v>
      </c>
      <c r="D386" s="16"/>
      <c r="E386" s="16"/>
      <c r="F386" s="16">
        <v>727519</v>
      </c>
      <c r="G386" s="16">
        <v>605178</v>
      </c>
      <c r="H386" s="16">
        <f t="shared" si="110"/>
        <v>122341</v>
      </c>
      <c r="I386" s="53">
        <f t="shared" si="111"/>
        <v>0.20215705131382833</v>
      </c>
      <c r="J386" s="174"/>
      <c r="K386" s="256">
        <v>727519</v>
      </c>
      <c r="L386" s="16">
        <f t="shared" si="112"/>
        <v>0</v>
      </c>
      <c r="M386" s="53">
        <f t="shared" si="113"/>
        <v>0</v>
      </c>
      <c r="N386" s="174"/>
      <c r="O386" s="256">
        <v>0</v>
      </c>
      <c r="P386" s="16">
        <f t="shared" si="114"/>
        <v>727519</v>
      </c>
      <c r="Q386" s="53" t="str">
        <f t="shared" si="115"/>
        <v>N.M.</v>
      </c>
    </row>
    <row r="387" spans="1:17" s="15" customFormat="1" ht="12.75" hidden="1" outlineLevel="2">
      <c r="A387" s="15" t="s">
        <v>1056</v>
      </c>
      <c r="B387" s="15" t="s">
        <v>1057</v>
      </c>
      <c r="C387" s="134" t="s">
        <v>1058</v>
      </c>
      <c r="D387" s="16"/>
      <c r="E387" s="16"/>
      <c r="F387" s="16">
        <v>143088</v>
      </c>
      <c r="G387" s="16">
        <v>174329</v>
      </c>
      <c r="H387" s="16">
        <f t="shared" si="110"/>
        <v>-31241</v>
      </c>
      <c r="I387" s="53">
        <f t="shared" si="111"/>
        <v>-0.1792071313436089</v>
      </c>
      <c r="J387" s="174"/>
      <c r="K387" s="256">
        <v>456864</v>
      </c>
      <c r="L387" s="16">
        <f t="shared" si="112"/>
        <v>-313776</v>
      </c>
      <c r="M387" s="53" t="str">
        <f t="shared" si="113"/>
        <v>N.M.</v>
      </c>
      <c r="N387" s="174"/>
      <c r="O387" s="256">
        <v>388706</v>
      </c>
      <c r="P387" s="16">
        <f t="shared" si="114"/>
        <v>-245618</v>
      </c>
      <c r="Q387" s="53">
        <f t="shared" si="115"/>
        <v>-0.6318863099617706</v>
      </c>
    </row>
    <row r="388" spans="1:17" ht="12.75" collapsed="1">
      <c r="A388" s="11" t="s">
        <v>271</v>
      </c>
      <c r="C388" s="228" t="s">
        <v>202</v>
      </c>
      <c r="E388" s="11"/>
      <c r="F388" s="18">
        <v>12640194.044</v>
      </c>
      <c r="G388" s="18">
        <v>12451035.704</v>
      </c>
      <c r="H388" s="51">
        <f t="shared" si="110"/>
        <v>189158.33999999985</v>
      </c>
      <c r="I388" s="136">
        <f t="shared" si="111"/>
        <v>0.015192177140672012</v>
      </c>
      <c r="J388" s="166"/>
      <c r="K388" s="18">
        <v>10044934.724000001</v>
      </c>
      <c r="L388" s="51">
        <f t="shared" si="112"/>
        <v>2595259.3199999984</v>
      </c>
      <c r="M388" s="136" t="str">
        <f t="shared" si="113"/>
        <v>N.M.</v>
      </c>
      <c r="N388" s="166"/>
      <c r="O388" s="18">
        <v>7767326.433999999</v>
      </c>
      <c r="P388" s="51">
        <f t="shared" si="114"/>
        <v>4872867.61</v>
      </c>
      <c r="Q388" s="136">
        <f t="shared" si="115"/>
        <v>0.62735455390029</v>
      </c>
    </row>
    <row r="389" spans="3:17" ht="0.75" customHeight="1" hidden="1" outlineLevel="1">
      <c r="C389" s="228"/>
      <c r="E389" s="11"/>
      <c r="H389" s="51"/>
      <c r="I389" s="136"/>
      <c r="J389" s="166"/>
      <c r="K389" s="18"/>
      <c r="L389" s="51"/>
      <c r="M389" s="136"/>
      <c r="N389" s="166"/>
      <c r="O389" s="18"/>
      <c r="P389" s="51"/>
      <c r="Q389" s="136"/>
    </row>
    <row r="390" spans="1:17" ht="12.75" collapsed="1">
      <c r="A390" s="11" t="s">
        <v>272</v>
      </c>
      <c r="C390" s="228" t="s">
        <v>203</v>
      </c>
      <c r="E390" s="11"/>
      <c r="F390" s="18">
        <v>0</v>
      </c>
      <c r="G390" s="18">
        <v>0</v>
      </c>
      <c r="H390" s="51">
        <f>+F390-G390</f>
        <v>0</v>
      </c>
      <c r="I390" s="136">
        <f>IF(G390&lt;0,IF(H390=0,0,IF(OR(G390=0,F390=0),"N.M.",IF(ABS(H390/G390)&gt;=10,"N.M.",H390/(-G390)))),IF(H390=0,0,IF(OR(G390=0,F390=0),"N.M.",IF(ABS(H390/G390)&gt;=10,"N.M.",H390/G390))))</f>
        <v>0</v>
      </c>
      <c r="J390" s="166"/>
      <c r="K390" s="18">
        <v>0</v>
      </c>
      <c r="L390" s="51">
        <f>+F390-K390</f>
        <v>0</v>
      </c>
      <c r="M390" s="136">
        <f>IF(K390&lt;0,IF(L390=0,0,IF(OR(K390=0,N390=0),"N.M.",IF(ABS(L390/K390)&gt;=10,"N.M.",L390/(-K390)))),IF(L390=0,0,IF(OR(K390=0,N390=0),"N.M.",IF(ABS(L390/K390)&gt;=10,"N.M.",L390/K390))))</f>
        <v>0</v>
      </c>
      <c r="N390" s="166"/>
      <c r="O390" s="18">
        <v>0</v>
      </c>
      <c r="P390" s="51">
        <f>+F390-O390</f>
        <v>0</v>
      </c>
      <c r="Q390" s="136">
        <f>IF(O390&lt;0,IF(P390=0,0,IF(OR(O390=0,F390=0),"N.M.",IF(ABS(P390/O390)&gt;=10,"N.M.",P390/(-O390)))),IF(P390=0,0,IF(OR(O390=0,F390=0),"N.M.",IF(ABS(P390/O390)&gt;=10,"N.M.",P390/O390))))</f>
        <v>0</v>
      </c>
    </row>
    <row r="391" spans="3:17" ht="0.75" customHeight="1" hidden="1" outlineLevel="1">
      <c r="C391" s="228"/>
      <c r="E391" s="11"/>
      <c r="H391" s="51"/>
      <c r="I391" s="136"/>
      <c r="J391" s="166"/>
      <c r="K391" s="18"/>
      <c r="L391" s="51"/>
      <c r="M391" s="136"/>
      <c r="N391" s="166"/>
      <c r="O391" s="18"/>
      <c r="P391" s="51"/>
      <c r="Q391" s="136"/>
    </row>
    <row r="392" spans="1:17" s="15" customFormat="1" ht="12.75" hidden="1" outlineLevel="2">
      <c r="A392" s="15" t="s">
        <v>1059</v>
      </c>
      <c r="B392" s="15" t="s">
        <v>1060</v>
      </c>
      <c r="C392" s="134" t="s">
        <v>1061</v>
      </c>
      <c r="D392" s="16"/>
      <c r="E392" s="16"/>
      <c r="F392" s="16">
        <v>1682768.21</v>
      </c>
      <c r="G392" s="16">
        <v>752314.38</v>
      </c>
      <c r="H392" s="16">
        <f>+F392-G392</f>
        <v>930453.83</v>
      </c>
      <c r="I392" s="53">
        <f>IF(G392&lt;0,IF(H392=0,0,IF(OR(G392=0,F392=0),"N.M.",IF(ABS(H392/G392)&gt;=10,"N.M.",H392/(-G392)))),IF(H392=0,0,IF(OR(G392=0,F392=0),"N.M.",IF(ABS(H392/G392)&gt;=10,"N.M.",H392/G392))))</f>
        <v>1.2367885750103567</v>
      </c>
      <c r="J392" s="174"/>
      <c r="K392" s="256">
        <v>1709778.27</v>
      </c>
      <c r="L392" s="16">
        <f>+F392-K392</f>
        <v>-27010.060000000056</v>
      </c>
      <c r="M392" s="53" t="str">
        <f>IF(K392&lt;0,IF(L392=0,0,IF(OR(K392=0,N392=0),"N.M.",IF(ABS(L392/K392)&gt;=10,"N.M.",L392/(-K392)))),IF(L392=0,0,IF(OR(K392=0,N392=0),"N.M.",IF(ABS(L392/K392)&gt;=10,"N.M.",L392/K392))))</f>
        <v>N.M.</v>
      </c>
      <c r="N392" s="174"/>
      <c r="O392" s="256">
        <v>639400.16</v>
      </c>
      <c r="P392" s="16">
        <f>+F392-O392</f>
        <v>1043368.0499999999</v>
      </c>
      <c r="Q392" s="53">
        <f>IF(O392&lt;0,IF(P392=0,0,IF(OR(O392=0,F392=0),"N.M.",IF(ABS(P392/O392)&gt;=10,"N.M.",P392/(-O392)))),IF(P392=0,0,IF(OR(O392=0,F392=0),"N.M.",IF(ABS(P392/O392)&gt;=10,"N.M.",P392/O392))))</f>
        <v>1.6317919751537127</v>
      </c>
    </row>
    <row r="393" spans="1:17" s="15" customFormat="1" ht="12.75" hidden="1" outlineLevel="2">
      <c r="A393" s="15" t="s">
        <v>1062</v>
      </c>
      <c r="B393" s="15" t="s">
        <v>1063</v>
      </c>
      <c r="C393" s="134" t="s">
        <v>1064</v>
      </c>
      <c r="D393" s="16"/>
      <c r="E393" s="16"/>
      <c r="F393" s="16">
        <v>2167.45</v>
      </c>
      <c r="G393" s="16">
        <v>4113.87</v>
      </c>
      <c r="H393" s="16">
        <f>+F393-G393</f>
        <v>-1946.42</v>
      </c>
      <c r="I393" s="53">
        <f>IF(G393&lt;0,IF(H393=0,0,IF(OR(G393=0,F393=0),"N.M.",IF(ABS(H393/G393)&gt;=10,"N.M.",H393/(-G393)))),IF(H393=0,0,IF(OR(G393=0,F393=0),"N.M.",IF(ABS(H393/G393)&gt;=10,"N.M.",H393/G393))))</f>
        <v>-0.47313600089453484</v>
      </c>
      <c r="J393" s="174"/>
      <c r="K393" s="256">
        <v>25.51</v>
      </c>
      <c r="L393" s="16">
        <f>+F393-K393</f>
        <v>2141.9399999999996</v>
      </c>
      <c r="M393" s="53" t="str">
        <f>IF(K393&lt;0,IF(L393=0,0,IF(OR(K393=0,N393=0),"N.M.",IF(ABS(L393/K393)&gt;=10,"N.M.",L393/(-K393)))),IF(L393=0,0,IF(OR(K393=0,N393=0),"N.M.",IF(ABS(L393/K393)&gt;=10,"N.M.",L393/K393))))</f>
        <v>N.M.</v>
      </c>
      <c r="N393" s="174"/>
      <c r="O393" s="256">
        <v>302.72</v>
      </c>
      <c r="P393" s="16">
        <f>+F393-O393</f>
        <v>1864.7299999999998</v>
      </c>
      <c r="Q393" s="53">
        <f>IF(O393&lt;0,IF(P393=0,0,IF(OR(O393=0,F393=0),"N.M.",IF(ABS(P393/O393)&gt;=10,"N.M.",P393/(-O393)))),IF(P393=0,0,IF(OR(O393=0,F393=0),"N.M.",IF(ABS(P393/O393)&gt;=10,"N.M.",P393/O393))))</f>
        <v>6.159916754756869</v>
      </c>
    </row>
    <row r="394" spans="1:17" ht="12.75" collapsed="1">
      <c r="A394" s="11" t="s">
        <v>273</v>
      </c>
      <c r="C394" s="228" t="s">
        <v>204</v>
      </c>
      <c r="E394" s="11"/>
      <c r="F394" s="18">
        <v>1684935.66</v>
      </c>
      <c r="G394" s="18">
        <v>756428.25</v>
      </c>
      <c r="H394" s="51">
        <f>+F394-G394</f>
        <v>928507.4099999999</v>
      </c>
      <c r="I394" s="136">
        <f>IF(G394&lt;0,IF(H394=0,0,IF(OR(G394=0,F394=0),"N.M.",IF(ABS(H394/G394)&gt;=10,"N.M.",H394/(-G394)))),IF(H394=0,0,IF(OR(G394=0,F394=0),"N.M.",IF(ABS(H394/G394)&gt;=10,"N.M.",H394/G394))))</f>
        <v>1.2274890711709934</v>
      </c>
      <c r="J394" s="166"/>
      <c r="K394" s="18">
        <v>1709803.78</v>
      </c>
      <c r="L394" s="51">
        <f>+F394-K394</f>
        <v>-24868.12000000011</v>
      </c>
      <c r="M394" s="136" t="str">
        <f>IF(K394&lt;0,IF(L394=0,0,IF(OR(K394=0,N394=0),"N.M.",IF(ABS(L394/K394)&gt;=10,"N.M.",L394/(-K394)))),IF(L394=0,0,IF(OR(K394=0,N394=0),"N.M.",IF(ABS(L394/K394)&gt;=10,"N.M.",L394/K394))))</f>
        <v>N.M.</v>
      </c>
      <c r="N394" s="166"/>
      <c r="O394" s="18">
        <v>639702.88</v>
      </c>
      <c r="P394" s="51">
        <f>+F394-O394</f>
        <v>1045232.7799999999</v>
      </c>
      <c r="Q394" s="136">
        <f>IF(O394&lt;0,IF(P394=0,0,IF(OR(O394=0,F394=0),"N.M.",IF(ABS(P394/O394)&gt;=10,"N.M.",P394/(-O394)))),IF(P394=0,0,IF(OR(O394=0,F394=0),"N.M.",IF(ABS(P394/O394)&gt;=10,"N.M.",P394/O394))))</f>
        <v>1.6339347729683504</v>
      </c>
    </row>
    <row r="395" spans="3:17" ht="0.75" customHeight="1" hidden="1" outlineLevel="1">
      <c r="C395" s="228"/>
      <c r="E395" s="11"/>
      <c r="H395" s="51"/>
      <c r="I395" s="136"/>
      <c r="J395" s="166"/>
      <c r="K395" s="18"/>
      <c r="L395" s="51"/>
      <c r="M395" s="136"/>
      <c r="N395" s="166"/>
      <c r="O395" s="18"/>
      <c r="P395" s="51"/>
      <c r="Q395" s="136"/>
    </row>
    <row r="396" spans="1:17" s="15" customFormat="1" ht="12.75" hidden="1" outlineLevel="2">
      <c r="A396" s="15" t="s">
        <v>1065</v>
      </c>
      <c r="B396" s="15" t="s">
        <v>1066</v>
      </c>
      <c r="C396" s="134" t="s">
        <v>1067</v>
      </c>
      <c r="D396" s="16"/>
      <c r="E396" s="16"/>
      <c r="F396" s="16">
        <v>9285582.55</v>
      </c>
      <c r="G396" s="16">
        <v>9719049.29</v>
      </c>
      <c r="H396" s="16">
        <f aca="true" t="shared" si="116" ref="H396:H401">+F396-G396</f>
        <v>-433466.73999999836</v>
      </c>
      <c r="I396" s="53">
        <f aca="true" t="shared" si="117" ref="I396:I401">IF(G396&lt;0,IF(H396=0,0,IF(OR(G396=0,F396=0),"N.M.",IF(ABS(H396/G396)&gt;=10,"N.M.",H396/(-G396)))),IF(H396=0,0,IF(OR(G396=0,F396=0),"N.M.",IF(ABS(H396/G396)&gt;=10,"N.M.",H396/G396))))</f>
        <v>-0.044599705903950446</v>
      </c>
      <c r="J396" s="174"/>
      <c r="K396" s="256">
        <v>12261925.13</v>
      </c>
      <c r="L396" s="16">
        <f aca="true" t="shared" si="118" ref="L396:L401">+F396-K396</f>
        <v>-2976342.58</v>
      </c>
      <c r="M396" s="53" t="str">
        <f aca="true" t="shared" si="119" ref="M396:M401">IF(K396&lt;0,IF(L396=0,0,IF(OR(K396=0,N396=0),"N.M.",IF(ABS(L396/K396)&gt;=10,"N.M.",L396/(-K396)))),IF(L396=0,0,IF(OR(K396=0,N396=0),"N.M.",IF(ABS(L396/K396)&gt;=10,"N.M.",L396/K396))))</f>
        <v>N.M.</v>
      </c>
      <c r="N396" s="174"/>
      <c r="O396" s="256">
        <v>8456385.992</v>
      </c>
      <c r="P396" s="16">
        <f aca="true" t="shared" si="120" ref="P396:P401">+F396-O396</f>
        <v>829196.5580000002</v>
      </c>
      <c r="Q396" s="53">
        <f aca="true" t="shared" si="121" ref="Q396:Q401">IF(O396&lt;0,IF(P396=0,0,IF(OR(O396=0,F396=0),"N.M.",IF(ABS(P396/O396)&gt;=10,"N.M.",P396/(-O396)))),IF(P396=0,0,IF(OR(O396=0,F396=0),"N.M.",IF(ABS(P396/O396)&gt;=10,"N.M.",P396/O396))))</f>
        <v>0.09805566571635276</v>
      </c>
    </row>
    <row r="397" spans="1:17" s="15" customFormat="1" ht="12.75" hidden="1" outlineLevel="2">
      <c r="A397" s="15" t="s">
        <v>1068</v>
      </c>
      <c r="B397" s="15" t="s">
        <v>1069</v>
      </c>
      <c r="C397" s="134" t="s">
        <v>1070</v>
      </c>
      <c r="D397" s="16"/>
      <c r="E397" s="16"/>
      <c r="F397" s="16">
        <v>77747</v>
      </c>
      <c r="G397" s="16">
        <v>125597.94</v>
      </c>
      <c r="H397" s="16">
        <f t="shared" si="116"/>
        <v>-47850.94</v>
      </c>
      <c r="I397" s="53">
        <f t="shared" si="117"/>
        <v>-0.3809850702965351</v>
      </c>
      <c r="J397" s="174"/>
      <c r="K397" s="256">
        <v>131704</v>
      </c>
      <c r="L397" s="16">
        <f t="shared" si="118"/>
        <v>-53957</v>
      </c>
      <c r="M397" s="53" t="str">
        <f t="shared" si="119"/>
        <v>N.M.</v>
      </c>
      <c r="N397" s="174"/>
      <c r="O397" s="256">
        <v>108999.26000000001</v>
      </c>
      <c r="P397" s="16">
        <f t="shared" si="120"/>
        <v>-31252.26000000001</v>
      </c>
      <c r="Q397" s="53">
        <f t="shared" si="121"/>
        <v>-0.28671992819033826</v>
      </c>
    </row>
    <row r="398" spans="1:17" s="15" customFormat="1" ht="12.75" hidden="1" outlineLevel="2">
      <c r="A398" s="15" t="s">
        <v>1071</v>
      </c>
      <c r="B398" s="15" t="s">
        <v>1072</v>
      </c>
      <c r="C398" s="134" t="s">
        <v>1073</v>
      </c>
      <c r="D398" s="16"/>
      <c r="E398" s="16"/>
      <c r="F398" s="16">
        <v>66733.48</v>
      </c>
      <c r="G398" s="16">
        <v>20689.15</v>
      </c>
      <c r="H398" s="16">
        <f t="shared" si="116"/>
        <v>46044.329999999994</v>
      </c>
      <c r="I398" s="53">
        <f t="shared" si="117"/>
        <v>2.225530290031248</v>
      </c>
      <c r="J398" s="174"/>
      <c r="K398" s="256">
        <v>67545.68000000001</v>
      </c>
      <c r="L398" s="16">
        <f t="shared" si="118"/>
        <v>-812.2000000000116</v>
      </c>
      <c r="M398" s="53" t="str">
        <f t="shared" si="119"/>
        <v>N.M.</v>
      </c>
      <c r="N398" s="174"/>
      <c r="O398" s="256">
        <v>23583.87</v>
      </c>
      <c r="P398" s="16">
        <f t="shared" si="120"/>
        <v>43149.61</v>
      </c>
      <c r="Q398" s="53">
        <f t="shared" si="121"/>
        <v>1.8296238064405885</v>
      </c>
    </row>
    <row r="399" spans="1:17" s="15" customFormat="1" ht="12.75" hidden="1" outlineLevel="2">
      <c r="A399" s="15" t="s">
        <v>1074</v>
      </c>
      <c r="B399" s="15" t="s">
        <v>1075</v>
      </c>
      <c r="C399" s="134" t="s">
        <v>1076</v>
      </c>
      <c r="D399" s="16"/>
      <c r="E399" s="16"/>
      <c r="F399" s="16">
        <v>-3552756</v>
      </c>
      <c r="G399" s="16">
        <v>-4874579</v>
      </c>
      <c r="H399" s="16">
        <f t="shared" si="116"/>
        <v>1321823</v>
      </c>
      <c r="I399" s="53">
        <f t="shared" si="117"/>
        <v>0.2711665971563903</v>
      </c>
      <c r="J399" s="174"/>
      <c r="K399" s="256">
        <v>-4646499</v>
      </c>
      <c r="L399" s="16">
        <f t="shared" si="118"/>
        <v>1093743</v>
      </c>
      <c r="M399" s="53" t="str">
        <f t="shared" si="119"/>
        <v>N.M.</v>
      </c>
      <c r="N399" s="174"/>
      <c r="O399" s="256">
        <v>-4096078</v>
      </c>
      <c r="P399" s="16">
        <f t="shared" si="120"/>
        <v>543322</v>
      </c>
      <c r="Q399" s="53">
        <f t="shared" si="121"/>
        <v>0.1326444467121964</v>
      </c>
    </row>
    <row r="400" spans="1:17" s="15" customFormat="1" ht="12.75" hidden="1" outlineLevel="2">
      <c r="A400" s="15" t="s">
        <v>1077</v>
      </c>
      <c r="B400" s="15" t="s">
        <v>1078</v>
      </c>
      <c r="C400" s="134" t="s">
        <v>1079</v>
      </c>
      <c r="D400" s="16"/>
      <c r="E400" s="16"/>
      <c r="F400" s="16">
        <v>413671</v>
      </c>
      <c r="G400" s="16">
        <v>839652.84</v>
      </c>
      <c r="H400" s="16">
        <f t="shared" si="116"/>
        <v>-425981.83999999997</v>
      </c>
      <c r="I400" s="53">
        <f t="shared" si="117"/>
        <v>-0.5073309107130514</v>
      </c>
      <c r="J400" s="174"/>
      <c r="K400" s="256">
        <v>524503</v>
      </c>
      <c r="L400" s="16">
        <f t="shared" si="118"/>
        <v>-110832</v>
      </c>
      <c r="M400" s="53" t="str">
        <f t="shared" si="119"/>
        <v>N.M.</v>
      </c>
      <c r="N400" s="174"/>
      <c r="O400" s="256">
        <v>697404.62</v>
      </c>
      <c r="P400" s="16">
        <f t="shared" si="120"/>
        <v>-283733.62</v>
      </c>
      <c r="Q400" s="53">
        <f t="shared" si="121"/>
        <v>-0.40684218581746706</v>
      </c>
    </row>
    <row r="401" spans="1:17" ht="12.75" collapsed="1">
      <c r="A401" s="11" t="s">
        <v>274</v>
      </c>
      <c r="C401" s="228" t="s">
        <v>205</v>
      </c>
      <c r="E401" s="11"/>
      <c r="F401" s="18">
        <v>6290978.030000001</v>
      </c>
      <c r="G401" s="18">
        <v>5830410.219999999</v>
      </c>
      <c r="H401" s="51">
        <f t="shared" si="116"/>
        <v>460567.8100000024</v>
      </c>
      <c r="I401" s="136">
        <f t="shared" si="117"/>
        <v>0.0789940660470375</v>
      </c>
      <c r="J401" s="166"/>
      <c r="K401" s="18">
        <v>8339178.8100000005</v>
      </c>
      <c r="L401" s="51">
        <f t="shared" si="118"/>
        <v>-2048200.7799999993</v>
      </c>
      <c r="M401" s="136" t="str">
        <f t="shared" si="119"/>
        <v>N.M.</v>
      </c>
      <c r="N401" s="166"/>
      <c r="O401" s="18">
        <v>5190295.742</v>
      </c>
      <c r="P401" s="51">
        <f t="shared" si="120"/>
        <v>1100682.2880000016</v>
      </c>
      <c r="Q401" s="136">
        <f t="shared" si="121"/>
        <v>0.21206542800504674</v>
      </c>
    </row>
    <row r="402" spans="3:17" ht="0.75" customHeight="1" hidden="1" outlineLevel="1">
      <c r="C402" s="228"/>
      <c r="E402" s="11"/>
      <c r="H402" s="18"/>
      <c r="I402" s="141"/>
      <c r="J402" s="166"/>
      <c r="K402" s="18"/>
      <c r="L402" s="18"/>
      <c r="M402" s="141"/>
      <c r="N402" s="166"/>
      <c r="O402" s="18"/>
      <c r="P402" s="18"/>
      <c r="Q402" s="141"/>
    </row>
    <row r="403" spans="1:17" s="15" customFormat="1" ht="12.75" hidden="1" outlineLevel="2">
      <c r="A403" s="15" t="s">
        <v>1080</v>
      </c>
      <c r="B403" s="15" t="s">
        <v>1081</v>
      </c>
      <c r="C403" s="134" t="s">
        <v>1082</v>
      </c>
      <c r="D403" s="16"/>
      <c r="E403" s="16"/>
      <c r="F403" s="16">
        <v>0</v>
      </c>
      <c r="G403" s="16">
        <v>0</v>
      </c>
      <c r="H403" s="16">
        <f aca="true" t="shared" si="122" ref="H403:H410">+F403-G403</f>
        <v>0</v>
      </c>
      <c r="I403" s="53">
        <f aca="true" t="shared" si="123" ref="I403:I410">IF(G403&lt;0,IF(H403=0,0,IF(OR(G403=0,F403=0),"N.M.",IF(ABS(H403/G403)&gt;=10,"N.M.",H403/(-G403)))),IF(H403=0,0,IF(OR(G403=0,F403=0),"N.M.",IF(ABS(H403/G403)&gt;=10,"N.M.",H403/G403))))</f>
        <v>0</v>
      </c>
      <c r="J403" s="174"/>
      <c r="K403" s="256">
        <v>0</v>
      </c>
      <c r="L403" s="16">
        <f aca="true" t="shared" si="124" ref="L403:L410">+F403-K403</f>
        <v>0</v>
      </c>
      <c r="M403" s="53">
        <f aca="true" t="shared" si="125" ref="M403:M410">IF(K403&lt;0,IF(L403=0,0,IF(OR(K403=0,N403=0),"N.M.",IF(ABS(L403/K403)&gt;=10,"N.M.",L403/(-K403)))),IF(L403=0,0,IF(OR(K403=0,N403=0),"N.M.",IF(ABS(L403/K403)&gt;=10,"N.M.",L403/K403))))</f>
        <v>0</v>
      </c>
      <c r="N403" s="174"/>
      <c r="O403" s="256">
        <v>308741.29</v>
      </c>
      <c r="P403" s="16">
        <f aca="true" t="shared" si="126" ref="P403:P410">+F403-O403</f>
        <v>-308741.29</v>
      </c>
      <c r="Q403" s="53" t="str">
        <f aca="true" t="shared" si="127" ref="Q403:Q410">IF(O403&lt;0,IF(P403=0,0,IF(OR(O403=0,F403=0),"N.M.",IF(ABS(P403/O403)&gt;=10,"N.M.",P403/(-O403)))),IF(P403=0,0,IF(OR(O403=0,F403=0),"N.M.",IF(ABS(P403/O403)&gt;=10,"N.M.",P403/O403))))</f>
        <v>N.M.</v>
      </c>
    </row>
    <row r="404" spans="1:17" s="15" customFormat="1" ht="12.75" hidden="1" outlineLevel="2">
      <c r="A404" s="15" t="s">
        <v>1083</v>
      </c>
      <c r="B404" s="15" t="s">
        <v>1084</v>
      </c>
      <c r="C404" s="134" t="s">
        <v>1085</v>
      </c>
      <c r="D404" s="16"/>
      <c r="E404" s="16"/>
      <c r="F404" s="16">
        <v>67067.47</v>
      </c>
      <c r="G404" s="16">
        <v>71572.95</v>
      </c>
      <c r="H404" s="16">
        <f t="shared" si="122"/>
        <v>-4505.479999999996</v>
      </c>
      <c r="I404" s="53">
        <f t="shared" si="123"/>
        <v>-0.06294948021564008</v>
      </c>
      <c r="J404" s="174"/>
      <c r="K404" s="256">
        <v>68728.88</v>
      </c>
      <c r="L404" s="16">
        <f t="shared" si="124"/>
        <v>-1661.4100000000035</v>
      </c>
      <c r="M404" s="53" t="str">
        <f t="shared" si="125"/>
        <v>N.M.</v>
      </c>
      <c r="N404" s="174"/>
      <c r="O404" s="256">
        <v>180727.34</v>
      </c>
      <c r="P404" s="16">
        <f t="shared" si="126"/>
        <v>-113659.87</v>
      </c>
      <c r="Q404" s="53">
        <f t="shared" si="127"/>
        <v>-0.6289024671087396</v>
      </c>
    </row>
    <row r="405" spans="1:17" s="15" customFormat="1" ht="12.75" hidden="1" outlineLevel="2">
      <c r="A405" s="15" t="s">
        <v>1086</v>
      </c>
      <c r="B405" s="15" t="s">
        <v>1087</v>
      </c>
      <c r="C405" s="134" t="s">
        <v>1088</v>
      </c>
      <c r="D405" s="16"/>
      <c r="E405" s="16"/>
      <c r="F405" s="16">
        <v>11202.130000000001</v>
      </c>
      <c r="G405" s="16">
        <v>12924.19</v>
      </c>
      <c r="H405" s="16">
        <f t="shared" si="122"/>
        <v>-1722.0599999999995</v>
      </c>
      <c r="I405" s="53">
        <f t="shared" si="123"/>
        <v>-0.13324316649631424</v>
      </c>
      <c r="J405" s="174"/>
      <c r="K405" s="256">
        <v>5571.95</v>
      </c>
      <c r="L405" s="16">
        <f t="shared" si="124"/>
        <v>5630.180000000001</v>
      </c>
      <c r="M405" s="53" t="str">
        <f t="shared" si="125"/>
        <v>N.M.</v>
      </c>
      <c r="N405" s="174"/>
      <c r="O405" s="256">
        <v>24296.58</v>
      </c>
      <c r="P405" s="16">
        <f t="shared" si="126"/>
        <v>-13094.45</v>
      </c>
      <c r="Q405" s="53">
        <f t="shared" si="127"/>
        <v>-0.5389421062552836</v>
      </c>
    </row>
    <row r="406" spans="1:17" s="15" customFormat="1" ht="12.75" hidden="1" outlineLevel="2">
      <c r="A406" s="15" t="s">
        <v>1089</v>
      </c>
      <c r="B406" s="15" t="s">
        <v>1090</v>
      </c>
      <c r="C406" s="134" t="s">
        <v>1091</v>
      </c>
      <c r="D406" s="16"/>
      <c r="E406" s="16"/>
      <c r="F406" s="16">
        <v>679382.25</v>
      </c>
      <c r="G406" s="16">
        <v>607936.68</v>
      </c>
      <c r="H406" s="16">
        <f t="shared" si="122"/>
        <v>71445.56999999995</v>
      </c>
      <c r="I406" s="53">
        <f t="shared" si="123"/>
        <v>0.11752140041953044</v>
      </c>
      <c r="J406" s="174"/>
      <c r="K406" s="256">
        <v>710965.08</v>
      </c>
      <c r="L406" s="16">
        <f t="shared" si="124"/>
        <v>-31582.829999999958</v>
      </c>
      <c r="M406" s="53" t="str">
        <f t="shared" si="125"/>
        <v>N.M.</v>
      </c>
      <c r="N406" s="174"/>
      <c r="O406" s="256">
        <v>657728.64</v>
      </c>
      <c r="P406" s="16">
        <f t="shared" si="126"/>
        <v>21653.609999999986</v>
      </c>
      <c r="Q406" s="53">
        <f t="shared" si="127"/>
        <v>0.03292179887438076</v>
      </c>
    </row>
    <row r="407" spans="1:17" s="15" customFormat="1" ht="12.75" hidden="1" outlineLevel="2">
      <c r="A407" s="15" t="s">
        <v>1092</v>
      </c>
      <c r="B407" s="15" t="s">
        <v>1093</v>
      </c>
      <c r="C407" s="134" t="s">
        <v>1094</v>
      </c>
      <c r="D407" s="16"/>
      <c r="E407" s="16"/>
      <c r="F407" s="16">
        <v>0</v>
      </c>
      <c r="G407" s="16">
        <v>0</v>
      </c>
      <c r="H407" s="16">
        <f t="shared" si="122"/>
        <v>0</v>
      </c>
      <c r="I407" s="53">
        <f t="shared" si="123"/>
        <v>0</v>
      </c>
      <c r="J407" s="174"/>
      <c r="K407" s="256">
        <v>0</v>
      </c>
      <c r="L407" s="16">
        <f t="shared" si="124"/>
        <v>0</v>
      </c>
      <c r="M407" s="53">
        <f t="shared" si="125"/>
        <v>0</v>
      </c>
      <c r="N407" s="174"/>
      <c r="O407" s="256">
        <v>124630.26000000001</v>
      </c>
      <c r="P407" s="16">
        <f t="shared" si="126"/>
        <v>-124630.26000000001</v>
      </c>
      <c r="Q407" s="53" t="str">
        <f t="shared" si="127"/>
        <v>N.M.</v>
      </c>
    </row>
    <row r="408" spans="1:17" s="15" customFormat="1" ht="12.75" hidden="1" outlineLevel="2">
      <c r="A408" s="15" t="s">
        <v>1095</v>
      </c>
      <c r="B408" s="15" t="s">
        <v>1096</v>
      </c>
      <c r="C408" s="134" t="s">
        <v>1097</v>
      </c>
      <c r="D408" s="16"/>
      <c r="E408" s="16"/>
      <c r="F408" s="16">
        <v>0</v>
      </c>
      <c r="G408" s="16">
        <v>716389.74</v>
      </c>
      <c r="H408" s="16">
        <f t="shared" si="122"/>
        <v>-716389.74</v>
      </c>
      <c r="I408" s="53" t="str">
        <f t="shared" si="123"/>
        <v>N.M.</v>
      </c>
      <c r="J408" s="174"/>
      <c r="K408" s="256">
        <v>0</v>
      </c>
      <c r="L408" s="16">
        <f t="shared" si="124"/>
        <v>0</v>
      </c>
      <c r="M408" s="53">
        <f t="shared" si="125"/>
        <v>0</v>
      </c>
      <c r="N408" s="174"/>
      <c r="O408" s="256">
        <v>878196.0800000001</v>
      </c>
      <c r="P408" s="16">
        <f t="shared" si="126"/>
        <v>-878196.0800000001</v>
      </c>
      <c r="Q408" s="53" t="str">
        <f t="shared" si="127"/>
        <v>N.M.</v>
      </c>
    </row>
    <row r="409" spans="1:17" s="15" customFormat="1" ht="12.75" hidden="1" outlineLevel="2">
      <c r="A409" s="15" t="s">
        <v>1098</v>
      </c>
      <c r="B409" s="15" t="s">
        <v>1099</v>
      </c>
      <c r="C409" s="134" t="s">
        <v>1100</v>
      </c>
      <c r="D409" s="16"/>
      <c r="E409" s="16"/>
      <c r="F409" s="16">
        <v>115930.5</v>
      </c>
      <c r="G409" s="16">
        <v>93107.68000000001</v>
      </c>
      <c r="H409" s="16">
        <f t="shared" si="122"/>
        <v>22822.819999999992</v>
      </c>
      <c r="I409" s="53">
        <f t="shared" si="123"/>
        <v>0.24512285130506947</v>
      </c>
      <c r="J409" s="174"/>
      <c r="K409" s="256">
        <v>73033.52</v>
      </c>
      <c r="L409" s="16">
        <f t="shared" si="124"/>
        <v>42896.979999999996</v>
      </c>
      <c r="M409" s="53" t="str">
        <f t="shared" si="125"/>
        <v>N.M.</v>
      </c>
      <c r="N409" s="174"/>
      <c r="O409" s="256">
        <v>137579.28</v>
      </c>
      <c r="P409" s="16">
        <f t="shared" si="126"/>
        <v>-21648.78</v>
      </c>
      <c r="Q409" s="53">
        <f t="shared" si="127"/>
        <v>-0.15735494472714204</v>
      </c>
    </row>
    <row r="410" spans="1:17" s="15" customFormat="1" ht="12.75" hidden="1" outlineLevel="2">
      <c r="A410" s="15" t="s">
        <v>1101</v>
      </c>
      <c r="B410" s="15" t="s">
        <v>1102</v>
      </c>
      <c r="C410" s="134" t="s">
        <v>1103</v>
      </c>
      <c r="D410" s="16"/>
      <c r="E410" s="16"/>
      <c r="F410" s="16">
        <v>865100.62</v>
      </c>
      <c r="G410" s="16">
        <v>0</v>
      </c>
      <c r="H410" s="16">
        <f t="shared" si="122"/>
        <v>865100.62</v>
      </c>
      <c r="I410" s="53" t="str">
        <f t="shared" si="123"/>
        <v>N.M.</v>
      </c>
      <c r="J410" s="174"/>
      <c r="K410" s="256">
        <v>831228.12</v>
      </c>
      <c r="L410" s="16">
        <f t="shared" si="124"/>
        <v>33872.5</v>
      </c>
      <c r="M410" s="53" t="str">
        <f t="shared" si="125"/>
        <v>N.M.</v>
      </c>
      <c r="N410" s="174"/>
      <c r="O410" s="256">
        <v>0</v>
      </c>
      <c r="P410" s="16">
        <f t="shared" si="126"/>
        <v>865100.62</v>
      </c>
      <c r="Q410" s="53" t="str">
        <f t="shared" si="127"/>
        <v>N.M.</v>
      </c>
    </row>
    <row r="411" spans="1:17" s="1" customFormat="1" ht="12.75" hidden="1" outlineLevel="1">
      <c r="A411" s="1" t="s">
        <v>275</v>
      </c>
      <c r="C411" s="114" t="s">
        <v>207</v>
      </c>
      <c r="D411" s="34"/>
      <c r="F411" s="34">
        <v>1738682.97</v>
      </c>
      <c r="G411" s="34">
        <v>1501931.24</v>
      </c>
      <c r="H411" s="51">
        <f aca="true" t="shared" si="128" ref="H411:H431">+F411-G411</f>
        <v>236751.72999999998</v>
      </c>
      <c r="I411" s="136">
        <f aca="true" t="shared" si="129" ref="I411:I431">IF(G411&lt;0,IF(H411=0,0,IF(OR(G411=0,F411=0),"N.M.",IF(ABS(H411/G411)&gt;=10,"N.M.",H411/(-G411)))),IF(H411=0,0,IF(OR(G411=0,F411=0),"N.M.",IF(ABS(H411/G411)&gt;=10,"N.M.",H411/G411))))</f>
        <v>0.1576315371135099</v>
      </c>
      <c r="J411" s="167"/>
      <c r="K411" s="34">
        <v>1689527.5499999998</v>
      </c>
      <c r="L411" s="51">
        <f aca="true" t="shared" si="130" ref="L411:L431">+F411-K411</f>
        <v>49155.42000000016</v>
      </c>
      <c r="M411" s="136" t="str">
        <f aca="true" t="shared" si="131" ref="M411:M431">IF(K411&lt;0,IF(L411=0,0,IF(OR(K411=0,N411=0),"N.M.",IF(ABS(L411/K411)&gt;=10,"N.M.",L411/(-K411)))),IF(L411=0,0,IF(OR(K411=0,N411=0),"N.M.",IF(ABS(L411/K411)&gt;=10,"N.M.",L411/K411))))</f>
        <v>N.M.</v>
      </c>
      <c r="N411" s="167"/>
      <c r="O411" s="34">
        <v>2311899.47</v>
      </c>
      <c r="P411" s="51">
        <f aca="true" t="shared" si="132" ref="P411:P431">+F411-O411</f>
        <v>-573216.5000000002</v>
      </c>
      <c r="Q411" s="136">
        <f aca="true" t="shared" si="133" ref="Q411:Q431">IF(O411&lt;0,IF(P411=0,0,IF(OR(O411=0,F411=0),"N.M.",IF(ABS(P411/O411)&gt;=10,"N.M.",P411/(-O411)))),IF(P411=0,0,IF(OR(O411=0,F411=0),"N.M.",IF(ABS(P411/O411)&gt;=10,"N.M.",P411/O411))))</f>
        <v>-0.24794179307459255</v>
      </c>
    </row>
    <row r="412" spans="1:17" s="15" customFormat="1" ht="12.75" hidden="1" outlineLevel="2">
      <c r="A412" s="15" t="s">
        <v>1104</v>
      </c>
      <c r="B412" s="15" t="s">
        <v>1105</v>
      </c>
      <c r="C412" s="134" t="s">
        <v>1106</v>
      </c>
      <c r="D412" s="16"/>
      <c r="E412" s="16"/>
      <c r="F412" s="16">
        <v>1930790.72</v>
      </c>
      <c r="G412" s="16">
        <v>2416164.0300000003</v>
      </c>
      <c r="H412" s="16">
        <f t="shared" si="128"/>
        <v>-485373.3100000003</v>
      </c>
      <c r="I412" s="53">
        <f t="shared" si="129"/>
        <v>-0.20088591005139672</v>
      </c>
      <c r="J412" s="174"/>
      <c r="K412" s="256">
        <v>1954516.63</v>
      </c>
      <c r="L412" s="16">
        <f t="shared" si="130"/>
        <v>-23725.909999999916</v>
      </c>
      <c r="M412" s="53" t="str">
        <f t="shared" si="131"/>
        <v>N.M.</v>
      </c>
      <c r="N412" s="174"/>
      <c r="O412" s="256">
        <v>2428009.0300000003</v>
      </c>
      <c r="P412" s="16">
        <f t="shared" si="132"/>
        <v>-497218.3100000003</v>
      </c>
      <c r="Q412" s="53">
        <f t="shared" si="133"/>
        <v>-0.204784374298641</v>
      </c>
    </row>
    <row r="413" spans="1:17" s="1" customFormat="1" ht="12.75" hidden="1" outlineLevel="1">
      <c r="A413" s="1" t="s">
        <v>276</v>
      </c>
      <c r="C413" s="114" t="s">
        <v>208</v>
      </c>
      <c r="D413" s="34"/>
      <c r="F413" s="34">
        <v>1930790.72</v>
      </c>
      <c r="G413" s="34">
        <v>2416164.0300000003</v>
      </c>
      <c r="H413" s="51">
        <f t="shared" si="128"/>
        <v>-485373.3100000003</v>
      </c>
      <c r="I413" s="136">
        <f t="shared" si="129"/>
        <v>-0.20088591005139672</v>
      </c>
      <c r="J413" s="167"/>
      <c r="K413" s="34">
        <v>1954516.63</v>
      </c>
      <c r="L413" s="51">
        <f t="shared" si="130"/>
        <v>-23725.909999999916</v>
      </c>
      <c r="M413" s="136" t="str">
        <f t="shared" si="131"/>
        <v>N.M.</v>
      </c>
      <c r="N413" s="167"/>
      <c r="O413" s="34">
        <v>2428009.0300000003</v>
      </c>
      <c r="P413" s="51">
        <f t="shared" si="132"/>
        <v>-497218.3100000003</v>
      </c>
      <c r="Q413" s="136">
        <f t="shared" si="133"/>
        <v>-0.204784374298641</v>
      </c>
    </row>
    <row r="414" spans="1:17" s="1" customFormat="1" ht="12.75" hidden="1" outlineLevel="1">
      <c r="A414" s="1" t="s">
        <v>277</v>
      </c>
      <c r="C414" s="124" t="s">
        <v>209</v>
      </c>
      <c r="D414" s="34"/>
      <c r="F414" s="34">
        <v>0</v>
      </c>
      <c r="G414" s="34">
        <v>0</v>
      </c>
      <c r="H414" s="51">
        <f t="shared" si="128"/>
        <v>0</v>
      </c>
      <c r="I414" s="136">
        <f t="shared" si="129"/>
        <v>0</v>
      </c>
      <c r="J414" s="167"/>
      <c r="K414" s="34">
        <v>0</v>
      </c>
      <c r="L414" s="51">
        <f t="shared" si="130"/>
        <v>0</v>
      </c>
      <c r="M414" s="136">
        <f t="shared" si="131"/>
        <v>0</v>
      </c>
      <c r="N414" s="167"/>
      <c r="O414" s="34">
        <v>0</v>
      </c>
      <c r="P414" s="51">
        <f t="shared" si="132"/>
        <v>0</v>
      </c>
      <c r="Q414" s="136">
        <f t="shared" si="133"/>
        <v>0</v>
      </c>
    </row>
    <row r="415" spans="1:17" s="15" customFormat="1" ht="12.75" hidden="1" outlineLevel="2">
      <c r="A415" s="15" t="s">
        <v>1107</v>
      </c>
      <c r="B415" s="15" t="s">
        <v>1108</v>
      </c>
      <c r="C415" s="134" t="s">
        <v>1109</v>
      </c>
      <c r="D415" s="16"/>
      <c r="E415" s="16"/>
      <c r="F415" s="16">
        <v>3283.5</v>
      </c>
      <c r="G415" s="16">
        <v>3238.2400000000002</v>
      </c>
      <c r="H415" s="16">
        <f t="shared" si="128"/>
        <v>45.25999999999976</v>
      </c>
      <c r="I415" s="53">
        <f t="shared" si="129"/>
        <v>0.013976728099214315</v>
      </c>
      <c r="J415" s="174"/>
      <c r="K415" s="256">
        <v>1158.31</v>
      </c>
      <c r="L415" s="16">
        <f t="shared" si="130"/>
        <v>2125.19</v>
      </c>
      <c r="M415" s="53" t="str">
        <f t="shared" si="131"/>
        <v>N.M.</v>
      </c>
      <c r="N415" s="174"/>
      <c r="O415" s="256">
        <v>475</v>
      </c>
      <c r="P415" s="16">
        <f t="shared" si="132"/>
        <v>2808.5</v>
      </c>
      <c r="Q415" s="53">
        <f t="shared" si="133"/>
        <v>5.9126315789473685</v>
      </c>
    </row>
    <row r="416" spans="1:17" s="1" customFormat="1" ht="12.75" hidden="1" outlineLevel="1">
      <c r="A416" s="1" t="s">
        <v>278</v>
      </c>
      <c r="B416" s="86"/>
      <c r="C416" s="125" t="s">
        <v>210</v>
      </c>
      <c r="D416" s="34"/>
      <c r="F416" s="197">
        <v>3283.5</v>
      </c>
      <c r="G416" s="197">
        <v>3238.2400000000002</v>
      </c>
      <c r="H416" s="197">
        <f t="shared" si="128"/>
        <v>45.25999999999976</v>
      </c>
      <c r="I416" s="138">
        <f t="shared" si="129"/>
        <v>0.013976728099214315</v>
      </c>
      <c r="J416" s="167"/>
      <c r="K416" s="197">
        <v>1158.31</v>
      </c>
      <c r="L416" s="197">
        <f t="shared" si="130"/>
        <v>2125.19</v>
      </c>
      <c r="M416" s="138" t="str">
        <f t="shared" si="131"/>
        <v>N.M.</v>
      </c>
      <c r="N416" s="167"/>
      <c r="O416" s="197">
        <v>475</v>
      </c>
      <c r="P416" s="197">
        <f t="shared" si="132"/>
        <v>2808.5</v>
      </c>
      <c r="Q416" s="138">
        <f t="shared" si="133"/>
        <v>5.9126315789473685</v>
      </c>
    </row>
    <row r="417" spans="1:17" s="1" customFormat="1" ht="12.75" hidden="1" outlineLevel="1">
      <c r="A417" s="1" t="s">
        <v>279</v>
      </c>
      <c r="B417" s="86"/>
      <c r="C417" s="114" t="s">
        <v>211</v>
      </c>
      <c r="D417" s="34"/>
      <c r="F417" s="34">
        <v>3283.5</v>
      </c>
      <c r="G417" s="34">
        <v>3238.2400000000002</v>
      </c>
      <c r="H417" s="51">
        <f t="shared" si="128"/>
        <v>45.25999999999976</v>
      </c>
      <c r="I417" s="136">
        <f t="shared" si="129"/>
        <v>0.013976728099214315</v>
      </c>
      <c r="J417" s="167"/>
      <c r="K417" s="34">
        <v>1158.31</v>
      </c>
      <c r="L417" s="51">
        <f t="shared" si="130"/>
        <v>2125.19</v>
      </c>
      <c r="M417" s="136" t="str">
        <f t="shared" si="131"/>
        <v>N.M.</v>
      </c>
      <c r="N417" s="167"/>
      <c r="O417" s="34">
        <v>475</v>
      </c>
      <c r="P417" s="51">
        <f t="shared" si="132"/>
        <v>2808.5</v>
      </c>
      <c r="Q417" s="136">
        <f t="shared" si="133"/>
        <v>5.9126315789473685</v>
      </c>
    </row>
    <row r="418" spans="1:17" s="15" customFormat="1" ht="12.75" hidden="1" outlineLevel="2">
      <c r="A418" s="15" t="s">
        <v>1110</v>
      </c>
      <c r="B418" s="15" t="s">
        <v>1111</v>
      </c>
      <c r="C418" s="134" t="s">
        <v>1112</v>
      </c>
      <c r="D418" s="16"/>
      <c r="E418" s="16"/>
      <c r="F418" s="16">
        <v>757553.17</v>
      </c>
      <c r="G418" s="16">
        <v>1013415.54</v>
      </c>
      <c r="H418" s="16">
        <f t="shared" si="128"/>
        <v>-255862.37</v>
      </c>
      <c r="I418" s="53">
        <f t="shared" si="129"/>
        <v>-0.2524752778115086</v>
      </c>
      <c r="J418" s="174"/>
      <c r="K418" s="256">
        <v>1013537.28</v>
      </c>
      <c r="L418" s="16">
        <f t="shared" si="130"/>
        <v>-255984.11</v>
      </c>
      <c r="M418" s="53" t="str">
        <f t="shared" si="131"/>
        <v>N.M.</v>
      </c>
      <c r="N418" s="174"/>
      <c r="O418" s="256">
        <v>0</v>
      </c>
      <c r="P418" s="16">
        <f t="shared" si="132"/>
        <v>757553.17</v>
      </c>
      <c r="Q418" s="53" t="str">
        <f t="shared" si="133"/>
        <v>N.M.</v>
      </c>
    </row>
    <row r="419" spans="1:17" s="15" customFormat="1" ht="12.75" hidden="1" outlineLevel="2">
      <c r="A419" s="15" t="s">
        <v>1113</v>
      </c>
      <c r="B419" s="15" t="s">
        <v>1114</v>
      </c>
      <c r="C419" s="134" t="s">
        <v>1115</v>
      </c>
      <c r="D419" s="16"/>
      <c r="E419" s="16"/>
      <c r="F419" s="16">
        <v>2121393.386</v>
      </c>
      <c r="G419" s="16">
        <v>2331943.531</v>
      </c>
      <c r="H419" s="16">
        <f t="shared" si="128"/>
        <v>-210550.14500000002</v>
      </c>
      <c r="I419" s="53">
        <f t="shared" si="129"/>
        <v>-0.09028955555785284</v>
      </c>
      <c r="J419" s="174"/>
      <c r="K419" s="256">
        <v>1947484.796</v>
      </c>
      <c r="L419" s="16">
        <f t="shared" si="130"/>
        <v>173908.58999999985</v>
      </c>
      <c r="M419" s="53" t="str">
        <f t="shared" si="131"/>
        <v>N.M.</v>
      </c>
      <c r="N419" s="174"/>
      <c r="O419" s="256">
        <v>3349606.111</v>
      </c>
      <c r="P419" s="16">
        <f t="shared" si="132"/>
        <v>-1228212.725</v>
      </c>
      <c r="Q419" s="53">
        <f t="shared" si="133"/>
        <v>-0.3666737772440134</v>
      </c>
    </row>
    <row r="420" spans="1:17" s="1" customFormat="1" ht="12.75" hidden="1" outlineLevel="1">
      <c r="A420" s="1" t="s">
        <v>280</v>
      </c>
      <c r="C420" s="124" t="s">
        <v>212</v>
      </c>
      <c r="D420" s="34"/>
      <c r="F420" s="34">
        <v>2878946.556</v>
      </c>
      <c r="G420" s="34">
        <v>3345359.071</v>
      </c>
      <c r="H420" s="51">
        <f t="shared" si="128"/>
        <v>-466412.51500000013</v>
      </c>
      <c r="I420" s="136">
        <f t="shared" si="129"/>
        <v>-0.1394207632427868</v>
      </c>
      <c r="J420" s="167"/>
      <c r="K420" s="34">
        <v>2961022.0760000004</v>
      </c>
      <c r="L420" s="51">
        <f t="shared" si="130"/>
        <v>-82075.52000000048</v>
      </c>
      <c r="M420" s="136" t="str">
        <f t="shared" si="131"/>
        <v>N.M.</v>
      </c>
      <c r="N420" s="167"/>
      <c r="O420" s="34">
        <v>3349606.111</v>
      </c>
      <c r="P420" s="51">
        <f t="shared" si="132"/>
        <v>-470659.55500000017</v>
      </c>
      <c r="Q420" s="136">
        <f t="shared" si="133"/>
        <v>-0.14051191077493236</v>
      </c>
    </row>
    <row r="421" spans="1:17" s="15" customFormat="1" ht="12.75" hidden="1" outlineLevel="2">
      <c r="A421" s="15" t="s">
        <v>1116</v>
      </c>
      <c r="B421" s="15" t="s">
        <v>1117</v>
      </c>
      <c r="C421" s="134" t="s">
        <v>1118</v>
      </c>
      <c r="D421" s="16"/>
      <c r="E421" s="16"/>
      <c r="F421" s="16">
        <v>422768.766</v>
      </c>
      <c r="G421" s="16">
        <v>-36735.627</v>
      </c>
      <c r="H421" s="16">
        <f t="shared" si="128"/>
        <v>459504.393</v>
      </c>
      <c r="I421" s="53" t="str">
        <f t="shared" si="129"/>
        <v>N.M.</v>
      </c>
      <c r="J421" s="174"/>
      <c r="K421" s="256">
        <v>512333.806</v>
      </c>
      <c r="L421" s="16">
        <f t="shared" si="130"/>
        <v>-89565.03999999998</v>
      </c>
      <c r="M421" s="53" t="str">
        <f t="shared" si="131"/>
        <v>N.M.</v>
      </c>
      <c r="N421" s="174"/>
      <c r="O421" s="256">
        <v>32059.222999999998</v>
      </c>
      <c r="P421" s="16">
        <f t="shared" si="132"/>
        <v>390709.543</v>
      </c>
      <c r="Q421" s="53" t="str">
        <f t="shared" si="133"/>
        <v>N.M.</v>
      </c>
    </row>
    <row r="422" spans="1:17" s="15" customFormat="1" ht="12.75" hidden="1" outlineLevel="2">
      <c r="A422" s="15" t="s">
        <v>1119</v>
      </c>
      <c r="B422" s="15" t="s">
        <v>1120</v>
      </c>
      <c r="C422" s="134" t="s">
        <v>838</v>
      </c>
      <c r="D422" s="16"/>
      <c r="E422" s="16"/>
      <c r="F422" s="16">
        <v>0</v>
      </c>
      <c r="G422" s="16">
        <v>0</v>
      </c>
      <c r="H422" s="16">
        <f t="shared" si="128"/>
        <v>0</v>
      </c>
      <c r="I422" s="53">
        <f t="shared" si="129"/>
        <v>0</v>
      </c>
      <c r="J422" s="174"/>
      <c r="K422" s="256">
        <v>0</v>
      </c>
      <c r="L422" s="16">
        <f t="shared" si="130"/>
        <v>0</v>
      </c>
      <c r="M422" s="53">
        <f t="shared" si="131"/>
        <v>0</v>
      </c>
      <c r="N422" s="174"/>
      <c r="O422" s="256">
        <v>62724.11</v>
      </c>
      <c r="P422" s="16">
        <f t="shared" si="132"/>
        <v>-62724.11</v>
      </c>
      <c r="Q422" s="53" t="str">
        <f t="shared" si="133"/>
        <v>N.M.</v>
      </c>
    </row>
    <row r="423" spans="1:17" s="1" customFormat="1" ht="12.75" hidden="1" outlineLevel="1">
      <c r="A423" s="1" t="s">
        <v>281</v>
      </c>
      <c r="C423" s="125" t="s">
        <v>213</v>
      </c>
      <c r="D423" s="34"/>
      <c r="F423" s="197">
        <v>422768.766</v>
      </c>
      <c r="G423" s="197">
        <v>-36735.627</v>
      </c>
      <c r="H423" s="197">
        <f t="shared" si="128"/>
        <v>459504.393</v>
      </c>
      <c r="I423" s="138" t="str">
        <f t="shared" si="129"/>
        <v>N.M.</v>
      </c>
      <c r="J423" s="167"/>
      <c r="K423" s="197">
        <v>512333.806</v>
      </c>
      <c r="L423" s="197">
        <f t="shared" si="130"/>
        <v>-89565.03999999998</v>
      </c>
      <c r="M423" s="138" t="str">
        <f t="shared" si="131"/>
        <v>N.M.</v>
      </c>
      <c r="N423" s="167"/>
      <c r="O423" s="197">
        <v>94783.333</v>
      </c>
      <c r="P423" s="197">
        <f t="shared" si="132"/>
        <v>327985.433</v>
      </c>
      <c r="Q423" s="138">
        <f t="shared" si="133"/>
        <v>3.4603703269223507</v>
      </c>
    </row>
    <row r="424" spans="1:17" s="1" customFormat="1" ht="12.75" hidden="1" outlineLevel="1">
      <c r="A424" s="1" t="s">
        <v>282</v>
      </c>
      <c r="C424" s="114" t="s">
        <v>214</v>
      </c>
      <c r="D424" s="34"/>
      <c r="F424" s="34">
        <v>3301715.3219999997</v>
      </c>
      <c r="G424" s="34">
        <v>3308623.444</v>
      </c>
      <c r="H424" s="51">
        <f t="shared" si="128"/>
        <v>-6908.12200000044</v>
      </c>
      <c r="I424" s="136">
        <f t="shared" si="129"/>
        <v>-0.0020879142389346014</v>
      </c>
      <c r="J424" s="167"/>
      <c r="K424" s="34">
        <v>3473355.8819999998</v>
      </c>
      <c r="L424" s="51">
        <f t="shared" si="130"/>
        <v>-171640.56000000006</v>
      </c>
      <c r="M424" s="136" t="str">
        <f t="shared" si="131"/>
        <v>N.M.</v>
      </c>
      <c r="N424" s="167"/>
      <c r="O424" s="34">
        <v>3444389.444</v>
      </c>
      <c r="P424" s="51">
        <f t="shared" si="132"/>
        <v>-142674.12200000044</v>
      </c>
      <c r="Q424" s="136">
        <f t="shared" si="133"/>
        <v>-0.041422180714359554</v>
      </c>
    </row>
    <row r="425" spans="1:17" s="15" customFormat="1" ht="12.75" hidden="1" outlineLevel="2">
      <c r="A425" s="15" t="s">
        <v>1121</v>
      </c>
      <c r="B425" s="15" t="s">
        <v>1122</v>
      </c>
      <c r="C425" s="134" t="s">
        <v>1123</v>
      </c>
      <c r="D425" s="16"/>
      <c r="E425" s="16"/>
      <c r="F425" s="16">
        <v>86198.08</v>
      </c>
      <c r="G425" s="16">
        <v>88371.31</v>
      </c>
      <c r="H425" s="16">
        <f t="shared" si="128"/>
        <v>-2173.229999999996</v>
      </c>
      <c r="I425" s="53">
        <f t="shared" si="129"/>
        <v>-0.024592031056233025</v>
      </c>
      <c r="J425" s="174"/>
      <c r="K425" s="256">
        <v>85521.16</v>
      </c>
      <c r="L425" s="16">
        <f t="shared" si="130"/>
        <v>676.9199999999983</v>
      </c>
      <c r="M425" s="53" t="str">
        <f t="shared" si="131"/>
        <v>N.M.</v>
      </c>
      <c r="N425" s="174"/>
      <c r="O425" s="256">
        <v>87634.66</v>
      </c>
      <c r="P425" s="16">
        <f t="shared" si="132"/>
        <v>-1436.5800000000017</v>
      </c>
      <c r="Q425" s="53">
        <f t="shared" si="133"/>
        <v>-0.016392829047319882</v>
      </c>
    </row>
    <row r="426" spans="1:17" s="15" customFormat="1" ht="12.75" hidden="1" outlineLevel="2">
      <c r="A426" s="15" t="s">
        <v>1124</v>
      </c>
      <c r="B426" s="15" t="s">
        <v>1125</v>
      </c>
      <c r="C426" s="134" t="s">
        <v>1126</v>
      </c>
      <c r="D426" s="16"/>
      <c r="E426" s="16"/>
      <c r="F426" s="16">
        <v>7521.6900000000005</v>
      </c>
      <c r="G426" s="16">
        <v>7333.3</v>
      </c>
      <c r="H426" s="16">
        <f t="shared" si="128"/>
        <v>188.39000000000033</v>
      </c>
      <c r="I426" s="53">
        <f t="shared" si="129"/>
        <v>0.025689662225737434</v>
      </c>
      <c r="J426" s="174"/>
      <c r="K426" s="256">
        <v>7474.17</v>
      </c>
      <c r="L426" s="16">
        <f t="shared" si="130"/>
        <v>47.52000000000044</v>
      </c>
      <c r="M426" s="53" t="str">
        <f t="shared" si="131"/>
        <v>N.M.</v>
      </c>
      <c r="N426" s="174"/>
      <c r="O426" s="256">
        <v>7238.32</v>
      </c>
      <c r="P426" s="16">
        <f t="shared" si="132"/>
        <v>283.3700000000008</v>
      </c>
      <c r="Q426" s="53">
        <f t="shared" si="133"/>
        <v>0.039148586964931203</v>
      </c>
    </row>
    <row r="427" spans="1:17" s="15" customFormat="1" ht="12.75" hidden="1" outlineLevel="2">
      <c r="A427" s="15" t="s">
        <v>1127</v>
      </c>
      <c r="B427" s="15" t="s">
        <v>1128</v>
      </c>
      <c r="C427" s="134" t="s">
        <v>1129</v>
      </c>
      <c r="D427" s="16"/>
      <c r="E427" s="16"/>
      <c r="F427" s="16">
        <v>49876.1</v>
      </c>
      <c r="G427" s="16">
        <v>27793.760000000002</v>
      </c>
      <c r="H427" s="16">
        <f t="shared" si="128"/>
        <v>22082.339999999997</v>
      </c>
      <c r="I427" s="53">
        <f t="shared" si="129"/>
        <v>0.7945071123878163</v>
      </c>
      <c r="J427" s="174"/>
      <c r="K427" s="256">
        <v>57569.39</v>
      </c>
      <c r="L427" s="16">
        <f t="shared" si="130"/>
        <v>-7693.290000000001</v>
      </c>
      <c r="M427" s="53" t="str">
        <f t="shared" si="131"/>
        <v>N.M.</v>
      </c>
      <c r="N427" s="174"/>
      <c r="O427" s="256">
        <v>27682.89</v>
      </c>
      <c r="P427" s="16">
        <f t="shared" si="132"/>
        <v>22193.21</v>
      </c>
      <c r="Q427" s="53">
        <f t="shared" si="133"/>
        <v>0.8016941150291751</v>
      </c>
    </row>
    <row r="428" spans="1:17" s="15" customFormat="1" ht="12.75" hidden="1" outlineLevel="2">
      <c r="A428" s="15" t="s">
        <v>1130</v>
      </c>
      <c r="B428" s="15" t="s">
        <v>1131</v>
      </c>
      <c r="C428" s="134" t="s">
        <v>1132</v>
      </c>
      <c r="D428" s="16"/>
      <c r="E428" s="16"/>
      <c r="F428" s="16">
        <v>0</v>
      </c>
      <c r="G428" s="16">
        <v>712.5</v>
      </c>
      <c r="H428" s="16">
        <f t="shared" si="128"/>
        <v>-712.5</v>
      </c>
      <c r="I428" s="53" t="str">
        <f t="shared" si="129"/>
        <v>N.M.</v>
      </c>
      <c r="J428" s="174"/>
      <c r="K428" s="256">
        <v>0</v>
      </c>
      <c r="L428" s="16">
        <f t="shared" si="130"/>
        <v>0</v>
      </c>
      <c r="M428" s="53">
        <f t="shared" si="131"/>
        <v>0</v>
      </c>
      <c r="N428" s="174"/>
      <c r="O428" s="256">
        <v>0</v>
      </c>
      <c r="P428" s="16">
        <f t="shared" si="132"/>
        <v>0</v>
      </c>
      <c r="Q428" s="53">
        <f t="shared" si="133"/>
        <v>0</v>
      </c>
    </row>
    <row r="429" spans="1:17" s="1" customFormat="1" ht="12.75" hidden="1" outlineLevel="1">
      <c r="A429" s="1" t="s">
        <v>283</v>
      </c>
      <c r="C429" s="114" t="s">
        <v>215</v>
      </c>
      <c r="D429" s="34"/>
      <c r="F429" s="34">
        <v>143595.87</v>
      </c>
      <c r="G429" s="34">
        <v>124210.87</v>
      </c>
      <c r="H429" s="51">
        <f t="shared" si="128"/>
        <v>19385</v>
      </c>
      <c r="I429" s="136">
        <f t="shared" si="129"/>
        <v>0.15606524614150113</v>
      </c>
      <c r="J429" s="167"/>
      <c r="K429" s="34">
        <v>150564.72</v>
      </c>
      <c r="L429" s="51">
        <f t="shared" si="130"/>
        <v>-6968.850000000006</v>
      </c>
      <c r="M429" s="136" t="str">
        <f t="shared" si="131"/>
        <v>N.M.</v>
      </c>
      <c r="N429" s="167"/>
      <c r="O429" s="34">
        <v>122555.87000000001</v>
      </c>
      <c r="P429" s="51">
        <f t="shared" si="132"/>
        <v>21039.999999999985</v>
      </c>
      <c r="Q429" s="136">
        <f t="shared" si="133"/>
        <v>0.17167680340403102</v>
      </c>
    </row>
    <row r="430" spans="1:17" s="15" customFormat="1" ht="12.75" hidden="1" outlineLevel="2">
      <c r="A430" s="15" t="s">
        <v>1133</v>
      </c>
      <c r="B430" s="15" t="s">
        <v>1134</v>
      </c>
      <c r="C430" s="134" t="s">
        <v>1135</v>
      </c>
      <c r="D430" s="16"/>
      <c r="E430" s="16"/>
      <c r="F430" s="16">
        <v>587435.48</v>
      </c>
      <c r="G430" s="16">
        <v>1505855.23</v>
      </c>
      <c r="H430" s="16">
        <f t="shared" si="128"/>
        <v>-918419.75</v>
      </c>
      <c r="I430" s="53">
        <f t="shared" si="129"/>
        <v>-0.6098991003271942</v>
      </c>
      <c r="J430" s="174"/>
      <c r="K430" s="256">
        <v>593709.56</v>
      </c>
      <c r="L430" s="16">
        <f t="shared" si="130"/>
        <v>-6274.0800000000745</v>
      </c>
      <c r="M430" s="53" t="str">
        <f t="shared" si="131"/>
        <v>N.M.</v>
      </c>
      <c r="N430" s="174"/>
      <c r="O430" s="256">
        <v>1350278.04</v>
      </c>
      <c r="P430" s="16">
        <f t="shared" si="132"/>
        <v>-762842.56</v>
      </c>
      <c r="Q430" s="53">
        <f t="shared" si="133"/>
        <v>-0.5649522079171191</v>
      </c>
    </row>
    <row r="431" spans="1:17" s="1" customFormat="1" ht="12.75" hidden="1" outlineLevel="1">
      <c r="A431" s="1" t="s">
        <v>284</v>
      </c>
      <c r="C431" s="114" t="s">
        <v>216</v>
      </c>
      <c r="D431" s="34"/>
      <c r="F431" s="34">
        <v>587435.48</v>
      </c>
      <c r="G431" s="34">
        <v>1505855.23</v>
      </c>
      <c r="H431" s="51">
        <f t="shared" si="128"/>
        <v>-918419.75</v>
      </c>
      <c r="I431" s="136">
        <f t="shared" si="129"/>
        <v>-0.6098991003271942</v>
      </c>
      <c r="J431" s="167"/>
      <c r="K431" s="34">
        <v>593709.56</v>
      </c>
      <c r="L431" s="51">
        <f t="shared" si="130"/>
        <v>-6274.0800000000745</v>
      </c>
      <c r="M431" s="136" t="str">
        <f t="shared" si="131"/>
        <v>N.M.</v>
      </c>
      <c r="N431" s="167"/>
      <c r="O431" s="34">
        <v>1350278.04</v>
      </c>
      <c r="P431" s="51">
        <f t="shared" si="132"/>
        <v>-762842.56</v>
      </c>
      <c r="Q431" s="136">
        <f t="shared" si="133"/>
        <v>-0.5649522079171191</v>
      </c>
    </row>
    <row r="432" spans="1:17" s="15" customFormat="1" ht="12.75" hidden="1" outlineLevel="2">
      <c r="A432" s="15" t="s">
        <v>1136</v>
      </c>
      <c r="B432" s="15" t="s">
        <v>1137</v>
      </c>
      <c r="C432" s="134" t="s">
        <v>1138</v>
      </c>
      <c r="D432" s="16"/>
      <c r="E432" s="16"/>
      <c r="F432" s="16">
        <v>1273428</v>
      </c>
      <c r="G432" s="16">
        <v>977963</v>
      </c>
      <c r="H432" s="16">
        <f aca="true" t="shared" si="134" ref="H432:H455">+F432-G432</f>
        <v>295465</v>
      </c>
      <c r="I432" s="53">
        <f aca="true" t="shared" si="135" ref="I432:I455">IF(G432&lt;0,IF(H432=0,0,IF(OR(G432=0,F432=0),"N.M.",IF(ABS(H432/G432)&gt;=10,"N.M.",H432/(-G432)))),IF(H432=0,0,IF(OR(G432=0,F432=0),"N.M.",IF(ABS(H432/G432)&gt;=10,"N.M.",H432/G432))))</f>
        <v>0.3021228819495216</v>
      </c>
      <c r="J432" s="174"/>
      <c r="K432" s="256">
        <v>1273428</v>
      </c>
      <c r="L432" s="16">
        <f aca="true" t="shared" si="136" ref="L432:L455">+F432-K432</f>
        <v>0</v>
      </c>
      <c r="M432" s="53">
        <f aca="true" t="shared" si="137" ref="M432:M455">IF(K432&lt;0,IF(L432=0,0,IF(OR(K432=0,N432=0),"N.M.",IF(ABS(L432/K432)&gt;=10,"N.M.",L432/(-K432)))),IF(L432=0,0,IF(OR(K432=0,N432=0),"N.M.",IF(ABS(L432/K432)&gt;=10,"N.M.",L432/K432))))</f>
        <v>0</v>
      </c>
      <c r="N432" s="174"/>
      <c r="O432" s="256">
        <v>977963</v>
      </c>
      <c r="P432" s="16">
        <f aca="true" t="shared" si="138" ref="P432:P455">+F432-O432</f>
        <v>295465</v>
      </c>
      <c r="Q432" s="53">
        <f aca="true" t="shared" si="139" ref="Q432:Q455">IF(O432&lt;0,IF(P432=0,0,IF(OR(O432=0,F432=0),"N.M.",IF(ABS(P432/O432)&gt;=10,"N.M.",P432/(-O432)))),IF(P432=0,0,IF(OR(O432=0,F432=0),"N.M.",IF(ABS(P432/O432)&gt;=10,"N.M.",P432/O432))))</f>
        <v>0.3021228819495216</v>
      </c>
    </row>
    <row r="433" spans="1:17" s="15" customFormat="1" ht="12.75" hidden="1" outlineLevel="2">
      <c r="A433" s="15" t="s">
        <v>1139</v>
      </c>
      <c r="B433" s="15" t="s">
        <v>1140</v>
      </c>
      <c r="C433" s="134" t="s">
        <v>1141</v>
      </c>
      <c r="D433" s="16"/>
      <c r="E433" s="16"/>
      <c r="F433" s="16">
        <v>194</v>
      </c>
      <c r="G433" s="16">
        <v>123</v>
      </c>
      <c r="H433" s="16">
        <f t="shared" si="134"/>
        <v>71</v>
      </c>
      <c r="I433" s="53">
        <f t="shared" si="135"/>
        <v>0.5772357723577236</v>
      </c>
      <c r="J433" s="174"/>
      <c r="K433" s="256">
        <v>194</v>
      </c>
      <c r="L433" s="16">
        <f t="shared" si="136"/>
        <v>0</v>
      </c>
      <c r="M433" s="53">
        <f t="shared" si="137"/>
        <v>0</v>
      </c>
      <c r="N433" s="174"/>
      <c r="O433" s="256">
        <v>194</v>
      </c>
      <c r="P433" s="16">
        <f t="shared" si="138"/>
        <v>0</v>
      </c>
      <c r="Q433" s="53">
        <f t="shared" si="139"/>
        <v>0</v>
      </c>
    </row>
    <row r="434" spans="1:17" s="15" customFormat="1" ht="12.75" hidden="1" outlineLevel="2">
      <c r="A434" s="15" t="s">
        <v>1142</v>
      </c>
      <c r="B434" s="15" t="s">
        <v>1143</v>
      </c>
      <c r="C434" s="134" t="s">
        <v>1144</v>
      </c>
      <c r="D434" s="16"/>
      <c r="E434" s="16"/>
      <c r="F434" s="16">
        <v>3676.51</v>
      </c>
      <c r="G434" s="16">
        <v>4346.79</v>
      </c>
      <c r="H434" s="16">
        <f t="shared" si="134"/>
        <v>-670.2799999999997</v>
      </c>
      <c r="I434" s="53">
        <f t="shared" si="135"/>
        <v>-0.15420114613312347</v>
      </c>
      <c r="J434" s="174"/>
      <c r="K434" s="256">
        <v>3631.91</v>
      </c>
      <c r="L434" s="16">
        <f t="shared" si="136"/>
        <v>44.600000000000364</v>
      </c>
      <c r="M434" s="53" t="str">
        <f t="shared" si="137"/>
        <v>N.M.</v>
      </c>
      <c r="N434" s="174"/>
      <c r="O434" s="256">
        <v>4296.21</v>
      </c>
      <c r="P434" s="16">
        <f t="shared" si="138"/>
        <v>-619.6999999999998</v>
      </c>
      <c r="Q434" s="53">
        <f t="shared" si="139"/>
        <v>-0.14424341454444728</v>
      </c>
    </row>
    <row r="435" spans="1:17" s="15" customFormat="1" ht="12.75" hidden="1" outlineLevel="2">
      <c r="A435" s="15" t="s">
        <v>1145</v>
      </c>
      <c r="B435" s="15" t="s">
        <v>1146</v>
      </c>
      <c r="C435" s="134" t="s">
        <v>1147</v>
      </c>
      <c r="D435" s="16"/>
      <c r="E435" s="16"/>
      <c r="F435" s="16">
        <v>2241.07</v>
      </c>
      <c r="G435" s="16">
        <v>859.3000000000001</v>
      </c>
      <c r="H435" s="16">
        <f t="shared" si="134"/>
        <v>1381.77</v>
      </c>
      <c r="I435" s="53">
        <f t="shared" si="135"/>
        <v>1.608018154311649</v>
      </c>
      <c r="J435" s="174"/>
      <c r="K435" s="256">
        <v>2241.07</v>
      </c>
      <c r="L435" s="16">
        <f t="shared" si="136"/>
        <v>0</v>
      </c>
      <c r="M435" s="53">
        <f t="shared" si="137"/>
        <v>0</v>
      </c>
      <c r="N435" s="174"/>
      <c r="O435" s="256">
        <v>0</v>
      </c>
      <c r="P435" s="16">
        <f t="shared" si="138"/>
        <v>2241.07</v>
      </c>
      <c r="Q435" s="53" t="str">
        <f t="shared" si="139"/>
        <v>N.M.</v>
      </c>
    </row>
    <row r="436" spans="1:17" s="15" customFormat="1" ht="12.75" hidden="1" outlineLevel="2">
      <c r="A436" s="15" t="s">
        <v>1148</v>
      </c>
      <c r="B436" s="15" t="s">
        <v>1149</v>
      </c>
      <c r="C436" s="134" t="s">
        <v>1150</v>
      </c>
      <c r="D436" s="16"/>
      <c r="E436" s="16"/>
      <c r="F436" s="16">
        <v>80695.16</v>
      </c>
      <c r="G436" s="16">
        <v>25515.170000000002</v>
      </c>
      <c r="H436" s="16">
        <f t="shared" si="134"/>
        <v>55179.990000000005</v>
      </c>
      <c r="I436" s="53">
        <f t="shared" si="135"/>
        <v>2.1626346208941585</v>
      </c>
      <c r="J436" s="174"/>
      <c r="K436" s="256">
        <v>64555.26</v>
      </c>
      <c r="L436" s="16">
        <f t="shared" si="136"/>
        <v>16139.900000000001</v>
      </c>
      <c r="M436" s="53" t="str">
        <f t="shared" si="137"/>
        <v>N.M.</v>
      </c>
      <c r="N436" s="174"/>
      <c r="O436" s="256">
        <v>20801.15</v>
      </c>
      <c r="P436" s="16">
        <f t="shared" si="138"/>
        <v>59894.01</v>
      </c>
      <c r="Q436" s="53">
        <f t="shared" si="139"/>
        <v>2.87936051612531</v>
      </c>
    </row>
    <row r="437" spans="1:17" s="15" customFormat="1" ht="12.75" hidden="1" outlineLevel="2">
      <c r="A437" s="15" t="s">
        <v>1151</v>
      </c>
      <c r="B437" s="15" t="s">
        <v>1152</v>
      </c>
      <c r="C437" s="134" t="s">
        <v>1153</v>
      </c>
      <c r="D437" s="16"/>
      <c r="E437" s="16"/>
      <c r="F437" s="16">
        <v>90325</v>
      </c>
      <c r="G437" s="16">
        <v>416831</v>
      </c>
      <c r="H437" s="16">
        <f t="shared" si="134"/>
        <v>-326506</v>
      </c>
      <c r="I437" s="53">
        <f t="shared" si="135"/>
        <v>-0.7833054643248702</v>
      </c>
      <c r="J437" s="174"/>
      <c r="K437" s="256">
        <v>90325</v>
      </c>
      <c r="L437" s="16">
        <f t="shared" si="136"/>
        <v>0</v>
      </c>
      <c r="M437" s="53">
        <f t="shared" si="137"/>
        <v>0</v>
      </c>
      <c r="N437" s="174"/>
      <c r="O437" s="256">
        <v>505228</v>
      </c>
      <c r="P437" s="16">
        <f t="shared" si="138"/>
        <v>-414903</v>
      </c>
      <c r="Q437" s="53">
        <f t="shared" si="139"/>
        <v>-0.8212193306784263</v>
      </c>
    </row>
    <row r="438" spans="1:17" s="15" customFormat="1" ht="12.75" hidden="1" outlineLevel="2">
      <c r="A438" s="15" t="s">
        <v>1154</v>
      </c>
      <c r="B438" s="15" t="s">
        <v>1155</v>
      </c>
      <c r="C438" s="134" t="s">
        <v>1156</v>
      </c>
      <c r="D438" s="16"/>
      <c r="E438" s="16"/>
      <c r="F438" s="16">
        <v>495831.152</v>
      </c>
      <c r="G438" s="16">
        <v>2017673.692</v>
      </c>
      <c r="H438" s="16">
        <f t="shared" si="134"/>
        <v>-1521842.54</v>
      </c>
      <c r="I438" s="53">
        <f t="shared" si="135"/>
        <v>-0.7542560256566997</v>
      </c>
      <c r="J438" s="174"/>
      <c r="K438" s="256">
        <v>3624499.202</v>
      </c>
      <c r="L438" s="16">
        <f t="shared" si="136"/>
        <v>-3128668.05</v>
      </c>
      <c r="M438" s="53" t="str">
        <f t="shared" si="137"/>
        <v>N.M.</v>
      </c>
      <c r="N438" s="174"/>
      <c r="O438" s="256">
        <v>1243360.152</v>
      </c>
      <c r="P438" s="16">
        <f t="shared" si="138"/>
        <v>-747529</v>
      </c>
      <c r="Q438" s="53">
        <f t="shared" si="139"/>
        <v>-0.6012167904830844</v>
      </c>
    </row>
    <row r="439" spans="1:17" s="15" customFormat="1" ht="12.75" hidden="1" outlineLevel="2">
      <c r="A439" s="15" t="s">
        <v>1157</v>
      </c>
      <c r="B439" s="15" t="s">
        <v>1158</v>
      </c>
      <c r="C439" s="134" t="s">
        <v>1159</v>
      </c>
      <c r="D439" s="16"/>
      <c r="E439" s="16"/>
      <c r="F439" s="16">
        <v>745.4240000000001</v>
      </c>
      <c r="G439" s="16">
        <v>513.544</v>
      </c>
      <c r="H439" s="16">
        <f t="shared" si="134"/>
        <v>231.8800000000001</v>
      </c>
      <c r="I439" s="53">
        <f t="shared" si="135"/>
        <v>0.45152898291090954</v>
      </c>
      <c r="J439" s="174"/>
      <c r="K439" s="256">
        <v>745.4240000000001</v>
      </c>
      <c r="L439" s="16">
        <f t="shared" si="136"/>
        <v>0</v>
      </c>
      <c r="M439" s="53">
        <f t="shared" si="137"/>
        <v>0</v>
      </c>
      <c r="N439" s="174"/>
      <c r="O439" s="256">
        <v>513.544</v>
      </c>
      <c r="P439" s="16">
        <f t="shared" si="138"/>
        <v>231.8800000000001</v>
      </c>
      <c r="Q439" s="53">
        <f t="shared" si="139"/>
        <v>0.45152898291090954</v>
      </c>
    </row>
    <row r="440" spans="1:17" s="15" customFormat="1" ht="12.75" hidden="1" outlineLevel="2">
      <c r="A440" s="15" t="s">
        <v>1160</v>
      </c>
      <c r="B440" s="15" t="s">
        <v>1161</v>
      </c>
      <c r="C440" s="134" t="s">
        <v>1162</v>
      </c>
      <c r="D440" s="16"/>
      <c r="E440" s="16"/>
      <c r="F440" s="16">
        <v>81055.17</v>
      </c>
      <c r="G440" s="16">
        <v>67675.61</v>
      </c>
      <c r="H440" s="16">
        <f t="shared" si="134"/>
        <v>13379.559999999998</v>
      </c>
      <c r="I440" s="53">
        <f t="shared" si="135"/>
        <v>0.19770135799293123</v>
      </c>
      <c r="J440" s="174"/>
      <c r="K440" s="256">
        <v>61760.130000000005</v>
      </c>
      <c r="L440" s="16">
        <f t="shared" si="136"/>
        <v>19295.039999999994</v>
      </c>
      <c r="M440" s="53" t="str">
        <f t="shared" si="137"/>
        <v>N.M.</v>
      </c>
      <c r="N440" s="174"/>
      <c r="O440" s="256">
        <v>81474.54000000001</v>
      </c>
      <c r="P440" s="16">
        <f t="shared" si="138"/>
        <v>-419.3700000000099</v>
      </c>
      <c r="Q440" s="53">
        <f t="shared" si="139"/>
        <v>-0.005147252135452497</v>
      </c>
    </row>
    <row r="441" spans="1:17" s="15" customFormat="1" ht="12.75" hidden="1" outlineLevel="2">
      <c r="A441" s="15" t="s">
        <v>1163</v>
      </c>
      <c r="B441" s="15" t="s">
        <v>1164</v>
      </c>
      <c r="C441" s="134" t="s">
        <v>1165</v>
      </c>
      <c r="D441" s="16"/>
      <c r="E441" s="16"/>
      <c r="F441" s="16">
        <v>1618123.99</v>
      </c>
      <c r="G441" s="16">
        <v>705948.6900000001</v>
      </c>
      <c r="H441" s="16">
        <f t="shared" si="134"/>
        <v>912175.2999999999</v>
      </c>
      <c r="I441" s="53">
        <f t="shared" si="135"/>
        <v>1.2921269108099058</v>
      </c>
      <c r="J441" s="174"/>
      <c r="K441" s="256">
        <v>1637459.9100000001</v>
      </c>
      <c r="L441" s="16">
        <f t="shared" si="136"/>
        <v>-19335.92000000016</v>
      </c>
      <c r="M441" s="53" t="str">
        <f t="shared" si="137"/>
        <v>N.M.</v>
      </c>
      <c r="N441" s="174"/>
      <c r="O441" s="256">
        <v>1056510.93</v>
      </c>
      <c r="P441" s="16">
        <f t="shared" si="138"/>
        <v>561613.06</v>
      </c>
      <c r="Q441" s="53">
        <f t="shared" si="139"/>
        <v>0.5315733553272375</v>
      </c>
    </row>
    <row r="442" spans="1:17" s="15" customFormat="1" ht="12.75" hidden="1" outlineLevel="2">
      <c r="A442" s="15" t="s">
        <v>1166</v>
      </c>
      <c r="B442" s="15" t="s">
        <v>1167</v>
      </c>
      <c r="C442" s="134" t="s">
        <v>1168</v>
      </c>
      <c r="D442" s="16"/>
      <c r="E442" s="16"/>
      <c r="F442" s="16">
        <v>0</v>
      </c>
      <c r="G442" s="16">
        <v>3553.9</v>
      </c>
      <c r="H442" s="16">
        <f t="shared" si="134"/>
        <v>-3553.9</v>
      </c>
      <c r="I442" s="53" t="str">
        <f t="shared" si="135"/>
        <v>N.M.</v>
      </c>
      <c r="J442" s="174"/>
      <c r="K442" s="256">
        <v>0</v>
      </c>
      <c r="L442" s="16">
        <f t="shared" si="136"/>
        <v>0</v>
      </c>
      <c r="M442" s="53">
        <f t="shared" si="137"/>
        <v>0</v>
      </c>
      <c r="N442" s="174"/>
      <c r="O442" s="256">
        <v>3454.5</v>
      </c>
      <c r="P442" s="16">
        <f t="shared" si="138"/>
        <v>-3454.5</v>
      </c>
      <c r="Q442" s="53" t="str">
        <f t="shared" si="139"/>
        <v>N.M.</v>
      </c>
    </row>
    <row r="443" spans="1:17" s="15" customFormat="1" ht="12.75" hidden="1" outlineLevel="2">
      <c r="A443" s="15" t="s">
        <v>1169</v>
      </c>
      <c r="B443" s="15" t="s">
        <v>1170</v>
      </c>
      <c r="C443" s="134" t="s">
        <v>1171</v>
      </c>
      <c r="D443" s="16"/>
      <c r="E443" s="16"/>
      <c r="F443" s="16">
        <v>2589</v>
      </c>
      <c r="G443" s="16">
        <v>0</v>
      </c>
      <c r="H443" s="16">
        <f t="shared" si="134"/>
        <v>2589</v>
      </c>
      <c r="I443" s="53" t="str">
        <f t="shared" si="135"/>
        <v>N.M.</v>
      </c>
      <c r="J443" s="174"/>
      <c r="K443" s="256">
        <v>2376.4700000000003</v>
      </c>
      <c r="L443" s="16">
        <f t="shared" si="136"/>
        <v>212.52999999999975</v>
      </c>
      <c r="M443" s="53" t="str">
        <f t="shared" si="137"/>
        <v>N.M.</v>
      </c>
      <c r="N443" s="174"/>
      <c r="O443" s="256">
        <v>0</v>
      </c>
      <c r="P443" s="16">
        <f t="shared" si="138"/>
        <v>2589</v>
      </c>
      <c r="Q443" s="53" t="str">
        <f t="shared" si="139"/>
        <v>N.M.</v>
      </c>
    </row>
    <row r="444" spans="1:17" s="15" customFormat="1" ht="12.75" hidden="1" outlineLevel="2">
      <c r="A444" s="15" t="s">
        <v>1172</v>
      </c>
      <c r="B444" s="15" t="s">
        <v>1173</v>
      </c>
      <c r="C444" s="134" t="s">
        <v>1174</v>
      </c>
      <c r="D444" s="16"/>
      <c r="E444" s="16"/>
      <c r="F444" s="16">
        <v>1239206.86</v>
      </c>
      <c r="G444" s="16">
        <v>1277614.06</v>
      </c>
      <c r="H444" s="16">
        <f t="shared" si="134"/>
        <v>-38407.19999999995</v>
      </c>
      <c r="I444" s="53">
        <f t="shared" si="135"/>
        <v>-0.03006166040470778</v>
      </c>
      <c r="J444" s="174"/>
      <c r="K444" s="256">
        <v>1028651.4</v>
      </c>
      <c r="L444" s="16">
        <f t="shared" si="136"/>
        <v>210555.46000000008</v>
      </c>
      <c r="M444" s="53" t="str">
        <f t="shared" si="137"/>
        <v>N.M.</v>
      </c>
      <c r="N444" s="174"/>
      <c r="O444" s="256">
        <v>909950.4400000001</v>
      </c>
      <c r="P444" s="16">
        <f t="shared" si="138"/>
        <v>329256.42000000004</v>
      </c>
      <c r="Q444" s="53">
        <f t="shared" si="139"/>
        <v>0.3618399481184932</v>
      </c>
    </row>
    <row r="445" spans="1:17" s="15" customFormat="1" ht="12.75" hidden="1" outlineLevel="2">
      <c r="A445" s="15" t="s">
        <v>1175</v>
      </c>
      <c r="B445" s="15" t="s">
        <v>1176</v>
      </c>
      <c r="C445" s="134" t="s">
        <v>1177</v>
      </c>
      <c r="D445" s="16"/>
      <c r="E445" s="16"/>
      <c r="F445" s="16">
        <v>1090990.29</v>
      </c>
      <c r="G445" s="16">
        <v>365707.08</v>
      </c>
      <c r="H445" s="16">
        <f t="shared" si="134"/>
        <v>725283.21</v>
      </c>
      <c r="I445" s="53">
        <f t="shared" si="135"/>
        <v>1.98323535327782</v>
      </c>
      <c r="J445" s="174"/>
      <c r="K445" s="256">
        <v>872790.21</v>
      </c>
      <c r="L445" s="16">
        <f t="shared" si="136"/>
        <v>218200.08000000007</v>
      </c>
      <c r="M445" s="53" t="str">
        <f t="shared" si="137"/>
        <v>N.M.</v>
      </c>
      <c r="N445" s="174"/>
      <c r="O445" s="256">
        <v>324067.19</v>
      </c>
      <c r="P445" s="16">
        <f t="shared" si="138"/>
        <v>766923.1000000001</v>
      </c>
      <c r="Q445" s="53">
        <f t="shared" si="139"/>
        <v>2.3665558367695296</v>
      </c>
    </row>
    <row r="446" spans="1:17" s="15" customFormat="1" ht="12.75" hidden="1" outlineLevel="2">
      <c r="A446" s="15" t="s">
        <v>1178</v>
      </c>
      <c r="B446" s="15" t="s">
        <v>1179</v>
      </c>
      <c r="C446" s="134" t="s">
        <v>1180</v>
      </c>
      <c r="D446" s="16"/>
      <c r="E446" s="16"/>
      <c r="F446" s="16">
        <v>129250</v>
      </c>
      <c r="G446" s="16">
        <v>42120</v>
      </c>
      <c r="H446" s="16">
        <f t="shared" si="134"/>
        <v>87130</v>
      </c>
      <c r="I446" s="53">
        <f t="shared" si="135"/>
        <v>2.068613485280152</v>
      </c>
      <c r="J446" s="174"/>
      <c r="K446" s="256">
        <v>103390</v>
      </c>
      <c r="L446" s="16">
        <f t="shared" si="136"/>
        <v>25860</v>
      </c>
      <c r="M446" s="53" t="str">
        <f t="shared" si="137"/>
        <v>N.M.</v>
      </c>
      <c r="N446" s="174"/>
      <c r="O446" s="256">
        <v>38330</v>
      </c>
      <c r="P446" s="16">
        <f t="shared" si="138"/>
        <v>90920</v>
      </c>
      <c r="Q446" s="53">
        <f t="shared" si="139"/>
        <v>2.372032350639186</v>
      </c>
    </row>
    <row r="447" spans="1:17" s="15" customFormat="1" ht="12.75" hidden="1" outlineLevel="2">
      <c r="A447" s="15" t="s">
        <v>1181</v>
      </c>
      <c r="B447" s="15" t="s">
        <v>1182</v>
      </c>
      <c r="C447" s="134" t="s">
        <v>1183</v>
      </c>
      <c r="D447" s="16"/>
      <c r="E447" s="16"/>
      <c r="F447" s="16">
        <v>594400</v>
      </c>
      <c r="G447" s="16">
        <v>184610</v>
      </c>
      <c r="H447" s="16">
        <f t="shared" si="134"/>
        <v>409790</v>
      </c>
      <c r="I447" s="53">
        <f t="shared" si="135"/>
        <v>2.2197605763501436</v>
      </c>
      <c r="J447" s="174"/>
      <c r="K447" s="256">
        <v>475520</v>
      </c>
      <c r="L447" s="16">
        <f t="shared" si="136"/>
        <v>118880</v>
      </c>
      <c r="M447" s="53" t="str">
        <f t="shared" si="137"/>
        <v>N.M.</v>
      </c>
      <c r="N447" s="174"/>
      <c r="O447" s="256">
        <v>127820</v>
      </c>
      <c r="P447" s="16">
        <f t="shared" si="138"/>
        <v>466580</v>
      </c>
      <c r="Q447" s="53">
        <f t="shared" si="139"/>
        <v>3.650289469566578</v>
      </c>
    </row>
    <row r="448" spans="1:17" s="15" customFormat="1" ht="12.75" hidden="1" outlineLevel="2">
      <c r="A448" s="15" t="s">
        <v>1184</v>
      </c>
      <c r="B448" s="15" t="s">
        <v>1185</v>
      </c>
      <c r="C448" s="134" t="s">
        <v>1186</v>
      </c>
      <c r="D448" s="16"/>
      <c r="E448" s="16"/>
      <c r="F448" s="16">
        <v>-17162.25</v>
      </c>
      <c r="G448" s="16">
        <v>-28942.190000000002</v>
      </c>
      <c r="H448" s="16">
        <f t="shared" si="134"/>
        <v>11779.940000000002</v>
      </c>
      <c r="I448" s="53">
        <f t="shared" si="135"/>
        <v>0.4070161933150187</v>
      </c>
      <c r="J448" s="174"/>
      <c r="K448" s="256">
        <v>109449.75</v>
      </c>
      <c r="L448" s="16">
        <f t="shared" si="136"/>
        <v>-126612</v>
      </c>
      <c r="M448" s="53" t="str">
        <f t="shared" si="137"/>
        <v>N.M.</v>
      </c>
      <c r="N448" s="174"/>
      <c r="O448" s="256">
        <v>15300.75</v>
      </c>
      <c r="P448" s="16">
        <f t="shared" si="138"/>
        <v>-32463</v>
      </c>
      <c r="Q448" s="53">
        <f t="shared" si="139"/>
        <v>-2.1216607029067203</v>
      </c>
    </row>
    <row r="449" spans="1:17" s="15" customFormat="1" ht="12.75" hidden="1" outlineLevel="2">
      <c r="A449" s="15" t="s">
        <v>1187</v>
      </c>
      <c r="B449" s="15" t="s">
        <v>1188</v>
      </c>
      <c r="C449" s="134" t="s">
        <v>1189</v>
      </c>
      <c r="D449" s="16"/>
      <c r="E449" s="16"/>
      <c r="F449" s="16">
        <v>35836.03</v>
      </c>
      <c r="G449" s="16">
        <v>0</v>
      </c>
      <c r="H449" s="16">
        <f t="shared" si="134"/>
        <v>35836.03</v>
      </c>
      <c r="I449" s="53" t="str">
        <f t="shared" si="135"/>
        <v>N.M.</v>
      </c>
      <c r="J449" s="174"/>
      <c r="K449" s="256">
        <v>46677.91</v>
      </c>
      <c r="L449" s="16">
        <f t="shared" si="136"/>
        <v>-10841.880000000005</v>
      </c>
      <c r="M449" s="53" t="str">
        <f t="shared" si="137"/>
        <v>N.M.</v>
      </c>
      <c r="N449" s="174"/>
      <c r="O449" s="256">
        <v>0</v>
      </c>
      <c r="P449" s="16">
        <f t="shared" si="138"/>
        <v>35836.03</v>
      </c>
      <c r="Q449" s="53" t="str">
        <f t="shared" si="139"/>
        <v>N.M.</v>
      </c>
    </row>
    <row r="450" spans="1:17" s="15" customFormat="1" ht="12.75" hidden="1" outlineLevel="2">
      <c r="A450" s="15" t="s">
        <v>1190</v>
      </c>
      <c r="B450" s="15" t="s">
        <v>1191</v>
      </c>
      <c r="C450" s="134" t="s">
        <v>1192</v>
      </c>
      <c r="D450" s="16"/>
      <c r="E450" s="16"/>
      <c r="F450" s="16">
        <v>108349.85</v>
      </c>
      <c r="G450" s="16">
        <v>0</v>
      </c>
      <c r="H450" s="16">
        <f t="shared" si="134"/>
        <v>108349.85</v>
      </c>
      <c r="I450" s="53" t="str">
        <f t="shared" si="135"/>
        <v>N.M.</v>
      </c>
      <c r="J450" s="174"/>
      <c r="K450" s="256">
        <v>116643.68000000001</v>
      </c>
      <c r="L450" s="16">
        <f t="shared" si="136"/>
        <v>-8293.830000000002</v>
      </c>
      <c r="M450" s="53" t="str">
        <f t="shared" si="137"/>
        <v>N.M.</v>
      </c>
      <c r="N450" s="174"/>
      <c r="O450" s="256">
        <v>0</v>
      </c>
      <c r="P450" s="16">
        <f t="shared" si="138"/>
        <v>108349.85</v>
      </c>
      <c r="Q450" s="53" t="str">
        <f t="shared" si="139"/>
        <v>N.M.</v>
      </c>
    </row>
    <row r="451" spans="1:17" s="15" customFormat="1" ht="12.75" hidden="1" outlineLevel="2">
      <c r="A451" s="15" t="s">
        <v>1193</v>
      </c>
      <c r="B451" s="15" t="s">
        <v>1194</v>
      </c>
      <c r="C451" s="134" t="s">
        <v>1195</v>
      </c>
      <c r="D451" s="16"/>
      <c r="E451" s="16"/>
      <c r="F451" s="16">
        <v>276657.54</v>
      </c>
      <c r="G451" s="16">
        <v>221421.9</v>
      </c>
      <c r="H451" s="16">
        <f t="shared" si="134"/>
        <v>55235.639999999985</v>
      </c>
      <c r="I451" s="53">
        <f t="shared" si="135"/>
        <v>0.24945879337138732</v>
      </c>
      <c r="J451" s="174"/>
      <c r="K451" s="256">
        <v>291227.46</v>
      </c>
      <c r="L451" s="16">
        <f t="shared" si="136"/>
        <v>-14569.920000000042</v>
      </c>
      <c r="M451" s="53" t="str">
        <f t="shared" si="137"/>
        <v>N.M.</v>
      </c>
      <c r="N451" s="174"/>
      <c r="O451" s="256">
        <v>457034.9</v>
      </c>
      <c r="P451" s="16">
        <f t="shared" si="138"/>
        <v>-180377.36000000004</v>
      </c>
      <c r="Q451" s="53">
        <f t="shared" si="139"/>
        <v>-0.39466867847510123</v>
      </c>
    </row>
    <row r="452" spans="1:17" s="15" customFormat="1" ht="12.75" hidden="1" outlineLevel="2">
      <c r="A452" s="15" t="s">
        <v>1196</v>
      </c>
      <c r="B452" s="15" t="s">
        <v>1197</v>
      </c>
      <c r="C452" s="134" t="s">
        <v>1198</v>
      </c>
      <c r="D452" s="16"/>
      <c r="E452" s="16"/>
      <c r="F452" s="16">
        <v>42482</v>
      </c>
      <c r="G452" s="16">
        <v>11448.56</v>
      </c>
      <c r="H452" s="16">
        <f t="shared" si="134"/>
        <v>31033.440000000002</v>
      </c>
      <c r="I452" s="53">
        <f t="shared" si="135"/>
        <v>2.7106850119141623</v>
      </c>
      <c r="J452" s="174"/>
      <c r="K452" s="256">
        <v>42482</v>
      </c>
      <c r="L452" s="16">
        <f t="shared" si="136"/>
        <v>0</v>
      </c>
      <c r="M452" s="53">
        <f t="shared" si="137"/>
        <v>0</v>
      </c>
      <c r="N452" s="174"/>
      <c r="O452" s="256">
        <v>42482</v>
      </c>
      <c r="P452" s="16">
        <f t="shared" si="138"/>
        <v>0</v>
      </c>
      <c r="Q452" s="53">
        <f t="shared" si="139"/>
        <v>0</v>
      </c>
    </row>
    <row r="453" spans="1:17" s="15" customFormat="1" ht="12.75" hidden="1" outlineLevel="2">
      <c r="A453" s="15" t="s">
        <v>1199</v>
      </c>
      <c r="B453" s="15" t="s">
        <v>1200</v>
      </c>
      <c r="C453" s="134" t="s">
        <v>1201</v>
      </c>
      <c r="D453" s="16"/>
      <c r="E453" s="16"/>
      <c r="F453" s="16">
        <v>174350</v>
      </c>
      <c r="G453" s="16">
        <v>56860</v>
      </c>
      <c r="H453" s="16">
        <f t="shared" si="134"/>
        <v>117490</v>
      </c>
      <c r="I453" s="53">
        <f t="shared" si="135"/>
        <v>2.0663032008441786</v>
      </c>
      <c r="J453" s="174"/>
      <c r="K453" s="256">
        <v>139470</v>
      </c>
      <c r="L453" s="16">
        <f t="shared" si="136"/>
        <v>34880</v>
      </c>
      <c r="M453" s="53" t="str">
        <f t="shared" si="137"/>
        <v>N.M.</v>
      </c>
      <c r="N453" s="174"/>
      <c r="O453" s="256">
        <v>43030</v>
      </c>
      <c r="P453" s="16">
        <f t="shared" si="138"/>
        <v>131320</v>
      </c>
      <c r="Q453" s="53">
        <f t="shared" si="139"/>
        <v>3.051824308621892</v>
      </c>
    </row>
    <row r="454" spans="1:17" s="15" customFormat="1" ht="12.75" hidden="1" outlineLevel="2">
      <c r="A454" s="15" t="s">
        <v>1202</v>
      </c>
      <c r="B454" s="15" t="s">
        <v>1203</v>
      </c>
      <c r="C454" s="134" t="s">
        <v>1204</v>
      </c>
      <c r="D454" s="16"/>
      <c r="E454" s="16"/>
      <c r="F454" s="16">
        <v>15300</v>
      </c>
      <c r="G454" s="16">
        <v>5250</v>
      </c>
      <c r="H454" s="16">
        <f t="shared" si="134"/>
        <v>10050</v>
      </c>
      <c r="I454" s="53">
        <f t="shared" si="135"/>
        <v>1.9142857142857144</v>
      </c>
      <c r="J454" s="174"/>
      <c r="K454" s="256">
        <v>12240</v>
      </c>
      <c r="L454" s="16">
        <f t="shared" si="136"/>
        <v>3060</v>
      </c>
      <c r="M454" s="53" t="str">
        <f t="shared" si="137"/>
        <v>N.M.</v>
      </c>
      <c r="N454" s="174"/>
      <c r="O454" s="256">
        <v>4230</v>
      </c>
      <c r="P454" s="16">
        <f t="shared" si="138"/>
        <v>11070</v>
      </c>
      <c r="Q454" s="53">
        <f t="shared" si="139"/>
        <v>2.617021276595745</v>
      </c>
    </row>
    <row r="455" spans="1:17" s="15" customFormat="1" ht="12.75" hidden="1" outlineLevel="2">
      <c r="A455" s="15" t="s">
        <v>1205</v>
      </c>
      <c r="B455" s="15" t="s">
        <v>1206</v>
      </c>
      <c r="C455" s="134" t="s">
        <v>1207</v>
      </c>
      <c r="D455" s="16"/>
      <c r="E455" s="16"/>
      <c r="F455" s="16">
        <v>309253.81</v>
      </c>
      <c r="G455" s="16">
        <v>21078.33</v>
      </c>
      <c r="H455" s="16">
        <f t="shared" si="134"/>
        <v>288175.48</v>
      </c>
      <c r="I455" s="53" t="str">
        <f t="shared" si="135"/>
        <v>N.M.</v>
      </c>
      <c r="J455" s="174"/>
      <c r="K455" s="256">
        <v>333697.81</v>
      </c>
      <c r="L455" s="16">
        <f t="shared" si="136"/>
        <v>-24444</v>
      </c>
      <c r="M455" s="53" t="str">
        <f t="shared" si="137"/>
        <v>N.M.</v>
      </c>
      <c r="N455" s="174"/>
      <c r="O455" s="256">
        <v>345407.3</v>
      </c>
      <c r="P455" s="16">
        <f t="shared" si="138"/>
        <v>-36153.48999999999</v>
      </c>
      <c r="Q455" s="53">
        <f t="shared" si="139"/>
        <v>-0.10466915435776833</v>
      </c>
    </row>
    <row r="456" spans="1:17" s="1" customFormat="1" ht="12.75" hidden="1" outlineLevel="1">
      <c r="A456" s="1" t="s">
        <v>285</v>
      </c>
      <c r="C456" s="115" t="s">
        <v>217</v>
      </c>
      <c r="D456" s="34"/>
      <c r="F456" s="197">
        <v>7647818.606</v>
      </c>
      <c r="G456" s="197">
        <v>6378171.436000001</v>
      </c>
      <c r="H456" s="197">
        <f>+F456-G456</f>
        <v>1269647.169999999</v>
      </c>
      <c r="I456" s="138">
        <f>IF(G456&lt;0,IF(H456=0,0,IF(OR(G456=0,F456=0),"N.M.",IF(ABS(H456/G456)&gt;=10,"N.M.",H456/(-G456)))),IF(H456=0,0,IF(OR(G456=0,F456=0),"N.M.",IF(ABS(H456/G456)&gt;=10,"N.M.",H456/G456))))</f>
        <v>0.19906131133976607</v>
      </c>
      <c r="J456" s="167"/>
      <c r="K456" s="197">
        <v>10333456.596</v>
      </c>
      <c r="L456" s="197">
        <f>+F456-K456</f>
        <v>-2685637.990000001</v>
      </c>
      <c r="M456" s="138" t="str">
        <f>IF(K456&lt;0,IF(L456=0,0,IF(OR(K456=0,N456=0),"N.M.",IF(ABS(L456/K456)&gt;=10,"N.M.",L456/(-K456)))),IF(L456=0,0,IF(OR(K456=0,N456=0),"N.M.",IF(ABS(L456/K456)&gt;=10,"N.M.",L456/K456))))</f>
        <v>N.M.</v>
      </c>
      <c r="N456" s="167"/>
      <c r="O456" s="197">
        <v>6201448.606000002</v>
      </c>
      <c r="P456" s="197">
        <f>+F456-O456</f>
        <v>1446369.9999999981</v>
      </c>
      <c r="Q456" s="138">
        <f>IF(O456&lt;0,IF(P456=0,0,IF(OR(O456=0,F456=0),"N.M.",IF(ABS(P456/O456)&gt;=10,"N.M.",P456/(-O456)))),IF(P456=0,0,IF(OR(O456=0,F456=0),"N.M.",IF(ABS(P456/O456)&gt;=10,"N.M.",P456/O456))))</f>
        <v>0.23323099035290107</v>
      </c>
    </row>
    <row r="457" spans="1:17" ht="12.75" collapsed="1">
      <c r="A457" s="11" t="s">
        <v>345</v>
      </c>
      <c r="C457" s="230" t="s">
        <v>206</v>
      </c>
      <c r="D457" s="117"/>
      <c r="E457" s="118"/>
      <c r="F457" s="235">
        <v>15353322.468</v>
      </c>
      <c r="G457" s="235">
        <v>15238194.49</v>
      </c>
      <c r="H457" s="197">
        <f>+F457-G457</f>
        <v>115127.97800000012</v>
      </c>
      <c r="I457" s="138">
        <f>IF(G457&lt;0,IF(H457=0,0,IF(OR(G457=0,F457=0),"N.M.",IF(ABS(H457/G457)&gt;=10,"N.M.",H457/(-G457)))),IF(H457=0,0,IF(OR(G457=0,F457=0),"N.M.",IF(ABS(H457/G457)&gt;=10,"N.M.",H457/G457))))</f>
        <v>0.0075552243460045325</v>
      </c>
      <c r="J457" s="166"/>
      <c r="K457" s="235">
        <v>18196289.247999996</v>
      </c>
      <c r="L457" s="197">
        <f>+F457-K457</f>
        <v>-2842966.7799999956</v>
      </c>
      <c r="M457" s="138" t="str">
        <f>IF(K457&lt;0,IF(L457=0,0,IF(OR(K457=0,N457=0),"N.M.",IF(ABS(L457/K457)&gt;=10,"N.M.",L457/(-K457)))),IF(L457=0,0,IF(OR(K457=0,N457=0),"N.M.",IF(ABS(L457/K457)&gt;=10,"N.M.",L457/K457))))</f>
        <v>N.M.</v>
      </c>
      <c r="N457" s="166"/>
      <c r="O457" s="235">
        <v>15859055.459999999</v>
      </c>
      <c r="P457" s="197">
        <f>+F457-O457</f>
        <v>-505732.9919999987</v>
      </c>
      <c r="Q457" s="138">
        <f>IF(O457&lt;0,IF(P457=0,0,IF(OR(O457=0,F457=0),"N.M.",IF(ABS(P457/O457)&gt;=10,"N.M.",P457/(-O457)))),IF(P457=0,0,IF(OR(O457=0,F457=0),"N.M.",IF(ABS(P457/O457)&gt;=10,"N.M.",P457/O457))))</f>
        <v>-0.031889225261590624</v>
      </c>
    </row>
    <row r="458" spans="1:17" s="13" customFormat="1" ht="12.75">
      <c r="A458" s="13" t="s">
        <v>286</v>
      </c>
      <c r="C458" s="110" t="s">
        <v>227</v>
      </c>
      <c r="D458" s="33"/>
      <c r="F458" s="33">
        <v>112936951.20300001</v>
      </c>
      <c r="G458" s="33">
        <v>79527285.107</v>
      </c>
      <c r="H458" s="74">
        <f>+F458-G458</f>
        <v>33409666.096000016</v>
      </c>
      <c r="I458" s="137">
        <f>IF(G458&lt;0,IF(H458=0,0,IF(OR(G458=0,F458=0),"N.M.",IF(ABS(H458/G458)&gt;=10,"N.M.",H458/(-G458)))),IF(H458=0,0,IF(OR(G458=0,F458=0),"N.M.",IF(ABS(H458/G458)&gt;=10,"N.M.",H458/G458))))</f>
        <v>0.42010318912620964</v>
      </c>
      <c r="J458" s="168"/>
      <c r="K458" s="33">
        <v>111945851.823</v>
      </c>
      <c r="L458" s="74">
        <f>+F458-K458</f>
        <v>991099.3800000101</v>
      </c>
      <c r="M458" s="137" t="str">
        <f>IF(K458&lt;0,IF(L458=0,0,IF(OR(K458=0,N458=0),"N.M.",IF(ABS(L458/K458)&gt;=10,"N.M.",L458/(-K458)))),IF(L458=0,0,IF(OR(K458=0,N458=0),"N.M.",IF(ABS(L458/K458)&gt;=10,"N.M.",L458/K458))))</f>
        <v>N.M.</v>
      </c>
      <c r="N458" s="168"/>
      <c r="O458" s="33">
        <v>101445796.95300002</v>
      </c>
      <c r="P458" s="74">
        <f>+F458-O458</f>
        <v>11491154.249999985</v>
      </c>
      <c r="Q458" s="137">
        <f>IF(O458&lt;0,IF(P458=0,0,IF(OR(O458=0,F458=0),"N.M.",IF(ABS(P458/O458)&gt;=10,"N.M.",P458/(-O458)))),IF(P458=0,0,IF(OR(O458=0,F458=0),"N.M.",IF(ABS(P458/O458)&gt;=10,"N.M.",P458/O458))))</f>
        <v>0.11327383287573611</v>
      </c>
    </row>
    <row r="459" spans="3:17" ht="12.75">
      <c r="C459" s="126"/>
      <c r="D459" s="106"/>
      <c r="E459" s="11"/>
      <c r="F459" s="233" t="str">
        <f>IF(ABS(+F299+F301+F303+F305+F330+F344+F308+F349+F381+F388+F390+F394+F401+F457-F458)&gt;$C$574,$J$182," ")</f>
        <v> </v>
      </c>
      <c r="G459" s="233" t="str">
        <f>IF(ABS(+G299+G301+G303+G305+G330+G344+G308+G349+G381+G388+G390+G394+G401+G457-G458)&gt;$C$574,$J$182," ")</f>
        <v> </v>
      </c>
      <c r="H459" s="233" t="str">
        <f>IF(ABS(+H299+H301+H303+H305+H330+H344+H308+H349+H381+H388+H390+H394+H401+H457-H458)&gt;$C$574,$J$182," ")</f>
        <v> </v>
      </c>
      <c r="I459" s="141"/>
      <c r="J459" s="166"/>
      <c r="K459" s="233" t="str">
        <f>IF(ABS(+K299+K301+K303+K305+K330+K344+K308+K349+K381+K388+K390+K394+K401+K457-K458)&gt;$C$574,$J$182," ")</f>
        <v> </v>
      </c>
      <c r="L459" s="233" t="str">
        <f>IF(ABS(+L299+L301+L303+L305+L330+L344+L308+L349+L381+L388+L390+L394+L401+L457-L458)&gt;$C$574,$J$182," ")</f>
        <v> </v>
      </c>
      <c r="M459" s="141"/>
      <c r="N459" s="166"/>
      <c r="O459" s="233" t="str">
        <f>IF(ABS(+O299+O301+O303+O305+O330+O344+O308+O349+O381+O388+O390+O394+O401+O457-O458)&gt;$C$574,$J$182," ")</f>
        <v> </v>
      </c>
      <c r="P459" s="233" t="str">
        <f>IF(ABS(+P299+P301+P303+P305+P330+P344+P308+P349+P381+P388+P390+P394+P401+P457-P458)&gt;$C$574,$J$182," ")</f>
        <v> </v>
      </c>
      <c r="Q459" s="141"/>
    </row>
    <row r="460" spans="3:17" ht="12.75">
      <c r="C460" s="127"/>
      <c r="D460" s="103"/>
      <c r="E460" s="104"/>
      <c r="F460" s="103"/>
      <c r="G460" s="103"/>
      <c r="H460" s="103"/>
      <c r="I460" s="141"/>
      <c r="J460" s="166"/>
      <c r="K460" s="103"/>
      <c r="L460" s="103"/>
      <c r="M460" s="141"/>
      <c r="N460" s="166"/>
      <c r="O460" s="103"/>
      <c r="P460" s="103"/>
      <c r="Q460" s="141"/>
    </row>
    <row r="461" spans="3:17" ht="0.75" customHeight="1" hidden="1" outlineLevel="1">
      <c r="C461" s="127"/>
      <c r="D461" s="103"/>
      <c r="E461" s="104"/>
      <c r="F461" s="103"/>
      <c r="G461" s="103"/>
      <c r="H461" s="103"/>
      <c r="I461" s="141"/>
      <c r="J461" s="166"/>
      <c r="K461" s="103"/>
      <c r="L461" s="103"/>
      <c r="M461" s="141"/>
      <c r="N461" s="166"/>
      <c r="O461" s="103"/>
      <c r="P461" s="103"/>
      <c r="Q461" s="141"/>
    </row>
    <row r="462" spans="1:17" s="15" customFormat="1" ht="12.75" hidden="1" outlineLevel="2">
      <c r="A462" s="15" t="s">
        <v>1208</v>
      </c>
      <c r="B462" s="15" t="s">
        <v>1209</v>
      </c>
      <c r="C462" s="134" t="s">
        <v>1210</v>
      </c>
      <c r="D462" s="16"/>
      <c r="E462" s="16"/>
      <c r="F462" s="16">
        <v>29932403.9</v>
      </c>
      <c r="G462" s="16">
        <v>31492738.9</v>
      </c>
      <c r="H462" s="16">
        <f aca="true" t="shared" si="140" ref="H462:H470">+F462-G462</f>
        <v>-1560335</v>
      </c>
      <c r="I462" s="53">
        <f aca="true" t="shared" si="141" ref="I462:I470">IF(G462&lt;0,IF(H462=0,0,IF(OR(G462=0,F462=0),"N.M.",IF(ABS(H462/G462)&gt;=10,"N.M.",H462/(-G462)))),IF(H462=0,0,IF(OR(G462=0,F462=0),"N.M.",IF(ABS(H462/G462)&gt;=10,"N.M.",H462/G462))))</f>
        <v>-0.04954586531690961</v>
      </c>
      <c r="J462" s="174"/>
      <c r="K462" s="256">
        <v>30007688.9</v>
      </c>
      <c r="L462" s="16">
        <f aca="true" t="shared" si="142" ref="L462:L470">+F462-K462</f>
        <v>-75285</v>
      </c>
      <c r="M462" s="53" t="str">
        <f aca="true" t="shared" si="143" ref="M462:M470">IF(K462&lt;0,IF(L462=0,0,IF(OR(K462=0,N462=0),"N.M.",IF(ABS(L462/K462)&gt;=10,"N.M.",L462/(-K462)))),IF(L462=0,0,IF(OR(K462=0,N462=0),"N.M.",IF(ABS(L462/K462)&gt;=10,"N.M.",L462/K462))))</f>
        <v>N.M.</v>
      </c>
      <c r="N462" s="174"/>
      <c r="O462" s="256">
        <v>31362188.9</v>
      </c>
      <c r="P462" s="16">
        <f aca="true" t="shared" si="144" ref="P462:P470">+F462-O462</f>
        <v>-1429785</v>
      </c>
      <c r="Q462" s="53">
        <f aca="true" t="shared" si="145" ref="Q462:Q470">IF(O462&lt;0,IF(P462=0,0,IF(OR(O462=0,F462=0),"N.M.",IF(ABS(P462/O462)&gt;=10,"N.M.",P462/(-O462)))),IF(P462=0,0,IF(OR(O462=0,F462=0),"N.M.",IF(ABS(P462/O462)&gt;=10,"N.M.",P462/O462))))</f>
        <v>-0.045589451825538876</v>
      </c>
    </row>
    <row r="463" spans="1:17" s="15" customFormat="1" ht="12.75" hidden="1" outlineLevel="2">
      <c r="A463" s="15" t="s">
        <v>1211</v>
      </c>
      <c r="B463" s="15" t="s">
        <v>1212</v>
      </c>
      <c r="C463" s="134" t="s">
        <v>1213</v>
      </c>
      <c r="D463" s="16"/>
      <c r="E463" s="16"/>
      <c r="F463" s="16">
        <v>166127639.62</v>
      </c>
      <c r="G463" s="16">
        <v>158577440.91</v>
      </c>
      <c r="H463" s="16">
        <f t="shared" si="140"/>
        <v>7550198.710000008</v>
      </c>
      <c r="I463" s="53">
        <f t="shared" si="141"/>
        <v>0.047612060496581565</v>
      </c>
      <c r="J463" s="174"/>
      <c r="K463" s="256">
        <v>168569323.56</v>
      </c>
      <c r="L463" s="16">
        <f t="shared" si="142"/>
        <v>-2441683.9399999976</v>
      </c>
      <c r="M463" s="53" t="str">
        <f t="shared" si="143"/>
        <v>N.M.</v>
      </c>
      <c r="N463" s="174"/>
      <c r="O463" s="256">
        <v>162185879.69</v>
      </c>
      <c r="P463" s="16">
        <f t="shared" si="144"/>
        <v>3941759.930000007</v>
      </c>
      <c r="Q463" s="53">
        <f t="shared" si="145"/>
        <v>0.024303964916885714</v>
      </c>
    </row>
    <row r="464" spans="1:17" s="15" customFormat="1" ht="12.75" hidden="1" outlineLevel="2">
      <c r="A464" s="15" t="s">
        <v>1214</v>
      </c>
      <c r="B464" s="15" t="s">
        <v>1215</v>
      </c>
      <c r="C464" s="134" t="s">
        <v>1216</v>
      </c>
      <c r="D464" s="16"/>
      <c r="E464" s="16"/>
      <c r="F464" s="16">
        <v>52199087.82</v>
      </c>
      <c r="G464" s="16">
        <v>50952973.7</v>
      </c>
      <c r="H464" s="16">
        <f t="shared" si="140"/>
        <v>1246114.1199999973</v>
      </c>
      <c r="I464" s="53">
        <f t="shared" si="141"/>
        <v>0.024456160838361378</v>
      </c>
      <c r="J464" s="174"/>
      <c r="K464" s="256">
        <v>50329335.66</v>
      </c>
      <c r="L464" s="16">
        <f t="shared" si="142"/>
        <v>1869752.1600000039</v>
      </c>
      <c r="M464" s="53" t="str">
        <f t="shared" si="143"/>
        <v>N.M.</v>
      </c>
      <c r="N464" s="174"/>
      <c r="O464" s="256">
        <v>51641596.78</v>
      </c>
      <c r="P464" s="16">
        <f t="shared" si="144"/>
        <v>557491.0399999991</v>
      </c>
      <c r="Q464" s="53">
        <f t="shared" si="145"/>
        <v>0.010795387338137206</v>
      </c>
    </row>
    <row r="465" spans="1:17" s="15" customFormat="1" ht="12.75" hidden="1" outlineLevel="2">
      <c r="A465" s="15" t="s">
        <v>1217</v>
      </c>
      <c r="B465" s="15" t="s">
        <v>1218</v>
      </c>
      <c r="C465" s="134" t="s">
        <v>1219</v>
      </c>
      <c r="D465" s="16"/>
      <c r="E465" s="16"/>
      <c r="F465" s="16">
        <v>-716482</v>
      </c>
      <c r="G465" s="16">
        <v>-808863</v>
      </c>
      <c r="H465" s="16">
        <f t="shared" si="140"/>
        <v>92381</v>
      </c>
      <c r="I465" s="53">
        <f t="shared" si="141"/>
        <v>0.11421093559725194</v>
      </c>
      <c r="J465" s="174"/>
      <c r="K465" s="256">
        <v>-724819</v>
      </c>
      <c r="L465" s="16">
        <f t="shared" si="142"/>
        <v>8337</v>
      </c>
      <c r="M465" s="53" t="str">
        <f t="shared" si="143"/>
        <v>N.M.</v>
      </c>
      <c r="N465" s="174"/>
      <c r="O465" s="256">
        <v>-798259</v>
      </c>
      <c r="P465" s="16">
        <f t="shared" si="144"/>
        <v>81777</v>
      </c>
      <c r="Q465" s="53">
        <f t="shared" si="145"/>
        <v>0.10244419417757895</v>
      </c>
    </row>
    <row r="466" spans="1:17" s="15" customFormat="1" ht="12.75" hidden="1" outlineLevel="2">
      <c r="A466" s="15" t="s">
        <v>1220</v>
      </c>
      <c r="B466" s="15" t="s">
        <v>1221</v>
      </c>
      <c r="C466" s="134" t="s">
        <v>776</v>
      </c>
      <c r="D466" s="16"/>
      <c r="E466" s="16"/>
      <c r="F466" s="16">
        <v>10771.49</v>
      </c>
      <c r="G466" s="16">
        <v>226269.01</v>
      </c>
      <c r="H466" s="16">
        <f t="shared" si="140"/>
        <v>-215497.52000000002</v>
      </c>
      <c r="I466" s="53">
        <f t="shared" si="141"/>
        <v>-0.9523952042747702</v>
      </c>
      <c r="J466" s="174"/>
      <c r="K466" s="256">
        <v>6739.5</v>
      </c>
      <c r="L466" s="16">
        <f t="shared" si="142"/>
        <v>4031.99</v>
      </c>
      <c r="M466" s="53" t="str">
        <f t="shared" si="143"/>
        <v>N.M.</v>
      </c>
      <c r="N466" s="174"/>
      <c r="O466" s="256">
        <v>178797.73</v>
      </c>
      <c r="P466" s="16">
        <f t="shared" si="144"/>
        <v>-168026.24000000002</v>
      </c>
      <c r="Q466" s="53">
        <f t="shared" si="145"/>
        <v>-0.93975600249511</v>
      </c>
    </row>
    <row r="467" spans="1:17" s="15" customFormat="1" ht="12.75" hidden="1" outlineLevel="2">
      <c r="A467" s="15" t="s">
        <v>1222</v>
      </c>
      <c r="B467" s="15" t="s">
        <v>1223</v>
      </c>
      <c r="C467" s="134" t="s">
        <v>782</v>
      </c>
      <c r="D467" s="16"/>
      <c r="E467" s="16"/>
      <c r="F467" s="16">
        <v>18822519.46</v>
      </c>
      <c r="G467" s="16">
        <v>24170312.28</v>
      </c>
      <c r="H467" s="16">
        <f t="shared" si="140"/>
        <v>-5347792.82</v>
      </c>
      <c r="I467" s="53">
        <f t="shared" si="141"/>
        <v>-0.22125460184579793</v>
      </c>
      <c r="J467" s="174"/>
      <c r="K467" s="256">
        <v>15933659.94</v>
      </c>
      <c r="L467" s="16">
        <f t="shared" si="142"/>
        <v>2888859.5200000014</v>
      </c>
      <c r="M467" s="53" t="str">
        <f t="shared" si="143"/>
        <v>N.M.</v>
      </c>
      <c r="N467" s="174"/>
      <c r="O467" s="256">
        <v>21654672.13</v>
      </c>
      <c r="P467" s="16">
        <f t="shared" si="144"/>
        <v>-2832152.669999998</v>
      </c>
      <c r="Q467" s="53">
        <f t="shared" si="145"/>
        <v>-0.13078714159224716</v>
      </c>
    </row>
    <row r="468" spans="1:17" s="15" customFormat="1" ht="12.75" hidden="1" outlineLevel="2">
      <c r="A468" s="15" t="s">
        <v>1224</v>
      </c>
      <c r="B468" s="15" t="s">
        <v>1225</v>
      </c>
      <c r="C468" s="134" t="s">
        <v>1226</v>
      </c>
      <c r="D468" s="16"/>
      <c r="E468" s="16"/>
      <c r="F468" s="16">
        <v>38211.29</v>
      </c>
      <c r="G468" s="16">
        <v>1634746.92</v>
      </c>
      <c r="H468" s="16">
        <f t="shared" si="140"/>
        <v>-1596535.63</v>
      </c>
      <c r="I468" s="53">
        <f t="shared" si="141"/>
        <v>-0.9766255623225153</v>
      </c>
      <c r="J468" s="174"/>
      <c r="K468" s="256">
        <v>41185.94</v>
      </c>
      <c r="L468" s="16">
        <f t="shared" si="142"/>
        <v>-2974.6500000000015</v>
      </c>
      <c r="M468" s="53" t="str">
        <f t="shared" si="143"/>
        <v>N.M.</v>
      </c>
      <c r="N468" s="174"/>
      <c r="O468" s="256">
        <v>292452.69</v>
      </c>
      <c r="P468" s="16">
        <f t="shared" si="144"/>
        <v>-254241.4</v>
      </c>
      <c r="Q468" s="53">
        <f t="shared" si="145"/>
        <v>-0.8693419780136062</v>
      </c>
    </row>
    <row r="469" spans="1:17" s="15" customFormat="1" ht="12.75" hidden="1" outlineLevel="2">
      <c r="A469" s="15" t="s">
        <v>1227</v>
      </c>
      <c r="B469" s="15" t="s">
        <v>1228</v>
      </c>
      <c r="C469" s="134" t="s">
        <v>1229</v>
      </c>
      <c r="D469" s="16"/>
      <c r="E469" s="16"/>
      <c r="F469" s="16">
        <v>43838414.77</v>
      </c>
      <c r="G469" s="16">
        <v>39503236.08</v>
      </c>
      <c r="H469" s="16">
        <f t="shared" si="140"/>
        <v>4335178.690000005</v>
      </c>
      <c r="I469" s="53">
        <f t="shared" si="141"/>
        <v>0.1097423684788916</v>
      </c>
      <c r="J469" s="174"/>
      <c r="K469" s="256">
        <v>41074502.51</v>
      </c>
      <c r="L469" s="16">
        <f t="shared" si="142"/>
        <v>2763912.2600000054</v>
      </c>
      <c r="M469" s="53" t="str">
        <f t="shared" si="143"/>
        <v>N.M.</v>
      </c>
      <c r="N469" s="174"/>
      <c r="O469" s="256">
        <v>40623807.62</v>
      </c>
      <c r="P469" s="16">
        <f t="shared" si="144"/>
        <v>3214607.150000006</v>
      </c>
      <c r="Q469" s="53">
        <f t="shared" si="145"/>
        <v>0.07913111395341937</v>
      </c>
    </row>
    <row r="470" spans="1:17" s="15" customFormat="1" ht="12.75" hidden="1" outlineLevel="2">
      <c r="A470" s="15" t="s">
        <v>1230</v>
      </c>
      <c r="B470" s="15" t="s">
        <v>1231</v>
      </c>
      <c r="C470" s="134" t="s">
        <v>1232</v>
      </c>
      <c r="D470" s="16"/>
      <c r="E470" s="16"/>
      <c r="F470" s="16">
        <v>42447756</v>
      </c>
      <c r="G470" s="16">
        <v>34477198</v>
      </c>
      <c r="H470" s="16">
        <f t="shared" si="140"/>
        <v>7970558</v>
      </c>
      <c r="I470" s="53">
        <f t="shared" si="141"/>
        <v>0.23118346218274466</v>
      </c>
      <c r="J470" s="174"/>
      <c r="K470" s="256">
        <v>37671563</v>
      </c>
      <c r="L470" s="16">
        <f t="shared" si="142"/>
        <v>4776193</v>
      </c>
      <c r="M470" s="53" t="str">
        <f t="shared" si="143"/>
        <v>N.M.</v>
      </c>
      <c r="N470" s="174"/>
      <c r="O470" s="256">
        <v>36824251</v>
      </c>
      <c r="P470" s="16">
        <f t="shared" si="144"/>
        <v>5623505</v>
      </c>
      <c r="Q470" s="53">
        <f t="shared" si="145"/>
        <v>0.1527119994918566</v>
      </c>
    </row>
    <row r="471" spans="1:17" s="13" customFormat="1" ht="12.75" collapsed="1">
      <c r="A471" s="13" t="s">
        <v>287</v>
      </c>
      <c r="C471" s="110" t="s">
        <v>218</v>
      </c>
      <c r="D471" s="33"/>
      <c r="F471" s="33">
        <v>352700322.35</v>
      </c>
      <c r="G471" s="33">
        <v>340226052.79999995</v>
      </c>
      <c r="H471" s="74">
        <f>+F471-G471</f>
        <v>12474269.550000072</v>
      </c>
      <c r="I471" s="137">
        <f>IF(G471&lt;0,IF(H471=0,0,IF(OR(G471=0,F471=0),"N.M.",IF(ABS(H471/G471)&gt;=10,"N.M.",H471/(-G471)))),IF(H471=0,0,IF(OR(G471=0,F471=0),"N.M.",IF(ABS(H471/G471)&gt;=10,"N.M.",H471/G471))))</f>
        <v>0.03666465118511369</v>
      </c>
      <c r="J471" s="168"/>
      <c r="K471" s="33">
        <v>342909180.01</v>
      </c>
      <c r="L471" s="74">
        <f>+F471-K471</f>
        <v>9791142.340000033</v>
      </c>
      <c r="M471" s="137" t="str">
        <f>IF(K471&lt;0,IF(L471=0,0,IF(OR(K471=0,N471=0),"N.M.",IF(ABS(L471/K471)&gt;=10,"N.M.",L471/(-K471)))),IF(L471=0,0,IF(OR(K471=0,N471=0),"N.M.",IF(ABS(L471/K471)&gt;=10,"N.M.",L471/K471))))</f>
        <v>N.M.</v>
      </c>
      <c r="N471" s="168"/>
      <c r="O471" s="33">
        <v>343965387.53999996</v>
      </c>
      <c r="P471" s="74">
        <f>+F471-O471</f>
        <v>8734934.810000062</v>
      </c>
      <c r="Q471" s="137">
        <f>IF(O471&lt;0,IF(P471=0,0,IF(OR(O471=0,F471=0),"N.M.",IF(ABS(P471/O471)&gt;=10,"N.M.",P471/(-O471)))),IF(P471=0,0,IF(OR(O471=0,F471=0),"N.M.",IF(ABS(P471/O471)&gt;=10,"N.M.",P471/O471))))</f>
        <v>0.02539480751964984</v>
      </c>
    </row>
    <row r="472" spans="3:17" s="13" customFormat="1" ht="0.75" customHeight="1" hidden="1" outlineLevel="1">
      <c r="C472" s="110"/>
      <c r="D472" s="33"/>
      <c r="F472" s="33"/>
      <c r="G472" s="33"/>
      <c r="H472" s="74"/>
      <c r="I472" s="137"/>
      <c r="J472" s="168"/>
      <c r="K472" s="33"/>
      <c r="L472" s="74"/>
      <c r="M472" s="137"/>
      <c r="N472" s="168"/>
      <c r="O472" s="33"/>
      <c r="P472" s="74"/>
      <c r="Q472" s="137"/>
    </row>
    <row r="473" spans="1:17" s="15" customFormat="1" ht="12.75" hidden="1" outlineLevel="2">
      <c r="A473" s="15" t="s">
        <v>1233</v>
      </c>
      <c r="B473" s="15" t="s">
        <v>1234</v>
      </c>
      <c r="C473" s="134" t="s">
        <v>1235</v>
      </c>
      <c r="D473" s="16"/>
      <c r="E473" s="16"/>
      <c r="F473" s="16">
        <v>1051807</v>
      </c>
      <c r="G473" s="16">
        <v>1765864</v>
      </c>
      <c r="H473" s="16">
        <f>+F473-G473</f>
        <v>-714057</v>
      </c>
      <c r="I473" s="53">
        <f>IF(G473&lt;0,IF(H473=0,0,IF(OR(G473=0,F473=0),"N.M.",IF(ABS(H473/G473)&gt;=10,"N.M.",H473/(-G473)))),IF(H473=0,0,IF(OR(G473=0,F473=0),"N.M.",IF(ABS(H473/G473)&gt;=10,"N.M.",H473/G473))))</f>
        <v>-0.40436692746440267</v>
      </c>
      <c r="J473" s="174"/>
      <c r="K473" s="256">
        <v>1110494</v>
      </c>
      <c r="L473" s="16">
        <f>+F473-K473</f>
        <v>-58687</v>
      </c>
      <c r="M473" s="53" t="str">
        <f>IF(K473&lt;0,IF(L473=0,0,IF(OR(K473=0,N473=0),"N.M.",IF(ABS(L473/K473)&gt;=10,"N.M.",L473/(-K473)))),IF(L473=0,0,IF(OR(K473=0,N473=0),"N.M.",IF(ABS(L473/K473)&gt;=10,"N.M.",L473/K473))))</f>
        <v>N.M.</v>
      </c>
      <c r="N473" s="174"/>
      <c r="O473" s="256">
        <v>1697364</v>
      </c>
      <c r="P473" s="16">
        <f>+F473-O473</f>
        <v>-645557</v>
      </c>
      <c r="Q473" s="53">
        <f>IF(O473&lt;0,IF(P473=0,0,IF(OR(O473=0,F473=0),"N.M.",IF(ABS(P473/O473)&gt;=10,"N.M.",P473/(-O473)))),IF(P473=0,0,IF(OR(O473=0,F473=0),"N.M.",IF(ABS(P473/O473)&gt;=10,"N.M.",P473/O473))))</f>
        <v>-0.38032914566351117</v>
      </c>
    </row>
    <row r="474" spans="1:17" s="13" customFormat="1" ht="12.75" collapsed="1">
      <c r="A474" s="13" t="s">
        <v>288</v>
      </c>
      <c r="C474" s="110" t="s">
        <v>219</v>
      </c>
      <c r="D474" s="33"/>
      <c r="F474" s="33">
        <v>1051807</v>
      </c>
      <c r="G474" s="33">
        <v>1765864</v>
      </c>
      <c r="H474" s="74">
        <f>+F474-G474</f>
        <v>-714057</v>
      </c>
      <c r="I474" s="137">
        <f>IF(G474&lt;0,IF(H474=0,0,IF(OR(G474=0,F474=0),"N.M.",IF(ABS(H474/G474)&gt;=10,"N.M.",H474/(-G474)))),IF(H474=0,0,IF(OR(G474=0,F474=0),"N.M.",IF(ABS(H474/G474)&gt;=10,"N.M.",H474/G474))))</f>
        <v>-0.40436692746440267</v>
      </c>
      <c r="J474" s="168"/>
      <c r="K474" s="33">
        <v>1110494</v>
      </c>
      <c r="L474" s="74">
        <f>+F474-K474</f>
        <v>-58687</v>
      </c>
      <c r="M474" s="137" t="str">
        <f>IF(K474&lt;0,IF(L474=0,0,IF(OR(K474=0,N474=0),"N.M.",IF(ABS(L474/K474)&gt;=10,"N.M.",L474/(-K474)))),IF(L474=0,0,IF(OR(K474=0,N474=0),"N.M.",IF(ABS(L474/K474)&gt;=10,"N.M.",L474/K474))))</f>
        <v>N.M.</v>
      </c>
      <c r="N474" s="168"/>
      <c r="O474" s="33">
        <v>1697364</v>
      </c>
      <c r="P474" s="74">
        <f>+F474-O474</f>
        <v>-645557</v>
      </c>
      <c r="Q474" s="137">
        <f>IF(O474&lt;0,IF(P474=0,0,IF(OR(O474=0,F474=0),"N.M.",IF(ABS(P474/O474)&gt;=10,"N.M.",P474/(-O474)))),IF(P474=0,0,IF(OR(O474=0,F474=0),"N.M.",IF(ABS(P474/O474)&gt;=10,"N.M.",P474/O474))))</f>
        <v>-0.38032914566351117</v>
      </c>
    </row>
    <row r="475" spans="3:17" s="13" customFormat="1" ht="0.75" customHeight="1" hidden="1" outlineLevel="1">
      <c r="C475" s="110"/>
      <c r="D475" s="33"/>
      <c r="F475" s="33"/>
      <c r="G475" s="33"/>
      <c r="H475" s="74"/>
      <c r="I475" s="137"/>
      <c r="J475" s="168"/>
      <c r="K475" s="33"/>
      <c r="L475" s="74"/>
      <c r="M475" s="137"/>
      <c r="N475" s="168"/>
      <c r="O475" s="33"/>
      <c r="P475" s="74"/>
      <c r="Q475" s="137"/>
    </row>
    <row r="476" spans="1:17" s="15" customFormat="1" ht="12.75" hidden="1" outlineLevel="2">
      <c r="A476" s="15" t="s">
        <v>1236</v>
      </c>
      <c r="B476" s="15" t="s">
        <v>1237</v>
      </c>
      <c r="C476" s="134" t="s">
        <v>1238</v>
      </c>
      <c r="D476" s="16"/>
      <c r="E476" s="16"/>
      <c r="F476" s="16">
        <v>1379723.88</v>
      </c>
      <c r="G476" s="16">
        <v>4272794.88</v>
      </c>
      <c r="H476" s="16">
        <f aca="true" t="shared" si="146" ref="H476:H489">+F476-G476</f>
        <v>-2893071</v>
      </c>
      <c r="I476" s="53">
        <f aca="true" t="shared" si="147" ref="I476:I489">IF(G476&lt;0,IF(H476=0,0,IF(OR(G476=0,F476=0),"N.M.",IF(ABS(H476/G476)&gt;=10,"N.M.",H476/(-G476)))),IF(H476=0,0,IF(OR(G476=0,F476=0),"N.M.",IF(ABS(H476/G476)&gt;=10,"N.M.",H476/G476))))</f>
        <v>-0.6770910098076134</v>
      </c>
      <c r="J476" s="174"/>
      <c r="K476" s="256">
        <v>1278980.88</v>
      </c>
      <c r="L476" s="16">
        <f>+F476-K476</f>
        <v>100743</v>
      </c>
      <c r="M476" s="53" t="str">
        <f>IF(K476&lt;0,IF(L476=0,0,IF(OR(K476=0,N476=0),"N.M.",IF(ABS(L476/K476)&gt;=10,"N.M.",L476/(-K476)))),IF(L476=0,0,IF(OR(K476=0,N476=0),"N.M.",IF(ABS(L476/K476)&gt;=10,"N.M.",L476/K476))))</f>
        <v>N.M.</v>
      </c>
      <c r="N476" s="174"/>
      <c r="O476" s="256">
        <v>1786709.88</v>
      </c>
      <c r="P476" s="16">
        <f>+F476-O476</f>
        <v>-406986</v>
      </c>
      <c r="Q476" s="53">
        <f>IF(O476&lt;0,IF(P476=0,0,IF(OR(O476=0,F476=0),"N.M.",IF(ABS(P476/O476)&gt;=10,"N.M.",P476/(-O476)))),IF(P476=0,0,IF(OR(O476=0,F476=0),"N.M.",IF(ABS(P476/O476)&gt;=10,"N.M.",P476/O476))))</f>
        <v>-0.22778516230066406</v>
      </c>
    </row>
    <row r="477" spans="1:17" s="13" customFormat="1" ht="12.75" hidden="1" outlineLevel="1">
      <c r="A477" s="11" t="s">
        <v>289</v>
      </c>
      <c r="B477" s="11"/>
      <c r="C477" s="123" t="s">
        <v>229</v>
      </c>
      <c r="D477" s="18"/>
      <c r="E477" s="11"/>
      <c r="F477" s="18">
        <v>1379723.88</v>
      </c>
      <c r="G477" s="18">
        <v>4272794.88</v>
      </c>
      <c r="H477" s="51">
        <f t="shared" si="146"/>
        <v>-2893071</v>
      </c>
      <c r="I477" s="136">
        <f t="shared" si="147"/>
        <v>-0.6770910098076134</v>
      </c>
      <c r="J477" s="168"/>
      <c r="K477" s="18">
        <v>1278980.88</v>
      </c>
      <c r="L477" s="51">
        <f aca="true" t="shared" si="148" ref="L477:L489">+F477-K477</f>
        <v>100743</v>
      </c>
      <c r="M477" s="136" t="str">
        <f aca="true" t="shared" si="149" ref="M477:M489">IF(K477&lt;0,IF(L477=0,0,IF(OR(K477=0,N477=0),"N.M.",IF(ABS(L477/K477)&gt;=10,"N.M.",L477/(-K477)))),IF(L477=0,0,IF(OR(K477=0,N477=0),"N.M.",IF(ABS(L477/K477)&gt;=10,"N.M.",L477/K477))))</f>
        <v>N.M.</v>
      </c>
      <c r="N477" s="168"/>
      <c r="O477" s="18">
        <v>1786709.88</v>
      </c>
      <c r="P477" s="51">
        <f aca="true" t="shared" si="150" ref="P477:P489">+F477-O477</f>
        <v>-406986</v>
      </c>
      <c r="Q477" s="136">
        <f aca="true" t="shared" si="151" ref="Q477:Q489">IF(O477&lt;0,IF(P477=0,0,IF(OR(O477=0,F477=0),"N.M.",IF(ABS(P477/O477)&gt;=10,"N.M.",P477/(-O477)))),IF(P477=0,0,IF(OR(O477=0,F477=0),"N.M.",IF(ABS(P477/O477)&gt;=10,"N.M.",P477/O477))))</f>
        <v>-0.22778516230066406</v>
      </c>
    </row>
    <row r="478" spans="1:17" s="13" customFormat="1" ht="12.75" hidden="1" outlineLevel="1">
      <c r="A478" s="11" t="s">
        <v>290</v>
      </c>
      <c r="B478" s="11"/>
      <c r="C478" s="123" t="s">
        <v>230</v>
      </c>
      <c r="D478" s="18"/>
      <c r="E478" s="11"/>
      <c r="F478" s="18">
        <v>0</v>
      </c>
      <c r="G478" s="18">
        <v>0</v>
      </c>
      <c r="H478" s="51">
        <f t="shared" si="146"/>
        <v>0</v>
      </c>
      <c r="I478" s="136">
        <f t="shared" si="147"/>
        <v>0</v>
      </c>
      <c r="J478" s="168"/>
      <c r="K478" s="18">
        <v>0</v>
      </c>
      <c r="L478" s="51">
        <f t="shared" si="148"/>
        <v>0</v>
      </c>
      <c r="M478" s="136">
        <f t="shared" si="149"/>
        <v>0</v>
      </c>
      <c r="N478" s="168"/>
      <c r="O478" s="18">
        <v>0</v>
      </c>
      <c r="P478" s="51">
        <f t="shared" si="150"/>
        <v>0</v>
      </c>
      <c r="Q478" s="136">
        <f t="shared" si="151"/>
        <v>0</v>
      </c>
    </row>
    <row r="479" spans="1:17" s="13" customFormat="1" ht="12.75" hidden="1" outlineLevel="1">
      <c r="A479" s="11" t="s">
        <v>291</v>
      </c>
      <c r="B479" s="11"/>
      <c r="C479" s="123" t="s">
        <v>231</v>
      </c>
      <c r="D479" s="18"/>
      <c r="E479" s="11"/>
      <c r="F479" s="18">
        <v>0</v>
      </c>
      <c r="G479" s="18">
        <v>0</v>
      </c>
      <c r="H479" s="51">
        <f t="shared" si="146"/>
        <v>0</v>
      </c>
      <c r="I479" s="136">
        <f t="shared" si="147"/>
        <v>0</v>
      </c>
      <c r="J479" s="168"/>
      <c r="K479" s="18">
        <v>0</v>
      </c>
      <c r="L479" s="51">
        <f t="shared" si="148"/>
        <v>0</v>
      </c>
      <c r="M479" s="136">
        <f t="shared" si="149"/>
        <v>0</v>
      </c>
      <c r="N479" s="168"/>
      <c r="O479" s="18">
        <v>0</v>
      </c>
      <c r="P479" s="51">
        <f t="shared" si="150"/>
        <v>0</v>
      </c>
      <c r="Q479" s="136">
        <f t="shared" si="151"/>
        <v>0</v>
      </c>
    </row>
    <row r="480" spans="1:17" s="15" customFormat="1" ht="12.75" hidden="1" outlineLevel="2">
      <c r="A480" s="15" t="s">
        <v>1239</v>
      </c>
      <c r="B480" s="15" t="s">
        <v>1240</v>
      </c>
      <c r="C480" s="134" t="s">
        <v>1241</v>
      </c>
      <c r="D480" s="16"/>
      <c r="E480" s="16"/>
      <c r="F480" s="16">
        <v>6295003.3</v>
      </c>
      <c r="G480" s="16">
        <v>9908126.55</v>
      </c>
      <c r="H480" s="16">
        <f t="shared" si="146"/>
        <v>-3613123.250000001</v>
      </c>
      <c r="I480" s="53">
        <f t="shared" si="147"/>
        <v>-0.36466260617149676</v>
      </c>
      <c r="J480" s="174"/>
      <c r="K480" s="256">
        <v>6804028.66</v>
      </c>
      <c r="L480" s="16">
        <f>+F480-K480</f>
        <v>-509025.36000000034</v>
      </c>
      <c r="M480" s="53" t="str">
        <f>IF(K480&lt;0,IF(L480=0,0,IF(OR(K480=0,N480=0),"N.M.",IF(ABS(L480/K480)&gt;=10,"N.M.",L480/(-K480)))),IF(L480=0,0,IF(OR(K480=0,N480=0),"N.M.",IF(ABS(L480/K480)&gt;=10,"N.M.",L480/K480))))</f>
        <v>N.M.</v>
      </c>
      <c r="N480" s="174"/>
      <c r="O480" s="256">
        <v>8977202.37</v>
      </c>
      <c r="P480" s="16">
        <f>+F480-O480</f>
        <v>-2682199.0699999994</v>
      </c>
      <c r="Q480" s="53">
        <f>IF(O480&lt;0,IF(P480=0,0,IF(OR(O480=0,F480=0),"N.M.",IF(ABS(P480/O480)&gt;=10,"N.M.",P480/(-O480)))),IF(P480=0,0,IF(OR(O480=0,F480=0),"N.M.",IF(ABS(P480/O480)&gt;=10,"N.M.",P480/O480))))</f>
        <v>-0.29877894687585166</v>
      </c>
    </row>
    <row r="481" spans="1:17" s="15" customFormat="1" ht="12.75" hidden="1" outlineLevel="2">
      <c r="A481" s="15" t="s">
        <v>1242</v>
      </c>
      <c r="B481" s="15" t="s">
        <v>1243</v>
      </c>
      <c r="C481" s="134" t="s">
        <v>1244</v>
      </c>
      <c r="D481" s="16"/>
      <c r="E481" s="16"/>
      <c r="F481" s="16">
        <v>161437</v>
      </c>
      <c r="G481" s="16">
        <v>0</v>
      </c>
      <c r="H481" s="16">
        <f t="shared" si="146"/>
        <v>161437</v>
      </c>
      <c r="I481" s="53" t="str">
        <f t="shared" si="147"/>
        <v>N.M.</v>
      </c>
      <c r="J481" s="174"/>
      <c r="K481" s="256">
        <v>367345</v>
      </c>
      <c r="L481" s="16">
        <f>+F481-K481</f>
        <v>-205908</v>
      </c>
      <c r="M481" s="53" t="str">
        <f>IF(K481&lt;0,IF(L481=0,0,IF(OR(K481=0,N481=0),"N.M.",IF(ABS(L481/K481)&gt;=10,"N.M.",L481/(-K481)))),IF(L481=0,0,IF(OR(K481=0,N481=0),"N.M.",IF(ABS(L481/K481)&gt;=10,"N.M.",L481/K481))))</f>
        <v>N.M.</v>
      </c>
      <c r="N481" s="174"/>
      <c r="O481" s="256">
        <v>0</v>
      </c>
      <c r="P481" s="16">
        <f>+F481-O481</f>
        <v>161437</v>
      </c>
      <c r="Q481" s="53" t="str">
        <f>IF(O481&lt;0,IF(P481=0,0,IF(OR(O481=0,F481=0),"N.M.",IF(ABS(P481/O481)&gt;=10,"N.M.",P481/(-O481)))),IF(P481=0,0,IF(OR(O481=0,F481=0),"N.M.",IF(ABS(P481/O481)&gt;=10,"N.M.",P481/O481))))</f>
        <v>N.M.</v>
      </c>
    </row>
    <row r="482" spans="1:17" s="15" customFormat="1" ht="12.75" hidden="1" outlineLevel="2">
      <c r="A482" s="15" t="s">
        <v>1245</v>
      </c>
      <c r="B482" s="15" t="s">
        <v>1246</v>
      </c>
      <c r="C482" s="134" t="s">
        <v>1247</v>
      </c>
      <c r="D482" s="16"/>
      <c r="E482" s="16"/>
      <c r="F482" s="16">
        <v>166731.63</v>
      </c>
      <c r="G482" s="16">
        <v>23494.68</v>
      </c>
      <c r="H482" s="16">
        <f t="shared" si="146"/>
        <v>143236.95</v>
      </c>
      <c r="I482" s="53">
        <f t="shared" si="147"/>
        <v>6.0965695212703475</v>
      </c>
      <c r="J482" s="174"/>
      <c r="K482" s="256">
        <v>127467.73</v>
      </c>
      <c r="L482" s="16">
        <f>+F482-K482</f>
        <v>39263.90000000001</v>
      </c>
      <c r="M482" s="53" t="str">
        <f>IF(K482&lt;0,IF(L482=0,0,IF(OR(K482=0,N482=0),"N.M.",IF(ABS(L482/K482)&gt;=10,"N.M.",L482/(-K482)))),IF(L482=0,0,IF(OR(K482=0,N482=0),"N.M.",IF(ABS(L482/K482)&gt;=10,"N.M.",L482/K482))))</f>
        <v>N.M.</v>
      </c>
      <c r="N482" s="174"/>
      <c r="O482" s="256">
        <v>23529.72</v>
      </c>
      <c r="P482" s="16">
        <f>+F482-O482</f>
        <v>143201.91</v>
      </c>
      <c r="Q482" s="53">
        <f>IF(O482&lt;0,IF(P482=0,0,IF(OR(O482=0,F482=0),"N.M.",IF(ABS(P482/O482)&gt;=10,"N.M.",P482/(-O482)))),IF(P482=0,0,IF(OR(O482=0,F482=0),"N.M.",IF(ABS(P482/O482)&gt;=10,"N.M.",P482/O482))))</f>
        <v>6.086001448381026</v>
      </c>
    </row>
    <row r="483" spans="1:17" s="15" customFormat="1" ht="12.75" hidden="1" outlineLevel="2">
      <c r="A483" s="15" t="s">
        <v>1248</v>
      </c>
      <c r="B483" s="15" t="s">
        <v>1249</v>
      </c>
      <c r="C483" s="134" t="s">
        <v>1250</v>
      </c>
      <c r="D483" s="16"/>
      <c r="E483" s="16"/>
      <c r="F483" s="16">
        <v>568</v>
      </c>
      <c r="G483" s="16">
        <v>512</v>
      </c>
      <c r="H483" s="16">
        <f t="shared" si="146"/>
        <v>56</v>
      </c>
      <c r="I483" s="53">
        <f t="shared" si="147"/>
        <v>0.109375</v>
      </c>
      <c r="J483" s="174"/>
      <c r="K483" s="256">
        <v>564</v>
      </c>
      <c r="L483" s="16">
        <f>+F483-K483</f>
        <v>4</v>
      </c>
      <c r="M483" s="53" t="str">
        <f>IF(K483&lt;0,IF(L483=0,0,IF(OR(K483=0,N483=0),"N.M.",IF(ABS(L483/K483)&gt;=10,"N.M.",L483/(-K483)))),IF(L483=0,0,IF(OR(K483=0,N483=0),"N.M.",IF(ABS(L483/K483)&gt;=10,"N.M.",L483/K483))))</f>
        <v>N.M.</v>
      </c>
      <c r="N483" s="174"/>
      <c r="O483" s="256">
        <v>520</v>
      </c>
      <c r="P483" s="16">
        <f>+F483-O483</f>
        <v>48</v>
      </c>
      <c r="Q483" s="53">
        <f>IF(O483&lt;0,IF(P483=0,0,IF(OR(O483=0,F483=0),"N.M.",IF(ABS(P483/O483)&gt;=10,"N.M.",P483/(-O483)))),IF(P483=0,0,IF(OR(O483=0,F483=0),"N.M.",IF(ABS(P483/O483)&gt;=10,"N.M.",P483/O483))))</f>
        <v>0.09230769230769231</v>
      </c>
    </row>
    <row r="484" spans="1:17" s="13" customFormat="1" ht="12.75" hidden="1" outlineLevel="1">
      <c r="A484" s="11" t="s">
        <v>292</v>
      </c>
      <c r="B484" s="11"/>
      <c r="C484" s="123" t="s">
        <v>232</v>
      </c>
      <c r="D484" s="18"/>
      <c r="E484" s="11"/>
      <c r="F484" s="18">
        <v>6623739.93</v>
      </c>
      <c r="G484" s="18">
        <v>9932133.23</v>
      </c>
      <c r="H484" s="51">
        <f t="shared" si="146"/>
        <v>-3308393.3000000007</v>
      </c>
      <c r="I484" s="136">
        <f t="shared" si="147"/>
        <v>-0.3330999719181174</v>
      </c>
      <c r="J484" s="168"/>
      <c r="K484" s="18">
        <v>7299405.390000001</v>
      </c>
      <c r="L484" s="51">
        <f t="shared" si="148"/>
        <v>-675665.4600000009</v>
      </c>
      <c r="M484" s="136" t="str">
        <f t="shared" si="149"/>
        <v>N.M.</v>
      </c>
      <c r="N484" s="168"/>
      <c r="O484" s="18">
        <v>9001252.09</v>
      </c>
      <c r="P484" s="51">
        <f t="shared" si="150"/>
        <v>-2377512.16</v>
      </c>
      <c r="Q484" s="136">
        <f t="shared" si="151"/>
        <v>-0.2641312715418017</v>
      </c>
    </row>
    <row r="485" spans="1:17" s="15" customFormat="1" ht="12.75" hidden="1" outlineLevel="2">
      <c r="A485" s="15" t="s">
        <v>1251</v>
      </c>
      <c r="B485" s="15" t="s">
        <v>1252</v>
      </c>
      <c r="C485" s="134" t="s">
        <v>1253</v>
      </c>
      <c r="D485" s="16"/>
      <c r="E485" s="16"/>
      <c r="F485" s="16">
        <v>566357.61</v>
      </c>
      <c r="G485" s="16">
        <v>950849.84</v>
      </c>
      <c r="H485" s="16">
        <f t="shared" si="146"/>
        <v>-384492.23</v>
      </c>
      <c r="I485" s="53">
        <f t="shared" si="147"/>
        <v>-0.40436692927244955</v>
      </c>
      <c r="J485" s="174"/>
      <c r="K485" s="256">
        <v>597958.3</v>
      </c>
      <c r="L485" s="16">
        <f>+F485-K485</f>
        <v>-31600.69000000006</v>
      </c>
      <c r="M485" s="53" t="str">
        <f>IF(K485&lt;0,IF(L485=0,0,IF(OR(K485=0,N485=0),"N.M.",IF(ABS(L485/K485)&gt;=10,"N.M.",L485/(-K485)))),IF(L485=0,0,IF(OR(K485=0,N485=0),"N.M.",IF(ABS(L485/K485)&gt;=10,"N.M.",L485/K485))))</f>
        <v>N.M.</v>
      </c>
      <c r="N485" s="174"/>
      <c r="O485" s="256">
        <v>913965.23</v>
      </c>
      <c r="P485" s="16">
        <f>+F485-O485</f>
        <v>-347607.62</v>
      </c>
      <c r="Q485" s="53">
        <f>IF(O485&lt;0,IF(P485=0,0,IF(OR(O485=0,F485=0),"N.M.",IF(ABS(P485/O485)&gt;=10,"N.M.",P485/(-O485)))),IF(P485=0,0,IF(OR(O485=0,F485=0),"N.M.",IF(ABS(P485/O485)&gt;=10,"N.M.",P485/O485))))</f>
        <v>-0.3803291510334589</v>
      </c>
    </row>
    <row r="486" spans="1:17" s="15" customFormat="1" ht="12.75" hidden="1" outlineLevel="2">
      <c r="A486" s="15" t="s">
        <v>1254</v>
      </c>
      <c r="B486" s="15" t="s">
        <v>1255</v>
      </c>
      <c r="C486" s="134" t="s">
        <v>1256</v>
      </c>
      <c r="D486" s="16"/>
      <c r="E486" s="16"/>
      <c r="F486" s="16">
        <v>1102279.97</v>
      </c>
      <c r="G486" s="16">
        <v>1244404.59</v>
      </c>
      <c r="H486" s="16">
        <f t="shared" si="146"/>
        <v>-142124.6200000001</v>
      </c>
      <c r="I486" s="53">
        <f t="shared" si="147"/>
        <v>-0.11421094163595145</v>
      </c>
      <c r="J486" s="174"/>
      <c r="K486" s="256">
        <v>1115106.13</v>
      </c>
      <c r="L486" s="16">
        <f>+F486-K486</f>
        <v>-12826.159999999916</v>
      </c>
      <c r="M486" s="53" t="str">
        <f>IF(K486&lt;0,IF(L486=0,0,IF(OR(K486=0,N486=0),"N.M.",IF(ABS(L486/K486)&gt;=10,"N.M.",L486/(-K486)))),IF(L486=0,0,IF(OR(K486=0,N486=0),"N.M.",IF(ABS(L486/K486)&gt;=10,"N.M.",L486/K486))))</f>
        <v>N.M.</v>
      </c>
      <c r="N486" s="174"/>
      <c r="O486" s="256">
        <v>1228090.75</v>
      </c>
      <c r="P486" s="16">
        <f>+F486-O486</f>
        <v>-125810.78000000003</v>
      </c>
      <c r="Q486" s="53">
        <f>IF(O486&lt;0,IF(P486=0,0,IF(OR(O486=0,F486=0),"N.M.",IF(ABS(P486/O486)&gt;=10,"N.M.",P486/(-O486)))),IF(P486=0,0,IF(OR(O486=0,F486=0),"N.M.",IF(ABS(P486/O486)&gt;=10,"N.M.",P486/O486))))</f>
        <v>-0.10244420455084449</v>
      </c>
    </row>
    <row r="487" spans="1:17" s="13" customFormat="1" ht="12.75" hidden="1" outlineLevel="1">
      <c r="A487" s="11" t="s">
        <v>293</v>
      </c>
      <c r="B487" s="11"/>
      <c r="C487" s="123" t="s">
        <v>233</v>
      </c>
      <c r="D487" s="18"/>
      <c r="E487" s="11"/>
      <c r="F487" s="18">
        <v>1668637.58</v>
      </c>
      <c r="G487" s="18">
        <v>2195254.43</v>
      </c>
      <c r="H487" s="51">
        <f t="shared" si="146"/>
        <v>-526616.8500000001</v>
      </c>
      <c r="I487" s="136">
        <f t="shared" si="147"/>
        <v>-0.23988875403385476</v>
      </c>
      <c r="J487" s="168"/>
      <c r="K487" s="18">
        <v>1713064.43</v>
      </c>
      <c r="L487" s="51">
        <f t="shared" si="148"/>
        <v>-44426.84999999986</v>
      </c>
      <c r="M487" s="136" t="str">
        <f t="shared" si="149"/>
        <v>N.M.</v>
      </c>
      <c r="N487" s="168"/>
      <c r="O487" s="18">
        <v>2142055.98</v>
      </c>
      <c r="P487" s="51">
        <f t="shared" si="150"/>
        <v>-473418.3999999999</v>
      </c>
      <c r="Q487" s="136">
        <f t="shared" si="151"/>
        <v>-0.22101121745660443</v>
      </c>
    </row>
    <row r="488" spans="1:17" s="13" customFormat="1" ht="12.75" hidden="1" outlineLevel="1">
      <c r="A488" s="11" t="s">
        <v>294</v>
      </c>
      <c r="B488" s="11"/>
      <c r="C488" s="123" t="s">
        <v>234</v>
      </c>
      <c r="D488" s="18"/>
      <c r="E488" s="11"/>
      <c r="F488" s="18">
        <v>0</v>
      </c>
      <c r="G488" s="18">
        <v>0</v>
      </c>
      <c r="H488" s="51">
        <f t="shared" si="146"/>
        <v>0</v>
      </c>
      <c r="I488" s="136">
        <f t="shared" si="147"/>
        <v>0</v>
      </c>
      <c r="J488" s="168"/>
      <c r="K488" s="18">
        <v>0</v>
      </c>
      <c r="L488" s="51">
        <f t="shared" si="148"/>
        <v>0</v>
      </c>
      <c r="M488" s="136">
        <f t="shared" si="149"/>
        <v>0</v>
      </c>
      <c r="N488" s="168"/>
      <c r="O488" s="18">
        <v>0</v>
      </c>
      <c r="P488" s="51">
        <f t="shared" si="150"/>
        <v>0</v>
      </c>
      <c r="Q488" s="136">
        <f t="shared" si="151"/>
        <v>0</v>
      </c>
    </row>
    <row r="489" spans="1:17" s="13" customFormat="1" ht="12.75" collapsed="1">
      <c r="A489" s="13" t="s">
        <v>346</v>
      </c>
      <c r="C489" s="110" t="s">
        <v>220</v>
      </c>
      <c r="D489" s="33"/>
      <c r="F489" s="33">
        <v>9672101.39</v>
      </c>
      <c r="G489" s="33">
        <v>16400182.54</v>
      </c>
      <c r="H489" s="74">
        <f t="shared" si="146"/>
        <v>-6728081.1499999985</v>
      </c>
      <c r="I489" s="137">
        <f t="shared" si="147"/>
        <v>-0.4102442843907516</v>
      </c>
      <c r="J489" s="168"/>
      <c r="K489" s="33">
        <v>10291450.7</v>
      </c>
      <c r="L489" s="74">
        <f t="shared" si="148"/>
        <v>-619349.3099999987</v>
      </c>
      <c r="M489" s="137" t="str">
        <f t="shared" si="149"/>
        <v>N.M.</v>
      </c>
      <c r="N489" s="168"/>
      <c r="O489" s="33">
        <v>12930017.95</v>
      </c>
      <c r="P489" s="74">
        <f t="shared" si="150"/>
        <v>-3257916.5599999987</v>
      </c>
      <c r="Q489" s="137">
        <f t="shared" si="151"/>
        <v>-0.25196535477354065</v>
      </c>
    </row>
    <row r="490" spans="3:17" ht="12.75">
      <c r="C490" s="126"/>
      <c r="E490" s="11"/>
      <c r="H490" s="18"/>
      <c r="I490" s="141"/>
      <c r="J490" s="166"/>
      <c r="K490" s="18"/>
      <c r="L490" s="18"/>
      <c r="M490" s="141"/>
      <c r="N490" s="166"/>
      <c r="O490" s="18"/>
      <c r="P490" s="18"/>
      <c r="Q490" s="141"/>
    </row>
    <row r="491" spans="3:17" ht="0.75" customHeight="1" hidden="1" outlineLevel="1">
      <c r="C491" s="126"/>
      <c r="E491" s="11"/>
      <c r="H491" s="18"/>
      <c r="I491" s="141"/>
      <c r="J491" s="166"/>
      <c r="K491" s="18"/>
      <c r="L491" s="18"/>
      <c r="M491" s="141"/>
      <c r="N491" s="166"/>
      <c r="O491" s="18"/>
      <c r="P491" s="18"/>
      <c r="Q491" s="141"/>
    </row>
    <row r="492" spans="1:17" s="15" customFormat="1" ht="12.75" hidden="1" outlineLevel="2">
      <c r="A492" s="15" t="s">
        <v>1257</v>
      </c>
      <c r="B492" s="15" t="s">
        <v>1258</v>
      </c>
      <c r="C492" s="134" t="s">
        <v>1259</v>
      </c>
      <c r="D492" s="16"/>
      <c r="E492" s="16"/>
      <c r="F492" s="16">
        <v>4071059.04</v>
      </c>
      <c r="G492" s="16">
        <v>6564232.1</v>
      </c>
      <c r="H492" s="16">
        <f aca="true" t="shared" si="152" ref="H492:H497">+F492-G492</f>
        <v>-2493173.0599999996</v>
      </c>
      <c r="I492" s="53">
        <f aca="true" t="shared" si="153" ref="I492:I497">IF(G492&lt;0,IF(H492=0,0,IF(OR(G492=0,F492=0),"N.M.",IF(ABS(H492/G492)&gt;=10,"N.M.",H492/(-G492)))),IF(H492=0,0,IF(OR(G492=0,F492=0),"N.M.",IF(ABS(H492/G492)&gt;=10,"N.M.",H492/G492))))</f>
        <v>-0.3798118381584953</v>
      </c>
      <c r="J492" s="174"/>
      <c r="K492" s="256">
        <v>6663478</v>
      </c>
      <c r="L492" s="16">
        <f aca="true" t="shared" si="154" ref="L492:L497">+F492-K492</f>
        <v>-2592418.96</v>
      </c>
      <c r="M492" s="53" t="str">
        <f aca="true" t="shared" si="155" ref="M492:M497">IF(K492&lt;0,IF(L492=0,0,IF(OR(K492=0,N492=0),"N.M.",IF(ABS(L492/K492)&gt;=10,"N.M.",L492/(-K492)))),IF(L492=0,0,IF(OR(K492=0,N492=0),"N.M.",IF(ABS(L492/K492)&gt;=10,"N.M.",L492/K492))))</f>
        <v>N.M.</v>
      </c>
      <c r="N492" s="174"/>
      <c r="O492" s="256">
        <v>6097603.01</v>
      </c>
      <c r="P492" s="16">
        <f aca="true" t="shared" si="156" ref="P492:P497">+F492-O492</f>
        <v>-2026543.9699999997</v>
      </c>
      <c r="Q492" s="53">
        <f aca="true" t="shared" si="157" ref="Q492:Q497">IF(O492&lt;0,IF(P492=0,0,IF(OR(O492=0,F492=0),"N.M.",IF(ABS(P492/O492)&gt;=10,"N.M.",P492/(-O492)))),IF(P492=0,0,IF(OR(O492=0,F492=0),"N.M.",IF(ABS(P492/O492)&gt;=10,"N.M.",P492/O492))))</f>
        <v>-0.332350919972404</v>
      </c>
    </row>
    <row r="493" spans="1:17" s="15" customFormat="1" ht="12.75" hidden="1" outlineLevel="2">
      <c r="A493" s="15" t="s">
        <v>1260</v>
      </c>
      <c r="B493" s="15" t="s">
        <v>1261</v>
      </c>
      <c r="C493" s="134" t="s">
        <v>1262</v>
      </c>
      <c r="D493" s="16"/>
      <c r="E493" s="16"/>
      <c r="F493" s="16">
        <v>9815</v>
      </c>
      <c r="G493" s="16">
        <v>258228.78</v>
      </c>
      <c r="H493" s="16">
        <f t="shared" si="152"/>
        <v>-248413.78</v>
      </c>
      <c r="I493" s="53">
        <f t="shared" si="153"/>
        <v>-0.9619910685400752</v>
      </c>
      <c r="J493" s="174"/>
      <c r="K493" s="256">
        <v>16200</v>
      </c>
      <c r="L493" s="16">
        <f t="shared" si="154"/>
        <v>-6385</v>
      </c>
      <c r="M493" s="53" t="str">
        <f t="shared" si="155"/>
        <v>N.M.</v>
      </c>
      <c r="N493" s="174"/>
      <c r="O493" s="256">
        <v>297632</v>
      </c>
      <c r="P493" s="16">
        <f t="shared" si="156"/>
        <v>-287817</v>
      </c>
      <c r="Q493" s="53">
        <f t="shared" si="157"/>
        <v>-0.96702303515751</v>
      </c>
    </row>
    <row r="494" spans="1:17" s="15" customFormat="1" ht="12.75" hidden="1" outlineLevel="2">
      <c r="A494" s="15" t="s">
        <v>1263</v>
      </c>
      <c r="B494" s="15" t="s">
        <v>1264</v>
      </c>
      <c r="C494" s="134" t="s">
        <v>1265</v>
      </c>
      <c r="D494" s="16"/>
      <c r="E494" s="16"/>
      <c r="F494" s="16">
        <v>6526.89</v>
      </c>
      <c r="G494" s="16">
        <v>2894.7200000000003</v>
      </c>
      <c r="H494" s="16">
        <f t="shared" si="152"/>
        <v>3632.17</v>
      </c>
      <c r="I494" s="53">
        <f t="shared" si="153"/>
        <v>1.2547569367676321</v>
      </c>
      <c r="J494" s="174"/>
      <c r="K494" s="256">
        <v>13053.78</v>
      </c>
      <c r="L494" s="16">
        <f t="shared" si="154"/>
        <v>-6526.89</v>
      </c>
      <c r="M494" s="53" t="str">
        <f t="shared" si="155"/>
        <v>N.M.</v>
      </c>
      <c r="N494" s="174"/>
      <c r="O494" s="256">
        <v>0</v>
      </c>
      <c r="P494" s="16">
        <f t="shared" si="156"/>
        <v>6526.89</v>
      </c>
      <c r="Q494" s="53" t="str">
        <f t="shared" si="157"/>
        <v>N.M.</v>
      </c>
    </row>
    <row r="495" spans="1:17" s="15" customFormat="1" ht="12.75" hidden="1" outlineLevel="2">
      <c r="A495" s="15" t="s">
        <v>1266</v>
      </c>
      <c r="B495" s="15" t="s">
        <v>1267</v>
      </c>
      <c r="C495" s="134" t="s">
        <v>1268</v>
      </c>
      <c r="D495" s="16"/>
      <c r="E495" s="16"/>
      <c r="F495" s="16">
        <v>-1891010</v>
      </c>
      <c r="G495" s="16">
        <v>-2441531</v>
      </c>
      <c r="H495" s="16">
        <f t="shared" si="152"/>
        <v>550521</v>
      </c>
      <c r="I495" s="53">
        <f t="shared" si="153"/>
        <v>0.22548188001708763</v>
      </c>
      <c r="J495" s="174"/>
      <c r="K495" s="256">
        <v>-3098535</v>
      </c>
      <c r="L495" s="16">
        <f t="shared" si="154"/>
        <v>1207525</v>
      </c>
      <c r="M495" s="53" t="str">
        <f t="shared" si="155"/>
        <v>N.M.</v>
      </c>
      <c r="N495" s="174"/>
      <c r="O495" s="256">
        <v>-2310049</v>
      </c>
      <c r="P495" s="16">
        <f t="shared" si="156"/>
        <v>419039</v>
      </c>
      <c r="Q495" s="53">
        <f t="shared" si="157"/>
        <v>0.18139831665908385</v>
      </c>
    </row>
    <row r="496" spans="1:17" s="15" customFormat="1" ht="12.75" hidden="1" outlineLevel="2">
      <c r="A496" s="15" t="s">
        <v>1269</v>
      </c>
      <c r="B496" s="15" t="s">
        <v>1270</v>
      </c>
      <c r="C496" s="134" t="s">
        <v>1271</v>
      </c>
      <c r="D496" s="16"/>
      <c r="E496" s="16"/>
      <c r="F496" s="16">
        <v>828</v>
      </c>
      <c r="G496" s="16">
        <v>67123.99</v>
      </c>
      <c r="H496" s="16">
        <f t="shared" si="152"/>
        <v>-66295.99</v>
      </c>
      <c r="I496" s="53">
        <f t="shared" si="153"/>
        <v>-0.9876646188642838</v>
      </c>
      <c r="J496" s="174"/>
      <c r="K496" s="256">
        <v>22769</v>
      </c>
      <c r="L496" s="16">
        <f t="shared" si="154"/>
        <v>-21941</v>
      </c>
      <c r="M496" s="53" t="str">
        <f t="shared" si="155"/>
        <v>N.M.</v>
      </c>
      <c r="N496" s="174"/>
      <c r="O496" s="256">
        <v>16187</v>
      </c>
      <c r="P496" s="16">
        <f t="shared" si="156"/>
        <v>-15359</v>
      </c>
      <c r="Q496" s="53">
        <f t="shared" si="157"/>
        <v>-0.9488478408599493</v>
      </c>
    </row>
    <row r="497" spans="1:17" ht="12.75" collapsed="1">
      <c r="A497" s="11" t="s">
        <v>295</v>
      </c>
      <c r="C497" s="128" t="s">
        <v>221</v>
      </c>
      <c r="E497" s="11"/>
      <c r="F497" s="18">
        <v>2197218.93</v>
      </c>
      <c r="G497" s="18">
        <v>4450948.59</v>
      </c>
      <c r="H497" s="51">
        <f t="shared" si="152"/>
        <v>-2253729.6599999997</v>
      </c>
      <c r="I497" s="136">
        <f t="shared" si="153"/>
        <v>-0.5063481670094958</v>
      </c>
      <c r="J497" s="166"/>
      <c r="K497" s="18">
        <v>3616965.7800000003</v>
      </c>
      <c r="L497" s="51">
        <f t="shared" si="154"/>
        <v>-1419746.85</v>
      </c>
      <c r="M497" s="136" t="str">
        <f t="shared" si="155"/>
        <v>N.M.</v>
      </c>
      <c r="N497" s="166"/>
      <c r="O497" s="18">
        <v>4101373.01</v>
      </c>
      <c r="P497" s="51">
        <f t="shared" si="156"/>
        <v>-1904154.0799999996</v>
      </c>
      <c r="Q497" s="136">
        <f t="shared" si="157"/>
        <v>-0.46427234863965705</v>
      </c>
    </row>
    <row r="498" spans="3:17" ht="0.75" customHeight="1" hidden="1" outlineLevel="1">
      <c r="C498" s="128"/>
      <c r="E498" s="11"/>
      <c r="H498" s="51"/>
      <c r="I498" s="136"/>
      <c r="J498" s="166"/>
      <c r="K498" s="18"/>
      <c r="L498" s="51"/>
      <c r="M498" s="136"/>
      <c r="N498" s="166"/>
      <c r="O498" s="18"/>
      <c r="P498" s="51"/>
      <c r="Q498" s="136"/>
    </row>
    <row r="499" spans="1:17" s="15" customFormat="1" ht="12.75" hidden="1" outlineLevel="2">
      <c r="A499" s="15" t="s">
        <v>1272</v>
      </c>
      <c r="B499" s="15" t="s">
        <v>1273</v>
      </c>
      <c r="C499" s="134" t="s">
        <v>1274</v>
      </c>
      <c r="D499" s="16"/>
      <c r="E499" s="16"/>
      <c r="F499" s="16">
        <v>62947.630000000005</v>
      </c>
      <c r="G499" s="16">
        <v>55047.58</v>
      </c>
      <c r="H499" s="16">
        <f>+F499-G499</f>
        <v>7900.050000000003</v>
      </c>
      <c r="I499" s="53">
        <f>IF(G499&lt;0,IF(H499=0,0,IF(OR(G499=0,F499=0),"N.M.",IF(ABS(H499/G499)&gt;=10,"N.M.",H499/(-G499)))),IF(H499=0,0,IF(OR(G499=0,F499=0),"N.M.",IF(ABS(H499/G499)&gt;=10,"N.M.",H499/G499))))</f>
        <v>0.1435131208311065</v>
      </c>
      <c r="J499" s="174"/>
      <c r="K499" s="256">
        <v>62895.1</v>
      </c>
      <c r="L499" s="16">
        <f>+F499-K499</f>
        <v>52.53000000000611</v>
      </c>
      <c r="M499" s="53" t="str">
        <f>IF(K499&lt;0,IF(L499=0,0,IF(OR(K499=0,N499=0),"N.M.",IF(ABS(L499/K499)&gt;=10,"N.M.",L499/(-K499)))),IF(L499=0,0,IF(OR(K499=0,N499=0),"N.M.",IF(ABS(L499/K499)&gt;=10,"N.M.",L499/K499))))</f>
        <v>N.M.</v>
      </c>
      <c r="N499" s="174"/>
      <c r="O499" s="256">
        <v>55422.520000000004</v>
      </c>
      <c r="P499" s="16">
        <f>+F499-O499</f>
        <v>7525.110000000001</v>
      </c>
      <c r="Q499" s="53">
        <f>IF(O499&lt;0,IF(P499=0,0,IF(OR(O499=0,F499=0),"N.M.",IF(ABS(P499/O499)&gt;=10,"N.M.",P499/(-O499)))),IF(P499=0,0,IF(OR(O499=0,F499=0),"N.M.",IF(ABS(P499/O499)&gt;=10,"N.M.",P499/O499))))</f>
        <v>0.1357771173162101</v>
      </c>
    </row>
    <row r="500" spans="1:17" ht="12.75" collapsed="1">
      <c r="A500" s="11" t="s">
        <v>296</v>
      </c>
      <c r="C500" s="128" t="s">
        <v>222</v>
      </c>
      <c r="E500" s="11"/>
      <c r="F500" s="18">
        <v>62947.630000000005</v>
      </c>
      <c r="G500" s="18">
        <v>55047.58</v>
      </c>
      <c r="H500" s="51">
        <f>+F500-G500</f>
        <v>7900.050000000003</v>
      </c>
      <c r="I500" s="136">
        <f>IF(G500&lt;0,IF(H500=0,0,IF(OR(G500=0,F500=0),"N.M.",IF(ABS(H500/G500)&gt;=10,"N.M.",H500/(-G500)))),IF(H500=0,0,IF(OR(G500=0,F500=0),"N.M.",IF(ABS(H500/G500)&gt;=10,"N.M.",H500/G500))))</f>
        <v>0.1435131208311065</v>
      </c>
      <c r="J500" s="166"/>
      <c r="K500" s="18">
        <v>62895.1</v>
      </c>
      <c r="L500" s="51">
        <f>+F500-K500</f>
        <v>52.53000000000611</v>
      </c>
      <c r="M500" s="136" t="str">
        <f>IF(K500&lt;0,IF(L500=0,0,IF(OR(K500=0,N500=0),"N.M.",IF(ABS(L500/K500)&gt;=10,"N.M.",L500/(-K500)))),IF(L500=0,0,IF(OR(K500=0,N500=0),"N.M.",IF(ABS(L500/K500)&gt;=10,"N.M.",L500/K500))))</f>
        <v>N.M.</v>
      </c>
      <c r="N500" s="166"/>
      <c r="O500" s="18">
        <v>55422.520000000004</v>
      </c>
      <c r="P500" s="51">
        <f>+F500-O500</f>
        <v>7525.110000000001</v>
      </c>
      <c r="Q500" s="136">
        <f>IF(O500&lt;0,IF(P500=0,0,IF(OR(O500=0,F500=0),"N.M.",IF(ABS(P500/O500)&gt;=10,"N.M.",P500/(-O500)))),IF(P500=0,0,IF(OR(O500=0,F500=0),"N.M.",IF(ABS(P500/O500)&gt;=10,"N.M.",P500/O500))))</f>
        <v>0.1357771173162101</v>
      </c>
    </row>
    <row r="501" spans="3:17" ht="0.75" customHeight="1" hidden="1" outlineLevel="1">
      <c r="C501" s="128"/>
      <c r="E501" s="11"/>
      <c r="H501" s="51"/>
      <c r="I501" s="136"/>
      <c r="J501" s="166"/>
      <c r="K501" s="18"/>
      <c r="L501" s="51"/>
      <c r="M501" s="136"/>
      <c r="N501" s="166"/>
      <c r="O501" s="18"/>
      <c r="P501" s="51"/>
      <c r="Q501" s="136"/>
    </row>
    <row r="502" spans="1:17" ht="12.75" collapsed="1">
      <c r="A502" s="11" t="s">
        <v>297</v>
      </c>
      <c r="C502" s="128" t="s">
        <v>223</v>
      </c>
      <c r="E502" s="11"/>
      <c r="F502" s="18">
        <v>0</v>
      </c>
      <c r="G502" s="18">
        <v>0</v>
      </c>
      <c r="H502" s="51">
        <f>+F502-G502</f>
        <v>0</v>
      </c>
      <c r="I502" s="136">
        <f>IF(G502&lt;0,IF(H502=0,0,IF(OR(G502=0,F502=0),"N.M.",IF(ABS(H502/G502)&gt;=10,"N.M.",H502/(-G502)))),IF(H502=0,0,IF(OR(G502=0,F502=0),"N.M.",IF(ABS(H502/G502)&gt;=10,"N.M.",H502/G502))))</f>
        <v>0</v>
      </c>
      <c r="J502" s="166"/>
      <c r="K502" s="18">
        <v>0</v>
      </c>
      <c r="L502" s="51">
        <f>+F502-K502</f>
        <v>0</v>
      </c>
      <c r="M502" s="136">
        <f>IF(K502&lt;0,IF(L502=0,0,IF(OR(K502=0,N502=0),"N.M.",IF(ABS(L502/K502)&gt;=10,"N.M.",L502/(-K502)))),IF(L502=0,0,IF(OR(K502=0,N502=0),"N.M.",IF(ABS(L502/K502)&gt;=10,"N.M.",L502/K502))))</f>
        <v>0</v>
      </c>
      <c r="N502" s="166"/>
      <c r="O502" s="18">
        <v>0</v>
      </c>
      <c r="P502" s="51">
        <f>+F502-O502</f>
        <v>0</v>
      </c>
      <c r="Q502" s="136">
        <f>IF(O502&lt;0,IF(P502=0,0,IF(OR(O502=0,F502=0),"N.M.",IF(ABS(P502/O502)&gt;=10,"N.M.",P502/(-O502)))),IF(P502=0,0,IF(OR(O502=0,F502=0),"N.M.",IF(ABS(P502/O502)&gt;=10,"N.M.",P502/O502))))</f>
        <v>0</v>
      </c>
    </row>
    <row r="503" spans="3:17" ht="0.75" customHeight="1" hidden="1" outlineLevel="1">
      <c r="C503" s="128"/>
      <c r="E503" s="11"/>
      <c r="H503" s="51"/>
      <c r="I503" s="136"/>
      <c r="J503" s="166"/>
      <c r="K503" s="18"/>
      <c r="L503" s="51"/>
      <c r="M503" s="136"/>
      <c r="N503" s="166"/>
      <c r="O503" s="18"/>
      <c r="P503" s="51"/>
      <c r="Q503" s="136"/>
    </row>
    <row r="504" spans="1:17" ht="12.75" collapsed="1">
      <c r="A504" s="11" t="s">
        <v>298</v>
      </c>
      <c r="C504" s="128" t="s">
        <v>224</v>
      </c>
      <c r="E504" s="11"/>
      <c r="F504" s="18">
        <v>0</v>
      </c>
      <c r="G504" s="18">
        <v>0</v>
      </c>
      <c r="H504" s="51">
        <f>+F504-G504</f>
        <v>0</v>
      </c>
      <c r="I504" s="136">
        <f>IF(G504&lt;0,IF(H504=0,0,IF(OR(G504=0,F504=0),"N.M.",IF(ABS(H504/G504)&gt;=10,"N.M.",H504/(-G504)))),IF(H504=0,0,IF(OR(G504=0,F504=0),"N.M.",IF(ABS(H504/G504)&gt;=10,"N.M.",H504/G504))))</f>
        <v>0</v>
      </c>
      <c r="J504" s="166"/>
      <c r="K504" s="18">
        <v>0</v>
      </c>
      <c r="L504" s="51">
        <f>+F504-K504</f>
        <v>0</v>
      </c>
      <c r="M504" s="136">
        <f>IF(K504&lt;0,IF(L504=0,0,IF(OR(K504=0,N504=0),"N.M.",IF(ABS(L504/K504)&gt;=10,"N.M.",L504/(-K504)))),IF(L504=0,0,IF(OR(K504=0,N504=0),"N.M.",IF(ABS(L504/K504)&gt;=10,"N.M.",L504/K504))))</f>
        <v>0</v>
      </c>
      <c r="N504" s="166"/>
      <c r="O504" s="18">
        <v>0</v>
      </c>
      <c r="P504" s="51">
        <f>+F504-O504</f>
        <v>0</v>
      </c>
      <c r="Q504" s="136">
        <f>IF(O504&lt;0,IF(P504=0,0,IF(OR(O504=0,F504=0),"N.M.",IF(ABS(P504/O504)&gt;=10,"N.M.",P504/(-O504)))),IF(P504=0,0,IF(OR(O504=0,F504=0),"N.M.",IF(ABS(P504/O504)&gt;=10,"N.M.",P504/O504))))</f>
        <v>0</v>
      </c>
    </row>
    <row r="505" spans="3:17" ht="0.75" customHeight="1" hidden="1" outlineLevel="1">
      <c r="C505" s="128"/>
      <c r="E505" s="11"/>
      <c r="H505" s="51"/>
      <c r="I505" s="136"/>
      <c r="J505" s="166"/>
      <c r="K505" s="18"/>
      <c r="L505" s="51"/>
      <c r="M505" s="136"/>
      <c r="N505" s="166"/>
      <c r="O505" s="18"/>
      <c r="P505" s="51"/>
      <c r="Q505" s="136"/>
    </row>
    <row r="506" spans="1:17" s="15" customFormat="1" ht="12.75" hidden="1" outlineLevel="2">
      <c r="A506" s="15" t="s">
        <v>1275</v>
      </c>
      <c r="B506" s="15" t="s">
        <v>1276</v>
      </c>
      <c r="C506" s="134" t="s">
        <v>225</v>
      </c>
      <c r="D506" s="16"/>
      <c r="E506" s="16"/>
      <c r="F506" s="16">
        <v>295032.14</v>
      </c>
      <c r="G506" s="16">
        <v>293098.59</v>
      </c>
      <c r="H506" s="16">
        <f aca="true" t="shared" si="158" ref="H506:H516">+F506-G506</f>
        <v>1933.5499999999884</v>
      </c>
      <c r="I506" s="53">
        <f aca="true" t="shared" si="159" ref="I506:I516">IF(G506&lt;0,IF(H506=0,0,IF(OR(G506=0,F506=0),"N.M.",IF(ABS(H506/G506)&gt;=10,"N.M.",H506/(-G506)))),IF(H506=0,0,IF(OR(G506=0,F506=0),"N.M.",IF(ABS(H506/G506)&gt;=10,"N.M.",H506/G506))))</f>
        <v>0.006596926993063966</v>
      </c>
      <c r="J506" s="174"/>
      <c r="K506" s="256">
        <v>295032.14</v>
      </c>
      <c r="L506" s="16">
        <f aca="true" t="shared" si="160" ref="L506:L516">+F506-K506</f>
        <v>0</v>
      </c>
      <c r="M506" s="53">
        <f aca="true" t="shared" si="161" ref="M506:M516">IF(K506&lt;0,IF(L506=0,0,IF(OR(K506=0,N506=0),"N.M.",IF(ABS(L506/K506)&gt;=10,"N.M.",L506/(-K506)))),IF(L506=0,0,IF(OR(K506=0,N506=0),"N.M.",IF(ABS(L506/K506)&gt;=10,"N.M.",L506/K506))))</f>
        <v>0</v>
      </c>
      <c r="N506" s="174"/>
      <c r="O506" s="256">
        <v>295032.14</v>
      </c>
      <c r="P506" s="16">
        <f aca="true" t="shared" si="162" ref="P506:P516">+F506-O506</f>
        <v>0</v>
      </c>
      <c r="Q506" s="53">
        <f aca="true" t="shared" si="163" ref="Q506:Q516">IF(O506&lt;0,IF(P506=0,0,IF(OR(O506=0,F506=0),"N.M.",IF(ABS(P506/O506)&gt;=10,"N.M.",P506/(-O506)))),IF(P506=0,0,IF(OR(O506=0,F506=0),"N.M.",IF(ABS(P506/O506)&gt;=10,"N.M.",P506/O506))))</f>
        <v>0</v>
      </c>
    </row>
    <row r="507" spans="1:17" s="15" customFormat="1" ht="12.75" hidden="1" outlineLevel="2">
      <c r="A507" s="15" t="s">
        <v>1277</v>
      </c>
      <c r="B507" s="15" t="s">
        <v>1278</v>
      </c>
      <c r="C507" s="134" t="s">
        <v>1279</v>
      </c>
      <c r="D507" s="16"/>
      <c r="E507" s="16"/>
      <c r="F507" s="16">
        <v>1267198.6400000001</v>
      </c>
      <c r="G507" s="16">
        <v>2068552.8</v>
      </c>
      <c r="H507" s="16">
        <f t="shared" si="158"/>
        <v>-801354.1599999999</v>
      </c>
      <c r="I507" s="53">
        <f t="shared" si="159"/>
        <v>-0.38739845557725183</v>
      </c>
      <c r="J507" s="174"/>
      <c r="K507" s="256">
        <v>980242.3200000001</v>
      </c>
      <c r="L507" s="16">
        <f t="shared" si="160"/>
        <v>286956.32000000007</v>
      </c>
      <c r="M507" s="53" t="str">
        <f t="shared" si="161"/>
        <v>N.M.</v>
      </c>
      <c r="N507" s="174"/>
      <c r="O507" s="256">
        <v>1816076.08</v>
      </c>
      <c r="P507" s="16">
        <f t="shared" si="162"/>
        <v>-548877.44</v>
      </c>
      <c r="Q507" s="53">
        <f t="shared" si="163"/>
        <v>-0.3022326245274922</v>
      </c>
    </row>
    <row r="508" spans="1:17" s="15" customFormat="1" ht="12.75" hidden="1" outlineLevel="2">
      <c r="A508" s="15" t="s">
        <v>1280</v>
      </c>
      <c r="B508" s="15" t="s">
        <v>1281</v>
      </c>
      <c r="C508" s="134" t="s">
        <v>1282</v>
      </c>
      <c r="D508" s="16"/>
      <c r="E508" s="16"/>
      <c r="F508" s="16">
        <v>161613.92</v>
      </c>
      <c r="G508" s="16">
        <v>98103.05</v>
      </c>
      <c r="H508" s="16">
        <f t="shared" si="158"/>
        <v>63510.87000000001</v>
      </c>
      <c r="I508" s="53">
        <f t="shared" si="159"/>
        <v>0.6473893523188118</v>
      </c>
      <c r="J508" s="174"/>
      <c r="K508" s="256">
        <v>126849.03</v>
      </c>
      <c r="L508" s="16">
        <f t="shared" si="160"/>
        <v>34764.890000000014</v>
      </c>
      <c r="M508" s="53" t="str">
        <f t="shared" si="161"/>
        <v>N.M.</v>
      </c>
      <c r="N508" s="174"/>
      <c r="O508" s="256">
        <v>49051.520000000004</v>
      </c>
      <c r="P508" s="16">
        <f t="shared" si="162"/>
        <v>112562.40000000001</v>
      </c>
      <c r="Q508" s="53">
        <f t="shared" si="163"/>
        <v>2.294779040486411</v>
      </c>
    </row>
    <row r="509" spans="1:17" s="15" customFormat="1" ht="12.75" hidden="1" outlineLevel="2">
      <c r="A509" s="15" t="s">
        <v>1283</v>
      </c>
      <c r="B509" s="15" t="s">
        <v>1284</v>
      </c>
      <c r="C509" s="134" t="s">
        <v>1285</v>
      </c>
      <c r="D509" s="16"/>
      <c r="E509" s="16"/>
      <c r="F509" s="16">
        <v>243314.19</v>
      </c>
      <c r="G509" s="16">
        <v>235564.53</v>
      </c>
      <c r="H509" s="16">
        <f t="shared" si="158"/>
        <v>7749.6600000000035</v>
      </c>
      <c r="I509" s="53">
        <f t="shared" si="159"/>
        <v>0.03289824660784034</v>
      </c>
      <c r="J509" s="174"/>
      <c r="K509" s="256">
        <v>242659.01</v>
      </c>
      <c r="L509" s="16">
        <f t="shared" si="160"/>
        <v>655.179999999993</v>
      </c>
      <c r="M509" s="53" t="str">
        <f t="shared" si="161"/>
        <v>N.M.</v>
      </c>
      <c r="N509" s="174"/>
      <c r="O509" s="256">
        <v>236193.37</v>
      </c>
      <c r="P509" s="16">
        <f t="shared" si="162"/>
        <v>7120.820000000007</v>
      </c>
      <c r="Q509" s="53">
        <f t="shared" si="163"/>
        <v>0.0301482636875032</v>
      </c>
    </row>
    <row r="510" spans="1:17" s="15" customFormat="1" ht="12.75" hidden="1" outlineLevel="2">
      <c r="A510" s="15" t="s">
        <v>1286</v>
      </c>
      <c r="B510" s="15" t="s">
        <v>1287</v>
      </c>
      <c r="C510" s="134" t="s">
        <v>1288</v>
      </c>
      <c r="D510" s="16"/>
      <c r="E510" s="16"/>
      <c r="F510" s="16">
        <v>172328</v>
      </c>
      <c r="G510" s="16">
        <v>176530.21</v>
      </c>
      <c r="H510" s="16">
        <f t="shared" si="158"/>
        <v>-4202.209999999992</v>
      </c>
      <c r="I510" s="53">
        <f t="shared" si="159"/>
        <v>-0.023804480830788066</v>
      </c>
      <c r="J510" s="174"/>
      <c r="K510" s="256">
        <v>172650</v>
      </c>
      <c r="L510" s="16">
        <f t="shared" si="160"/>
        <v>-322</v>
      </c>
      <c r="M510" s="53" t="str">
        <f t="shared" si="161"/>
        <v>N.M.</v>
      </c>
      <c r="N510" s="174"/>
      <c r="O510" s="256">
        <v>176281.21</v>
      </c>
      <c r="P510" s="16">
        <f t="shared" si="162"/>
        <v>-3953.209999999992</v>
      </c>
      <c r="Q510" s="53">
        <f t="shared" si="163"/>
        <v>-0.02242558920488458</v>
      </c>
    </row>
    <row r="511" spans="1:17" s="15" customFormat="1" ht="12.75" hidden="1" outlineLevel="2">
      <c r="A511" s="15" t="s">
        <v>1289</v>
      </c>
      <c r="B511" s="15" t="s">
        <v>1290</v>
      </c>
      <c r="C511" s="134" t="s">
        <v>1291</v>
      </c>
      <c r="D511" s="16"/>
      <c r="E511" s="16"/>
      <c r="F511" s="16">
        <v>0</v>
      </c>
      <c r="G511" s="16">
        <v>0</v>
      </c>
      <c r="H511" s="16">
        <f t="shared" si="158"/>
        <v>0</v>
      </c>
      <c r="I511" s="53">
        <f t="shared" si="159"/>
        <v>0</v>
      </c>
      <c r="J511" s="174"/>
      <c r="K511" s="256">
        <v>0</v>
      </c>
      <c r="L511" s="16">
        <f t="shared" si="160"/>
        <v>0</v>
      </c>
      <c r="M511" s="53">
        <f t="shared" si="161"/>
        <v>0</v>
      </c>
      <c r="N511" s="174"/>
      <c r="O511" s="256">
        <v>170</v>
      </c>
      <c r="P511" s="16">
        <f t="shared" si="162"/>
        <v>-170</v>
      </c>
      <c r="Q511" s="53" t="str">
        <f t="shared" si="163"/>
        <v>N.M.</v>
      </c>
    </row>
    <row r="512" spans="1:17" s="15" customFormat="1" ht="12.75" hidden="1" outlineLevel="2">
      <c r="A512" s="15" t="s">
        <v>1292</v>
      </c>
      <c r="B512" s="15" t="s">
        <v>1293</v>
      </c>
      <c r="C512" s="134" t="s">
        <v>1294</v>
      </c>
      <c r="D512" s="16"/>
      <c r="E512" s="16"/>
      <c r="F512" s="16">
        <v>0</v>
      </c>
      <c r="G512" s="16">
        <v>16420.24</v>
      </c>
      <c r="H512" s="16">
        <f t="shared" si="158"/>
        <v>-16420.24</v>
      </c>
      <c r="I512" s="53" t="str">
        <f t="shared" si="159"/>
        <v>N.M.</v>
      </c>
      <c r="J512" s="174"/>
      <c r="K512" s="256">
        <v>0</v>
      </c>
      <c r="L512" s="16">
        <f t="shared" si="160"/>
        <v>0</v>
      </c>
      <c r="M512" s="53">
        <f t="shared" si="161"/>
        <v>0</v>
      </c>
      <c r="N512" s="174"/>
      <c r="O512" s="256">
        <v>30689</v>
      </c>
      <c r="P512" s="16">
        <f t="shared" si="162"/>
        <v>-30689</v>
      </c>
      <c r="Q512" s="53" t="str">
        <f t="shared" si="163"/>
        <v>N.M.</v>
      </c>
    </row>
    <row r="513" spans="1:17" s="15" customFormat="1" ht="12.75" hidden="1" outlineLevel="2">
      <c r="A513" s="15" t="s">
        <v>1295</v>
      </c>
      <c r="B513" s="15" t="s">
        <v>1296</v>
      </c>
      <c r="C513" s="134" t="s">
        <v>1297</v>
      </c>
      <c r="D513" s="16"/>
      <c r="E513" s="16"/>
      <c r="F513" s="16">
        <v>468849.52</v>
      </c>
      <c r="G513" s="16">
        <v>977760</v>
      </c>
      <c r="H513" s="16">
        <f t="shared" si="158"/>
        <v>-508910.48</v>
      </c>
      <c r="I513" s="53">
        <f t="shared" si="159"/>
        <v>-0.5204860906561938</v>
      </c>
      <c r="J513" s="174"/>
      <c r="K513" s="256">
        <v>468849.52</v>
      </c>
      <c r="L513" s="16">
        <f t="shared" si="160"/>
        <v>0</v>
      </c>
      <c r="M513" s="53">
        <f t="shared" si="161"/>
        <v>0</v>
      </c>
      <c r="N513" s="174"/>
      <c r="O513" s="256">
        <v>651840</v>
      </c>
      <c r="P513" s="16">
        <f t="shared" si="162"/>
        <v>-182990.47999999998</v>
      </c>
      <c r="Q513" s="53">
        <f t="shared" si="163"/>
        <v>-0.2807291359842906</v>
      </c>
    </row>
    <row r="514" spans="1:17" s="15" customFormat="1" ht="12.75" hidden="1" outlineLevel="2">
      <c r="A514" s="15" t="s">
        <v>1298</v>
      </c>
      <c r="B514" s="15" t="s">
        <v>1299</v>
      </c>
      <c r="C514" s="134" t="s">
        <v>1300</v>
      </c>
      <c r="D514" s="16"/>
      <c r="E514" s="16"/>
      <c r="F514" s="16">
        <v>1425492.6</v>
      </c>
      <c r="G514" s="16">
        <v>1627155.6</v>
      </c>
      <c r="H514" s="16">
        <f t="shared" si="158"/>
        <v>-201663</v>
      </c>
      <c r="I514" s="53">
        <f t="shared" si="159"/>
        <v>-0.12393590385578367</v>
      </c>
      <c r="J514" s="174"/>
      <c r="K514" s="256">
        <v>1425492.6</v>
      </c>
      <c r="L514" s="16">
        <f t="shared" si="160"/>
        <v>0</v>
      </c>
      <c r="M514" s="53">
        <f t="shared" si="161"/>
        <v>0</v>
      </c>
      <c r="N514" s="174"/>
      <c r="O514" s="256">
        <v>1425492.6</v>
      </c>
      <c r="P514" s="16">
        <f t="shared" si="162"/>
        <v>0</v>
      </c>
      <c r="Q514" s="53">
        <f t="shared" si="163"/>
        <v>0</v>
      </c>
    </row>
    <row r="515" spans="1:17" s="15" customFormat="1" ht="12.75" hidden="1" outlineLevel="2">
      <c r="A515" s="15" t="s">
        <v>1301</v>
      </c>
      <c r="B515" s="15" t="s">
        <v>1302</v>
      </c>
      <c r="C515" s="134" t="s">
        <v>1303</v>
      </c>
      <c r="D515" s="16"/>
      <c r="E515" s="16"/>
      <c r="F515" s="16">
        <v>144970.67</v>
      </c>
      <c r="G515" s="16">
        <v>158526.47</v>
      </c>
      <c r="H515" s="16">
        <f t="shared" si="158"/>
        <v>-13555.799999999988</v>
      </c>
      <c r="I515" s="53">
        <f t="shared" si="159"/>
        <v>-0.08551127139839794</v>
      </c>
      <c r="J515" s="174"/>
      <c r="K515" s="256">
        <v>146100.32</v>
      </c>
      <c r="L515" s="16">
        <f t="shared" si="160"/>
        <v>-1129.6499999999942</v>
      </c>
      <c r="M515" s="53" t="str">
        <f t="shared" si="161"/>
        <v>N.M.</v>
      </c>
      <c r="N515" s="174"/>
      <c r="O515" s="256">
        <v>157396.82</v>
      </c>
      <c r="P515" s="16">
        <f t="shared" si="162"/>
        <v>-12426.149999999994</v>
      </c>
      <c r="Q515" s="53">
        <f t="shared" si="163"/>
        <v>-0.07894791012931515</v>
      </c>
    </row>
    <row r="516" spans="1:17" s="15" customFormat="1" ht="12.75" hidden="1" outlineLevel="2">
      <c r="A516" s="15" t="s">
        <v>1304</v>
      </c>
      <c r="B516" s="15" t="s">
        <v>1305</v>
      </c>
      <c r="C516" s="134" t="s">
        <v>1306</v>
      </c>
      <c r="D516" s="16"/>
      <c r="E516" s="16"/>
      <c r="F516" s="16">
        <v>0</v>
      </c>
      <c r="G516" s="16">
        <v>333340</v>
      </c>
      <c r="H516" s="16">
        <f t="shared" si="158"/>
        <v>-333340</v>
      </c>
      <c r="I516" s="53" t="str">
        <f t="shared" si="159"/>
        <v>N.M.</v>
      </c>
      <c r="J516" s="174"/>
      <c r="K516" s="256">
        <v>333340</v>
      </c>
      <c r="L516" s="16">
        <f t="shared" si="160"/>
        <v>-333340</v>
      </c>
      <c r="M516" s="53" t="str">
        <f t="shared" si="161"/>
        <v>N.M.</v>
      </c>
      <c r="N516" s="174"/>
      <c r="O516" s="256">
        <v>333340</v>
      </c>
      <c r="P516" s="16">
        <f t="shared" si="162"/>
        <v>-333340</v>
      </c>
      <c r="Q516" s="53" t="str">
        <f t="shared" si="163"/>
        <v>N.M.</v>
      </c>
    </row>
    <row r="517" spans="1:17" ht="12.75" collapsed="1">
      <c r="A517" s="11" t="s">
        <v>299</v>
      </c>
      <c r="C517" s="129" t="s">
        <v>225</v>
      </c>
      <c r="E517" s="11"/>
      <c r="F517" s="235">
        <v>4178799.68</v>
      </c>
      <c r="G517" s="235">
        <v>5985051.489999999</v>
      </c>
      <c r="H517" s="197">
        <f>+F517-G517</f>
        <v>-1806251.8099999991</v>
      </c>
      <c r="I517" s="138">
        <f>IF(G517&lt;0,IF(H517=0,0,IF(OR(G517=0,F517=0),"N.M.",IF(ABS(H517/G517)&gt;=10,"N.M.",H517/(-G517)))),IF(H517=0,0,IF(OR(G517=0,F517=0),"N.M.",IF(ABS(H517/G517)&gt;=10,"N.M.",H517/G517))))</f>
        <v>-0.30179386309673994</v>
      </c>
      <c r="J517" s="166"/>
      <c r="K517" s="235">
        <v>4191214.94</v>
      </c>
      <c r="L517" s="197">
        <f>+F517-K517</f>
        <v>-12415.259999999776</v>
      </c>
      <c r="M517" s="138" t="str">
        <f>IF(K517&lt;0,IF(L517=0,0,IF(OR(K517=0,N517=0),"N.M.",IF(ABS(L517/K517)&gt;=10,"N.M.",L517/(-K517)))),IF(L517=0,0,IF(OR(K517=0,N517=0),"N.M.",IF(ABS(L517/K517)&gt;=10,"N.M.",L517/K517))))</f>
        <v>N.M.</v>
      </c>
      <c r="N517" s="166"/>
      <c r="O517" s="235">
        <v>5171562.74</v>
      </c>
      <c r="P517" s="197">
        <f>+F517-O517</f>
        <v>-992763.06</v>
      </c>
      <c r="Q517" s="138">
        <f>IF(O517&lt;0,IF(P517=0,0,IF(OR(O517=0,F517=0),"N.M.",IF(ABS(P517/O517)&gt;=10,"N.M.",P517/(-O517)))),IF(P517=0,0,IF(OR(O517=0,F517=0),"N.M.",IF(ABS(P517/O517)&gt;=10,"N.M.",P517/O517))))</f>
        <v>-0.19196577706026244</v>
      </c>
    </row>
    <row r="518" spans="1:17" s="13" customFormat="1" ht="12.75">
      <c r="A518" s="13" t="s">
        <v>300</v>
      </c>
      <c r="C518" s="130" t="s">
        <v>226</v>
      </c>
      <c r="D518" s="33"/>
      <c r="F518" s="236">
        <v>6438966.24</v>
      </c>
      <c r="G518" s="236">
        <v>10491047.66</v>
      </c>
      <c r="H518" s="245">
        <f>+F518-G518</f>
        <v>-4052081.42</v>
      </c>
      <c r="I518" s="145">
        <f>IF(G518&lt;0,IF(H518=0,0,IF(OR(G518=0,F518=0),"N.M.",IF(ABS(H518/G518)&gt;=10,"N.M.",H518/(-G518)))),IF(H518=0,0,IF(OR(G518=0,F518=0),"N.M.",IF(ABS(H518/G518)&gt;=10,"N.M.",H518/G518))))</f>
        <v>-0.38624182744395236</v>
      </c>
      <c r="J518" s="168"/>
      <c r="K518" s="236">
        <v>7871075.82</v>
      </c>
      <c r="L518" s="245">
        <f>+F518-K518</f>
        <v>-1432109.58</v>
      </c>
      <c r="M518" s="145" t="str">
        <f>IF(K518&lt;0,IF(L518=0,0,IF(OR(K518=0,N518=0),"N.M.",IF(ABS(L518/K518)&gt;=10,"N.M.",L518/(-K518)))),IF(L518=0,0,IF(OR(K518=0,N518=0),"N.M.",IF(ABS(L518/K518)&gt;=10,"N.M.",L518/K518))))</f>
        <v>N.M.</v>
      </c>
      <c r="N518" s="168"/>
      <c r="O518" s="236">
        <v>9328358.27</v>
      </c>
      <c r="P518" s="245">
        <f>+F518-O518</f>
        <v>-2889392.0299999993</v>
      </c>
      <c r="Q518" s="145">
        <f>IF(O518&lt;0,IF(P518=0,0,IF(OR(O518=0,F518=0),"N.M.",IF(ABS(P518/O518)&gt;=10,"N.M.",P518/(-O518)))),IF(P518=0,0,IF(OR(O518=0,F518=0),"N.M.",IF(ABS(P518/O518)&gt;=10,"N.M.",P518/O518))))</f>
        <v>-0.3097428235890429</v>
      </c>
    </row>
    <row r="519" spans="1:17" s="107" customFormat="1" ht="12" customHeight="1">
      <c r="A519" s="107" t="s">
        <v>301</v>
      </c>
      <c r="C519" s="119" t="s">
        <v>351</v>
      </c>
      <c r="D519" s="108"/>
      <c r="F519" s="108">
        <v>369863196.98</v>
      </c>
      <c r="G519" s="108">
        <v>368883147</v>
      </c>
      <c r="H519" s="51">
        <f>+F519-G519</f>
        <v>980049.9800000191</v>
      </c>
      <c r="I519" s="136">
        <f>IF(G519&lt;0,IF(H519=0,0,IF(OR(G519=0,F519=0),"N.M.",IF(ABS(H519/G519)&gt;=10,"N.M.",H519/(-G519)))),IF(H519=0,0,IF(OR(G519=0,F519=0),"N.M.",IF(ABS(H519/G519)&gt;=10,"N.M.",H519/G519))))</f>
        <v>0.0026568033480803585</v>
      </c>
      <c r="J519" s="171"/>
      <c r="K519" s="108">
        <v>362182200.53</v>
      </c>
      <c r="L519" s="51">
        <f>+F519-K519</f>
        <v>7680996.450000048</v>
      </c>
      <c r="M519" s="136" t="str">
        <f>IF(K519&lt;0,IF(L519=0,0,IF(OR(K519=0,N519=0),"N.M.",IF(ABS(L519/K519)&gt;=10,"N.M.",L519/(-K519)))),IF(L519=0,0,IF(OR(K519=0,N519=0),"N.M.",IF(ABS(L519/K519)&gt;=10,"N.M.",L519/K519))))</f>
        <v>N.M.</v>
      </c>
      <c r="N519" s="171"/>
      <c r="O519" s="108">
        <v>367921127.76</v>
      </c>
      <c r="P519" s="51">
        <f>+F519-O519</f>
        <v>1942069.2200000286</v>
      </c>
      <c r="Q519" s="136">
        <f>IF(O519&lt;0,IF(P519=0,0,IF(OR(O519=0,F519=0),"N.M.",IF(ABS(P519/O519)&gt;=10,"N.M.",P519/(-O519)))),IF(P519=0,0,IF(OR(O519=0,F519=0),"N.M.",IF(ABS(P519/O519)&gt;=10,"N.M.",P519/O519))))</f>
        <v>0.005278493333133255</v>
      </c>
    </row>
    <row r="520" spans="3:17" ht="12" customHeight="1">
      <c r="C520" s="127"/>
      <c r="D520" s="106"/>
      <c r="E520" s="104"/>
      <c r="F520" s="233" t="str">
        <f>IF(ABS(+F471+F474+F489+F497+F500+F502+F504+F517-F519)&gt;$C$574,$J$182," ")</f>
        <v> </v>
      </c>
      <c r="G520" s="233" t="str">
        <f>IF(ABS(+G471+G474+G489+G497+G500+G502+G504+G517-G519)&gt;$C$574,$J$182," ")</f>
        <v> </v>
      </c>
      <c r="H520" s="233" t="str">
        <f>IF(ABS(+H471+H474+H489+H497+H500+H502+H504+H517-H519)&gt;$C$574,$J$182," ")</f>
        <v> </v>
      </c>
      <c r="I520" s="141"/>
      <c r="J520" s="166"/>
      <c r="K520" s="233" t="str">
        <f>IF(ABS(+K471+K474+K489+K497+K500+K502+K504+K517-K519)&gt;$C$574,$J$182," ")</f>
        <v> </v>
      </c>
      <c r="L520" s="233" t="str">
        <f>IF(ABS(+L471+L474+L489+L497+L500+L502+L504+L517-L519)&gt;$C$574,$J$182," ")</f>
        <v> </v>
      </c>
      <c r="M520" s="141"/>
      <c r="N520" s="166"/>
      <c r="O520" s="233" t="str">
        <f>IF(ABS(+O471+O474+O489+O497+O500+O502+O504+O517-O519)&gt;$C$574,$J$182," ")</f>
        <v> </v>
      </c>
      <c r="P520" s="233" t="str">
        <f>IF(ABS(+P471+P474+P489+P497+P500+P502+P504+P517-P519)&gt;$C$574,$J$182," ")</f>
        <v> </v>
      </c>
      <c r="Q520" s="141"/>
    </row>
    <row r="521" spans="1:17" s="107" customFormat="1" ht="13.5" thickBot="1">
      <c r="A521" s="107" t="s">
        <v>302</v>
      </c>
      <c r="C521" s="116" t="s">
        <v>228</v>
      </c>
      <c r="D521" s="108"/>
      <c r="F521" s="237">
        <v>1517435408.8440006</v>
      </c>
      <c r="G521" s="237">
        <v>1477461683.5929997</v>
      </c>
      <c r="H521" s="246">
        <f>+F521-G521</f>
        <v>39973725.25100088</v>
      </c>
      <c r="I521" s="146">
        <f>IF(G521&lt;0,IF(H521=0,0,IF(OR(G521=0,F521=0),"N.M.",IF(ABS(H521/G521)&gt;=10,"N.M.",H521/(-G521)))),IF(H521=0,0,IF(OR(G521=0,F521=0),"N.M.",IF(ABS(H521/G521)&gt;=10,"N.M.",H521/G521))))</f>
        <v>0.027055676431343954</v>
      </c>
      <c r="J521" s="171"/>
      <c r="K521" s="237">
        <v>1510689869.5810013</v>
      </c>
      <c r="L521" s="246">
        <f>+F521-K521</f>
        <v>6745539.262999296</v>
      </c>
      <c r="M521" s="146" t="str">
        <f>IF(K521&lt;0,IF(L521=0,0,IF(OR(K521=0,N521=0),"N.M.",IF(ABS(L521/K521)&gt;=10,"N.M.",L521/(-K521)))),IF(L521=0,0,IF(OR(K521=0,N521=0),"N.M.",IF(ABS(L521/K521)&gt;=10,"N.M.",L521/K521))))</f>
        <v>N.M.</v>
      </c>
      <c r="N521" s="171"/>
      <c r="O521" s="237">
        <v>1504334100.6950006</v>
      </c>
      <c r="P521" s="246">
        <f>+F521-O521</f>
        <v>13101308.14899993</v>
      </c>
      <c r="Q521" s="146">
        <f>IF(O521&lt;0,IF(P521=0,0,IF(OR(O521=0,F521=0),"N.M.",IF(ABS(P521/O521)&gt;=10,"N.M.",P521/(-O521)))),IF(P521=0,0,IF(OR(O521=0,F521=0),"N.M.",IF(ABS(P521/O521)&gt;=10,"N.M.",P521/O521))))</f>
        <v>0.00870904152405183</v>
      </c>
    </row>
    <row r="522" spans="4:17" ht="12" customHeight="1" thickTop="1">
      <c r="D522" s="106"/>
      <c r="E522" s="107"/>
      <c r="F522" s="233" t="str">
        <f>IF(ABS(+F273+F296+F458+F519-F521)&gt;$C$574,$J$182," ")</f>
        <v> </v>
      </c>
      <c r="G522" s="233" t="str">
        <f>IF(ABS(+G273+G296+G458+G519-G521)&gt;$C$574,$J$182," ")</f>
        <v> </v>
      </c>
      <c r="H522" s="233" t="str">
        <f>IF(ABS(+H273+H296+H458+H519-H521)&gt;$C$574,$J$182," ")</f>
        <v> </v>
      </c>
      <c r="I522" s="141"/>
      <c r="J522" s="175"/>
      <c r="K522" s="233" t="str">
        <f>IF(ABS(+K273+K296+K458+K519-K521)&gt;$C$574,$J$182," ")</f>
        <v> </v>
      </c>
      <c r="L522" s="233" t="str">
        <f>IF(ABS(+L273+L296+L458+L519-L521)&gt;$C$574,$J$182," ")</f>
        <v> </v>
      </c>
      <c r="M522" s="141"/>
      <c r="N522" s="175"/>
      <c r="O522" s="233" t="str">
        <f>IF(ABS(+O273+O296+O458+O519-O521)&gt;$C$574,$J$182," ")</f>
        <v> </v>
      </c>
      <c r="P522" s="233" t="str">
        <f>IF(ABS(+P273+P296+P458+P519-P521)&gt;$C$574,$J$182," ")</f>
        <v> </v>
      </c>
      <c r="Q522" s="141"/>
    </row>
    <row r="523" spans="4:17" ht="12" customHeight="1">
      <c r="D523" s="106"/>
      <c r="E523" s="107"/>
      <c r="F523" s="233"/>
      <c r="G523" s="233"/>
      <c r="H523" s="233"/>
      <c r="I523" s="141"/>
      <c r="J523" s="175"/>
      <c r="K523" s="233"/>
      <c r="L523" s="233"/>
      <c r="M523" s="141"/>
      <c r="N523" s="175"/>
      <c r="O523" s="233"/>
      <c r="P523" s="233"/>
      <c r="Q523" s="141"/>
    </row>
    <row r="524" spans="3:17" s="63" customFormat="1" ht="12.75">
      <c r="C524" s="62" t="s">
        <v>312</v>
      </c>
      <c r="D524" s="64"/>
      <c r="E524" s="64"/>
      <c r="F524" s="231"/>
      <c r="G524" s="231"/>
      <c r="H524" s="244"/>
      <c r="I524" s="65"/>
      <c r="J524" s="158"/>
      <c r="K524" s="231"/>
      <c r="L524" s="244"/>
      <c r="M524" s="65"/>
      <c r="N524" s="158"/>
      <c r="O524" s="231"/>
      <c r="P524" s="244"/>
      <c r="Q524" s="65"/>
    </row>
    <row r="525" spans="4:17" ht="12" customHeight="1">
      <c r="D525" s="106"/>
      <c r="E525" s="107"/>
      <c r="F525" s="233"/>
      <c r="G525" s="233"/>
      <c r="H525" s="233"/>
      <c r="I525" s="141"/>
      <c r="J525" s="175"/>
      <c r="K525" s="233"/>
      <c r="L525" s="233"/>
      <c r="M525" s="141"/>
      <c r="N525" s="175"/>
      <c r="O525" s="233"/>
      <c r="P525" s="233"/>
      <c r="Q525" s="141"/>
    </row>
    <row r="526" spans="1:17" s="15" customFormat="1" ht="12.75" hidden="1" outlineLevel="1">
      <c r="A526" s="15" t="s">
        <v>1307</v>
      </c>
      <c r="B526" s="15" t="s">
        <v>1308</v>
      </c>
      <c r="C526" s="134" t="s">
        <v>1309</v>
      </c>
      <c r="D526" s="16"/>
      <c r="E526" s="16"/>
      <c r="F526" s="16">
        <v>0</v>
      </c>
      <c r="G526" s="16">
        <v>0</v>
      </c>
      <c r="H526" s="16">
        <f>+F526-G526</f>
        <v>0</v>
      </c>
      <c r="I526" s="53"/>
      <c r="J526" s="174"/>
      <c r="K526" s="256">
        <v>143184638.962</v>
      </c>
      <c r="L526" s="16"/>
      <c r="M526" s="53"/>
      <c r="N526" s="174"/>
      <c r="O526" s="256">
        <v>0</v>
      </c>
      <c r="P526" s="16">
        <f>+F526-O526</f>
        <v>0</v>
      </c>
      <c r="Q526" s="53"/>
    </row>
    <row r="527" spans="1:17" s="15" customFormat="1" ht="12.75" hidden="1" outlineLevel="1">
      <c r="A527" s="15" t="s">
        <v>1310</v>
      </c>
      <c r="B527" s="15" t="s">
        <v>1311</v>
      </c>
      <c r="C527" s="134" t="s">
        <v>1312</v>
      </c>
      <c r="D527" s="16"/>
      <c r="E527" s="16"/>
      <c r="F527" s="16">
        <v>0</v>
      </c>
      <c r="G527" s="16">
        <v>0</v>
      </c>
      <c r="H527" s="16">
        <f>+F527-G527</f>
        <v>0</v>
      </c>
      <c r="I527" s="53"/>
      <c r="J527" s="174"/>
      <c r="K527" s="256">
        <v>-15000000</v>
      </c>
      <c r="L527" s="16"/>
      <c r="M527" s="53"/>
      <c r="N527" s="174"/>
      <c r="O527" s="256">
        <v>0</v>
      </c>
      <c r="P527" s="16">
        <f>+F527-O527</f>
        <v>0</v>
      </c>
      <c r="Q527" s="53"/>
    </row>
    <row r="528" spans="1:17" ht="12" customHeight="1" collapsed="1">
      <c r="A528" s="11" t="s">
        <v>347</v>
      </c>
      <c r="B528" s="178"/>
      <c r="C528" s="13" t="s">
        <v>303</v>
      </c>
      <c r="D528" s="11"/>
      <c r="E528" s="179"/>
      <c r="F528" s="179">
        <v>143184638.96199968</v>
      </c>
      <c r="G528" s="179">
        <v>138749088.787</v>
      </c>
      <c r="H528" s="247">
        <f>+F528-G528</f>
        <v>4435550.174999684</v>
      </c>
      <c r="I528" s="141"/>
      <c r="J528" s="175"/>
      <c r="K528" s="262">
        <v>128184638.96200001</v>
      </c>
      <c r="L528" s="263"/>
      <c r="M528" s="141"/>
      <c r="N528" s="175"/>
      <c r="O528" s="179">
        <v>138749088.787</v>
      </c>
      <c r="P528" s="247">
        <f>+F528-O528</f>
        <v>4435550.174999684</v>
      </c>
      <c r="Q528" s="141"/>
    </row>
    <row r="529" spans="1:17" ht="12" customHeight="1">
      <c r="A529" s="11" t="s">
        <v>326</v>
      </c>
      <c r="B529" s="178"/>
      <c r="C529" s="126" t="s">
        <v>315</v>
      </c>
      <c r="D529" s="11"/>
      <c r="E529" s="180"/>
      <c r="F529" s="18">
        <v>25482071.679000035</v>
      </c>
      <c r="G529" s="18">
        <v>16883933.50900005</v>
      </c>
      <c r="H529" s="51">
        <f>+F529-G529</f>
        <v>8598138.169999983</v>
      </c>
      <c r="I529" s="141"/>
      <c r="J529" s="175"/>
      <c r="K529" s="264">
        <v>21455226.066</v>
      </c>
      <c r="L529" s="265"/>
      <c r="M529" s="141"/>
      <c r="N529" s="175"/>
      <c r="O529" s="18">
        <v>23935550.174999937</v>
      </c>
      <c r="P529" s="51">
        <f>+F529-O529</f>
        <v>1546521.5040000975</v>
      </c>
      <c r="Q529" s="141"/>
    </row>
    <row r="530" spans="1:17" ht="12" customHeight="1">
      <c r="A530" s="107"/>
      <c r="B530" s="97"/>
      <c r="C530" s="107" t="s">
        <v>311</v>
      </c>
      <c r="D530" s="107"/>
      <c r="E530" s="179"/>
      <c r="F530" s="179">
        <f>SUM(F528:F529)</f>
        <v>168666710.64099973</v>
      </c>
      <c r="G530" s="179">
        <f>SUM(G528:G529)</f>
        <v>155633022.29600006</v>
      </c>
      <c r="H530" s="51">
        <f>+F530-G530</f>
        <v>13033688.344999671</v>
      </c>
      <c r="I530" s="141"/>
      <c r="J530" s="175"/>
      <c r="K530" s="262"/>
      <c r="L530" s="265"/>
      <c r="M530" s="141"/>
      <c r="N530" s="175"/>
      <c r="O530" s="179">
        <f>SUM(O525:O529)</f>
        <v>162684638.96199995</v>
      </c>
      <c r="P530" s="51">
        <f>+F530-O530</f>
        <v>5982071.678999782</v>
      </c>
      <c r="Q530" s="141"/>
    </row>
    <row r="531" spans="2:17" ht="12" customHeight="1">
      <c r="B531" s="178"/>
      <c r="D531" s="11"/>
      <c r="E531" s="180"/>
      <c r="H531" s="233"/>
      <c r="I531" s="141"/>
      <c r="J531" s="175"/>
      <c r="K531" s="264"/>
      <c r="L531" s="266"/>
      <c r="M531" s="141"/>
      <c r="N531" s="175"/>
      <c r="O531" s="18"/>
      <c r="P531" s="233"/>
      <c r="Q531" s="141"/>
    </row>
    <row r="532" spans="2:17" ht="12" customHeight="1">
      <c r="B532" s="178"/>
      <c r="C532" s="187" t="s">
        <v>331</v>
      </c>
      <c r="D532" s="11"/>
      <c r="E532" s="180"/>
      <c r="H532" s="233"/>
      <c r="I532" s="141"/>
      <c r="J532" s="175"/>
      <c r="K532" s="264"/>
      <c r="L532" s="266"/>
      <c r="M532" s="141"/>
      <c r="N532" s="175"/>
      <c r="O532" s="18"/>
      <c r="P532" s="233"/>
      <c r="Q532" s="141"/>
    </row>
    <row r="533" spans="2:17" ht="1.5" customHeight="1" hidden="1" outlineLevel="1">
      <c r="B533" s="178"/>
      <c r="C533" s="187"/>
      <c r="D533" s="11"/>
      <c r="E533" s="180"/>
      <c r="H533" s="248"/>
      <c r="I533" s="199"/>
      <c r="J533" s="204"/>
      <c r="K533" s="264"/>
      <c r="L533" s="267"/>
      <c r="M533" s="199"/>
      <c r="N533" s="204"/>
      <c r="O533" s="18"/>
      <c r="P533" s="248"/>
      <c r="Q533" s="199"/>
    </row>
    <row r="534" spans="1:17" s="15" customFormat="1" ht="12.75" hidden="1" outlineLevel="2">
      <c r="A534" s="15" t="s">
        <v>1310</v>
      </c>
      <c r="B534" s="15" t="s">
        <v>1311</v>
      </c>
      <c r="C534" s="134" t="s">
        <v>1312</v>
      </c>
      <c r="D534" s="16"/>
      <c r="E534" s="16"/>
      <c r="F534" s="16">
        <v>-21000000</v>
      </c>
      <c r="G534" s="16">
        <v>0</v>
      </c>
      <c r="H534" s="16">
        <f>+F534-G534</f>
        <v>-21000000</v>
      </c>
      <c r="I534" s="53"/>
      <c r="J534" s="174"/>
      <c r="K534" s="256">
        <v>-15000000</v>
      </c>
      <c r="L534" s="16"/>
      <c r="M534" s="53"/>
      <c r="N534" s="174"/>
      <c r="O534" s="256">
        <v>0</v>
      </c>
      <c r="P534" s="16">
        <f>+F534-O534</f>
        <v>-21000000</v>
      </c>
      <c r="Q534" s="53"/>
    </row>
    <row r="535" spans="1:17" ht="12" customHeight="1" collapsed="1">
      <c r="A535" s="11" t="s">
        <v>327</v>
      </c>
      <c r="B535" s="178"/>
      <c r="C535" s="202" t="s">
        <v>314</v>
      </c>
      <c r="D535" s="11"/>
      <c r="E535" s="180"/>
      <c r="F535" s="18">
        <v>-21000000</v>
      </c>
      <c r="G535" s="18">
        <v>-19500000</v>
      </c>
      <c r="H535" s="247">
        <f>+F535-G535</f>
        <v>-1500000</v>
      </c>
      <c r="I535" s="199"/>
      <c r="J535" s="200"/>
      <c r="K535" s="264">
        <v>-15000000</v>
      </c>
      <c r="L535" s="263"/>
      <c r="M535" s="199"/>
      <c r="N535" s="200"/>
      <c r="O535" s="118">
        <v>-19500000</v>
      </c>
      <c r="P535" s="247">
        <f>+F535-O535</f>
        <v>-1500000</v>
      </c>
      <c r="Q535" s="199"/>
    </row>
    <row r="536" spans="2:17" ht="0.75" customHeight="1" hidden="1" outlineLevel="1">
      <c r="B536" s="178"/>
      <c r="C536" s="202"/>
      <c r="D536" s="11"/>
      <c r="E536" s="180"/>
      <c r="H536" s="247"/>
      <c r="I536" s="199"/>
      <c r="J536" s="200"/>
      <c r="K536" s="264"/>
      <c r="L536" s="263"/>
      <c r="M536" s="199"/>
      <c r="N536" s="200"/>
      <c r="O536" s="117"/>
      <c r="P536" s="247"/>
      <c r="Q536" s="199"/>
    </row>
    <row r="537" spans="1:17" ht="12" customHeight="1" collapsed="1">
      <c r="A537" s="11" t="s">
        <v>328</v>
      </c>
      <c r="B537" s="178"/>
      <c r="C537" s="202" t="s">
        <v>313</v>
      </c>
      <c r="D537" s="11"/>
      <c r="E537" s="180"/>
      <c r="F537" s="180">
        <v>0</v>
      </c>
      <c r="G537" s="18">
        <v>0</v>
      </c>
      <c r="H537" s="247">
        <f>+F537-G537</f>
        <v>0</v>
      </c>
      <c r="I537" s="199"/>
      <c r="J537" s="200"/>
      <c r="K537" s="268">
        <v>0</v>
      </c>
      <c r="L537" s="263"/>
      <c r="M537" s="199"/>
      <c r="N537" s="200"/>
      <c r="O537" s="118">
        <v>0</v>
      </c>
      <c r="P537" s="247">
        <f>+F537-O537</f>
        <v>0</v>
      </c>
      <c r="Q537" s="199"/>
    </row>
    <row r="538" spans="2:17" ht="3" customHeight="1" hidden="1" outlineLevel="2">
      <c r="B538" s="178"/>
      <c r="C538" s="126"/>
      <c r="D538" s="11"/>
      <c r="E538" s="180"/>
      <c r="F538" s="180"/>
      <c r="G538" s="260"/>
      <c r="H538" s="249"/>
      <c r="I538" s="199"/>
      <c r="J538" s="200"/>
      <c r="K538" s="268"/>
      <c r="L538" s="269"/>
      <c r="M538" s="199"/>
      <c r="N538" s="200"/>
      <c r="O538" s="260"/>
      <c r="P538" s="249"/>
      <c r="Q538" s="199"/>
    </row>
    <row r="539" spans="1:17" ht="12" customHeight="1" collapsed="1">
      <c r="A539" s="1" t="s">
        <v>352</v>
      </c>
      <c r="B539" s="102"/>
      <c r="C539" s="203" t="s">
        <v>333</v>
      </c>
      <c r="D539" s="1"/>
      <c r="E539" s="181"/>
      <c r="F539" s="180">
        <f>+F541-F535-F537</f>
        <v>3.2782554626464844E-07</v>
      </c>
      <c r="G539" s="180">
        <f>+G541-G535-G537</f>
        <v>1.7881393432617188E-07</v>
      </c>
      <c r="H539" s="247">
        <f>+F539-G539</f>
        <v>1.4901161193847656E-07</v>
      </c>
      <c r="I539" s="199"/>
      <c r="J539" s="200"/>
      <c r="K539" s="270"/>
      <c r="L539" s="263"/>
      <c r="M539" s="199"/>
      <c r="N539" s="200"/>
      <c r="O539" s="180">
        <f>+O541-O535-O537</f>
        <v>-2.682209014892578E-07</v>
      </c>
      <c r="P539" s="247">
        <f>+F539-O539</f>
        <v>5.960464477539062E-07</v>
      </c>
      <c r="Q539" s="199"/>
    </row>
    <row r="540" spans="1:17" ht="6" customHeight="1">
      <c r="A540" s="1"/>
      <c r="B540" s="102"/>
      <c r="C540" s="96"/>
      <c r="D540" s="196"/>
      <c r="E540" s="205"/>
      <c r="F540" s="214"/>
      <c r="G540" s="261"/>
      <c r="H540" s="250"/>
      <c r="I540" s="206"/>
      <c r="J540" s="132"/>
      <c r="K540" s="271"/>
      <c r="L540" s="272"/>
      <c r="M540" s="206"/>
      <c r="N540" s="132"/>
      <c r="O540" s="261"/>
      <c r="P540" s="250"/>
      <c r="Q540" s="206"/>
    </row>
    <row r="541" spans="1:17" ht="12" customHeight="1">
      <c r="A541" s="217" t="s">
        <v>335</v>
      </c>
      <c r="B541" s="102"/>
      <c r="C541" s="188" t="s">
        <v>332</v>
      </c>
      <c r="D541" s="1"/>
      <c r="E541" s="182"/>
      <c r="F541" s="238">
        <f>+F543-F530</f>
        <v>-20999999.999999672</v>
      </c>
      <c r="G541" s="238">
        <f>+G543-G530</f>
        <v>-19499999.99999982</v>
      </c>
      <c r="H541" s="247">
        <f>+H543-H530</f>
        <v>-1499999.999999851</v>
      </c>
      <c r="I541" s="199"/>
      <c r="J541" s="204"/>
      <c r="K541" s="273"/>
      <c r="L541" s="263"/>
      <c r="M541" s="199"/>
      <c r="N541" s="204"/>
      <c r="O541" s="238">
        <f>+O543-O530</f>
        <v>-19500000.00000027</v>
      </c>
      <c r="P541" s="247">
        <f>+P543-P530</f>
        <v>-1499999.999999404</v>
      </c>
      <c r="Q541" s="199"/>
    </row>
    <row r="542" spans="1:17" ht="12" customHeight="1">
      <c r="A542" s="1"/>
      <c r="B542" s="102"/>
      <c r="C542" s="1"/>
      <c r="D542" s="1"/>
      <c r="E542" s="181"/>
      <c r="F542" s="239"/>
      <c r="G542" s="239"/>
      <c r="H542" s="248"/>
      <c r="I542" s="199"/>
      <c r="J542" s="204"/>
      <c r="K542" s="274"/>
      <c r="L542" s="267"/>
      <c r="M542" s="199"/>
      <c r="N542" s="204"/>
      <c r="O542" s="239"/>
      <c r="P542" s="248"/>
      <c r="Q542" s="199"/>
    </row>
    <row r="543" spans="1:17" ht="12" customHeight="1">
      <c r="A543" s="1" t="s">
        <v>251</v>
      </c>
      <c r="B543" s="183"/>
      <c r="C543" s="183" t="s">
        <v>304</v>
      </c>
      <c r="D543" s="32"/>
      <c r="E543" s="182"/>
      <c r="F543" s="212">
        <v>147666710.64100006</v>
      </c>
      <c r="G543" s="212">
        <v>136133022.29600024</v>
      </c>
      <c r="H543" s="247">
        <f>+F543-G543</f>
        <v>11533688.34499982</v>
      </c>
      <c r="I543" s="199"/>
      <c r="J543" s="204"/>
      <c r="K543" s="275">
        <v>149639865.028</v>
      </c>
      <c r="L543" s="263"/>
      <c r="M543" s="199"/>
      <c r="N543" s="204"/>
      <c r="O543" s="212">
        <v>143184638.96199968</v>
      </c>
      <c r="P543" s="247">
        <f>+F543-O543</f>
        <v>4482071.679000378</v>
      </c>
      <c r="Q543" s="199"/>
    </row>
    <row r="544" spans="1:17" ht="12" customHeight="1">
      <c r="A544" s="1"/>
      <c r="B544" s="102"/>
      <c r="C544" s="184"/>
      <c r="D544" s="1"/>
      <c r="E544" s="106"/>
      <c r="F544" s="106"/>
      <c r="G544" s="106"/>
      <c r="H544" s="106" t="str">
        <f>IF(ABS(+H530+H541-H543)&gt;$C574,$C$575," ")</f>
        <v> </v>
      </c>
      <c r="I544" s="225"/>
      <c r="J544" s="226"/>
      <c r="K544" s="276"/>
      <c r="L544" s="276"/>
      <c r="M544" s="225"/>
      <c r="N544" s="226"/>
      <c r="O544" s="106"/>
      <c r="P544" s="106" t="str">
        <f>IF(ABS(+P530+P541-P543)&gt;$C574,$C$575," ")</f>
        <v> </v>
      </c>
      <c r="Q544" s="225"/>
    </row>
    <row r="545" spans="1:17" ht="12" customHeight="1">
      <c r="A545" s="1"/>
      <c r="B545" s="102"/>
      <c r="C545" s="184"/>
      <c r="D545" s="1"/>
      <c r="E545" s="106"/>
      <c r="F545" s="106"/>
      <c r="G545" s="106"/>
      <c r="H545" s="248"/>
      <c r="I545" s="141"/>
      <c r="J545" s="175"/>
      <c r="K545" s="276"/>
      <c r="L545" s="267"/>
      <c r="M545" s="141"/>
      <c r="N545" s="175"/>
      <c r="O545" s="106"/>
      <c r="P545" s="248"/>
      <c r="Q545" s="141"/>
    </row>
    <row r="546" spans="1:17" ht="12" customHeight="1">
      <c r="A546" s="1"/>
      <c r="B546" s="102"/>
      <c r="C546" s="184"/>
      <c r="D546" s="1"/>
      <c r="E546" s="106"/>
      <c r="F546" s="106"/>
      <c r="G546" s="106"/>
      <c r="H546" s="248"/>
      <c r="I546" s="141"/>
      <c r="J546" s="175"/>
      <c r="K546" s="276"/>
      <c r="L546" s="267"/>
      <c r="M546" s="141"/>
      <c r="N546" s="175"/>
      <c r="O546" s="106"/>
      <c r="P546" s="248"/>
      <c r="Q546" s="141"/>
    </row>
    <row r="547" spans="1:17" ht="12" customHeight="1">
      <c r="A547" s="1"/>
      <c r="B547" s="102"/>
      <c r="C547" s="1"/>
      <c r="D547" s="1"/>
      <c r="E547" s="181"/>
      <c r="F547" s="34"/>
      <c r="G547" s="34"/>
      <c r="I547" s="141"/>
      <c r="J547" s="175"/>
      <c r="K547" s="264"/>
      <c r="L547" s="264"/>
      <c r="M547" s="141"/>
      <c r="N547" s="175"/>
      <c r="O547" s="34"/>
      <c r="Q547" s="141"/>
    </row>
    <row r="548" spans="1:17" ht="12" customHeight="1">
      <c r="A548" s="1"/>
      <c r="B548" s="102"/>
      <c r="C548" s="208"/>
      <c r="D548" s="208"/>
      <c r="E548" s="209"/>
      <c r="F548" s="240"/>
      <c r="G548" s="240"/>
      <c r="H548" s="240"/>
      <c r="I548" s="141"/>
      <c r="J548" s="175"/>
      <c r="K548" s="277"/>
      <c r="L548" s="277"/>
      <c r="M548" s="141"/>
      <c r="N548" s="175"/>
      <c r="O548" s="240"/>
      <c r="P548" s="240"/>
      <c r="Q548" s="141"/>
    </row>
    <row r="549" spans="1:17" ht="12" customHeight="1">
      <c r="A549" s="1"/>
      <c r="B549" s="102"/>
      <c r="C549" s="207" t="s">
        <v>321</v>
      </c>
      <c r="D549" s="1"/>
      <c r="E549" s="181"/>
      <c r="F549" s="34"/>
      <c r="G549" s="34"/>
      <c r="H549" s="248"/>
      <c r="I549" s="141"/>
      <c r="J549" s="175"/>
      <c r="K549" s="264"/>
      <c r="L549" s="267"/>
      <c r="M549" s="141"/>
      <c r="N549" s="175"/>
      <c r="O549" s="34"/>
      <c r="P549" s="248"/>
      <c r="Q549" s="141"/>
    </row>
    <row r="550" spans="1:17" ht="12" customHeight="1">
      <c r="A550" s="32"/>
      <c r="B550" s="183"/>
      <c r="C550" s="32"/>
      <c r="D550" s="32"/>
      <c r="E550" s="185"/>
      <c r="F550" s="241"/>
      <c r="G550" s="241"/>
      <c r="H550" s="251"/>
      <c r="I550" s="141"/>
      <c r="J550" s="175"/>
      <c r="K550" s="278"/>
      <c r="L550" s="273"/>
      <c r="M550" s="141"/>
      <c r="N550" s="175"/>
      <c r="O550" s="241"/>
      <c r="P550" s="251"/>
      <c r="Q550" s="141"/>
    </row>
    <row r="551" spans="2:17" s="1" customFormat="1" ht="12" customHeight="1">
      <c r="B551" s="193" t="s">
        <v>336</v>
      </c>
      <c r="C551" s="194" t="s">
        <v>305</v>
      </c>
      <c r="E551" s="181"/>
      <c r="F551" s="213">
        <v>0</v>
      </c>
      <c r="G551" s="213">
        <v>0</v>
      </c>
      <c r="H551" s="239">
        <f>+F551-G551</f>
        <v>0</v>
      </c>
      <c r="I551" s="131"/>
      <c r="J551" s="210"/>
      <c r="K551" s="279"/>
      <c r="L551" s="274"/>
      <c r="M551" s="131"/>
      <c r="N551" s="210"/>
      <c r="O551" s="213">
        <v>0</v>
      </c>
      <c r="P551" s="239">
        <f>+F551-O551</f>
        <v>0</v>
      </c>
      <c r="Q551" s="131"/>
    </row>
    <row r="552" spans="2:17" s="1" customFormat="1" ht="12" customHeight="1">
      <c r="B552" s="193" t="s">
        <v>337</v>
      </c>
      <c r="C552" s="52" t="s">
        <v>306</v>
      </c>
      <c r="D552" s="196"/>
      <c r="E552" s="197"/>
      <c r="F552" s="214">
        <v>0</v>
      </c>
      <c r="G552" s="214">
        <v>0</v>
      </c>
      <c r="H552" s="214">
        <f>+F552-G552</f>
        <v>0</v>
      </c>
      <c r="I552" s="198"/>
      <c r="J552" s="198"/>
      <c r="K552" s="271"/>
      <c r="L552" s="271"/>
      <c r="M552" s="198"/>
      <c r="N552" s="198"/>
      <c r="O552" s="214">
        <v>0</v>
      </c>
      <c r="P552" s="214">
        <f>+F552-O552</f>
        <v>0</v>
      </c>
      <c r="Q552" s="198"/>
    </row>
    <row r="553" spans="2:17" s="1" customFormat="1" ht="12" customHeight="1">
      <c r="B553" s="102"/>
      <c r="C553" s="195" t="s">
        <v>316</v>
      </c>
      <c r="E553" s="34"/>
      <c r="F553" s="239">
        <f>SUM(F551:F552)</f>
        <v>0</v>
      </c>
      <c r="G553" s="239">
        <f>SUM(G551:G552)</f>
        <v>0</v>
      </c>
      <c r="H553" s="239">
        <f>+F553-G553</f>
        <v>0</v>
      </c>
      <c r="I553" s="131"/>
      <c r="J553" s="210"/>
      <c r="K553" s="274"/>
      <c r="L553" s="274"/>
      <c r="M553" s="131"/>
      <c r="N553" s="210"/>
      <c r="O553" s="239">
        <f>SUM(O551:O552)</f>
        <v>0</v>
      </c>
      <c r="P553" s="239">
        <f>+F553-O553</f>
        <v>0</v>
      </c>
      <c r="Q553" s="131"/>
    </row>
    <row r="554" spans="2:17" s="1" customFormat="1" ht="12" customHeight="1">
      <c r="B554" s="102"/>
      <c r="C554" s="195"/>
      <c r="E554" s="86"/>
      <c r="F554" s="239"/>
      <c r="G554" s="239"/>
      <c r="H554" s="239"/>
      <c r="I554" s="131"/>
      <c r="J554" s="210"/>
      <c r="K554" s="274"/>
      <c r="L554" s="274"/>
      <c r="M554" s="131"/>
      <c r="N554" s="210"/>
      <c r="O554" s="239"/>
      <c r="P554" s="239"/>
      <c r="Q554" s="131"/>
    </row>
    <row r="555" spans="2:17" s="1" customFormat="1" ht="12" customHeight="1">
      <c r="B555" s="193" t="s">
        <v>339</v>
      </c>
      <c r="C555" s="194" t="s">
        <v>307</v>
      </c>
      <c r="E555" s="34"/>
      <c r="F555" s="213">
        <v>143184638.962</v>
      </c>
      <c r="G555" s="213">
        <v>138749088.787</v>
      </c>
      <c r="H555" s="213">
        <f aca="true" t="shared" si="164" ref="H555:H561">+F555-G555</f>
        <v>4435550.175000012</v>
      </c>
      <c r="I555" s="211"/>
      <c r="J555" s="219"/>
      <c r="K555" s="279"/>
      <c r="L555" s="279"/>
      <c r="M555" s="211"/>
      <c r="N555" s="219"/>
      <c r="O555" s="213">
        <v>138749088.787</v>
      </c>
      <c r="P555" s="213">
        <f aca="true" t="shared" si="165" ref="P555:P561">+F555-O555</f>
        <v>4435550.175000012</v>
      </c>
      <c r="Q555" s="211"/>
    </row>
    <row r="556" spans="2:17" s="1" customFormat="1" ht="12" customHeight="1">
      <c r="B556" s="193" t="s">
        <v>338</v>
      </c>
      <c r="C556" s="194" t="s">
        <v>308</v>
      </c>
      <c r="E556" s="34"/>
      <c r="F556" s="213">
        <v>0</v>
      </c>
      <c r="G556" s="213">
        <v>0</v>
      </c>
      <c r="H556" s="213">
        <f t="shared" si="164"/>
        <v>0</v>
      </c>
      <c r="I556" s="211"/>
      <c r="J556" s="219"/>
      <c r="K556" s="279"/>
      <c r="L556" s="279"/>
      <c r="M556" s="211"/>
      <c r="N556" s="219"/>
      <c r="O556" s="213">
        <v>0</v>
      </c>
      <c r="P556" s="213">
        <f t="shared" si="165"/>
        <v>0</v>
      </c>
      <c r="Q556" s="211"/>
    </row>
    <row r="557" spans="2:17" s="1" customFormat="1" ht="1.5" customHeight="1" hidden="1" outlineLevel="1">
      <c r="B557" s="193"/>
      <c r="C557" s="194"/>
      <c r="E557" s="34"/>
      <c r="F557" s="213"/>
      <c r="G557" s="213"/>
      <c r="H557" s="213"/>
      <c r="I557" s="211"/>
      <c r="J557" s="219"/>
      <c r="K557" s="279"/>
      <c r="L557" s="279"/>
      <c r="M557" s="211"/>
      <c r="N557" s="219"/>
      <c r="O557" s="213"/>
      <c r="P557" s="213"/>
      <c r="Q557" s="211"/>
    </row>
    <row r="558" spans="2:17" s="1" customFormat="1" ht="12" customHeight="1" hidden="1" outlineLevel="1">
      <c r="B558" s="193"/>
      <c r="C558" s="218" t="s">
        <v>341</v>
      </c>
      <c r="E558" s="34"/>
      <c r="F558" s="213">
        <v>4482071.679000065</v>
      </c>
      <c r="G558" s="213">
        <v>-2616066.491000136</v>
      </c>
      <c r="H558" s="213">
        <f t="shared" si="164"/>
        <v>7098138.170000201</v>
      </c>
      <c r="I558" s="211"/>
      <c r="J558" s="219"/>
      <c r="K558" s="279"/>
      <c r="L558" s="279"/>
      <c r="M558" s="211"/>
      <c r="N558" s="219"/>
      <c r="O558" s="213">
        <v>4435550.174999886</v>
      </c>
      <c r="P558" s="213">
        <f t="shared" si="165"/>
        <v>46521.50400017854</v>
      </c>
      <c r="Q558" s="211"/>
    </row>
    <row r="559" spans="2:17" s="1" customFormat="1" ht="12" customHeight="1" hidden="1" outlineLevel="1">
      <c r="B559" s="193"/>
      <c r="C559" s="218" t="s">
        <v>340</v>
      </c>
      <c r="E559" s="34"/>
      <c r="F559" s="242">
        <v>0</v>
      </c>
      <c r="G559" s="242">
        <v>0</v>
      </c>
      <c r="H559" s="242">
        <f t="shared" si="164"/>
        <v>0</v>
      </c>
      <c r="I559" s="220"/>
      <c r="J559" s="220"/>
      <c r="K559" s="280"/>
      <c r="L559" s="280"/>
      <c r="M559" s="220"/>
      <c r="N559" s="220"/>
      <c r="O559" s="242">
        <v>0</v>
      </c>
      <c r="P559" s="242">
        <f t="shared" si="165"/>
        <v>0</v>
      </c>
      <c r="Q559" s="220"/>
    </row>
    <row r="560" spans="2:17" s="1" customFormat="1" ht="12" customHeight="1" collapsed="1">
      <c r="B560" s="102"/>
      <c r="C560" s="52" t="s">
        <v>309</v>
      </c>
      <c r="D560" s="196"/>
      <c r="E560" s="197"/>
      <c r="F560" s="242">
        <f>+F558-F559</f>
        <v>4482071.679000065</v>
      </c>
      <c r="G560" s="242">
        <f>+G558-G559</f>
        <v>-2616066.491000136</v>
      </c>
      <c r="H560" s="242">
        <f t="shared" si="164"/>
        <v>7098138.170000201</v>
      </c>
      <c r="I560" s="220"/>
      <c r="J560" s="220"/>
      <c r="K560" s="280"/>
      <c r="L560" s="280"/>
      <c r="M560" s="220"/>
      <c r="N560" s="220"/>
      <c r="O560" s="242">
        <f>+O558-O559</f>
        <v>4435550.174999886</v>
      </c>
      <c r="P560" s="242">
        <f t="shared" si="165"/>
        <v>46521.50400017854</v>
      </c>
      <c r="Q560" s="220"/>
    </row>
    <row r="561" spans="1:17" ht="12" customHeight="1">
      <c r="A561" s="1"/>
      <c r="B561" s="102"/>
      <c r="C561" s="126" t="s">
        <v>322</v>
      </c>
      <c r="D561" s="1"/>
      <c r="E561" s="181"/>
      <c r="F561" s="213">
        <f>F560+F555+F556</f>
        <v>147666710.6410001</v>
      </c>
      <c r="G561" s="213">
        <f>G560+G555+G556</f>
        <v>136133022.29599985</v>
      </c>
      <c r="H561" s="252">
        <f t="shared" si="164"/>
        <v>11533688.345000237</v>
      </c>
      <c r="I561" s="221"/>
      <c r="J561" s="222"/>
      <c r="K561" s="279"/>
      <c r="L561" s="279"/>
      <c r="M561" s="221"/>
      <c r="N561" s="222"/>
      <c r="O561" s="213">
        <f>O560+O555+O556</f>
        <v>143184638.9619999</v>
      </c>
      <c r="P561" s="252">
        <f t="shared" si="165"/>
        <v>4482071.679000199</v>
      </c>
      <c r="Q561" s="221"/>
    </row>
    <row r="562" spans="1:17" ht="12" customHeight="1">
      <c r="A562" s="1"/>
      <c r="B562" s="102"/>
      <c r="C562" s="195"/>
      <c r="D562" s="1"/>
      <c r="E562" s="181"/>
      <c r="F562" s="239"/>
      <c r="G562" s="239"/>
      <c r="H562" s="253"/>
      <c r="I562" s="199"/>
      <c r="J562" s="215"/>
      <c r="K562" s="274"/>
      <c r="L562" s="274"/>
      <c r="M562" s="199"/>
      <c r="N562" s="215"/>
      <c r="O562" s="239"/>
      <c r="P562" s="253"/>
      <c r="Q562" s="199"/>
    </row>
    <row r="563" spans="1:17" ht="12" customHeight="1">
      <c r="A563" s="1"/>
      <c r="B563" s="193" t="s">
        <v>310</v>
      </c>
      <c r="C563" s="194" t="s">
        <v>325</v>
      </c>
      <c r="D563" s="1"/>
      <c r="E563" s="181"/>
      <c r="F563" s="213">
        <v>0</v>
      </c>
      <c r="G563" s="213">
        <v>0</v>
      </c>
      <c r="H563" s="253">
        <f>+F563-G563</f>
        <v>0</v>
      </c>
      <c r="I563" s="199"/>
      <c r="J563" s="215"/>
      <c r="K563" s="279"/>
      <c r="L563" s="274"/>
      <c r="M563" s="199"/>
      <c r="N563" s="215"/>
      <c r="O563" s="213">
        <v>0</v>
      </c>
      <c r="P563" s="253">
        <f>+F563-O563</f>
        <v>0</v>
      </c>
      <c r="Q563" s="199"/>
    </row>
    <row r="564" spans="1:17" s="1" customFormat="1" ht="12" customHeight="1">
      <c r="A564" s="1" t="s">
        <v>329</v>
      </c>
      <c r="B564" s="193" t="s">
        <v>334</v>
      </c>
      <c r="C564" s="52" t="s">
        <v>324</v>
      </c>
      <c r="D564" s="196"/>
      <c r="E564" s="197"/>
      <c r="F564" s="214">
        <v>0</v>
      </c>
      <c r="G564" s="214">
        <v>0</v>
      </c>
      <c r="H564" s="214">
        <f>+F564-G564</f>
        <v>0</v>
      </c>
      <c r="I564" s="198"/>
      <c r="J564" s="198"/>
      <c r="K564" s="271">
        <v>0</v>
      </c>
      <c r="L564" s="271"/>
      <c r="M564" s="198"/>
      <c r="N564" s="198"/>
      <c r="O564" s="214">
        <v>0</v>
      </c>
      <c r="P564" s="214">
        <f>+F564-O564</f>
        <v>0</v>
      </c>
      <c r="Q564" s="198"/>
    </row>
    <row r="565" spans="1:17" ht="12" customHeight="1">
      <c r="A565" s="1"/>
      <c r="B565" s="102"/>
      <c r="C565" s="126" t="s">
        <v>323</v>
      </c>
      <c r="D565" s="1"/>
      <c r="E565" s="181"/>
      <c r="F565" s="213">
        <f>F563+F564</f>
        <v>0</v>
      </c>
      <c r="G565" s="213">
        <f>G563+G564</f>
        <v>0</v>
      </c>
      <c r="H565" s="213">
        <f>H563+H564</f>
        <v>0</v>
      </c>
      <c r="I565" s="199"/>
      <c r="J565" s="215"/>
      <c r="K565" s="279"/>
      <c r="L565" s="279"/>
      <c r="M565" s="199"/>
      <c r="N565" s="215"/>
      <c r="O565" s="213">
        <f>O563+O564</f>
        <v>0</v>
      </c>
      <c r="P565" s="213">
        <f>+F565-O565</f>
        <v>0</v>
      </c>
      <c r="Q565" s="199"/>
    </row>
    <row r="566" spans="1:17" ht="12" customHeight="1">
      <c r="A566" s="1"/>
      <c r="B566" s="102"/>
      <c r="C566" s="126"/>
      <c r="D566" s="1"/>
      <c r="E566" s="181"/>
      <c r="F566" s="213"/>
      <c r="G566" s="213"/>
      <c r="H566" s="213"/>
      <c r="I566" s="199"/>
      <c r="J566" s="215"/>
      <c r="K566" s="279"/>
      <c r="L566" s="279"/>
      <c r="M566" s="199"/>
      <c r="N566" s="215"/>
      <c r="O566" s="213"/>
      <c r="P566" s="213"/>
      <c r="Q566" s="199"/>
    </row>
    <row r="567" spans="1:17" ht="12" customHeight="1">
      <c r="A567" s="1"/>
      <c r="B567" s="102"/>
      <c r="C567" s="126" t="s">
        <v>344</v>
      </c>
      <c r="D567" s="1"/>
      <c r="E567" s="181"/>
      <c r="F567" s="213">
        <f>+F569-F565-F561-F553</f>
        <v>-2.9802322387695312E-08</v>
      </c>
      <c r="G567" s="213">
        <f>+G569-G565-G561-G553</f>
        <v>3.8743019104003906E-07</v>
      </c>
      <c r="H567" s="253">
        <f>+F567-G567</f>
        <v>-4.172325134277344E-07</v>
      </c>
      <c r="I567" s="199"/>
      <c r="J567" s="215"/>
      <c r="K567" s="279"/>
      <c r="L567" s="274"/>
      <c r="M567" s="199"/>
      <c r="N567" s="215"/>
      <c r="O567" s="213">
        <f>+O569-O565-O561-O553</f>
        <v>-2.086162567138672E-07</v>
      </c>
      <c r="P567" s="253">
        <f>+F567-O567</f>
        <v>1.7881393432617188E-07</v>
      </c>
      <c r="Q567" s="199"/>
    </row>
    <row r="568" spans="1:17" s="1" customFormat="1" ht="12.75" customHeight="1">
      <c r="A568" s="32"/>
      <c r="B568" s="186"/>
      <c r="C568" s="32"/>
      <c r="D568" s="32"/>
      <c r="E568" s="182"/>
      <c r="F568" s="212"/>
      <c r="G568" s="212"/>
      <c r="H568" s="254"/>
      <c r="I568" s="131"/>
      <c r="J568" s="216"/>
      <c r="K568" s="275"/>
      <c r="L568" s="267"/>
      <c r="M568" s="131"/>
      <c r="N568" s="216"/>
      <c r="O568" s="212"/>
      <c r="P568" s="254"/>
      <c r="Q568" s="131"/>
    </row>
    <row r="569" spans="1:17" s="1" customFormat="1" ht="13.5" thickBot="1">
      <c r="A569" s="32"/>
      <c r="B569" s="186"/>
      <c r="C569" s="189" t="s">
        <v>311</v>
      </c>
      <c r="D569" s="189"/>
      <c r="E569" s="190"/>
      <c r="F569" s="243">
        <f>+F543</f>
        <v>147666710.64100006</v>
      </c>
      <c r="G569" s="243">
        <f>+G543</f>
        <v>136133022.29600024</v>
      </c>
      <c r="H569" s="255">
        <f>+F569-G569</f>
        <v>11533688.34499982</v>
      </c>
      <c r="I569" s="201"/>
      <c r="J569" s="201"/>
      <c r="K569" s="281"/>
      <c r="L569" s="282"/>
      <c r="M569" s="201"/>
      <c r="N569" s="201"/>
      <c r="O569" s="243">
        <f>+O543</f>
        <v>143184638.96199968</v>
      </c>
      <c r="P569" s="255">
        <f>+F569-O569</f>
        <v>4482071.679000378</v>
      </c>
      <c r="Q569" s="201"/>
    </row>
    <row r="570" spans="1:17" s="1" customFormat="1" ht="13.5" thickTop="1">
      <c r="A570" s="32"/>
      <c r="B570" s="186"/>
      <c r="C570" s="32"/>
      <c r="D570" s="32"/>
      <c r="E570" s="192"/>
      <c r="F570" s="192"/>
      <c r="G570" s="192"/>
      <c r="H570" s="34"/>
      <c r="I570" s="191"/>
      <c r="J570" s="87"/>
      <c r="K570" s="192"/>
      <c r="L570" s="34"/>
      <c r="M570" s="191"/>
      <c r="N570" s="87"/>
      <c r="O570" s="192"/>
      <c r="P570" s="34"/>
      <c r="Q570" s="191"/>
    </row>
    <row r="571" spans="1:17" s="1" customFormat="1" ht="12.75">
      <c r="A571" s="32"/>
      <c r="B571" s="186"/>
      <c r="C571" s="32"/>
      <c r="D571" s="32"/>
      <c r="E571" s="192"/>
      <c r="F571" s="192"/>
      <c r="G571" s="192"/>
      <c r="H571" s="86"/>
      <c r="I571" s="191"/>
      <c r="J571" s="87"/>
      <c r="K571" s="192"/>
      <c r="L571" s="86"/>
      <c r="M571" s="191"/>
      <c r="N571" s="87"/>
      <c r="O571" s="192"/>
      <c r="P571" s="86"/>
      <c r="Q571" s="191"/>
    </row>
    <row r="572" spans="1:17" s="1" customFormat="1" ht="12.75">
      <c r="A572" s="32"/>
      <c r="B572" s="186"/>
      <c r="C572" s="32"/>
      <c r="D572" s="32"/>
      <c r="E572" s="192"/>
      <c r="F572" s="192"/>
      <c r="G572" s="192"/>
      <c r="H572" s="86"/>
      <c r="I572" s="191"/>
      <c r="J572" s="87"/>
      <c r="K572" s="192"/>
      <c r="L572" s="86"/>
      <c r="M572" s="191"/>
      <c r="N572" s="87"/>
      <c r="O572" s="192"/>
      <c r="P572" s="86"/>
      <c r="Q572" s="191"/>
    </row>
    <row r="573" spans="2:17" s="35" customFormat="1" ht="12.75" hidden="1" outlineLevel="1">
      <c r="B573" s="35" t="s">
        <v>56</v>
      </c>
      <c r="C573" s="292" t="s">
        <v>1313</v>
      </c>
      <c r="G573" s="37"/>
      <c r="H573" s="37"/>
      <c r="I573" s="147"/>
      <c r="J573" s="176"/>
      <c r="K573" s="37"/>
      <c r="L573" s="37"/>
      <c r="M573" s="147"/>
      <c r="N573" s="176"/>
      <c r="O573" s="37"/>
      <c r="P573" s="37"/>
      <c r="Q573" s="147"/>
    </row>
    <row r="574" spans="1:17" s="35" customFormat="1" ht="12.75" hidden="1" outlineLevel="1">
      <c r="A574" s="36"/>
      <c r="B574" s="35" t="s">
        <v>57</v>
      </c>
      <c r="C574" s="35">
        <v>0.001</v>
      </c>
      <c r="G574" s="37"/>
      <c r="H574" s="37"/>
      <c r="I574" s="147"/>
      <c r="J574" s="176"/>
      <c r="K574" s="37"/>
      <c r="L574" s="37"/>
      <c r="M574" s="147"/>
      <c r="N574" s="176"/>
      <c r="O574" s="37"/>
      <c r="P574" s="37"/>
      <c r="Q574" s="147"/>
    </row>
    <row r="575" spans="1:17" s="35" customFormat="1" ht="12.75" hidden="1" outlineLevel="1">
      <c r="A575" s="36"/>
      <c r="B575" s="35" t="s">
        <v>173</v>
      </c>
      <c r="C575" s="133" t="s">
        <v>172</v>
      </c>
      <c r="G575" s="37"/>
      <c r="H575" s="37"/>
      <c r="I575" s="147"/>
      <c r="J575" s="176"/>
      <c r="K575" s="37"/>
      <c r="L575" s="37"/>
      <c r="M575" s="147"/>
      <c r="N575" s="176"/>
      <c r="O575" s="37"/>
      <c r="P575" s="37"/>
      <c r="Q575" s="147"/>
    </row>
    <row r="576" spans="1:17" s="35" customFormat="1" ht="12.75" hidden="1" outlineLevel="1">
      <c r="A576" s="36"/>
      <c r="B576" s="35" t="s">
        <v>174</v>
      </c>
      <c r="C576" s="35" t="s">
        <v>175</v>
      </c>
      <c r="G576" s="37"/>
      <c r="H576" s="37"/>
      <c r="I576" s="147"/>
      <c r="J576" s="176"/>
      <c r="K576" s="151"/>
      <c r="L576" s="37"/>
      <c r="M576" s="147"/>
      <c r="N576" s="176"/>
      <c r="O576" s="151"/>
      <c r="P576" s="37"/>
      <c r="Q576" s="147"/>
    </row>
    <row r="577" spans="1:17" s="35" customFormat="1" ht="12.75" hidden="1" outlineLevel="1">
      <c r="A577" s="36"/>
      <c r="B577" s="35" t="s">
        <v>58</v>
      </c>
      <c r="C577" s="35">
        <f>COUNTIF($F$10:$Q$541,+C575)</f>
        <v>0</v>
      </c>
      <c r="G577" s="37"/>
      <c r="H577" s="37"/>
      <c r="I577" s="147"/>
      <c r="J577" s="176"/>
      <c r="K577" s="151"/>
      <c r="L577" s="37"/>
      <c r="M577" s="147"/>
      <c r="N577" s="176"/>
      <c r="O577" s="151"/>
      <c r="P577" s="37"/>
      <c r="Q577" s="147"/>
    </row>
    <row r="578" spans="1:17" s="35" customFormat="1" ht="12.75" hidden="1" outlineLevel="1">
      <c r="A578" s="36"/>
      <c r="B578" s="35" t="s">
        <v>58</v>
      </c>
      <c r="C578" s="45">
        <f>COUNTIF($F$10:$Q$541,+C576)</f>
        <v>0</v>
      </c>
      <c r="F578" s="36"/>
      <c r="G578" s="37"/>
      <c r="H578" s="37"/>
      <c r="I578" s="147"/>
      <c r="J578" s="176"/>
      <c r="K578" s="151"/>
      <c r="L578" s="37"/>
      <c r="M578" s="147"/>
      <c r="N578" s="176"/>
      <c r="O578" s="151"/>
      <c r="P578" s="37"/>
      <c r="Q578" s="147"/>
    </row>
    <row r="579" spans="1:17" s="35" customFormat="1" ht="12.75" hidden="1" outlineLevel="1">
      <c r="A579" s="36"/>
      <c r="B579" s="35" t="s">
        <v>59</v>
      </c>
      <c r="C579" s="45">
        <f>SUM(C577:C578)</f>
        <v>0</v>
      </c>
      <c r="F579" s="36"/>
      <c r="G579" s="37"/>
      <c r="H579" s="37"/>
      <c r="I579" s="147"/>
      <c r="J579" s="176"/>
      <c r="K579" s="151"/>
      <c r="L579" s="37"/>
      <c r="M579" s="147"/>
      <c r="N579" s="176"/>
      <c r="O579" s="151"/>
      <c r="P579" s="37"/>
      <c r="Q579" s="147"/>
    </row>
    <row r="580" spans="1:17" s="35" customFormat="1" ht="12.75" hidden="1" outlineLevel="1">
      <c r="A580" s="36"/>
      <c r="B580" s="38"/>
      <c r="C580" s="46"/>
      <c r="D580" s="39"/>
      <c r="E580" s="39"/>
      <c r="F580" s="40"/>
      <c r="G580" s="37"/>
      <c r="H580" s="37"/>
      <c r="I580" s="147"/>
      <c r="J580" s="176"/>
      <c r="K580" s="152"/>
      <c r="L580" s="37"/>
      <c r="M580" s="147"/>
      <c r="N580" s="176"/>
      <c r="O580" s="152"/>
      <c r="P580" s="37"/>
      <c r="Q580" s="147"/>
    </row>
    <row r="581" spans="1:17" s="35" customFormat="1" ht="12.75" hidden="1" outlineLevel="1">
      <c r="A581" s="36"/>
      <c r="B581" s="38" t="s">
        <v>60</v>
      </c>
      <c r="C581" s="293" t="s">
        <v>1314</v>
      </c>
      <c r="D581" s="39"/>
      <c r="E581" s="39"/>
      <c r="F581" s="37"/>
      <c r="G581" s="37">
        <v>-19500000</v>
      </c>
      <c r="H581" s="283">
        <f>+F581-G581</f>
        <v>19500000</v>
      </c>
      <c r="I581" s="284"/>
      <c r="J581" s="285"/>
      <c r="K581" s="37"/>
      <c r="L581" s="283"/>
      <c r="M581" s="284"/>
      <c r="N581" s="285"/>
      <c r="O581" s="286">
        <v>-19500000</v>
      </c>
      <c r="P581" s="283">
        <f>+F581-O581</f>
        <v>19500000</v>
      </c>
      <c r="Q581" s="147"/>
    </row>
    <row r="582" spans="1:17" s="35" customFormat="1" ht="12.75" hidden="1" outlineLevel="1">
      <c r="A582" s="36"/>
      <c r="B582" s="38" t="s">
        <v>61</v>
      </c>
      <c r="C582" s="293" t="s">
        <v>1314</v>
      </c>
      <c r="D582" s="39"/>
      <c r="E582" s="39"/>
      <c r="F582" s="37"/>
      <c r="G582" s="37"/>
      <c r="H582" s="283"/>
      <c r="I582" s="284"/>
      <c r="J582" s="285"/>
      <c r="K582" s="37"/>
      <c r="L582" s="283"/>
      <c r="M582" s="284"/>
      <c r="N582" s="285"/>
      <c r="O582" s="287"/>
      <c r="P582" s="283"/>
      <c r="Q582" s="147"/>
    </row>
    <row r="583" spans="1:17" s="35" customFormat="1" ht="12.75" hidden="1" outlineLevel="1">
      <c r="A583" s="36"/>
      <c r="B583" s="41" t="s">
        <v>70</v>
      </c>
      <c r="C583" s="293" t="s">
        <v>1315</v>
      </c>
      <c r="D583" s="41"/>
      <c r="E583" s="41"/>
      <c r="F583" s="288"/>
      <c r="G583" s="37">
        <v>0</v>
      </c>
      <c r="H583" s="283">
        <f>+F583-G583</f>
        <v>0</v>
      </c>
      <c r="I583" s="284"/>
      <c r="J583" s="285"/>
      <c r="K583" s="288"/>
      <c r="L583" s="283"/>
      <c r="M583" s="284"/>
      <c r="N583" s="285"/>
      <c r="O583" s="286">
        <v>0</v>
      </c>
      <c r="P583" s="283">
        <f>+F583-O583</f>
        <v>0</v>
      </c>
      <c r="Q583" s="147"/>
    </row>
    <row r="584" spans="1:17" s="35" customFormat="1" ht="12.75" hidden="1" outlineLevel="1">
      <c r="A584" s="36"/>
      <c r="B584" s="41" t="s">
        <v>62</v>
      </c>
      <c r="C584" s="293" t="s">
        <v>1316</v>
      </c>
      <c r="D584" s="41"/>
      <c r="E584" s="41"/>
      <c r="F584" s="288"/>
      <c r="G584" s="289"/>
      <c r="H584" s="290"/>
      <c r="I584" s="284"/>
      <c r="J584" s="285"/>
      <c r="K584" s="288"/>
      <c r="L584" s="290"/>
      <c r="M584" s="284"/>
      <c r="N584" s="285"/>
      <c r="O584" s="289"/>
      <c r="P584" s="290"/>
      <c r="Q584" s="147"/>
    </row>
    <row r="585" spans="1:17" s="35" customFormat="1" ht="12.75" hidden="1" outlineLevel="1">
      <c r="A585" s="36"/>
      <c r="B585" s="41" t="s">
        <v>63</v>
      </c>
      <c r="C585" s="293" t="s">
        <v>1317</v>
      </c>
      <c r="D585" s="41"/>
      <c r="E585" s="41"/>
      <c r="F585" s="288">
        <v>0</v>
      </c>
      <c r="G585" s="289">
        <v>0</v>
      </c>
      <c r="H585" s="283">
        <f>+F585-G585</f>
        <v>0</v>
      </c>
      <c r="I585" s="284"/>
      <c r="J585" s="285"/>
      <c r="K585" s="291"/>
      <c r="L585" s="283"/>
      <c r="M585" s="284"/>
      <c r="N585" s="285"/>
      <c r="O585" s="286">
        <v>0</v>
      </c>
      <c r="P585" s="283">
        <f>+F585-O585</f>
        <v>0</v>
      </c>
      <c r="Q585" s="147"/>
    </row>
    <row r="586" spans="1:17" s="35" customFormat="1" ht="12.75" hidden="1" outlineLevel="1">
      <c r="A586" s="36"/>
      <c r="B586" s="41" t="s">
        <v>64</v>
      </c>
      <c r="C586" s="293" t="s">
        <v>1318</v>
      </c>
      <c r="D586" s="41"/>
      <c r="E586" s="41"/>
      <c r="G586" s="37"/>
      <c r="H586" s="37"/>
      <c r="I586" s="147"/>
      <c r="J586" s="176"/>
      <c r="K586" s="153"/>
      <c r="L586" s="37"/>
      <c r="M586" s="147"/>
      <c r="N586" s="176"/>
      <c r="O586" s="153"/>
      <c r="P586" s="37"/>
      <c r="Q586" s="147"/>
    </row>
    <row r="587" spans="1:17" s="35" customFormat="1" ht="12.75" hidden="1" outlineLevel="1">
      <c r="A587" s="36"/>
      <c r="B587" s="41" t="s">
        <v>65</v>
      </c>
      <c r="C587" s="293" t="s">
        <v>1319</v>
      </c>
      <c r="D587" s="41"/>
      <c r="E587" s="41"/>
      <c r="G587" s="37"/>
      <c r="H587" s="37"/>
      <c r="I587" s="147"/>
      <c r="J587" s="176"/>
      <c r="K587" s="153"/>
      <c r="L587" s="37"/>
      <c r="M587" s="147"/>
      <c r="N587" s="176"/>
      <c r="O587" s="153"/>
      <c r="P587" s="37"/>
      <c r="Q587" s="147"/>
    </row>
    <row r="588" spans="1:17" s="35" customFormat="1" ht="12.75" hidden="1" outlineLevel="1">
      <c r="A588" s="36"/>
      <c r="B588" s="41" t="s">
        <v>66</v>
      </c>
      <c r="C588" s="293" t="s">
        <v>1320</v>
      </c>
      <c r="D588" s="41"/>
      <c r="E588" s="41"/>
      <c r="G588" s="37"/>
      <c r="H588" s="37"/>
      <c r="I588" s="147"/>
      <c r="J588" s="176"/>
      <c r="K588" s="153"/>
      <c r="L588" s="37"/>
      <c r="M588" s="147"/>
      <c r="N588" s="176"/>
      <c r="O588" s="153"/>
      <c r="P588" s="37"/>
      <c r="Q588" s="147"/>
    </row>
    <row r="589" spans="1:17" s="35" customFormat="1" ht="12.75" hidden="1" outlineLevel="1">
      <c r="A589" s="36"/>
      <c r="B589" s="41" t="s">
        <v>67</v>
      </c>
      <c r="C589" s="293" t="s">
        <v>1321</v>
      </c>
      <c r="D589" s="41"/>
      <c r="E589" s="41"/>
      <c r="G589" s="37"/>
      <c r="H589" s="37"/>
      <c r="I589" s="147"/>
      <c r="J589" s="176"/>
      <c r="K589" s="153"/>
      <c r="L589" s="37"/>
      <c r="M589" s="147"/>
      <c r="N589" s="176"/>
      <c r="O589" s="153"/>
      <c r="P589" s="37"/>
      <c r="Q589" s="147"/>
    </row>
    <row r="590" spans="1:17" s="35" customFormat="1" ht="12.75" hidden="1" outlineLevel="1">
      <c r="A590" s="36"/>
      <c r="B590" s="41" t="s">
        <v>68</v>
      </c>
      <c r="C590" s="293" t="s">
        <v>1322</v>
      </c>
      <c r="D590" s="41"/>
      <c r="E590" s="41"/>
      <c r="G590" s="37"/>
      <c r="H590" s="37"/>
      <c r="I590" s="147"/>
      <c r="J590" s="176"/>
      <c r="K590" s="153"/>
      <c r="L590" s="37"/>
      <c r="M590" s="147"/>
      <c r="N590" s="176"/>
      <c r="O590" s="153"/>
      <c r="P590" s="37"/>
      <c r="Q590" s="147"/>
    </row>
    <row r="591" spans="1:17" s="35" customFormat="1" ht="12.75" hidden="1" outlineLevel="1">
      <c r="A591" s="36"/>
      <c r="B591" s="37" t="s">
        <v>69</v>
      </c>
      <c r="C591" s="47" t="str">
        <f>UPPER(TEXT(NvsElapsedTime,"hh:mm:ss"))</f>
        <v>00:00:43</v>
      </c>
      <c r="D591" s="37"/>
      <c r="E591" s="37"/>
      <c r="F591" s="37"/>
      <c r="G591" s="37"/>
      <c r="H591" s="37"/>
      <c r="I591" s="147"/>
      <c r="J591" s="176"/>
      <c r="K591" s="154"/>
      <c r="L591" s="37"/>
      <c r="M591" s="147"/>
      <c r="N591" s="176"/>
      <c r="O591" s="154"/>
      <c r="P591" s="37"/>
      <c r="Q591" s="147"/>
    </row>
    <row r="592" spans="1:17" s="35" customFormat="1" ht="12.75" hidden="1" outlineLevel="1">
      <c r="A592" s="36"/>
      <c r="B592" s="37" t="s">
        <v>241</v>
      </c>
      <c r="C592" s="294" t="s">
        <v>1323</v>
      </c>
      <c r="D592" s="37"/>
      <c r="E592" s="37"/>
      <c r="F592" s="37"/>
      <c r="G592" s="37"/>
      <c r="H592" s="37"/>
      <c r="I592" s="147"/>
      <c r="J592" s="176"/>
      <c r="K592" s="154"/>
      <c r="L592" s="37"/>
      <c r="M592" s="147"/>
      <c r="N592" s="176"/>
      <c r="O592" s="154"/>
      <c r="P592" s="37"/>
      <c r="Q592" s="147"/>
    </row>
    <row r="593" spans="3:17" s="35" customFormat="1" ht="12.75" hidden="1" outlineLevel="1">
      <c r="C593" s="35" t="s">
        <v>320</v>
      </c>
      <c r="D593" s="43"/>
      <c r="E593" s="43"/>
      <c r="F593" s="35" t="s">
        <v>317</v>
      </c>
      <c r="G593" s="35" t="s">
        <v>318</v>
      </c>
      <c r="H593" s="35" t="s">
        <v>319</v>
      </c>
      <c r="I593" s="147"/>
      <c r="J593" s="176"/>
      <c r="K593" s="155"/>
      <c r="L593" s="37"/>
      <c r="M593" s="147"/>
      <c r="N593" s="176"/>
      <c r="O593" s="155"/>
      <c r="P593" s="37"/>
      <c r="Q593" s="147"/>
    </row>
    <row r="594" spans="3:17" s="35" customFormat="1" ht="12.75" hidden="1" outlineLevel="1">
      <c r="C594" s="35" t="s">
        <v>320</v>
      </c>
      <c r="D594" s="37"/>
      <c r="E594" s="37"/>
      <c r="I594" s="147"/>
      <c r="J594" s="176"/>
      <c r="K594" s="154"/>
      <c r="L594" s="37"/>
      <c r="M594" s="147"/>
      <c r="N594" s="176"/>
      <c r="O594" s="154"/>
      <c r="P594" s="37"/>
      <c r="Q594" s="147"/>
    </row>
    <row r="595" spans="3:17" s="35" customFormat="1" ht="12.75" hidden="1" outlineLevel="1">
      <c r="C595" s="223" t="s">
        <v>342</v>
      </c>
      <c r="D595" s="37"/>
      <c r="E595" s="37"/>
      <c r="F595" s="224">
        <v>2000000</v>
      </c>
      <c r="I595" s="147"/>
      <c r="J595" s="176"/>
      <c r="K595" s="154"/>
      <c r="L595" s="37"/>
      <c r="M595" s="147"/>
      <c r="N595" s="176"/>
      <c r="O595" s="154"/>
      <c r="P595" s="37"/>
      <c r="Q595" s="147"/>
    </row>
    <row r="596" spans="3:17" s="35" customFormat="1" ht="12.75" hidden="1" outlineLevel="1">
      <c r="C596" s="223" t="s">
        <v>343</v>
      </c>
      <c r="D596" s="37"/>
      <c r="E596" s="37"/>
      <c r="F596" s="224">
        <v>1009000</v>
      </c>
      <c r="I596" s="147"/>
      <c r="J596" s="176"/>
      <c r="K596" s="154"/>
      <c r="L596" s="37"/>
      <c r="M596" s="147"/>
      <c r="N596" s="176"/>
      <c r="O596" s="154"/>
      <c r="P596" s="37"/>
      <c r="Q596" s="147"/>
    </row>
    <row r="597" spans="2:17" s="35" customFormat="1" ht="12.75" collapsed="1">
      <c r="B597" s="42" t="s">
        <v>20</v>
      </c>
      <c r="C597" s="48"/>
      <c r="D597" s="37"/>
      <c r="E597" s="37"/>
      <c r="F597" s="37"/>
      <c r="G597" s="37"/>
      <c r="H597" s="37"/>
      <c r="I597" s="147"/>
      <c r="J597" s="176"/>
      <c r="K597" s="154"/>
      <c r="L597" s="37"/>
      <c r="M597" s="147"/>
      <c r="N597" s="176"/>
      <c r="O597" s="154"/>
      <c r="P597" s="37"/>
      <c r="Q597" s="147"/>
    </row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73" ht="12.75"/>
    <row r="974" ht="12.75"/>
    <row r="975" ht="12.75"/>
    <row r="996" ht="12.75"/>
    <row r="997" ht="12.75"/>
    <row r="998" ht="12.75"/>
  </sheetData>
  <sheetProtection/>
  <printOptions horizontalCentered="1"/>
  <pageMargins left="0.25" right="0.8" top="0.5" bottom="0.5" header="0.25" footer="0.25"/>
  <pageSetup fitToHeight="0" horizontalDpi="600" verticalDpi="600" orientation="landscape" scale="63" r:id="rId3"/>
  <headerFooter alignWithMargins="0">
    <oddFooter>&amp;L&amp;8&amp;D&amp;C&amp;8Page &amp;P of &amp;N&amp;R&amp;8&amp;Z&amp;F</oddFooter>
  </headerFooter>
  <rowBreaks count="2" manualBreakCount="2">
    <brk id="240" min="1" max="12" man="1"/>
    <brk id="523" min="1" max="12" man="1"/>
  </rowBreaks>
  <colBreaks count="1" manualBreakCount="1">
    <brk id="16" min="1" max="5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2</v>
      </c>
      <c r="C2" s="3" t="s">
        <v>1</v>
      </c>
    </row>
    <row r="3" spans="1:3" ht="12.75">
      <c r="A3" s="6" t="s">
        <v>3</v>
      </c>
      <c r="C3" s="3" t="s">
        <v>16</v>
      </c>
    </row>
    <row r="4" spans="1:3" ht="12.75">
      <c r="A4" s="6" t="s">
        <v>4</v>
      </c>
      <c r="C4" s="3" t="s">
        <v>17</v>
      </c>
    </row>
    <row r="5" spans="1:3" ht="12.75">
      <c r="A5" s="6" t="s">
        <v>5</v>
      </c>
      <c r="C5" s="3" t="s">
        <v>21</v>
      </c>
    </row>
    <row r="6" spans="1:3" ht="12.75">
      <c r="A6" s="6" t="s">
        <v>6</v>
      </c>
      <c r="C6" s="3" t="s">
        <v>32</v>
      </c>
    </row>
    <row r="7" spans="1:3" ht="12.75">
      <c r="A7" s="6" t="s">
        <v>7</v>
      </c>
      <c r="C7" s="4">
        <v>40151</v>
      </c>
    </row>
    <row r="8" spans="1:3" ht="12.75">
      <c r="A8" s="6" t="s">
        <v>8</v>
      </c>
      <c r="C8" s="3" t="s">
        <v>22</v>
      </c>
    </row>
    <row r="9" spans="1:3" ht="12.75">
      <c r="A9" s="6" t="s">
        <v>9</v>
      </c>
      <c r="C9" s="3" t="s">
        <v>23</v>
      </c>
    </row>
    <row r="10" spans="1:3" ht="25.5">
      <c r="A10" s="6" t="s">
        <v>10</v>
      </c>
      <c r="C10" s="3" t="s">
        <v>24</v>
      </c>
    </row>
    <row r="11" spans="1:3" ht="12.75">
      <c r="A11" s="6" t="s">
        <v>11</v>
      </c>
      <c r="C11" s="3" t="s">
        <v>18</v>
      </c>
    </row>
    <row r="12" spans="1:3" ht="25.5">
      <c r="A12" s="6" t="s">
        <v>12</v>
      </c>
      <c r="C12" s="3" t="s">
        <v>48</v>
      </c>
    </row>
    <row r="13" spans="1:3" ht="12.75">
      <c r="A13" s="6" t="s">
        <v>13</v>
      </c>
      <c r="C13" s="3"/>
    </row>
    <row r="14" spans="1:3" ht="12.75">
      <c r="A14" s="6" t="s">
        <v>14</v>
      </c>
      <c r="C14" s="3"/>
    </row>
    <row r="15" spans="1:3" ht="12.75">
      <c r="A15" s="6" t="s">
        <v>15</v>
      </c>
      <c r="C15" s="3"/>
    </row>
    <row r="18" spans="1:5" ht="25.5">
      <c r="A18" s="6" t="s">
        <v>33</v>
      </c>
      <c r="C18" s="6" t="s">
        <v>16</v>
      </c>
      <c r="E18" s="2" t="s">
        <v>34</v>
      </c>
    </row>
    <row r="20" spans="1:5" ht="12.75">
      <c r="A20" s="6" t="s">
        <v>35</v>
      </c>
      <c r="C20" s="6" t="s">
        <v>16</v>
      </c>
      <c r="E20" s="2" t="s">
        <v>36</v>
      </c>
    </row>
    <row r="22" spans="1:5" ht="51">
      <c r="A22" s="6" t="s">
        <v>25</v>
      </c>
      <c r="C22" s="6" t="s">
        <v>16</v>
      </c>
      <c r="E22" s="2" t="s">
        <v>26</v>
      </c>
    </row>
    <row r="24" spans="1:5" ht="25.5">
      <c r="A24" s="6" t="s">
        <v>37</v>
      </c>
      <c r="C24" s="6" t="s">
        <v>16</v>
      </c>
      <c r="E24" s="2" t="s">
        <v>38</v>
      </c>
    </row>
    <row r="26" spans="1:5" ht="38.25">
      <c r="A26" s="6" t="s">
        <v>27</v>
      </c>
      <c r="C26" s="6" t="s">
        <v>16</v>
      </c>
      <c r="E26" s="2" t="s">
        <v>28</v>
      </c>
    </row>
    <row r="28" spans="1:5" ht="38.25">
      <c r="A28" s="6" t="s">
        <v>29</v>
      </c>
      <c r="C28" s="6" t="s">
        <v>16</v>
      </c>
      <c r="E28" s="2" t="s">
        <v>39</v>
      </c>
    </row>
    <row r="30" spans="1:5" ht="12.75">
      <c r="A30" s="7">
        <v>38923</v>
      </c>
      <c r="C30" s="6" t="s">
        <v>16</v>
      </c>
      <c r="E30" s="2" t="s">
        <v>40</v>
      </c>
    </row>
    <row r="32" spans="1:5" ht="25.5">
      <c r="A32" s="6" t="s">
        <v>41</v>
      </c>
      <c r="C32" s="6" t="s">
        <v>16</v>
      </c>
      <c r="E32" s="2" t="s">
        <v>42</v>
      </c>
    </row>
    <row r="34" spans="1:5" ht="76.5">
      <c r="A34" s="6" t="s">
        <v>30</v>
      </c>
      <c r="C34" s="6" t="s">
        <v>16</v>
      </c>
      <c r="E34" s="2" t="s">
        <v>31</v>
      </c>
    </row>
    <row r="36" spans="1:5" ht="12.75">
      <c r="A36" s="7">
        <v>39692</v>
      </c>
      <c r="C36" s="6" t="s">
        <v>16</v>
      </c>
      <c r="E36" s="2" t="s">
        <v>43</v>
      </c>
    </row>
    <row r="38" spans="1:5" ht="25.5">
      <c r="A38" s="6" t="s">
        <v>44</v>
      </c>
      <c r="C38" s="6" t="s">
        <v>16</v>
      </c>
      <c r="E38" s="2" t="s">
        <v>45</v>
      </c>
    </row>
    <row r="40" spans="1:5" ht="12.75">
      <c r="A40" s="6" t="s">
        <v>46</v>
      </c>
      <c r="C40" s="6" t="s">
        <v>16</v>
      </c>
      <c r="E40" s="2" t="s">
        <v>47</v>
      </c>
    </row>
    <row r="42" spans="1:5" ht="25.5">
      <c r="A42" s="6" t="s">
        <v>49</v>
      </c>
      <c r="C42" s="6" t="s">
        <v>16</v>
      </c>
      <c r="E42" s="2" t="s">
        <v>50</v>
      </c>
    </row>
    <row r="44" spans="1:5" ht="38.25">
      <c r="A44" s="6" t="s">
        <v>51</v>
      </c>
      <c r="C44" s="6" t="s">
        <v>16</v>
      </c>
      <c r="E44" s="2" t="s"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AEP Consolidated       Family Tree Income Statement</dc:title>
  <dc:subject/>
  <dc:creator>Financial Reporting / Neal Hartley</dc:creator>
  <cp:keywords/>
  <dc:description>Acct:   GL_ACCT_SEC
BU:     Regional_Cons
Sunset: 12/4/2009 1:00:00 AM</dc:description>
  <cp:lastModifiedBy>American Electric Power®</cp:lastModifiedBy>
  <cp:lastPrinted>2012-01-26T00:41:34Z</cp:lastPrinted>
  <dcterms:created xsi:type="dcterms:W3CDTF">1997-11-19T15:48:19Z</dcterms:created>
  <dcterms:modified xsi:type="dcterms:W3CDTF">2012-01-26T00:41:38Z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Regional_Cons</vt:lpwstr>
  </property>
  <property fmtid="{D5CDD505-2E9C-101B-9397-08002B2CF9AE}" pid="6" name="Sunset Date" linkTarget="Sunset_date">
    <vt:filetime>2009-12-04T05:00:00Z</vt:filetime>
  </property>
  <property fmtid="{D5CDD505-2E9C-101B-9397-08002B2CF9AE}" pid="7" name="Report Description" linkTarget="Report_Description">
    <vt:lpwstr>Income Statement used for 10K/Q and Cash Flows</vt:lpwstr>
  </property>
  <property fmtid="{D5CDD505-2E9C-101B-9397-08002B2CF9AE}" pid="8" name="Report BU Name" linkTarget="BU_Name">
    <vt:lpwstr>AEP Consolidated</vt:lpwstr>
  </property>
  <property fmtid="{D5CDD505-2E9C-101B-9397-08002B2CF9AE}" pid="9" name="Report Statment Type" linkTarget="Report_Stmt_type">
    <vt:lpwstr>Family Tree Income Statement</vt:lpwstr>
  </property>
</Properties>
</file>