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65521" windowWidth="8295" windowHeight="912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'Sheet1'!$F$597</definedName>
    <definedName name="CSO">'Sheet1'!$F$598</definedName>
    <definedName name="Department_Owner">'Modification History'!$C$4</definedName>
    <definedName name="Keywords">'Modification History'!$C$15</definedName>
    <definedName name="NvsASD">"V2011-05-31"</definedName>
    <definedName name="NvsAutoDrillOk">"VN"</definedName>
    <definedName name="NvsDrillHyperLink" localSheetId="0">"http://psfinweb.aepsc.com/psp/fcm90prd_newwin/EMPLOYEE/ERP/c/REPORT_BOOKS.IC_RUN_DRILLDOWN.GBL?Action=A&amp;NVS_INSTANCE=2886141_2958190"</definedName>
    <definedName name="NvsElapsedTime">0.000648148146865424</definedName>
    <definedName name="NvsEndTime">40703.5859027778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'Sheet1'!$B$2:$Q$572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'Sheet1'!$B$754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97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598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4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4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<sst xmlns="http://schemas.openxmlformats.org/spreadsheetml/2006/main" count="1407" uniqueCount="1324">
  <si>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</si>
  <si>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</si>
  <si>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</si>
  <si>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</si>
  <si>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</si>
  <si>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</si>
  <si>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</si>
  <si>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</si>
  <si>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</si>
  <si>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</si>
  <si>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</si>
  <si>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</si>
  <si>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</si>
  <si>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</si>
  <si>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</si>
  <si>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</si>
  <si>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</si>
  <si>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</si>
  <si>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</si>
  <si>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</si>
  <si>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</si>
  <si>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</si>
  <si>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</si>
  <si>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</si>
  <si>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</si>
  <si>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</si>
  <si>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</si>
  <si>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</si>
  <si>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</si>
  <si>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</si>
  <si>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</si>
  <si>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</si>
  <si>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</si>
  <si>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</si>
  <si>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</si>
  <si>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</si>
  <si>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</si>
  <si>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</si>
  <si>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</si>
  <si>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</si>
  <si>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</si>
  <si>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</si>
  <si>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</si>
  <si>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</si>
  <si>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</si>
  <si>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</si>
  <si>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</si>
  <si>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</si>
  <si>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</si>
  <si>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</si>
  <si>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</si>
  <si>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</si>
  <si>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</si>
  <si>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</si>
  <si>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</si>
  <si>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</si>
  <si>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</si>
  <si>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</si>
  <si>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</si>
  <si>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</si>
  <si>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</si>
  <si>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</si>
  <si>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</si>
  <si>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</si>
  <si>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</si>
  <si>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</si>
  <si>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</si>
  <si>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</si>
  <si>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</si>
  <si>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</si>
  <si>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</si>
  <si>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</si>
  <si>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</si>
  <si>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</si>
  <si>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</si>
  <si>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</si>
  <si>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</si>
  <si>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</si>
  <si>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</si>
  <si>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</si>
  <si>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</si>
  <si>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</si>
  <si>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</si>
  <si>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</si>
  <si>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</si>
  <si>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</si>
  <si>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</si>
  <si>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</si>
  <si>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</si>
  <si>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</si>
  <si>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</si>
  <si>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</si>
  <si>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</si>
  <si>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</si>
  <si>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</si>
  <si>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</si>
  <si>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</si>
  <si>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</si>
  <si>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</si>
  <si>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</si>
  <si>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</si>
  <si>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</si>
  <si>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</si>
  <si>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</si>
  <si>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</si>
  <si>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</si>
  <si>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</si>
  <si>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</si>
  <si>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</si>
  <si>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</si>
  <si>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</si>
  <si>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</si>
  <si>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</si>
  <si>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</si>
  <si>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</si>
  <si>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</si>
  <si>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</si>
  <si>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</si>
  <si>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</si>
  <si>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</si>
  <si>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</si>
  <si>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</si>
  <si>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</si>
  <si>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</si>
  <si>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</si>
  <si>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</si>
  <si>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</si>
  <si>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</si>
  <si>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</si>
  <si>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</si>
  <si>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</si>
  <si>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</si>
  <si>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</si>
  <si>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</si>
  <si>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</si>
  <si>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</si>
  <si>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</si>
  <si>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</si>
  <si>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</si>
  <si>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</si>
  <si>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</si>
  <si>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</si>
  <si>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</si>
  <si>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</si>
  <si>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</si>
  <si>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</si>
  <si>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</si>
  <si>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</si>
  <si>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</si>
  <si>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</si>
  <si>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</si>
  <si>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</si>
  <si>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</si>
  <si>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</si>
  <si>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</si>
  <si>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</si>
  <si>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</si>
  <si>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</si>
  <si>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</si>
  <si>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</si>
  <si>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</si>
  <si>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</si>
  <si>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</si>
  <si>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</si>
  <si>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</si>
  <si>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</si>
  <si>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</si>
  <si>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</si>
  <si>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</si>
  <si>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</si>
  <si>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</si>
  <si>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</si>
  <si>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</si>
  <si>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</si>
  <si>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</si>
  <si>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</si>
  <si>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</si>
  <si>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</si>
  <si>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</si>
  <si>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</si>
  <si>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</si>
  <si>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</si>
  <si>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</si>
  <si>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</si>
  <si>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</si>
  <si>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</si>
  <si>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</si>
  <si>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</si>
  <si>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</si>
  <si>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</si>
  <si>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</si>
  <si>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</si>
  <si>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</si>
  <si>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</si>
  <si>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</si>
  <si>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</si>
  <si>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</si>
  <si>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</si>
  <si>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</si>
  <si>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</si>
  <si>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</si>
  <si>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</si>
  <si>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</si>
  <si>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</si>
  <si>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</si>
  <si>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</si>
  <si>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</si>
  <si>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</si>
  <si>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</si>
  <si>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</si>
  <si>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</si>
  <si>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</si>
  <si>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</si>
  <si>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</si>
  <si>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</si>
  <si>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</si>
  <si>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</si>
  <si>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</si>
  <si>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</si>
  <si>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</si>
  <si>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</si>
  <si>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</si>
  <si>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</si>
  <si>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</si>
  <si>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</si>
  <si>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</si>
  <si>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</si>
  <si>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</si>
  <si>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</si>
  <si>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</si>
  <si>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</si>
  <si>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</si>
  <si>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</si>
  <si>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</si>
  <si>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</si>
  <si>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</si>
  <si>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</si>
  <si>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</si>
  <si>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</si>
  <si>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</si>
  <si>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</si>
  <si>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</si>
  <si>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</si>
  <si>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</si>
  <si>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</si>
  <si>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</si>
  <si>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</si>
  <si>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</si>
  <si>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</si>
  <si>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</si>
  <si>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</si>
  <si>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</si>
  <si>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</si>
  <si>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</si>
  <si>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</si>
  <si>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</si>
  <si>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</si>
  <si>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</si>
  <si>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</si>
  <si>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</si>
  <si>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</si>
  <si>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</si>
  <si>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</si>
  <si>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</si>
  <si>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</si>
  <si>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</si>
  <si>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</si>
  <si>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</si>
  <si>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</si>
  <si>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</si>
  <si>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</si>
  <si>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</si>
  <si>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</si>
  <si>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</si>
  <si>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</si>
  <si>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</si>
  <si>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</si>
  <si>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</si>
  <si>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</si>
  <si>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</si>
  <si>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</si>
  <si>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</si>
  <si>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</si>
  <si>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</si>
  <si>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</si>
  <si>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</si>
  <si>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</si>
  <si>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</si>
  <si>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</si>
  <si>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</si>
  <si>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</si>
  <si>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</si>
  <si>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</si>
  <si>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</si>
  <si>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</si>
  <si>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</si>
  <si>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</si>
  <si>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</si>
  <si>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</si>
  <si>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</si>
  <si>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</si>
  <si>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</si>
  <si>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</si>
  <si>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</si>
  <si>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</si>
  <si>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</si>
  <si>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</si>
  <si>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</si>
  <si>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</si>
  <si>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</si>
  <si>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</si>
  <si>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</si>
  <si>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</si>
  <si>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</si>
  <si>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</si>
  <si>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</si>
  <si>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</si>
  <si>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</si>
  <si>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</si>
  <si>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</si>
  <si>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</si>
  <si>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</si>
  <si>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</si>
  <si>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</si>
  <si>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</si>
  <si>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</si>
  <si>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</si>
  <si>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</si>
  <si>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</si>
  <si>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</si>
  <si>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</si>
  <si>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</si>
  <si>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</si>
  <si>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</si>
  <si>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</si>
  <si>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</si>
  <si>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</si>
  <si>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</si>
  <si>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</si>
  <si>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</si>
  <si>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</si>
  <si>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</si>
  <si>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</si>
  <si>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</si>
  <si>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</si>
  <si>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</si>
  <si>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Scope-based</t>
  </si>
  <si>
    <t>PRPT_ACCOUNT</t>
  </si>
  <si>
    <t>Comparative Regulatory Balance Sheet</t>
  </si>
  <si>
    <t>Scope-based  Comparative Regulatory Balance Sheet</t>
  </si>
  <si>
    <t>ACCT: PRPT_ACCOUNT  BU: Scope-based</t>
  </si>
  <si>
    <t>210.0</t>
  </si>
  <si>
    <t>Gain on Reacquired Pref Stock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</si>
  <si>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</si>
  <si>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</si>
  <si>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</si>
  <si>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</si>
  <si>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</si>
  <si>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</si>
  <si>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</si>
  <si>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</si>
  <si>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</si>
  <si>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</si>
  <si>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</si>
  <si>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</si>
  <si>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</si>
  <si>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</si>
  <si>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</si>
  <si>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</si>
  <si>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</si>
  <si>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</si>
  <si>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</si>
  <si>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</si>
  <si>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</si>
  <si>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</si>
  <si>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</si>
  <si>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</si>
  <si>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</si>
  <si>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</si>
  <si>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</si>
  <si>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</si>
  <si>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</si>
  <si>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</si>
  <si>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</si>
  <si>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</si>
  <si>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</si>
  <si>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</si>
  <si>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</si>
  <si>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</si>
  <si>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</si>
  <si>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</si>
  <si>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</si>
  <si>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</si>
  <si>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</si>
  <si>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</si>
  <si>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</si>
  <si>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</si>
  <si>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</si>
  <si>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</si>
  <si>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</si>
  <si>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</si>
  <si>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</si>
  <si>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</si>
  <si>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</si>
  <si>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</si>
  <si>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</si>
  <si>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</si>
  <si>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</si>
  <si>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</si>
  <si>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</si>
  <si>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</si>
  <si>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</si>
  <si>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</si>
  <si>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</si>
  <si>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</si>
  <si>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</si>
  <si>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</si>
  <si>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</si>
  <si>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</si>
  <si>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</si>
  <si>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</si>
  <si>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</si>
  <si>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</si>
  <si>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</si>
  <si>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</si>
  <si>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</si>
  <si>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</si>
  <si>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</si>
  <si>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</si>
  <si>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</si>
  <si>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</si>
  <si>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</si>
  <si>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</si>
  <si>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</si>
  <si>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</si>
  <si>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</si>
  <si>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</si>
  <si>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</si>
  <si>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</si>
  <si>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</si>
  <si>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</si>
  <si>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</si>
  <si>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</si>
  <si>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</si>
  <si>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</si>
  <si>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</si>
  <si>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</si>
  <si>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</si>
  <si>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</si>
  <si>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</si>
  <si>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</si>
  <si>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</si>
  <si>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</si>
  <si>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</si>
  <si>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</si>
  <si>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</si>
  <si>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</si>
  <si>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</si>
  <si>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</si>
  <si>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</si>
  <si>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</si>
  <si>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</si>
  <si>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</si>
  <si>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</si>
  <si>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</si>
  <si>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</si>
  <si>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</si>
  <si>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</si>
  <si>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</si>
  <si>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</si>
  <si>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%,V1420102</t>
  </si>
  <si>
    <t>1420102</t>
  </si>
  <si>
    <t>AR Peoplesoft Billing - Cust</t>
  </si>
  <si>
    <t>%,V1420103</t>
  </si>
  <si>
    <t>1420103</t>
  </si>
  <si>
    <t>AR Long-Term-Customer</t>
  </si>
  <si>
    <t>%,V1430002</t>
  </si>
  <si>
    <t>1430002</t>
  </si>
  <si>
    <t>Allowances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</si>
  <si>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</si>
  <si>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</si>
  <si>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</si>
  <si>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</si>
  <si>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</si>
  <si>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</si>
  <si>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</si>
  <si>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</si>
  <si>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</si>
  <si>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</si>
  <si>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</si>
  <si>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</si>
  <si>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%,V1430089</t>
  </si>
  <si>
    <t>1430089</t>
  </si>
  <si>
    <t>A/R - Benefits Billing</t>
  </si>
  <si>
    <t>%,V1430101</t>
  </si>
  <si>
    <t>1430101</t>
  </si>
  <si>
    <t>Other Accounts Rec - Misc</t>
  </si>
  <si>
    <t>%,V1430102</t>
  </si>
  <si>
    <t>1430102</t>
  </si>
  <si>
    <t>AR Peoplesoft Billing - Misc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</si>
  <si>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</si>
  <si>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</si>
  <si>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</si>
  <si>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</si>
  <si>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</si>
  <si>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</si>
  <si>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</si>
  <si>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</si>
  <si>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</si>
  <si>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</si>
  <si>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</si>
  <si>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</si>
  <si>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</si>
  <si>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</si>
  <si>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</si>
  <si>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</si>
  <si>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</si>
  <si>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</si>
  <si>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</si>
  <si>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</si>
  <si>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</si>
  <si>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%,V1460002</t>
  </si>
  <si>
    <t>1460002</t>
  </si>
  <si>
    <t>A/R Assoc Co - Allowances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</si>
  <si>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</si>
  <si>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</si>
  <si>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</si>
  <si>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</si>
  <si>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</si>
  <si>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</si>
  <si>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</si>
  <si>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</si>
  <si>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</si>
  <si>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</si>
  <si>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</si>
  <si>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</si>
  <si>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</si>
  <si>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</si>
  <si>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</si>
  <si>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</si>
  <si>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</si>
  <si>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</si>
  <si>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</si>
  <si>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</si>
  <si>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</si>
  <si>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%,V1460045</t>
  </si>
  <si>
    <t>1460045</t>
  </si>
  <si>
    <t>A/R Assc Co-Realization Sharng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</si>
  <si>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</si>
  <si>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</si>
  <si>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</si>
  <si>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</si>
  <si>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</si>
  <si>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</si>
  <si>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</si>
  <si>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</si>
  <si>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</si>
  <si>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</si>
  <si>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</si>
  <si>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</si>
  <si>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</si>
  <si>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</si>
  <si>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</si>
  <si>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</si>
  <si>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</si>
  <si>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</si>
  <si>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</si>
  <si>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</si>
  <si>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</si>
  <si>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</si>
  <si>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</si>
  <si>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</si>
  <si>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</si>
  <si>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</si>
  <si>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</si>
  <si>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</si>
  <si>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</si>
  <si>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</si>
  <si>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</si>
  <si>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</si>
  <si>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</si>
  <si>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</si>
  <si>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</si>
  <si>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</si>
  <si>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</si>
  <si>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</si>
  <si>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</si>
  <si>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</si>
  <si>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</si>
  <si>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</si>
  <si>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</si>
  <si>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</si>
  <si>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</si>
  <si>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</si>
  <si>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</si>
  <si>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</si>
  <si>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</si>
  <si>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</si>
  <si>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</si>
  <si>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</si>
  <si>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</si>
  <si>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%,V165000209</t>
  </si>
  <si>
    <t>165000209</t>
  </si>
  <si>
    <t>Prepaid Taxes</t>
  </si>
  <si>
    <t>%,V165000210</t>
  </si>
  <si>
    <t>165000210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</si>
  <si>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</si>
  <si>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</si>
  <si>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</si>
  <si>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</si>
  <si>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</si>
  <si>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</si>
  <si>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</si>
  <si>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</si>
  <si>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</si>
  <si>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%,V165001111</t>
  </si>
  <si>
    <t>165001111</t>
  </si>
  <si>
    <t>%,V165001210</t>
  </si>
  <si>
    <t>165001210</t>
  </si>
  <si>
    <t>Prepaid Use Taxes</t>
  </si>
  <si>
    <t>%,V165001211</t>
  </si>
  <si>
    <t>165001211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</si>
  <si>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</si>
  <si>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</si>
  <si>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</si>
  <si>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</si>
  <si>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</si>
  <si>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</si>
  <si>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</si>
  <si>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</si>
  <si>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</si>
  <si>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</si>
  <si>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</si>
  <si>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</si>
  <si>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</si>
  <si>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</si>
  <si>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</si>
  <si>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</si>
  <si>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</si>
  <si>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</si>
  <si>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</si>
  <si>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</si>
  <si>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</si>
  <si>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</si>
  <si>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</si>
  <si>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</si>
  <si>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</si>
  <si>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</si>
  <si>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</si>
  <si>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</si>
  <si>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</si>
  <si>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</si>
  <si>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%,V1860007</t>
  </si>
  <si>
    <t>1860007</t>
  </si>
  <si>
    <t>Billings and Deferred Projects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</si>
  <si>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</si>
  <si>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</si>
  <si>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</si>
  <si>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</si>
  <si>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</si>
  <si>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</si>
  <si>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</si>
  <si>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</si>
  <si>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</si>
  <si>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</si>
  <si>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</si>
  <si>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</si>
  <si>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</si>
  <si>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</si>
  <si>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</si>
  <si>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</si>
  <si>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</si>
  <si>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</si>
  <si>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</si>
  <si>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</si>
  <si>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</si>
  <si>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%,V1823063</t>
  </si>
  <si>
    <t>1823063</t>
  </si>
  <si>
    <t>Unrecovered Fuel Cost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</si>
  <si>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</si>
  <si>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</si>
  <si>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</si>
  <si>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</si>
  <si>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</si>
  <si>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</si>
  <si>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</si>
  <si>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</si>
  <si>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</si>
  <si>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</si>
  <si>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</si>
  <si>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</si>
  <si>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</si>
  <si>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</si>
  <si>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</si>
  <si>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</si>
  <si>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</si>
  <si>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</si>
  <si>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</si>
  <si>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</si>
  <si>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</si>
  <si>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</si>
  <si>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</si>
  <si>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</si>
  <si>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</si>
  <si>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</si>
  <si>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</si>
  <si>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</si>
  <si>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</si>
  <si>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</si>
  <si>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</si>
  <si>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</si>
  <si>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</si>
  <si>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</si>
  <si>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</si>
  <si>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</si>
  <si>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</si>
  <si>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</si>
  <si>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</si>
  <si>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</si>
  <si>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</si>
  <si>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</si>
  <si>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</si>
  <si>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</si>
  <si>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</si>
  <si>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</si>
  <si>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</si>
  <si>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</si>
  <si>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</si>
  <si>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</si>
  <si>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</si>
  <si>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</si>
  <si>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</si>
  <si>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</si>
  <si>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%,V1860001</t>
  </si>
  <si>
    <t>1860001</t>
  </si>
  <si>
    <t>%,V1860002</t>
  </si>
  <si>
    <t>1860002</t>
  </si>
  <si>
    <t>Deferred Expenses</t>
  </si>
  <si>
    <t>%,V186000309</t>
  </si>
  <si>
    <t>186000309</t>
  </si>
  <si>
    <t>Deferred Property Taxes</t>
  </si>
  <si>
    <t>%,V186000310</t>
  </si>
  <si>
    <t>186000310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</si>
  <si>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</si>
  <si>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</si>
  <si>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</si>
  <si>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</si>
  <si>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</si>
  <si>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</si>
  <si>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%,V186008110</t>
  </si>
  <si>
    <t>186008110</t>
  </si>
  <si>
    <t>Defd Property Tax - Cap Leases</t>
  </si>
  <si>
    <t>%,V186008111</t>
  </si>
  <si>
    <t>186008111</t>
  </si>
  <si>
    <t>%,V1860153</t>
  </si>
  <si>
    <t>1860153</t>
  </si>
  <si>
    <t>Unamortized Credit Line Fees</t>
  </si>
  <si>
    <t>%,V1860156</t>
  </si>
  <si>
    <t>1860156</t>
  </si>
  <si>
    <t>Sabine Mine Rusk Preparation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</si>
  <si>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</si>
  <si>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</si>
  <si>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</si>
  <si>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</si>
  <si>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</si>
  <si>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</si>
  <si>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</si>
  <si>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</si>
  <si>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</si>
  <si>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</si>
  <si>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</si>
  <si>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</si>
  <si>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</si>
  <si>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</si>
  <si>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</si>
  <si>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</si>
  <si>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</si>
  <si>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</si>
  <si>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</si>
  <si>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</si>
  <si>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</si>
  <si>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</si>
  <si>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</si>
  <si>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</si>
  <si>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</si>
  <si>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</si>
  <si>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</si>
  <si>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</si>
  <si>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</si>
  <si>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</si>
  <si>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</si>
  <si>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</si>
  <si>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</si>
  <si>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</si>
  <si>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</si>
  <si>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</si>
  <si>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</si>
  <si>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</si>
  <si>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</si>
  <si>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</si>
  <si>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</si>
  <si>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</si>
  <si>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</si>
  <si>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</si>
  <si>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</si>
  <si>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</si>
  <si>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</si>
  <si>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</si>
  <si>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</si>
  <si>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</si>
  <si>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</si>
  <si>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</si>
  <si>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</si>
  <si>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</si>
  <si>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</si>
  <si>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</si>
  <si>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</si>
  <si>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</si>
  <si>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</si>
  <si>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</si>
  <si>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</si>
  <si>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</si>
  <si>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</si>
  <si>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</si>
  <si>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</si>
  <si>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</si>
  <si>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</si>
  <si>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</si>
  <si>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</si>
  <si>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</si>
  <si>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</si>
  <si>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</si>
  <si>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</si>
  <si>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</si>
  <si>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</si>
  <si>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</si>
  <si>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</si>
  <si>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</si>
  <si>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</si>
  <si>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</si>
  <si>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</si>
  <si>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</si>
  <si>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</si>
  <si>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</si>
  <si>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</si>
  <si>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</si>
  <si>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</si>
  <si>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</si>
  <si>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</si>
  <si>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%,V2330000</t>
  </si>
  <si>
    <t>2330000</t>
  </si>
  <si>
    <t>Corp Borrow Program (NP-Assoc)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</si>
  <si>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</si>
  <si>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</si>
  <si>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</si>
  <si>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</si>
  <si>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</si>
  <si>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</si>
  <si>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</si>
  <si>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</si>
  <si>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</si>
  <si>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</si>
  <si>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</si>
  <si>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</si>
  <si>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</si>
  <si>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</si>
  <si>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</si>
  <si>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</si>
  <si>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</si>
  <si>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Coal Trading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</si>
  <si>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</si>
  <si>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</si>
  <si>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</si>
  <si>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</si>
  <si>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</si>
  <si>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</si>
  <si>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</si>
  <si>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</si>
  <si>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Emission Allowance Trading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</si>
  <si>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</si>
  <si>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</si>
  <si>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</si>
  <si>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</si>
  <si>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</si>
  <si>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</si>
  <si>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</si>
  <si>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</si>
  <si>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</si>
  <si>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</si>
  <si>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</si>
  <si>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</si>
  <si>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</si>
  <si>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</si>
  <si>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</si>
  <si>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</si>
  <si>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</si>
  <si>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</si>
  <si>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</si>
  <si>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</si>
  <si>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</si>
  <si>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</si>
  <si>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</si>
  <si>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</si>
  <si>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</si>
  <si>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</si>
  <si>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</si>
  <si>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%,V2320084</t>
  </si>
  <si>
    <t>2320084</t>
  </si>
  <si>
    <t>Uninvoiced OVEC Purch Power</t>
  </si>
  <si>
    <t>%,V2320086</t>
  </si>
  <si>
    <t>2320086</t>
  </si>
  <si>
    <t>Accrued Broker - Power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</si>
  <si>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</si>
  <si>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</si>
  <si>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</si>
  <si>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</si>
  <si>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</si>
  <si>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</si>
  <si>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</si>
  <si>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</si>
  <si>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</si>
  <si>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</si>
  <si>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</si>
  <si>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</si>
  <si>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</si>
  <si>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</si>
  <si>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</si>
  <si>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</si>
  <si>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</si>
  <si>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</si>
  <si>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</si>
  <si>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</si>
  <si>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</si>
  <si>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</si>
  <si>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</si>
  <si>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</si>
  <si>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</si>
  <si>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</si>
  <si>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</si>
  <si>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</si>
  <si>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</si>
  <si>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</si>
  <si>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</si>
  <si>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</si>
  <si>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</si>
  <si>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</si>
  <si>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</si>
  <si>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</si>
  <si>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</si>
  <si>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</si>
  <si>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</si>
  <si>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</si>
  <si>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</si>
  <si>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</si>
  <si>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</si>
  <si>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</si>
  <si>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</si>
  <si>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</si>
  <si>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</si>
  <si>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</si>
  <si>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</si>
  <si>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</si>
  <si>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</si>
  <si>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%,V236000209</t>
  </si>
  <si>
    <t>236000209</t>
  </si>
  <si>
    <t>State Income Taxes</t>
  </si>
  <si>
    <t>%,V236000210</t>
  </si>
  <si>
    <t>236000210</t>
  </si>
  <si>
    <t>%,V236000211</t>
  </si>
  <si>
    <t>236000211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</si>
  <si>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</si>
  <si>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</si>
  <si>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</si>
  <si>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</si>
  <si>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</si>
  <si>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</si>
  <si>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</si>
  <si>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</si>
  <si>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</si>
  <si>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%,V236000710</t>
  </si>
  <si>
    <t>236000710</t>
  </si>
  <si>
    <t>State Sales and Use Taxes</t>
  </si>
  <si>
    <t>%,V236000711</t>
  </si>
  <si>
    <t>236000711</t>
  </si>
  <si>
    <t>%,V236000808</t>
  </si>
  <si>
    <t>236000808</t>
  </si>
  <si>
    <t>Real &amp; Personal Property Taxes</t>
  </si>
  <si>
    <t>%,V236000809</t>
  </si>
  <si>
    <t>236000809</t>
  </si>
  <si>
    <t>%,V236000810</t>
  </si>
  <si>
    <t>236000810</t>
  </si>
  <si>
    <t>Real Personal Property Taxes</t>
  </si>
  <si>
    <t>%,V236000911</t>
  </si>
  <si>
    <t>236000911</t>
  </si>
  <si>
    <t>Federal Excise Taxes</t>
  </si>
  <si>
    <t>%,V236001209</t>
  </si>
  <si>
    <t>236001209</t>
  </si>
  <si>
    <t>State Franchise Taxes</t>
  </si>
  <si>
    <t>%,V236001210</t>
  </si>
  <si>
    <t>236001210</t>
  </si>
  <si>
    <t>%,V236001211</t>
  </si>
  <si>
    <t>236001211</t>
  </si>
  <si>
    <t>%,V236001610</t>
  </si>
  <si>
    <t>236001610</t>
  </si>
  <si>
    <t>State Gross Receipts Tax</t>
  </si>
  <si>
    <t>%,V236001611</t>
  </si>
  <si>
    <t>236001611</t>
  </si>
  <si>
    <t>%,V236001710</t>
  </si>
  <si>
    <t>236001710</t>
  </si>
  <si>
    <t>Municipal License Fees Accrd</t>
  </si>
  <si>
    <t>%,V236002210</t>
  </si>
  <si>
    <t>236002210</t>
  </si>
  <si>
    <t>State License Registration Tax</t>
  </si>
  <si>
    <t>%,V236003309</t>
  </si>
  <si>
    <t>236003309</t>
  </si>
  <si>
    <t>Pers Prop Tax-Cap Leases</t>
  </si>
  <si>
    <t>%,V236003310</t>
  </si>
  <si>
    <t>236003310</t>
  </si>
  <si>
    <t>%,V236003311</t>
  </si>
  <si>
    <t>236003311</t>
  </si>
  <si>
    <t>%,V236003509</t>
  </si>
  <si>
    <t>236003509</t>
  </si>
  <si>
    <t>Real Prop Tax-Cap Leases</t>
  </si>
  <si>
    <t>%,V236003510</t>
  </si>
  <si>
    <t>236003510</t>
  </si>
  <si>
    <t>%,V236003511</t>
  </si>
  <si>
    <t>236003511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</si>
  <si>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</si>
  <si>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</si>
  <si>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</si>
  <si>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</si>
  <si>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</si>
  <si>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</si>
  <si>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</si>
  <si>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</si>
  <si>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</si>
  <si>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</si>
  <si>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</si>
  <si>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</si>
  <si>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</si>
  <si>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</si>
  <si>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</si>
  <si>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</si>
  <si>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</si>
  <si>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</si>
  <si>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</si>
  <si>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</si>
  <si>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</si>
  <si>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</si>
  <si>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</si>
  <si>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</si>
  <si>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</si>
  <si>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</si>
  <si>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</si>
  <si>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</si>
  <si>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</si>
  <si>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</si>
  <si>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</si>
  <si>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</si>
  <si>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</si>
  <si>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</si>
  <si>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</si>
  <si>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</si>
  <si>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</si>
  <si>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</si>
  <si>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</si>
  <si>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%,V2370448</t>
  </si>
  <si>
    <t>2370448</t>
  </si>
  <si>
    <t>Acrd Int. - SIT Reserve - ST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</si>
  <si>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</si>
  <si>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</si>
  <si>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</si>
  <si>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</si>
  <si>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</si>
  <si>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</si>
  <si>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</si>
  <si>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</si>
  <si>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</si>
  <si>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</si>
  <si>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</si>
  <si>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</si>
  <si>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</si>
  <si>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</si>
  <si>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</si>
  <si>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</si>
  <si>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</si>
  <si>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</si>
  <si>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</si>
  <si>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</si>
  <si>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</si>
  <si>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</si>
  <si>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</si>
  <si>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</si>
  <si>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</si>
  <si>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</si>
  <si>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</si>
  <si>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</si>
  <si>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</si>
  <si>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</si>
  <si>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</si>
  <si>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</si>
  <si>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</si>
  <si>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</si>
  <si>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</si>
  <si>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</si>
  <si>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</si>
  <si>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</si>
  <si>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</si>
  <si>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</si>
  <si>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</si>
  <si>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</si>
  <si>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</si>
  <si>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</si>
  <si>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</si>
  <si>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</si>
  <si>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</si>
  <si>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</si>
  <si>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</si>
  <si>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</si>
  <si>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</si>
  <si>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</si>
  <si>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</si>
  <si>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</si>
  <si>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</si>
  <si>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</si>
  <si>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</si>
  <si>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</si>
  <si>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</si>
  <si>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</si>
  <si>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</si>
  <si>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</si>
  <si>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</si>
  <si>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</si>
  <si>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</si>
  <si>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%,V2420044</t>
  </si>
  <si>
    <t>2420044</t>
  </si>
  <si>
    <t>P/R Withholdings</t>
  </si>
  <si>
    <t>%,V2420532</t>
  </si>
  <si>
    <t>2420532</t>
  </si>
  <si>
    <t>Adm Liab-Cur-S/Ins-W/C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</si>
  <si>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</si>
  <si>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</si>
  <si>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</si>
  <si>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</si>
  <si>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</si>
  <si>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</si>
  <si>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</si>
  <si>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</si>
  <si>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</si>
  <si>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</si>
  <si>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</si>
  <si>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</si>
  <si>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</si>
  <si>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</si>
  <si>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</si>
  <si>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</si>
  <si>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</si>
  <si>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</si>
  <si>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</si>
  <si>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</si>
  <si>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</si>
  <si>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</si>
  <si>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</si>
  <si>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</si>
  <si>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</si>
  <si>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</si>
  <si>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</si>
  <si>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</si>
  <si>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</si>
  <si>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</si>
  <si>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%,V242059210</t>
  </si>
  <si>
    <t>242059210</t>
  </si>
  <si>
    <t>Sales Use Tax - Leased Equip</t>
  </si>
  <si>
    <t>%,V242059211</t>
  </si>
  <si>
    <t>242059211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</si>
  <si>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</si>
  <si>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</si>
  <si>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</si>
  <si>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</si>
  <si>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</si>
  <si>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</si>
  <si>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</si>
  <si>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</si>
  <si>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</si>
  <si>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</si>
  <si>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</si>
  <si>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</si>
  <si>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</si>
  <si>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</si>
  <si>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</si>
  <si>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</si>
  <si>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</si>
  <si>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</si>
  <si>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</si>
  <si>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</si>
  <si>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</si>
  <si>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</si>
  <si>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</si>
  <si>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</si>
  <si>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</si>
  <si>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</si>
  <si>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</si>
  <si>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</si>
  <si>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</si>
  <si>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</si>
  <si>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</si>
  <si>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</si>
  <si>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</si>
  <si>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</si>
  <si>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</si>
  <si>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</si>
  <si>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</si>
  <si>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</si>
  <si>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</si>
  <si>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</si>
  <si>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</si>
  <si>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</si>
  <si>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</si>
  <si>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</si>
  <si>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</si>
  <si>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</si>
  <si>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</si>
  <si>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</si>
  <si>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</si>
  <si>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</si>
  <si>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</si>
  <si>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</si>
  <si>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</si>
  <si>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</si>
  <si>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</si>
  <si>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</si>
  <si>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</si>
  <si>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</si>
  <si>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</si>
  <si>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</si>
  <si>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</si>
  <si>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</si>
  <si>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</si>
  <si>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</si>
  <si>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</si>
  <si>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</si>
  <si>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</si>
  <si>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</si>
  <si>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</si>
  <si>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</si>
  <si>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</si>
  <si>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</si>
  <si>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</si>
  <si>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</si>
  <si>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</si>
  <si>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</si>
  <si>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</si>
  <si>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</si>
  <si>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</si>
  <si>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</si>
  <si>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</si>
  <si>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</si>
  <si>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</si>
  <si>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</si>
  <si>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</si>
  <si>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</si>
  <si>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</si>
  <si>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</si>
  <si>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</si>
  <si>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</si>
  <si>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</si>
  <si>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</si>
  <si>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</si>
  <si>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</si>
  <si>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</si>
  <si>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</si>
  <si>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</si>
  <si>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</si>
  <si>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</si>
  <si>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</si>
  <si>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</si>
  <si>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</si>
  <si>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</si>
  <si>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</si>
  <si>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</si>
  <si>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</si>
  <si>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</si>
  <si>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</si>
  <si>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</si>
  <si>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</si>
  <si>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</si>
  <si>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</si>
  <si>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</si>
  <si>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</si>
  <si>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</si>
  <si>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</si>
  <si>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</si>
  <si>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</si>
  <si>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</si>
  <si>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</si>
  <si>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</si>
  <si>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</si>
  <si>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</si>
  <si>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</si>
  <si>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</si>
  <si>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</si>
  <si>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</si>
  <si>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</si>
  <si>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</si>
  <si>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</si>
  <si>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</si>
  <si>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</si>
  <si>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</si>
  <si>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</si>
  <si>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</si>
  <si>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</si>
  <si>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</si>
  <si>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</si>
  <si>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2011-05-31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</si>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</sst>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599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85</v>
      </c>
      <c r="B1" s="15" t="s">
        <v>114</v>
      </c>
      <c r="C1" s="134" t="s">
        <v>0</v>
      </c>
      <c r="D1" s="16"/>
      <c r="E1" s="16"/>
      <c r="F1" s="16" t="s">
        <v>85</v>
      </c>
      <c r="G1" s="16" t="s">
        <v>235</v>
      </c>
      <c r="H1" s="16" t="s">
        <v>46</v>
      </c>
      <c r="I1" s="53" t="s">
        <v>46</v>
      </c>
      <c r="J1" s="174"/>
      <c r="K1" s="256" t="s">
        <v>343</v>
      </c>
      <c r="L1" s="16" t="s">
        <v>46</v>
      </c>
      <c r="M1" s="53" t="s">
        <v>46</v>
      </c>
      <c r="N1" s="174"/>
      <c r="O1" s="256" t="s">
        <v>86</v>
      </c>
      <c r="P1" s="16" t="s">
        <v>46</v>
      </c>
      <c r="Q1" s="53" t="s">
        <v>46</v>
      </c>
    </row>
    <row r="2" spans="3:16" ht="12.75">
      <c r="C2" s="17"/>
      <c r="F2" s="257" t="str">
        <f>IF($C$585="Error",$C$590,IF($C$591="Error",$C$587&amp;" - "&amp;$C$586,IF($C$591=$C$590,$C$591&amp;" - "&amp;$C$585,$C$591&amp;" - "&amp;$C$590)))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IF(C581&gt;0,"REPORT HAS "&amp;C581&amp;" DATA ERROR(S)","")</f>
      </c>
      <c r="F3" s="258" t="s">
        <v>323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TEXT(+$C$575,"MMMM dd, YYYY")</f>
        <v>May 31, 2011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06/09/2011  14:03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IF(C588&lt;&gt;"Error",C588,"")</f>
        <v>X_OPR_COS</v>
      </c>
      <c r="C6" s="44" t="str">
        <f>"Rpt ID: "&amp;C583&amp;"      Layout: "&amp;C584</f>
        <v>Rpt ID: GLR2200V      Layout: GLR2200V</v>
      </c>
      <c r="D6" s="19"/>
      <c r="E6" s="19"/>
      <c r="F6" s="8" t="s">
        <v>238</v>
      </c>
      <c r="G6" s="19"/>
      <c r="H6" s="50" t="s">
        <v>64</v>
      </c>
      <c r="I6" s="172"/>
      <c r="J6" s="173"/>
      <c r="K6" s="148" t="s">
        <v>342</v>
      </c>
      <c r="L6" s="50" t="s">
        <v>64</v>
      </c>
      <c r="N6" s="173"/>
      <c r="O6" s="148" t="s">
        <v>236</v>
      </c>
      <c r="P6" s="50" t="s">
        <v>64</v>
      </c>
    </row>
    <row r="7" spans="1:17" s="13" customFormat="1" ht="13.5" thickBot="1">
      <c r="A7" s="11"/>
      <c r="B7" s="21" t="str">
        <f>IF(C585="Error",""&amp;C591,IF(C591="Error",""&amp;C587,""&amp;C591))</f>
        <v>KYP_CORP_CONSOL</v>
      </c>
      <c r="C7" s="9" t="str">
        <f>IF($C$585="Error",NvsTreeASD&amp;" Acct: PRPT_ACCOUNT      BU: "&amp;+$C$592,IF(C591="Error",NvsTreeASD&amp;" Acct: PRPT_ACCOUNT     BU: "&amp;+$C$587,NvsTreeASD&amp;"  Acct: PRPT_ACCOUNT    BU: "&amp;+$C$591))</f>
        <v>V2099-01-01 Acct: PRPT_ACCOUNT      BU: GL_PRPT_CONS</v>
      </c>
      <c r="D7" s="5"/>
      <c r="E7" s="5"/>
      <c r="F7" s="29" t="str">
        <f>TEXT($C$575,"YYYY")</f>
        <v>2011</v>
      </c>
      <c r="G7" s="10">
        <f>+F7-1</f>
        <v>2010</v>
      </c>
      <c r="H7" s="24" t="s">
        <v>47</v>
      </c>
      <c r="I7" s="54" t="s">
        <v>48</v>
      </c>
      <c r="J7" s="24"/>
      <c r="K7" s="149"/>
      <c r="L7" s="24" t="s">
        <v>47</v>
      </c>
      <c r="M7" s="54" t="s">
        <v>48</v>
      </c>
      <c r="N7" s="24"/>
      <c r="O7" s="149" t="s">
        <v>237</v>
      </c>
      <c r="P7" s="24" t="s">
        <v>47</v>
      </c>
      <c r="Q7" s="54" t="s">
        <v>48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70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1626952705.24</v>
      </c>
      <c r="G11" s="16">
        <v>1585135439.85</v>
      </c>
      <c r="H11" s="16">
        <f>+F11-G11</f>
        <v>41817265.390000105</v>
      </c>
      <c r="I11" s="53">
        <f>IF(G11&lt;0,IF(H11=0,0,IF(OR(G11=0,F11=0),"N.M.",IF(ABS(H11/G11)&gt;=10,"N.M.",H11/(-G11)))),IF(H11=0,0,IF(OR(G11=0,F11=0),"N.M.",IF(ABS(H11/G11)&gt;=10,"N.M.",H11/G11))))</f>
        <v>0.026380878465475</v>
      </c>
      <c r="J11" s="174"/>
      <c r="K11" s="256">
        <v>1622420886.56</v>
      </c>
      <c r="L11" s="16">
        <f>+F11-K11</f>
        <v>4531818.680000067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1610127823.01</v>
      </c>
      <c r="P11" s="16">
        <f>+F11-O11</f>
        <v>16824882.23000002</v>
      </c>
      <c r="Q11" s="53">
        <f>IF(O11&lt;0,IF(P11=0,0,IF(OR(O11=0,F11=0),"N.M.",IF(ABS(P11/O11)&gt;=10,"N.M.",P11/(-O11)))),IF(P11=0,0,IF(OR(O11=0,F11=0),"N.M.",IF(ABS(P11/O11)&gt;=10,"N.M.",P11/O11))))</f>
        <v>0.010449407798287283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6490323.46</v>
      </c>
      <c r="G12" s="16">
        <v>7105565.29</v>
      </c>
      <c r="H12" s="16">
        <f>+F12-G12</f>
        <v>-615241.8300000001</v>
      </c>
      <c r="I12" s="53">
        <f>IF(G12&lt;0,IF(H12=0,0,IF(OR(G12=0,F12=0),"N.M.",IF(ABS(H12/G12)&gt;=10,"N.M.",H12/(-G12)))),IF(H12=0,0,IF(OR(G12=0,F12=0),"N.M.",IF(ABS(H12/G12)&gt;=10,"N.M.",H12/G12))))</f>
        <v>-0.08658590905720888</v>
      </c>
      <c r="J12" s="174"/>
      <c r="K12" s="256">
        <v>6487346.9</v>
      </c>
      <c r="L12" s="16">
        <f>+F12-K12</f>
        <v>2976.55999999959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7193396.24</v>
      </c>
      <c r="P12" s="16">
        <f>+F12-O12</f>
        <v>-703072.7800000003</v>
      </c>
      <c r="Q12" s="53">
        <f>IF(O12&lt;0,IF(P12=0,0,IF(OR(O12=0,F12=0),"N.M.",IF(ABS(P12/O12)&gt;=10,"N.M.",P12/(-O12)))),IF(P12=0,0,IF(OR(O12=0,F12=0),"N.M.",IF(ABS(P12/O12)&gt;=10,"N.M.",P12/O12))))</f>
        <v>-0.09773864201869689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24133026.33</v>
      </c>
      <c r="G14" s="16">
        <v>28655136.07</v>
      </c>
      <c r="H14" s="16">
        <f>+F14-G14</f>
        <v>-4522109.740000002</v>
      </c>
      <c r="I14" s="53">
        <f>IF(G14&lt;0,IF(H14=0,0,IF(OR(G14=0,F14=0),"N.M.",IF(ABS(H14/G14)&gt;=10,"N.M.",H14/(-G14)))),IF(H14=0,0,IF(OR(G14=0,F14=0),"N.M.",IF(ABS(H14/G14)&gt;=10,"N.M.",H14/G14))))</f>
        <v>-0.1578114907203092</v>
      </c>
      <c r="J14" s="174"/>
      <c r="K14" s="256">
        <v>27181469.65</v>
      </c>
      <c r="L14" s="16">
        <f>+F14-K14</f>
        <v>-3048443.3200000003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22021909.03</v>
      </c>
      <c r="P14" s="16">
        <f>+F14-O14</f>
        <v>2111117.299999997</v>
      </c>
      <c r="Q14" s="53">
        <f>IF(O14&lt;0,IF(P14=0,0,IF(OR(O14=0,F14=0),"N.M.",IF(ABS(P14/O14)&gt;=10,"N.M.",P14/(-O14)))),IF(P14=0,0,IF(OR(O14=0,F14=0),"N.M.",IF(ABS(P14/O14)&gt;=10,"N.M.",P14/O14))))</f>
        <v>0.09586440926279664</v>
      </c>
    </row>
    <row r="15" spans="1:17" s="67" customFormat="1" ht="12.75" collapsed="1">
      <c r="A15" s="67" t="s">
        <v>341</v>
      </c>
      <c r="B15" s="68"/>
      <c r="C15" s="81" t="s">
        <v>73</v>
      </c>
      <c r="D15" s="66"/>
      <c r="E15" s="66"/>
      <c r="F15" s="51">
        <v>1665012605.76</v>
      </c>
      <c r="G15" s="51">
        <v>1628332691.9399998</v>
      </c>
      <c r="H15" s="51">
        <f>+F15-G15</f>
        <v>36679913.82000017</v>
      </c>
      <c r="I15" s="136">
        <f>IF(G15&lt;0,IF(H15=0,0,IF(OR(G15=0,F15=0),"N.M.",IF(ABS(H15/G15)&gt;=10,"N.M.",H15/(-G15)))),IF(H15=0,0,IF(OR(G15=0,F15=0),"N.M.",IF(ABS(H15/G15)&gt;=10,"N.M.",H15/G15))))</f>
        <v>0.022526056254695486</v>
      </c>
      <c r="J15" s="157"/>
      <c r="K15" s="51">
        <v>1663526253.8400002</v>
      </c>
      <c r="L15" s="51">
        <f>+F15-K15</f>
        <v>1486351.9199998379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1646779679.01</v>
      </c>
      <c r="P15" s="51">
        <f>+F15-O15</f>
        <v>18232926.75</v>
      </c>
      <c r="Q15" s="136">
        <f>IF(O15&lt;0,IF(P15=0,0,IF(OR(O15=0,F15=0),"N.M.",IF(ABS(P15/O15)&gt;=10,"N.M.",P15/(-O15)))),IF(P15=0,0,IF(OR(O15=0,F15=0),"N.M.",IF(ABS(P15/O15)&gt;=10,"N.M.",P15/O15))))</f>
        <v>0.011071867707865541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2807.82</v>
      </c>
      <c r="G17" s="16">
        <v>55545.61</v>
      </c>
      <c r="H17" s="16">
        <f>+F17-G17</f>
        <v>-52737.79</v>
      </c>
      <c r="I17" s="53">
        <f>IF(G17&lt;0,IF(H17=0,0,IF(OR(G17=0,F17=0),"N.M.",IF(ABS(H17/G17)&gt;=10,"N.M.",H17/(-G17)))),IF(H17=0,0,IF(OR(G17=0,F17=0),"N.M.",IF(ABS(H17/G17)&gt;=10,"N.M.",H17/G17))))</f>
        <v>-0.9494501905731164</v>
      </c>
      <c r="J17" s="174"/>
      <c r="K17" s="256">
        <v>5008.97</v>
      </c>
      <c r="L17" s="16">
        <f>+F17-K17</f>
        <v>-2201.15</v>
      </c>
      <c r="M17" s="53" t="str">
        <f>IF(K17&lt;0,IF(L17=0,0,IF(OR(K17=0,N17=0),"N.M.",IF(ABS(L17/K17)&gt;=10,"N.M.",L17/(-K17)))),IF(L17=0,0,IF(OR(K17=0,N17=0),"N.M.",IF(ABS(L17/K17)&gt;=10,"N.M.",L17/K17))))</f>
        <v>N.M.</v>
      </c>
      <c r="N17" s="174"/>
      <c r="O17" s="256">
        <v>555.66</v>
      </c>
      <c r="P17" s="16">
        <f>+F17-O17</f>
        <v>2252.1600000000003</v>
      </c>
      <c r="Q17" s="53">
        <f>IF(O17&lt;0,IF(P17=0,0,IF(OR(O17=0,F17=0),"N.M.",IF(ABS(P17/O17)&gt;=10,"N.M.",P17/(-O17)))),IF(P17=0,0,IF(OR(O17=0,F17=0),"N.M.",IF(ABS(P17/O17)&gt;=10,"N.M.",P17/O17))))</f>
        <v>4.053126012309686</v>
      </c>
    </row>
    <row r="18" spans="1:17" s="67" customFormat="1" ht="12.75" collapsed="1">
      <c r="A18" s="67" t="s">
        <v>162</v>
      </c>
      <c r="B18" s="68"/>
      <c r="C18" s="81" t="s">
        <v>72</v>
      </c>
      <c r="D18" s="66"/>
      <c r="E18" s="66"/>
      <c r="F18" s="51">
        <v>2807.82</v>
      </c>
      <c r="G18" s="51">
        <v>55545.61</v>
      </c>
      <c r="H18" s="51">
        <f>+F18-G18</f>
        <v>-52737.79</v>
      </c>
      <c r="I18" s="136">
        <f>IF(G18&lt;0,IF(H18=0,0,IF(OR(G18=0,F18=0),"N.M.",IF(ABS(H18/G18)&gt;=10,"N.M.",H18/(-G18)))),IF(H18=0,0,IF(OR(G18=0,F18=0),"N.M.",IF(ABS(H18/G18)&gt;=10,"N.M.",H18/G18))))</f>
        <v>-0.9494501905731164</v>
      </c>
      <c r="J18" s="157"/>
      <c r="K18" s="51">
        <v>5008.97</v>
      </c>
      <c r="L18" s="51">
        <f>+F18-K18</f>
        <v>-2201.15</v>
      </c>
      <c r="M18" s="136" t="str">
        <f>IF(K18&lt;0,IF(L18=0,0,IF(OR(K18=0,N18=0),"N.M.",IF(ABS(L18/K18)&gt;=10,"N.M.",L18/(-K18)))),IF(L18=0,0,IF(OR(K18=0,N18=0),"N.M.",IF(ABS(L18/K18)&gt;=10,"N.M.",L18/K18))))</f>
        <v>N.M.</v>
      </c>
      <c r="N18" s="157"/>
      <c r="O18" s="51">
        <v>555.66</v>
      </c>
      <c r="P18" s="51">
        <f>+F18-O18</f>
        <v>2252.1600000000003</v>
      </c>
      <c r="Q18" s="136">
        <f>IF(O18&lt;0,IF(P18=0,0,IF(OR(O18=0,F18=0),"N.M.",IF(ABS(P18/O18)&gt;=10,"N.M.",P18/(-O18)))),IF(P18=0,0,IF(OR(O18=0,F18=0),"N.M.",IF(ABS(P18/O18)&gt;=10,"N.M.",P18/O18))))</f>
        <v>4.053126012309686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31698924.258</v>
      </c>
      <c r="G20" s="16">
        <v>22142915.818</v>
      </c>
      <c r="H20" s="16">
        <f>+F20-G20</f>
        <v>9556008.440000001</v>
      </c>
      <c r="I20" s="53">
        <f>IF(G20&lt;0,IF(H20=0,0,IF(OR(G20=0,F20=0),"N.M.",IF(ABS(H20/G20)&gt;=10,"N.M.",H20/(-G20)))),IF(H20=0,0,IF(OR(G20=0,F20=0),"N.M.",IF(ABS(H20/G20)&gt;=10,"N.M.",H20/G20))))</f>
        <v>0.4315605279152943</v>
      </c>
      <c r="J20" s="174"/>
      <c r="K20" s="256">
        <v>29728209.678</v>
      </c>
      <c r="L20" s="16">
        <f>+F20-K20</f>
        <v>1970714.580000002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34092976.368</v>
      </c>
      <c r="P20" s="16">
        <f>+F20-O20</f>
        <v>-2394052.1099999994</v>
      </c>
      <c r="Q20" s="53">
        <f>IF(O20&lt;0,IF(P20=0,0,IF(OR(O20=0,F20=0),"N.M.",IF(ABS(P20/O20)&gt;=10,"N.M.",P20/(-O20)))),IF(P20=0,0,IF(OR(O20=0,F20=0),"N.M.",IF(ABS(P20/O20)&gt;=10,"N.M.",P20/O20))))</f>
        <v>-0.07022127033317865</v>
      </c>
    </row>
    <row r="21" spans="1:17" s="67" customFormat="1" ht="12.75" collapsed="1">
      <c r="A21" s="67" t="s">
        <v>163</v>
      </c>
      <c r="B21" s="68"/>
      <c r="C21" s="81" t="s">
        <v>71</v>
      </c>
      <c r="D21" s="66"/>
      <c r="E21" s="66"/>
      <c r="F21" s="51">
        <v>31698924.258</v>
      </c>
      <c r="G21" s="51">
        <v>22142915.818</v>
      </c>
      <c r="H21" s="51">
        <f>+F21-G21</f>
        <v>9556008.440000001</v>
      </c>
      <c r="I21" s="136">
        <f>IF(G21&lt;0,IF(H21=0,0,IF(OR(G21=0,F21=0),"N.M.",IF(ABS(H21/G21)&gt;=10,"N.M.",H21/(-G21)))),IF(H21=0,0,IF(OR(G21=0,F21=0),"N.M.",IF(ABS(H21/G21)&gt;=10,"N.M.",H21/G21))))</f>
        <v>0.4315605279152943</v>
      </c>
      <c r="J21" s="157"/>
      <c r="K21" s="51">
        <v>29728209.678</v>
      </c>
      <c r="L21" s="51">
        <f>+F21-K21</f>
        <v>1970714.580000002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34092976.368</v>
      </c>
      <c r="P21" s="51">
        <f>+F21-O21</f>
        <v>-2394052.1099999994</v>
      </c>
      <c r="Q21" s="136">
        <f>IF(O21&lt;0,IF(P21=0,0,IF(OR(O21=0,F21=0),"N.M.",IF(ABS(P21/O21)&gt;=10,"N.M.",P21/(-O21)))),IF(P21=0,0,IF(OR(O21=0,F21=0),"N.M.",IF(ABS(P21/O21)&gt;=10,"N.M.",P21/O21))))</f>
        <v>-0.07022127033317865</v>
      </c>
    </row>
    <row r="22" spans="1:17" s="75" customFormat="1" ht="12.75">
      <c r="A22" s="75" t="s">
        <v>104</v>
      </c>
      <c r="B22" s="93"/>
      <c r="C22" s="75" t="s">
        <v>74</v>
      </c>
      <c r="D22" s="73"/>
      <c r="E22" s="73"/>
      <c r="F22" s="74">
        <f>+F21+F18+F15</f>
        <v>1696714337.838</v>
      </c>
      <c r="G22" s="74">
        <f>+G21+G18+G15</f>
        <v>1650531153.3679998</v>
      </c>
      <c r="H22" s="74">
        <f>+F22-G22</f>
        <v>46183184.47000027</v>
      </c>
      <c r="I22" s="137">
        <f>IF(G22&lt;0,IF(H22=0,0,IF(OR(G22=0,F22=0),"N.M.",IF(ABS(H22/G22)&gt;=10,"N.M.",H22/(-G22)))),IF(H22=0,0,IF(OR(G22=0,F22=0),"N.M.",IF(ABS(H22/G22)&gt;=10,"N.M.",H22/G22))))</f>
        <v>0.027980801438228495</v>
      </c>
      <c r="J22" s="160" t="s">
        <v>65</v>
      </c>
      <c r="K22" s="74">
        <f>+K21+K18+K15</f>
        <v>1693259472.4880002</v>
      </c>
      <c r="L22" s="74">
        <f>+F22-K22</f>
        <v>3454865.3499999046</v>
      </c>
      <c r="M22" s="137">
        <f>IF(K22&lt;0,IF(L22=0,0,IF(OR(K22=0,N22=0),"N.M.",IF(ABS(L22/K22)&gt;=10,"N.M.",L22/(-K22)))),IF(L22=0,0,IF(OR(K22=0,N22=0),"N.M.",IF(ABS(L22/K22)&gt;=10,"N.M.",L22/K22))))</f>
        <v>0.0020403638108242674</v>
      </c>
      <c r="N22" s="160" t="s">
        <v>65</v>
      </c>
      <c r="O22" s="74">
        <f>+O21+O18+O15</f>
        <v>1680873211.038</v>
      </c>
      <c r="P22" s="74">
        <f>+F22-O22</f>
        <v>15841126.799999952</v>
      </c>
      <c r="Q22" s="137">
        <f>IF(O22&lt;0,IF(P22=0,0,IF(OR(O22=0,F22=0),"N.M.",IF(ABS(P22/O22)&gt;=10,"N.M.",P22/(-O22)))),IF(P22=0,0,IF(OR(O22=0,F22=0),"N.M.",IF(ABS(P22/O22)&gt;=10,"N.M.",P22/O22))))</f>
        <v>0.009424343666121897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-1853410.72</v>
      </c>
      <c r="G24" s="16">
        <v>-1977921.74</v>
      </c>
      <c r="H24" s="16">
        <f aca="true" t="shared" si="0" ref="H24:H29">+F24-G24</f>
        <v>124511.02000000002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0.0629504279577816</v>
      </c>
      <c r="J24" s="174"/>
      <c r="K24" s="256">
        <v>-1726652.98</v>
      </c>
      <c r="L24" s="16">
        <f aca="true" t="shared" si="2" ref="L24:L29">+F24-K24</f>
        <v>-126757.73999999999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-1781339.6</v>
      </c>
      <c r="P24" s="16">
        <f aca="true" t="shared" si="4" ref="P24:P29">+F24-O24</f>
        <v>-72071.11999999988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-0.040458944493234124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-535517810.908</v>
      </c>
      <c r="G25" s="16">
        <v>-504730215.028</v>
      </c>
      <c r="H25" s="16">
        <f t="shared" si="0"/>
        <v>-30787595.879999995</v>
      </c>
      <c r="I25" s="53">
        <f t="shared" si="1"/>
        <v>-0.060998123281151395</v>
      </c>
      <c r="J25" s="174"/>
      <c r="K25" s="256">
        <v>-534009081.498</v>
      </c>
      <c r="L25" s="16">
        <f t="shared" si="2"/>
        <v>-1508729.4099999666</v>
      </c>
      <c r="M25" s="53" t="str">
        <f t="shared" si="3"/>
        <v>N.M.</v>
      </c>
      <c r="N25" s="174"/>
      <c r="O25" s="256">
        <v>-521884376.358</v>
      </c>
      <c r="P25" s="16">
        <f t="shared" si="4"/>
        <v>-13633434.550000012</v>
      </c>
      <c r="Q25" s="53">
        <f t="shared" si="5"/>
        <v>-0.026123477091116842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991275.132</v>
      </c>
      <c r="G26" s="16">
        <v>1118319.691</v>
      </c>
      <c r="H26" s="16">
        <f t="shared" si="0"/>
        <v>-127044.55900000012</v>
      </c>
      <c r="I26" s="53">
        <f t="shared" si="1"/>
        <v>-0.11360307792344873</v>
      </c>
      <c r="J26" s="174"/>
      <c r="K26" s="256">
        <v>1143365.162</v>
      </c>
      <c r="L26" s="16">
        <f t="shared" si="2"/>
        <v>-152090.03000000003</v>
      </c>
      <c r="M26" s="53" t="str">
        <f t="shared" si="3"/>
        <v>N.M.</v>
      </c>
      <c r="N26" s="174"/>
      <c r="O26" s="256">
        <v>879840.432</v>
      </c>
      <c r="P26" s="16">
        <f t="shared" si="4"/>
        <v>111434.69999999995</v>
      </c>
      <c r="Q26" s="53">
        <f t="shared" si="5"/>
        <v>0.12665330660775992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-29798399.2</v>
      </c>
      <c r="G27" s="16">
        <v>-26415905.45</v>
      </c>
      <c r="H27" s="16">
        <f t="shared" si="0"/>
        <v>-3382493.75</v>
      </c>
      <c r="I27" s="53">
        <f t="shared" si="1"/>
        <v>-0.12804761723584984</v>
      </c>
      <c r="J27" s="174"/>
      <c r="K27" s="256">
        <v>-29780939.16</v>
      </c>
      <c r="L27" s="16">
        <f t="shared" si="2"/>
        <v>-17460.039999999106</v>
      </c>
      <c r="M27" s="53" t="str">
        <f t="shared" si="3"/>
        <v>N.M.</v>
      </c>
      <c r="N27" s="174"/>
      <c r="O27" s="256">
        <v>-30011722.93</v>
      </c>
      <c r="P27" s="16">
        <f t="shared" si="4"/>
        <v>213323.73000000045</v>
      </c>
      <c r="Q27" s="53">
        <f t="shared" si="5"/>
        <v>0.00710801344186608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2269249.17</v>
      </c>
      <c r="G28" s="16">
        <v>1765159.26</v>
      </c>
      <c r="H28" s="16">
        <f t="shared" si="0"/>
        <v>504089.9099999999</v>
      </c>
      <c r="I28" s="53">
        <f t="shared" si="1"/>
        <v>0.2855775801215806</v>
      </c>
      <c r="J28" s="174"/>
      <c r="K28" s="256">
        <v>2222713.34</v>
      </c>
      <c r="L28" s="16">
        <f t="shared" si="2"/>
        <v>46535.830000000075</v>
      </c>
      <c r="M28" s="53" t="str">
        <f t="shared" si="3"/>
        <v>N.M.</v>
      </c>
      <c r="N28" s="174"/>
      <c r="O28" s="256">
        <v>2036651.35</v>
      </c>
      <c r="P28" s="16">
        <f t="shared" si="4"/>
        <v>232597.81999999983</v>
      </c>
      <c r="Q28" s="53">
        <f t="shared" si="5"/>
        <v>0.11420600781768554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-21049868.18</v>
      </c>
      <c r="G29" s="16">
        <v>-18812999.93</v>
      </c>
      <c r="H29" s="16">
        <f t="shared" si="0"/>
        <v>-2236868.25</v>
      </c>
      <c r="I29" s="53">
        <f t="shared" si="1"/>
        <v>-0.1189001359869776</v>
      </c>
      <c r="J29" s="174"/>
      <c r="K29" s="256">
        <v>-20728890.76</v>
      </c>
      <c r="L29" s="16">
        <f t="shared" si="2"/>
        <v>-320977.41999999806</v>
      </c>
      <c r="M29" s="53" t="str">
        <f t="shared" si="3"/>
        <v>N.M.</v>
      </c>
      <c r="N29" s="174"/>
      <c r="O29" s="256">
        <v>-19461910.74</v>
      </c>
      <c r="P29" s="16">
        <f t="shared" si="4"/>
        <v>-1587957.4400000013</v>
      </c>
      <c r="Q29" s="53">
        <f t="shared" si="5"/>
        <v>-0.08159309027845235</v>
      </c>
    </row>
    <row r="30" spans="1:17" s="67" customFormat="1" ht="12.75" collapsed="1">
      <c r="A30" s="67" t="s">
        <v>161</v>
      </c>
      <c r="B30" s="68"/>
      <c r="C30" s="85" t="s">
        <v>75</v>
      </c>
      <c r="D30" s="66"/>
      <c r="E30" s="66"/>
      <c r="F30" s="197">
        <v>-584958964.706</v>
      </c>
      <c r="G30" s="197">
        <v>-549053563.197</v>
      </c>
      <c r="H30" s="197">
        <f>+F30-G30</f>
        <v>-35905401.508999944</v>
      </c>
      <c r="I30" s="138">
        <f>IF(G30&lt;0,IF(H30=0,0,IF(OR(G30=0,F30=0),"N.M.",IF(ABS(H30/G30)&gt;=10,"N.M.",H30/(-G30)))),IF(H30=0,0,IF(OR(G30=0,F30=0),"N.M.",IF(ABS(H30/G30)&gt;=10,"N.M.",H30/G30))))</f>
        <v>-0.06539507967115607</v>
      </c>
      <c r="J30" s="157"/>
      <c r="K30" s="197">
        <v>-582879485.896</v>
      </c>
      <c r="L30" s="197">
        <f>+F30-K30</f>
        <v>-2079478.8099999428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-570222857.846</v>
      </c>
      <c r="P30" s="197">
        <f>+F30-O30</f>
        <v>-14736106.860000014</v>
      </c>
      <c r="Q30" s="138">
        <f>IF(O30&lt;0,IF(P30=0,0,IF(OR(O30=0,F30=0),"N.M.",IF(ABS(P30/O30)&gt;=10,"N.M.",P30/(-O30)))),IF(P30=0,0,IF(OR(O30=0,F30=0),"N.M.",IF(ABS(P30/O30)&gt;=10,"N.M.",P30/O30))))</f>
        <v>-0.025842715102065924</v>
      </c>
    </row>
    <row r="31" spans="1:17" s="67" customFormat="1" ht="12.75">
      <c r="A31" s="71" t="s">
        <v>105</v>
      </c>
      <c r="B31" s="72"/>
      <c r="C31" s="71" t="s">
        <v>66</v>
      </c>
      <c r="D31" s="66"/>
      <c r="E31" s="66"/>
      <c r="F31" s="74">
        <f>+F22+F30</f>
        <v>1111755373.132</v>
      </c>
      <c r="G31" s="74">
        <f>+G22+G30</f>
        <v>1101477590.1709998</v>
      </c>
      <c r="H31" s="74">
        <f>+F31-G31</f>
        <v>10277782.961000204</v>
      </c>
      <c r="I31" s="137">
        <f>IF(G31&lt;0,IF(H31=0,0,IF(OR(G31=0,F31=0),"N.M.",IF(ABS(H31/G31)&gt;=10,"N.M.",H31/(-G31)))),IF(H31=0,0,IF(OR(G31=0,F31=0),"N.M.",IF(ABS(H31/G31)&gt;=10,"N.M.",H31/G31))))</f>
        <v>0.009330905188370306</v>
      </c>
      <c r="J31" s="157"/>
      <c r="K31" s="74">
        <f>+K22+K30</f>
        <v>1110379986.592</v>
      </c>
      <c r="L31" s="74">
        <f>+F31-K31</f>
        <v>1375386.5399999619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1110650353.1920002</v>
      </c>
      <c r="P31" s="74">
        <f>+F31-O31</f>
        <v>1105019.9399998188</v>
      </c>
      <c r="Q31" s="137">
        <f>IF(O31&lt;0,IF(P31=0,0,IF(OR(O31=0,F31=0),"N.M.",IF(ABS(P31/O31)&gt;=10,"N.M.",P31/(-O31)))),IF(P31=0,0,IF(OR(O31=0,F31=0),"N.M.",IF(ABS(P31/O31)&gt;=10,"N.M.",P31/O31))))</f>
        <v>0.000994930525906736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154</v>
      </c>
      <c r="B35" s="72"/>
      <c r="C35" s="83" t="s">
        <v>82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-197725.64</v>
      </c>
      <c r="G36" s="16">
        <v>-191055.92</v>
      </c>
      <c r="H36" s="16">
        <f t="shared" si="6"/>
        <v>-6669.720000000001</v>
      </c>
      <c r="I36" s="53">
        <f t="shared" si="7"/>
        <v>-0.034909779293936564</v>
      </c>
      <c r="J36" s="174"/>
      <c r="K36" s="256">
        <v>-197169.83000000002</v>
      </c>
      <c r="L36" s="16">
        <f t="shared" si="8"/>
        <v>-555.8099999999977</v>
      </c>
      <c r="M36" s="53" t="str">
        <f t="shared" si="9"/>
        <v>N.M.</v>
      </c>
      <c r="N36" s="174"/>
      <c r="O36" s="256">
        <v>-194946.59</v>
      </c>
      <c r="P36" s="16">
        <f t="shared" si="10"/>
        <v>-2779.0500000000175</v>
      </c>
      <c r="Q36" s="53">
        <f t="shared" si="11"/>
        <v>-0.01425544299082132</v>
      </c>
    </row>
    <row r="37" spans="1:17" s="67" customFormat="1" ht="12.75" hidden="1" outlineLevel="1">
      <c r="A37" s="11" t="s">
        <v>155</v>
      </c>
      <c r="B37" s="72"/>
      <c r="C37" s="83" t="s">
        <v>83</v>
      </c>
      <c r="D37" s="66"/>
      <c r="E37" s="66"/>
      <c r="F37" s="51">
        <v>-197725.64</v>
      </c>
      <c r="G37" s="51">
        <v>-191055.92</v>
      </c>
      <c r="H37" s="51">
        <f t="shared" si="6"/>
        <v>-6669.720000000001</v>
      </c>
      <c r="I37" s="136">
        <f t="shared" si="7"/>
        <v>-0.034909779293936564</v>
      </c>
      <c r="J37" s="157"/>
      <c r="K37" s="51">
        <v>-197169.83000000002</v>
      </c>
      <c r="L37" s="51">
        <f t="shared" si="8"/>
        <v>-555.8099999999977</v>
      </c>
      <c r="M37" s="136" t="str">
        <f t="shared" si="9"/>
        <v>N.M.</v>
      </c>
      <c r="N37" s="157"/>
      <c r="O37" s="51">
        <v>-194946.59</v>
      </c>
      <c r="P37" s="51">
        <f t="shared" si="10"/>
        <v>-2779.0500000000175</v>
      </c>
      <c r="Q37" s="136">
        <f t="shared" si="11"/>
        <v>-0.01425544299082132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4533569.9</v>
      </c>
      <c r="H38" s="16">
        <f t="shared" si="6"/>
        <v>201405.72999999952</v>
      </c>
      <c r="I38" s="53">
        <f t="shared" si="7"/>
        <v>0.04442541627074052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4734975.63</v>
      </c>
      <c r="P38" s="16">
        <f t="shared" si="10"/>
        <v>0</v>
      </c>
      <c r="Q38" s="53">
        <f t="shared" si="11"/>
        <v>0</v>
      </c>
    </row>
    <row r="39" spans="1:17" s="67" customFormat="1" ht="12.75" hidden="1" outlineLevel="1">
      <c r="A39" s="11" t="s">
        <v>156</v>
      </c>
      <c r="B39" s="72"/>
      <c r="C39" s="84" t="s">
        <v>84</v>
      </c>
      <c r="D39" s="66"/>
      <c r="E39" s="66"/>
      <c r="F39" s="197">
        <v>4734975.63</v>
      </c>
      <c r="G39" s="197">
        <v>4533569.9</v>
      </c>
      <c r="H39" s="197">
        <f t="shared" si="6"/>
        <v>201405.72999999952</v>
      </c>
      <c r="I39" s="138">
        <f t="shared" si="7"/>
        <v>0.04442541627074052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4734975.63</v>
      </c>
      <c r="P39" s="197">
        <f t="shared" si="10"/>
        <v>0</v>
      </c>
      <c r="Q39" s="138">
        <f t="shared" si="11"/>
        <v>0</v>
      </c>
    </row>
    <row r="40" spans="1:17" s="67" customFormat="1" ht="12.75" collapsed="1">
      <c r="A40" s="69" t="s">
        <v>229</v>
      </c>
      <c r="B40" s="72"/>
      <c r="C40" s="81" t="s">
        <v>76</v>
      </c>
      <c r="D40" s="66"/>
      <c r="E40" s="66"/>
      <c r="F40" s="51">
        <f>+F35+F37+F39</f>
        <v>5501777.99</v>
      </c>
      <c r="G40" s="51">
        <f>+G35+G37+G39</f>
        <v>5307041.98</v>
      </c>
      <c r="H40" s="51">
        <f t="shared" si="6"/>
        <v>194736.00999999978</v>
      </c>
      <c r="I40" s="136">
        <f t="shared" si="7"/>
        <v>0.03669388912578373</v>
      </c>
      <c r="J40" s="157" t="s">
        <v>65</v>
      </c>
      <c r="K40" s="51">
        <f>+K35+K37+K39</f>
        <v>5502333.8</v>
      </c>
      <c r="L40" s="51">
        <f>+L35+L37+L39</f>
        <v>-555.8099999999977</v>
      </c>
      <c r="M40" s="136">
        <f t="shared" si="9"/>
        <v>-0.00010101350085303761</v>
      </c>
      <c r="N40" s="157" t="s">
        <v>65</v>
      </c>
      <c r="O40" s="51">
        <f>+O35+O37+O39</f>
        <v>5504557.04</v>
      </c>
      <c r="P40" s="51">
        <f>+P35+P37+P39</f>
        <v>-2779.0500000000175</v>
      </c>
      <c r="Q40" s="136">
        <f t="shared" si="11"/>
        <v>-0.0005048635121419357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108</v>
      </c>
      <c r="B42" s="78"/>
      <c r="C42" s="80" t="s">
        <v>109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112</v>
      </c>
      <c r="B43" s="78"/>
      <c r="C43" s="80" t="s">
        <v>110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113</v>
      </c>
      <c r="B44" s="78"/>
      <c r="C44" s="80" t="s">
        <v>111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230</v>
      </c>
      <c r="B45" s="68"/>
      <c r="C45" s="81" t="s">
        <v>77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65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65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120809.28</v>
      </c>
      <c r="G48" s="16">
        <v>129390.01000000001</v>
      </c>
      <c r="H48" s="16">
        <f>+F48-G48</f>
        <v>-8580.73000000001</v>
      </c>
      <c r="I48" s="53">
        <f>IF(G48&lt;0,IF(H48=0,0,IF(OR(G48=0,F48=0),"N.M.",IF(ABS(H48/G48)&gt;=10,"N.M.",H48/(-G48)))),IF(H48=0,0,IF(OR(G48=0,F48=0),"N.M.",IF(ABS(H48/G48)&gt;=10,"N.M.",H48/G48))))</f>
        <v>-0.06631678906277239</v>
      </c>
      <c r="J48" s="174"/>
      <c r="K48" s="256">
        <v>120809.28</v>
      </c>
      <c r="L48" s="16">
        <f>+F48-K48</f>
        <v>0</v>
      </c>
      <c r="M48" s="53">
        <f>IF(K48&lt;0,IF(L48=0,0,IF(OR(K48=0,N48=0),"N.M.",IF(ABS(L48/K48)&gt;=10,"N.M.",L48/(-K48)))),IF(L48=0,0,IF(OR(K48=0,N48=0),"N.M.",IF(ABS(L48/K48)&gt;=10,"N.M.",L48/K48))))</f>
        <v>0</v>
      </c>
      <c r="N48" s="174"/>
      <c r="O48" s="256">
        <v>120809.28</v>
      </c>
      <c r="P48" s="16">
        <f>+F48-O48</f>
        <v>0</v>
      </c>
      <c r="Q48" s="53">
        <f>IF(O48&lt;0,IF(P48=0,0,IF(OR(O48=0,F48=0),"N.M.",IF(ABS(P48/O48)&gt;=10,"N.M.",P48/(-O48)))),IF(P48=0,0,IF(OR(O48=0,F48=0),"N.M.",IF(ABS(P48/O48)&gt;=10,"N.M.",P48/O48))))</f>
        <v>0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170173</v>
      </c>
      <c r="G49" s="16">
        <v>175034.21</v>
      </c>
      <c r="H49" s="16">
        <f>+F49-G49</f>
        <v>-4861.209999999992</v>
      </c>
      <c r="I49" s="53">
        <f>IF(G49&lt;0,IF(H49=0,0,IF(OR(G49=0,F49=0),"N.M.",IF(ABS(H49/G49)&gt;=10,"N.M.",H49/(-G49)))),IF(H49=0,0,IF(OR(G49=0,F49=0),"N.M.",IF(ABS(H49/G49)&gt;=10,"N.M.",H49/G49))))</f>
        <v>-0.027772913649280286</v>
      </c>
      <c r="J49" s="174"/>
      <c r="K49" s="256">
        <v>170539</v>
      </c>
      <c r="L49" s="16">
        <f>+F49-K49</f>
        <v>-366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172006</v>
      </c>
      <c r="P49" s="16">
        <f>+F49-O49</f>
        <v>-1833</v>
      </c>
      <c r="Q49" s="53">
        <f>IF(O49&lt;0,IF(P49=0,0,IF(OR(O49=0,F49=0),"N.M.",IF(ABS(P49/O49)&gt;=10,"N.M.",P49/(-O49)))),IF(P49=0,0,IF(OR(O49=0,F49=0),"N.M.",IF(ABS(P49/O49)&gt;=10,"N.M.",P49/O49))))</f>
        <v>-0.010656605002151088</v>
      </c>
    </row>
    <row r="50" spans="1:17" s="67" customFormat="1" ht="12.75" collapsed="1">
      <c r="A50" s="67" t="s">
        <v>157</v>
      </c>
      <c r="B50" s="68"/>
      <c r="C50" s="81" t="s">
        <v>78</v>
      </c>
      <c r="D50" s="66"/>
      <c r="E50" s="66"/>
      <c r="F50" s="51">
        <v>291788.28</v>
      </c>
      <c r="G50" s="51">
        <v>305230.22</v>
      </c>
      <c r="H50" s="51">
        <f>+F50-G50</f>
        <v>-13441.939999999944</v>
      </c>
      <c r="I50" s="136">
        <f>IF(G50&lt;0,IF(H50=0,0,IF(OR(G50=0,F50=0),"N.M.",IF(ABS(H50/G50)&gt;=10,"N.M.",H50/(-G50)))),IF(H50=0,0,IF(OR(G50=0,F50=0),"N.M.",IF(ABS(H50/G50)&gt;=10,"N.M.",H50/G50))))</f>
        <v>-0.04403869315430151</v>
      </c>
      <c r="J50" s="157"/>
      <c r="K50" s="51">
        <v>292154.28</v>
      </c>
      <c r="L50" s="51">
        <f t="shared" si="12"/>
        <v>-366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293621.28</v>
      </c>
      <c r="P50" s="51">
        <f t="shared" si="13"/>
        <v>-1833</v>
      </c>
      <c r="Q50" s="136">
        <f>IF(O50&lt;0,IF(P50=0,0,IF(OR(O50=0,F50=0),"N.M.",IF(ABS(P50/O50)&gt;=10,"N.M.",P50/(-O50)))),IF(P50=0,0,IF(OR(O50=0,F50=0),"N.M.",IF(ABS(P50/O50)&gt;=10,"N.M.",P50/O50))))</f>
        <v>-0.006242735540148861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158</v>
      </c>
      <c r="B52" s="68"/>
      <c r="C52" s="81" t="s">
        <v>79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4882415.98</v>
      </c>
      <c r="G54" s="16">
        <v>5997049.57</v>
      </c>
      <c r="H54" s="16">
        <f>+F54-G54</f>
        <v>-1114633.5899999999</v>
      </c>
      <c r="I54" s="53">
        <f>IF(G54&lt;0,IF(H54=0,0,IF(OR(G54=0,F54=0),"N.M.",IF(ABS(H54/G54)&gt;=10,"N.M.",H54/(-G54)))),IF(H54=0,0,IF(OR(G54=0,F54=0),"N.M.",IF(ABS(H54/G54)&gt;=10,"N.M.",H54/G54))))</f>
        <v>-0.18586366128702847</v>
      </c>
      <c r="J54" s="174"/>
      <c r="K54" s="256">
        <v>4882415.98</v>
      </c>
      <c r="L54" s="16">
        <f>+F54-K54</f>
        <v>0</v>
      </c>
      <c r="M54" s="53">
        <f>IF(K54&lt;0,IF(L54=0,0,IF(OR(K54=0,N54=0),"N.M.",IF(ABS(L54/K54)&gt;=10,"N.M.",L54/(-K54)))),IF(L54=0,0,IF(OR(K54=0,N54=0),"N.M.",IF(ABS(L54/K54)&gt;=10,"N.M.",L54/K54))))</f>
        <v>0</v>
      </c>
      <c r="N54" s="174"/>
      <c r="O54" s="256">
        <v>4882415.98</v>
      </c>
      <c r="P54" s="16">
        <f>+F54-O54</f>
        <v>0</v>
      </c>
      <c r="Q54" s="53">
        <f>IF(O54&lt;0,IF(P54=0,0,IF(OR(O54=0,F54=0),"N.M.",IF(ABS(P54/O54)&gt;=10,"N.M.",P54/(-O54)))),IF(P54=0,0,IF(OR(O54=0,F54=0),"N.M.",IF(ABS(P54/O54)&gt;=10,"N.M.",P54/O54))))</f>
        <v>0</v>
      </c>
    </row>
    <row r="55" spans="1:17" s="67" customFormat="1" ht="12.75" collapsed="1">
      <c r="A55" s="67" t="s">
        <v>159</v>
      </c>
      <c r="B55" s="68"/>
      <c r="C55" s="81" t="s">
        <v>80</v>
      </c>
      <c r="D55" s="66"/>
      <c r="E55" s="66"/>
      <c r="F55" s="51">
        <v>4882415.98</v>
      </c>
      <c r="G55" s="51">
        <v>5997049.57</v>
      </c>
      <c r="H55" s="51">
        <f>+F55-G55</f>
        <v>-1114633.5899999999</v>
      </c>
      <c r="I55" s="136">
        <f>IF(G55&lt;0,IF(H55=0,0,IF(OR(G55=0,F55=0),"N.M.",IF(ABS(H55/G55)&gt;=10,"N.M.",H55/(-G55)))),IF(H55=0,0,IF(OR(G55=0,F55=0),"N.M.",IF(ABS(H55/G55)&gt;=10,"N.M.",H55/G55))))</f>
        <v>-0.18586366128702847</v>
      </c>
      <c r="J55" s="157"/>
      <c r="K55" s="51">
        <v>4882415.98</v>
      </c>
      <c r="L55" s="51">
        <f t="shared" si="12"/>
        <v>0</v>
      </c>
      <c r="M55" s="136">
        <f>IF(K55&lt;0,IF(L55=0,0,IF(OR(K55=0,N55=0),"N.M.",IF(ABS(L55/K55)&gt;=10,"N.M.",L55/(-K55)))),IF(L55=0,0,IF(OR(K55=0,N55=0),"N.M.",IF(ABS(L55/K55)&gt;=10,"N.M.",L55/K55))))</f>
        <v>0</v>
      </c>
      <c r="N55" s="157"/>
      <c r="O55" s="51">
        <v>4882415.98</v>
      </c>
      <c r="P55" s="51">
        <f t="shared" si="13"/>
        <v>0</v>
      </c>
      <c r="Q55" s="136">
        <f>IF(O55&lt;0,IF(P55=0,0,IF(OR(O55=0,F55=0),"N.M.",IF(ABS(P55/O55)&gt;=10,"N.M.",P55/(-O55)))),IF(P55=0,0,IF(OR(O55=0,F55=0),"N.M.",IF(ABS(P55/O55)&gt;=10,"N.M.",P55/O55))))</f>
        <v>0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6484812.96</v>
      </c>
      <c r="G57" s="16">
        <v>10892421.7</v>
      </c>
      <c r="H57" s="16">
        <f>+F57-G57</f>
        <v>-4407608.739999999</v>
      </c>
      <c r="I57" s="53">
        <f>IF(G57&lt;0,IF(H57=0,0,IF(OR(G57=0,F57=0),"N.M.",IF(ABS(H57/G57)&gt;=10,"N.M.",H57/(-G57)))),IF(H57=0,0,IF(OR(G57=0,F57=0),"N.M.",IF(ABS(H57/G57)&gt;=10,"N.M.",H57/G57))))</f>
        <v>-0.4046491093895125</v>
      </c>
      <c r="J57" s="174"/>
      <c r="K57" s="256">
        <v>7332421.03</v>
      </c>
      <c r="L57" s="16">
        <f>+F57-K57</f>
        <v>-847608.0700000003</v>
      </c>
      <c r="M57" s="53" t="str">
        <f>IF(K57&lt;0,IF(L57=0,0,IF(OR(K57=0,N57=0),"N.M.",IF(ABS(L57/K57)&gt;=10,"N.M.",L57/(-K57)))),IF(L57=0,0,IF(OR(K57=0,N57=0),"N.M.",IF(ABS(L57/K57)&gt;=10,"N.M.",L57/K57))))</f>
        <v>N.M.</v>
      </c>
      <c r="N57" s="174"/>
      <c r="O57" s="256">
        <v>8063223.74</v>
      </c>
      <c r="P57" s="16">
        <f>+F57-O57</f>
        <v>-1578410.7800000003</v>
      </c>
      <c r="Q57" s="53">
        <f>IF(O57&lt;0,IF(P57=0,0,IF(OR(O57=0,F57=0),"N.M.",IF(ABS(P57/O57)&gt;=10,"N.M.",P57/(-O57)))),IF(P57=0,0,IF(OR(O57=0,F57=0),"N.M.",IF(ABS(P57/O57)&gt;=10,"N.M.",P57/O57))))</f>
        <v>-0.19575430756929488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-28286</v>
      </c>
      <c r="G58" s="16">
        <v>-313621</v>
      </c>
      <c r="H58" s="16">
        <f>+F58-G58</f>
        <v>285335</v>
      </c>
      <c r="I58" s="53">
        <f>IF(G58&lt;0,IF(H58=0,0,IF(OR(G58=0,F58=0),"N.M.",IF(ABS(H58/G58)&gt;=10,"N.M.",H58/(-G58)))),IF(H58=0,0,IF(OR(G58=0,F58=0),"N.M.",IF(ABS(H58/G58)&gt;=10,"N.M.",H58/G58))))</f>
        <v>0.9098083355387554</v>
      </c>
      <c r="J58" s="174"/>
      <c r="K58" s="256">
        <v>-29449</v>
      </c>
      <c r="L58" s="16">
        <f>+F58-K58</f>
        <v>1163</v>
      </c>
      <c r="M58" s="53" t="str">
        <f>IF(K58&lt;0,IF(L58=0,0,IF(OR(K58=0,N58=0),"N.M.",IF(ABS(L58/K58)&gt;=10,"N.M.",L58/(-K58)))),IF(L58=0,0,IF(OR(K58=0,N58=0),"N.M.",IF(ABS(L58/K58)&gt;=10,"N.M.",L58/K58))))</f>
        <v>N.M.</v>
      </c>
      <c r="N58" s="174"/>
      <c r="O58" s="256">
        <v>-36017</v>
      </c>
      <c r="P58" s="16">
        <f>+F58-O58</f>
        <v>7731</v>
      </c>
      <c r="Q58" s="53">
        <f>IF(O58&lt;0,IF(P58=0,0,IF(OR(O58=0,F58=0),"N.M.",IF(ABS(P58/O58)&gt;=10,"N.M.",P58/(-O58)))),IF(P58=0,0,IF(OR(O58=0,F58=0),"N.M.",IF(ABS(P58/O58)&gt;=10,"N.M.",P58/O58))))</f>
        <v>0.2146486381430991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165514</v>
      </c>
      <c r="G59" s="16">
        <v>0</v>
      </c>
      <c r="H59" s="16">
        <f>+F59-G59</f>
        <v>165514</v>
      </c>
      <c r="I59" s="53" t="str">
        <f>IF(G59&lt;0,IF(H59=0,0,IF(OR(G59=0,F59=0),"N.M.",IF(ABS(H59/G59)&gt;=10,"N.M.",H59/(-G59)))),IF(H59=0,0,IF(OR(G59=0,F59=0),"N.M.",IF(ABS(H59/G59)&gt;=10,"N.M.",H59/G59))))</f>
        <v>N.M.</v>
      </c>
      <c r="J59" s="174"/>
      <c r="K59" s="256">
        <v>113453</v>
      </c>
      <c r="L59" s="16">
        <f>+F59-K59</f>
        <v>52061</v>
      </c>
      <c r="M59" s="53" t="str">
        <f>IF(K59&lt;0,IF(L59=0,0,IF(OR(K59=0,N59=0),"N.M.",IF(ABS(L59/K59)&gt;=10,"N.M.",L59/(-K59)))),IF(L59=0,0,IF(OR(K59=0,N59=0),"N.M.",IF(ABS(L59/K59)&gt;=10,"N.M.",L59/K59))))</f>
        <v>N.M.</v>
      </c>
      <c r="N59" s="174"/>
      <c r="O59" s="256">
        <v>2466</v>
      </c>
      <c r="P59" s="16">
        <f>+F59-O59</f>
        <v>163048</v>
      </c>
      <c r="Q59" s="53" t="str">
        <f>IF(O59&lt;0,IF(P59=0,0,IF(OR(O59=0,F59=0),"N.M.",IF(ABS(P59/O59)&gt;=10,"N.M.",P59/(-O59)))),IF(P59=0,0,IF(OR(O59=0,F59=0),"N.M.",IF(ABS(P59/O59)&gt;=10,"N.M.",P59/O59))))</f>
        <v>N.M.</v>
      </c>
    </row>
    <row r="60" spans="1:17" s="67" customFormat="1" ht="12.75" collapsed="1">
      <c r="A60" s="67" t="s">
        <v>160</v>
      </c>
      <c r="B60" s="68"/>
      <c r="C60" s="81" t="s">
        <v>81</v>
      </c>
      <c r="D60" s="66"/>
      <c r="E60" s="66"/>
      <c r="F60" s="51">
        <v>6622040.96</v>
      </c>
      <c r="G60" s="51">
        <v>10578800.7</v>
      </c>
      <c r="H60" s="51">
        <f>+F60-G60</f>
        <v>-3956759.7399999993</v>
      </c>
      <c r="I60" s="136">
        <f>IF(G60&lt;0,IF(H60=0,0,IF(OR(G60=0,F60=0),"N.M.",IF(ABS(H60/G60)&gt;=10,"N.M.",H60/(-G60)))),IF(H60=0,0,IF(OR(G60=0,F60=0),"N.M.",IF(ABS(H60/G60)&gt;=10,"N.M.",H60/G60))))</f>
        <v>-0.374027250555916</v>
      </c>
      <c r="J60" s="157"/>
      <c r="K60" s="51">
        <v>7416425.03</v>
      </c>
      <c r="L60" s="51">
        <f>+F60-K60</f>
        <v>-794384.0700000003</v>
      </c>
      <c r="M60" s="136" t="str">
        <f>IF(K60&lt;0,IF(L60=0,0,IF(OR(K60=0,N60=0),"N.M.",IF(ABS(L60/K60)&gt;=10,"N.M.",L60/(-K60)))),IF(L60=0,0,IF(OR(K60=0,N60=0),"N.M.",IF(ABS(L60/K60)&gt;=10,"N.M.",L60/K60))))</f>
        <v>N.M.</v>
      </c>
      <c r="N60" s="157"/>
      <c r="O60" s="51">
        <v>8029672.74</v>
      </c>
      <c r="P60" s="51">
        <f>+F60-O60</f>
        <v>-1407631.7800000003</v>
      </c>
      <c r="Q60" s="136">
        <f>IF(O60&lt;0,IF(P60=0,0,IF(OR(O60=0,F60=0),"N.M.",IF(ABS(P60/O60)&gt;=10,"N.M.",P60/(-O60)))),IF(P60=0,0,IF(OR(O60=0,F60=0),"N.M.",IF(ABS(P60/O60)&gt;=10,"N.M.",P60/O60))))</f>
        <v>-0.1753037546583748</v>
      </c>
    </row>
    <row r="61" spans="1:17" s="75" customFormat="1" ht="12.75">
      <c r="A61" s="71" t="s">
        <v>107</v>
      </c>
      <c r="B61" s="72"/>
      <c r="C61" s="71" t="s">
        <v>138</v>
      </c>
      <c r="D61" s="73"/>
      <c r="E61" s="73"/>
      <c r="F61" s="74">
        <f>+F60+F55+F52+F50+F45+F40</f>
        <v>17298023.21</v>
      </c>
      <c r="G61" s="74">
        <f>+G60+G55+G52+G50+G45+G40</f>
        <v>22188122.47</v>
      </c>
      <c r="H61" s="74">
        <f>+F61-G61</f>
        <v>-4890099.259999998</v>
      </c>
      <c r="I61" s="137">
        <f>IF(G61&lt;0,IF(H61=0,0,IF(OR(G61=0,F61=0),"N.M.",IF(ABS(H61/G61)&gt;=10,"N.M.",H61/(-G61)))),IF(H61=0,0,IF(OR(G61=0,F61=0),"N.M.",IF(ABS(H61/G61)&gt;=10,"N.M.",H61/G61))))</f>
        <v>-0.22039265677444217</v>
      </c>
      <c r="J61" s="160" t="s">
        <v>65</v>
      </c>
      <c r="K61" s="74">
        <f>+K60+K55+K52+K50+K45+K40</f>
        <v>18093329.09</v>
      </c>
      <c r="L61" s="74">
        <f>+F61-K61</f>
        <v>-795305.879999999</v>
      </c>
      <c r="M61" s="137">
        <f>IF(K61&lt;0,IF(L61=0,0,IF(OR(K61=0,N61=0),"N.M.",IF(ABS(L61/K61)&gt;=10,"N.M.",L61/(-K61)))),IF(L61=0,0,IF(OR(K61=0,N61=0),"N.M.",IF(ABS(L61/K61)&gt;=10,"N.M.",L61/K61))))</f>
        <v>-0.04395575164990264</v>
      </c>
      <c r="N61" s="160" t="s">
        <v>65</v>
      </c>
      <c r="O61" s="74">
        <f>+O60+O55+O52+O50+O45+O40</f>
        <v>18710267.04</v>
      </c>
      <c r="P61" s="74">
        <f>+F61-O61</f>
        <v>-1412243.8299999982</v>
      </c>
      <c r="Q61" s="137">
        <f>IF(O61&lt;0,IF(P61=0,0,IF(OR(O61=0,F61=0),"N.M.",IF(ABS(P61/O61)&gt;=10,"N.M.",P61/(-O61)))),IF(P61=0,0,IF(OR(O61=0,F61=0),"N.M.",IF(ABS(P61/O61)&gt;=10,"N.M.",P61/O61))))</f>
        <v>-0.075479619130011</v>
      </c>
    </row>
    <row r="62" spans="1:17" s="75" customFormat="1" ht="9" customHeight="1">
      <c r="A62" s="71"/>
      <c r="B62" s="72"/>
      <c r="C62" s="71"/>
      <c r="D62" s="73"/>
      <c r="E62" s="73"/>
      <c r="F62" s="74"/>
      <c r="G62" s="74"/>
      <c r="H62" s="74"/>
      <c r="I62" s="137"/>
      <c r="J62" s="160"/>
      <c r="K62" s="74"/>
      <c r="L62" s="74"/>
      <c r="M62" s="137"/>
      <c r="N62" s="160"/>
      <c r="O62" s="74"/>
      <c r="P62" s="74"/>
      <c r="Q62" s="137"/>
    </row>
    <row r="63" spans="2:17" s="67" customFormat="1" ht="0.75" customHeight="1" hidden="1" outlineLevel="1">
      <c r="B63" s="68"/>
      <c r="C63" s="71"/>
      <c r="D63" s="66"/>
      <c r="E63" s="66"/>
      <c r="F63" s="51"/>
      <c r="G63" s="51"/>
      <c r="H63" s="51"/>
      <c r="I63" s="136"/>
      <c r="J63" s="157"/>
      <c r="K63" s="51"/>
      <c r="L63" s="51"/>
      <c r="M63" s="136"/>
      <c r="N63" s="157"/>
      <c r="O63" s="51"/>
      <c r="P63" s="51"/>
      <c r="Q63" s="136"/>
    </row>
    <row r="64" spans="1:17" s="15" customFormat="1" ht="12.75" hidden="1" outlineLevel="2">
      <c r="A64" s="15" t="s">
        <v>419</v>
      </c>
      <c r="B64" s="15" t="s">
        <v>420</v>
      </c>
      <c r="C64" s="134" t="s">
        <v>421</v>
      </c>
      <c r="D64" s="16"/>
      <c r="E64" s="16"/>
      <c r="F64" s="16">
        <v>828437.84</v>
      </c>
      <c r="G64" s="16">
        <v>522884.87</v>
      </c>
      <c r="H64" s="16">
        <f>+F64-G64</f>
        <v>305552.97</v>
      </c>
      <c r="I64" s="53">
        <f>IF(G64&lt;0,IF(H64=0,0,IF(OR(G64=0,F64=0),"N.M.",IF(ABS(H64/G64)&gt;=10,"N.M.",H64/(-G64)))),IF(H64=0,0,IF(OR(G64=0,F64=0),"N.M.",IF(ABS(H64/G64)&gt;=10,"N.M.",H64/G64))))</f>
        <v>0.5843599375900855</v>
      </c>
      <c r="J64" s="174"/>
      <c r="K64" s="256">
        <v>774706.48</v>
      </c>
      <c r="L64" s="16">
        <f>+F64-K64</f>
        <v>53731.359999999986</v>
      </c>
      <c r="M64" s="53" t="str">
        <f>IF(K64&lt;0,IF(L64=0,0,IF(OR(K64=0,N64=0),"N.M.",IF(ABS(L64/K64)&gt;=10,"N.M.",L64/(-K64)))),IF(L64=0,0,IF(OR(K64=0,N64=0),"N.M.",IF(ABS(L64/K64)&gt;=10,"N.M.",L64/K64))))</f>
        <v>N.M.</v>
      </c>
      <c r="N64" s="174"/>
      <c r="O64" s="256">
        <v>280972.3</v>
      </c>
      <c r="P64" s="16">
        <f>+F64-O64</f>
        <v>547465.54</v>
      </c>
      <c r="Q64" s="53">
        <f>IF(O64&lt;0,IF(P64=0,0,IF(OR(O64=0,F64=0),"N.M.",IF(ABS(P64/O64)&gt;=10,"N.M.",P64/(-O64)))),IF(P64=0,0,IF(OR(O64=0,F64=0),"N.M.",IF(ABS(P64/O64)&gt;=10,"N.M.",P64/O64))))</f>
        <v>1.9484680162421708</v>
      </c>
    </row>
    <row r="65" spans="1:17" s="67" customFormat="1" ht="12.75" hidden="1" outlineLevel="1">
      <c r="A65" s="86" t="s">
        <v>128</v>
      </c>
      <c r="B65" s="87"/>
      <c r="C65" s="83" t="s">
        <v>87</v>
      </c>
      <c r="D65" s="66"/>
      <c r="E65" s="66"/>
      <c r="F65" s="51">
        <v>828437.84</v>
      </c>
      <c r="G65" s="51">
        <v>522884.87</v>
      </c>
      <c r="H65" s="51">
        <f aca="true" t="shared" si="14" ref="H65:H74">+F65-G65</f>
        <v>305552.97</v>
      </c>
      <c r="I65" s="136">
        <f aca="true" t="shared" si="15" ref="I65:I74">IF(G65&lt;0,IF(H65=0,0,IF(OR(G65=0,F65=0),"N.M.",IF(ABS(H65/G65)&gt;=10,"N.M.",H65/(-G65)))),IF(H65=0,0,IF(OR(G65=0,F65=0),"N.M.",IF(ABS(H65/G65)&gt;=10,"N.M.",H65/G65))))</f>
        <v>0.5843599375900855</v>
      </c>
      <c r="J65" s="157"/>
      <c r="K65" s="51">
        <v>774706.48</v>
      </c>
      <c r="L65" s="51">
        <f aca="true" t="shared" si="16" ref="L65:L75">+F65-K65</f>
        <v>53731.359999999986</v>
      </c>
      <c r="M65" s="136" t="str">
        <f aca="true" t="shared" si="17" ref="M65:M75">IF(K65&lt;0,IF(L65=0,0,IF(OR(K65=0,N65=0),"N.M.",IF(ABS(L65/K65)&gt;=10,"N.M.",L65/(-K65)))),IF(L65=0,0,IF(OR(K65=0,N65=0),"N.M.",IF(ABS(L65/K65)&gt;=10,"N.M.",L65/K65))))</f>
        <v>N.M.</v>
      </c>
      <c r="N65" s="157"/>
      <c r="O65" s="51">
        <v>280972.3</v>
      </c>
      <c r="P65" s="51">
        <f aca="true" t="shared" si="18" ref="P65:P75">+F65-O65</f>
        <v>547465.54</v>
      </c>
      <c r="Q65" s="136">
        <f aca="true" t="shared" si="19" ref="Q65:Q75">IF(O65&lt;0,IF(P65=0,0,IF(OR(O65=0,F65=0),"N.M.",IF(ABS(P65/O65)&gt;=10,"N.M.",P65/(-O65)))),IF(P65=0,0,IF(OR(O65=0,F65=0),"N.M.",IF(ABS(P65/O65)&gt;=10,"N.M.",P65/O65))))</f>
        <v>1.9484680162421708</v>
      </c>
    </row>
    <row r="66" spans="1:17" s="67" customFormat="1" ht="0.75" customHeight="1" hidden="1" outlineLevel="1">
      <c r="A66" s="86"/>
      <c r="B66" s="87"/>
      <c r="C66" s="83"/>
      <c r="D66" s="66"/>
      <c r="E66" s="66"/>
      <c r="F66" s="51"/>
      <c r="G66" s="51"/>
      <c r="H66" s="51">
        <f t="shared" si="14"/>
        <v>0</v>
      </c>
      <c r="I66" s="136">
        <f t="shared" si="15"/>
        <v>0</v>
      </c>
      <c r="J66" s="157"/>
      <c r="K66" s="51"/>
      <c r="L66" s="51">
        <f t="shared" si="16"/>
        <v>0</v>
      </c>
      <c r="M66" s="136">
        <f t="shared" si="17"/>
        <v>0</v>
      </c>
      <c r="N66" s="157"/>
      <c r="O66" s="51"/>
      <c r="P66" s="51">
        <f t="shared" si="18"/>
        <v>0</v>
      </c>
      <c r="Q66" s="136">
        <f t="shared" si="19"/>
        <v>0</v>
      </c>
    </row>
    <row r="67" spans="1:17" s="15" customFormat="1" ht="12.75" hidden="1" outlineLevel="2">
      <c r="A67" s="15" t="s">
        <v>422</v>
      </c>
      <c r="B67" s="15" t="s">
        <v>423</v>
      </c>
      <c r="C67" s="134" t="s">
        <v>424</v>
      </c>
      <c r="D67" s="16"/>
      <c r="E67" s="16"/>
      <c r="F67" s="16">
        <v>1156800.59</v>
      </c>
      <c r="G67" s="16">
        <v>1943962.23</v>
      </c>
      <c r="H67" s="16">
        <f>+F67-G67</f>
        <v>-787161.6399999999</v>
      </c>
      <c r="I67" s="53">
        <f>IF(G67&lt;0,IF(H67=0,0,IF(OR(G67=0,F67=0),"N.M.",IF(ABS(H67/G67)&gt;=10,"N.M.",H67/(-G67)))),IF(H67=0,0,IF(OR(G67=0,F67=0),"N.M.",IF(ABS(H67/G67)&gt;=10,"N.M.",H67/G67))))</f>
        <v>-0.4049264064147995</v>
      </c>
      <c r="J67" s="174"/>
      <c r="K67" s="256">
        <v>1527426.19</v>
      </c>
      <c r="L67" s="16">
        <f>+F67-K67</f>
        <v>-370625.59999999986</v>
      </c>
      <c r="M67" s="53" t="str">
        <f>IF(K67&lt;0,IF(L67=0,0,IF(OR(K67=0,N67=0),"N.M.",IF(ABS(L67/K67)&gt;=10,"N.M.",L67/(-K67)))),IF(L67=0,0,IF(OR(K67=0,N67=0),"N.M.",IF(ABS(L67/K67)&gt;=10,"N.M.",L67/K67))))</f>
        <v>N.M.</v>
      </c>
      <c r="N67" s="174"/>
      <c r="O67" s="256">
        <v>1753740.25</v>
      </c>
      <c r="P67" s="16">
        <f>+F67-O67</f>
        <v>-596939.6599999999</v>
      </c>
      <c r="Q67" s="53">
        <f>IF(O67&lt;0,IF(P67=0,0,IF(OR(O67=0,F67=0),"N.M.",IF(ABS(P67/O67)&gt;=10,"N.M.",P67/(-O67)))),IF(P67=0,0,IF(OR(O67=0,F67=0),"N.M.",IF(ABS(P67/O67)&gt;=10,"N.M.",P67/O67))))</f>
        <v>-0.34038088593792604</v>
      </c>
    </row>
    <row r="68" spans="1:17" s="67" customFormat="1" ht="12.75" hidden="1" outlineLevel="1">
      <c r="A68" s="86" t="s">
        <v>129</v>
      </c>
      <c r="B68" s="87"/>
      <c r="C68" s="76" t="s">
        <v>88</v>
      </c>
      <c r="D68" s="66"/>
      <c r="E68" s="66"/>
      <c r="F68" s="51">
        <v>1156800.59</v>
      </c>
      <c r="G68" s="51">
        <v>1943962.23</v>
      </c>
      <c r="H68" s="51">
        <f t="shared" si="14"/>
        <v>-787161.6399999999</v>
      </c>
      <c r="I68" s="136">
        <f t="shared" si="15"/>
        <v>-0.4049264064147995</v>
      </c>
      <c r="J68" s="157"/>
      <c r="K68" s="51">
        <v>1527426.19</v>
      </c>
      <c r="L68" s="51">
        <f t="shared" si="16"/>
        <v>-370625.59999999986</v>
      </c>
      <c r="M68" s="136" t="str">
        <f t="shared" si="17"/>
        <v>N.M.</v>
      </c>
      <c r="N68" s="157"/>
      <c r="O68" s="51">
        <v>1753740.25</v>
      </c>
      <c r="P68" s="51">
        <f t="shared" si="18"/>
        <v>-596939.6599999999</v>
      </c>
      <c r="Q68" s="136">
        <f t="shared" si="19"/>
        <v>-0.34038088593792604</v>
      </c>
    </row>
    <row r="69" spans="1:17" s="67" customFormat="1" ht="12.75" hidden="1" outlineLevel="1">
      <c r="A69" s="86" t="s">
        <v>130</v>
      </c>
      <c r="B69" s="87"/>
      <c r="C69" s="76" t="s">
        <v>90</v>
      </c>
      <c r="D69" s="66"/>
      <c r="E69" s="66"/>
      <c r="F69" s="51">
        <v>0</v>
      </c>
      <c r="G69" s="51">
        <v>0</v>
      </c>
      <c r="H69" s="51">
        <f t="shared" si="14"/>
        <v>0</v>
      </c>
      <c r="I69" s="136">
        <f t="shared" si="15"/>
        <v>0</v>
      </c>
      <c r="J69" s="157"/>
      <c r="K69" s="51">
        <v>0</v>
      </c>
      <c r="L69" s="51">
        <f t="shared" si="16"/>
        <v>0</v>
      </c>
      <c r="M69" s="136">
        <f t="shared" si="17"/>
        <v>0</v>
      </c>
      <c r="N69" s="157"/>
      <c r="O69" s="51">
        <v>0</v>
      </c>
      <c r="P69" s="51">
        <f t="shared" si="18"/>
        <v>0</v>
      </c>
      <c r="Q69" s="136">
        <f t="shared" si="19"/>
        <v>0</v>
      </c>
    </row>
    <row r="70" spans="1:17" s="15" customFormat="1" ht="12.75" hidden="1" outlineLevel="2">
      <c r="A70" s="15" t="s">
        <v>425</v>
      </c>
      <c r="B70" s="15" t="s">
        <v>426</v>
      </c>
      <c r="C70" s="134" t="s">
        <v>427</v>
      </c>
      <c r="D70" s="16"/>
      <c r="E70" s="16"/>
      <c r="F70" s="16">
        <v>0</v>
      </c>
      <c r="G70" s="16">
        <v>4999.72</v>
      </c>
      <c r="H70" s="16">
        <f>+F70-G70</f>
        <v>-4999.72</v>
      </c>
      <c r="I70" s="53" t="str">
        <f>IF(G70&lt;0,IF(H70=0,0,IF(OR(G70=0,F70=0),"N.M.",IF(ABS(H70/G70)&gt;=10,"N.M.",H70/(-G70)))),IF(H70=0,0,IF(OR(G70=0,F70=0),"N.M.",IF(ABS(H70/G70)&gt;=10,"N.M.",H70/G70))))</f>
        <v>N.M.</v>
      </c>
      <c r="J70" s="174"/>
      <c r="K70" s="256">
        <v>0</v>
      </c>
      <c r="L70" s="16">
        <f>+F70-K70</f>
        <v>0</v>
      </c>
      <c r="M70" s="53">
        <f>IF(K70&lt;0,IF(L70=0,0,IF(OR(K70=0,N70=0),"N.M.",IF(ABS(L70/K70)&gt;=10,"N.M.",L70/(-K70)))),IF(L70=0,0,IF(OR(K70=0,N70=0),"N.M.",IF(ABS(L70/K70)&gt;=10,"N.M.",L70/K70))))</f>
        <v>0</v>
      </c>
      <c r="N70" s="174"/>
      <c r="O70" s="256">
        <v>0</v>
      </c>
      <c r="P70" s="16">
        <f>+F70-O70</f>
        <v>0</v>
      </c>
      <c r="Q70" s="53">
        <f>IF(O70&lt;0,IF(P70=0,0,IF(OR(O70=0,F70=0),"N.M.",IF(ABS(P70/O70)&gt;=10,"N.M.",P70/(-O70)))),IF(P70=0,0,IF(OR(O70=0,F70=0),"N.M.",IF(ABS(P70/O70)&gt;=10,"N.M.",P70/O70))))</f>
        <v>0</v>
      </c>
    </row>
    <row r="71" spans="1:17" s="67" customFormat="1" ht="12.75" hidden="1" outlineLevel="1">
      <c r="A71" s="86" t="s">
        <v>131</v>
      </c>
      <c r="B71" s="87"/>
      <c r="C71" s="76" t="s">
        <v>89</v>
      </c>
      <c r="D71" s="66"/>
      <c r="E71" s="66"/>
      <c r="F71" s="51">
        <v>0</v>
      </c>
      <c r="G71" s="51">
        <v>4999.72</v>
      </c>
      <c r="H71" s="51">
        <f t="shared" si="14"/>
        <v>-4999.72</v>
      </c>
      <c r="I71" s="136" t="str">
        <f t="shared" si="15"/>
        <v>N.M.</v>
      </c>
      <c r="J71" s="157"/>
      <c r="K71" s="51">
        <v>0</v>
      </c>
      <c r="L71" s="51">
        <f t="shared" si="16"/>
        <v>0</v>
      </c>
      <c r="M71" s="136">
        <f t="shared" si="17"/>
        <v>0</v>
      </c>
      <c r="N71" s="157"/>
      <c r="O71" s="51">
        <v>0</v>
      </c>
      <c r="P71" s="51">
        <f t="shared" si="18"/>
        <v>0</v>
      </c>
      <c r="Q71" s="136">
        <f t="shared" si="19"/>
        <v>0</v>
      </c>
    </row>
    <row r="72" spans="1:17" s="67" customFormat="1" ht="12.75" hidden="1" outlineLevel="1">
      <c r="A72" s="86" t="s">
        <v>239</v>
      </c>
      <c r="B72" s="87"/>
      <c r="C72" s="52" t="s">
        <v>240</v>
      </c>
      <c r="D72" s="66"/>
      <c r="E72" s="66"/>
      <c r="F72" s="197">
        <v>0</v>
      </c>
      <c r="G72" s="197">
        <v>0</v>
      </c>
      <c r="H72" s="197">
        <f>+F72-G72</f>
        <v>0</v>
      </c>
      <c r="I72" s="138">
        <f>IF(G72&lt;0,IF(H72=0,0,IF(OR(G72=0,F72=0),"N.M.",IF(ABS(H72/G72)&gt;=10,"N.M.",H72/(-G72)))),IF(H72=0,0,IF(OR(G72=0,F72=0),"N.M.",IF(ABS(H72/G72)&gt;=10,"N.M.",H72/G72))))</f>
        <v>0</v>
      </c>
      <c r="J72" s="157"/>
      <c r="K72" s="197">
        <v>0</v>
      </c>
      <c r="L72" s="197">
        <f t="shared" si="16"/>
        <v>0</v>
      </c>
      <c r="M72" s="138">
        <f t="shared" si="17"/>
        <v>0</v>
      </c>
      <c r="N72" s="157"/>
      <c r="O72" s="197">
        <v>0</v>
      </c>
      <c r="P72" s="197">
        <f t="shared" si="18"/>
        <v>0</v>
      </c>
      <c r="Q72" s="138">
        <f>IF(O72&lt;0,IF(P72=0,0,IF(OR(O72=0,F72=0),"N.M.",IF(ABS(P72/O72)&gt;=10,"N.M.",P72/(-O72)))),IF(P72=0,0,IF(OR(O72=0,F72=0),"N.M.",IF(ABS(P72/O72)&gt;=10,"N.M.",P72/O72))))</f>
        <v>0</v>
      </c>
    </row>
    <row r="73" spans="1:17" s="67" customFormat="1" ht="12.75" hidden="1" outlineLevel="1">
      <c r="A73" s="86" t="s">
        <v>231</v>
      </c>
      <c r="B73" s="87"/>
      <c r="C73" s="83" t="s">
        <v>92</v>
      </c>
      <c r="D73" s="66"/>
      <c r="E73" s="66"/>
      <c r="F73" s="51">
        <f>+F71+F69+F68+F72</f>
        <v>1156800.59</v>
      </c>
      <c r="G73" s="51">
        <f>+G71+G69+G68+G72</f>
        <v>1948961.95</v>
      </c>
      <c r="H73" s="51">
        <f>+F73-G73</f>
        <v>-792161.3599999999</v>
      </c>
      <c r="I73" s="136">
        <f t="shared" si="15"/>
        <v>-0.4064529633326089</v>
      </c>
      <c r="J73" s="157"/>
      <c r="K73" s="51">
        <f>+K71+K69+K68+K72</f>
        <v>1527426.19</v>
      </c>
      <c r="L73" s="51">
        <f t="shared" si="16"/>
        <v>-370625.59999999986</v>
      </c>
      <c r="M73" s="136" t="str">
        <f t="shared" si="17"/>
        <v>N.M.</v>
      </c>
      <c r="N73" s="157"/>
      <c r="O73" s="51">
        <f>+O71+O69+O68+O72</f>
        <v>1753740.25</v>
      </c>
      <c r="P73" s="51">
        <f t="shared" si="18"/>
        <v>-596939.6599999999</v>
      </c>
      <c r="Q73" s="136">
        <f t="shared" si="19"/>
        <v>-0.34038088593792604</v>
      </c>
    </row>
    <row r="74" spans="1:17" s="67" customFormat="1" ht="12.75" hidden="1" outlineLevel="1">
      <c r="A74" s="86" t="s">
        <v>132</v>
      </c>
      <c r="B74" s="87"/>
      <c r="C74" s="83" t="s">
        <v>91</v>
      </c>
      <c r="D74" s="66"/>
      <c r="E74" s="66"/>
      <c r="F74" s="51">
        <v>0</v>
      </c>
      <c r="G74" s="51">
        <v>0</v>
      </c>
      <c r="H74" s="51">
        <f t="shared" si="14"/>
        <v>0</v>
      </c>
      <c r="I74" s="136">
        <f t="shared" si="15"/>
        <v>0</v>
      </c>
      <c r="J74" s="157"/>
      <c r="K74" s="51">
        <v>0</v>
      </c>
      <c r="L74" s="51">
        <f t="shared" si="16"/>
        <v>0</v>
      </c>
      <c r="M74" s="136">
        <f t="shared" si="17"/>
        <v>0</v>
      </c>
      <c r="N74" s="157"/>
      <c r="O74" s="51">
        <v>0</v>
      </c>
      <c r="P74" s="51">
        <f t="shared" si="18"/>
        <v>0</v>
      </c>
      <c r="Q74" s="136">
        <f t="shared" si="19"/>
        <v>0</v>
      </c>
    </row>
    <row r="75" spans="1:17" s="67" customFormat="1" ht="12.75" collapsed="1">
      <c r="A75" s="67" t="s">
        <v>232</v>
      </c>
      <c r="B75" s="87"/>
      <c r="C75" s="82" t="s">
        <v>87</v>
      </c>
      <c r="D75" s="66"/>
      <c r="E75" s="66"/>
      <c r="F75" s="51">
        <f>+F74+F73+F65</f>
        <v>1985238.4300000002</v>
      </c>
      <c r="G75" s="51">
        <f>+G74+G73+G65</f>
        <v>2471846.82</v>
      </c>
      <c r="H75" s="51">
        <f>+F75-G75</f>
        <v>-486608.38999999966</v>
      </c>
      <c r="I75" s="136">
        <f>IF(G75&lt;0,IF(H75=0,0,IF(OR(G75=0,F75=0),"N.M.",IF(ABS(H75/G75)&gt;=10,"N.M.",H75/(-G75)))),IF(H75=0,0,IF(OR(G75=0,F75=0),"N.M.",IF(ABS(H75/G75)&gt;=10,"N.M.",H75/G75))))</f>
        <v>-0.19686025285337047</v>
      </c>
      <c r="J75" s="157"/>
      <c r="K75" s="51">
        <f>+K74+K73+K65</f>
        <v>2302132.67</v>
      </c>
      <c r="L75" s="51">
        <f t="shared" si="16"/>
        <v>-316894.23999999976</v>
      </c>
      <c r="M75" s="136" t="str">
        <f t="shared" si="17"/>
        <v>N.M.</v>
      </c>
      <c r="N75" s="157"/>
      <c r="O75" s="51">
        <f>+O74+O73+O65</f>
        <v>2034712.55</v>
      </c>
      <c r="P75" s="51">
        <f t="shared" si="18"/>
        <v>-49474.11999999988</v>
      </c>
      <c r="Q75" s="136">
        <f t="shared" si="19"/>
        <v>-0.024315041453889828</v>
      </c>
    </row>
    <row r="76" spans="2:17" s="67" customFormat="1" ht="0.75" customHeight="1" hidden="1" outlineLevel="1">
      <c r="B76" s="87"/>
      <c r="C76" s="82"/>
      <c r="D76" s="66"/>
      <c r="E76" s="66"/>
      <c r="F76" s="51"/>
      <c r="G76" s="51"/>
      <c r="H76" s="51"/>
      <c r="I76" s="136"/>
      <c r="J76" s="157"/>
      <c r="K76" s="51"/>
      <c r="L76" s="51"/>
      <c r="M76" s="136"/>
      <c r="N76" s="157"/>
      <c r="O76" s="51"/>
      <c r="P76" s="51"/>
      <c r="Q76" s="136"/>
    </row>
    <row r="77" spans="1:17" s="15" customFormat="1" ht="12.75" hidden="1" outlineLevel="2">
      <c r="A77" s="15" t="s">
        <v>428</v>
      </c>
      <c r="B77" s="15" t="s">
        <v>429</v>
      </c>
      <c r="C77" s="134" t="s">
        <v>430</v>
      </c>
      <c r="D77" s="16"/>
      <c r="E77" s="16"/>
      <c r="F77" s="16">
        <v>97635959.11</v>
      </c>
      <c r="G77" s="16">
        <v>0</v>
      </c>
      <c r="H77" s="16">
        <f>+F77-G77</f>
        <v>97635959.11</v>
      </c>
      <c r="I77" s="53" t="str">
        <f>IF(G77&lt;0,IF(H77=0,0,IF(OR(G77=0,F77=0),"N.M.",IF(ABS(H77/G77)&gt;=10,"N.M.",H77/(-G77)))),IF(H77=0,0,IF(OR(G77=0,F77=0),"N.M.",IF(ABS(H77/G77)&gt;=10,"N.M.",H77/G77))))</f>
        <v>N.M.</v>
      </c>
      <c r="J77" s="174"/>
      <c r="K77" s="256">
        <v>92448625.35</v>
      </c>
      <c r="L77" s="16">
        <f>+F77-K77</f>
        <v>5187333.760000005</v>
      </c>
      <c r="M77" s="53" t="str">
        <f>IF(K77&lt;0,IF(L77=0,0,IF(OR(K77=0,N77=0),"N.M.",IF(ABS(L77/K77)&gt;=10,"N.M.",L77/(-K77)))),IF(L77=0,0,IF(OR(K77=0,N77=0),"N.M.",IF(ABS(L77/K77)&gt;=10,"N.M.",L77/K77))))</f>
        <v>N.M.</v>
      </c>
      <c r="N77" s="174"/>
      <c r="O77" s="256">
        <v>67059742.87</v>
      </c>
      <c r="P77" s="16">
        <f>+F77-O77</f>
        <v>30576216.240000002</v>
      </c>
      <c r="Q77" s="53">
        <f>IF(O77&lt;0,IF(P77=0,0,IF(OR(O77=0,F77=0),"N.M.",IF(ABS(P77/O77)&gt;=10,"N.M.",P77/(-O77)))),IF(P77=0,0,IF(OR(O77=0,F77=0),"N.M.",IF(ABS(P77/O77)&gt;=10,"N.M.",P77/O77))))</f>
        <v>0.4559548684711502</v>
      </c>
    </row>
    <row r="78" spans="1:17" s="67" customFormat="1" ht="12.75" collapsed="1">
      <c r="A78" s="67" t="s">
        <v>133</v>
      </c>
      <c r="B78" s="87"/>
      <c r="C78" s="82" t="s">
        <v>93</v>
      </c>
      <c r="D78" s="66"/>
      <c r="E78" s="66"/>
      <c r="F78" s="51">
        <v>97635959.11</v>
      </c>
      <c r="G78" s="51">
        <v>0</v>
      </c>
      <c r="H78" s="51">
        <f>+F78-G78</f>
        <v>97635959.11</v>
      </c>
      <c r="I78" s="136" t="str">
        <f>IF(G78&lt;0,IF(H78=0,0,IF(OR(G78=0,F78=0),"N.M.",IF(ABS(H78/G78)&gt;=10,"N.M.",H78/(-G78)))),IF(H78=0,0,IF(OR(G78=0,F78=0),"N.M.",IF(ABS(H78/G78)&gt;=10,"N.M.",H78/G78))))</f>
        <v>N.M.</v>
      </c>
      <c r="J78" s="157"/>
      <c r="K78" s="51">
        <v>92448625.35</v>
      </c>
      <c r="L78" s="51">
        <f>+F78-K78</f>
        <v>5187333.760000005</v>
      </c>
      <c r="M78" s="136" t="str">
        <f>IF(K78&lt;0,IF(L78=0,0,IF(OR(K78=0,N78=0),"N.M.",IF(ABS(L78/K78)&gt;=10,"N.M.",L78/(-K78)))),IF(L78=0,0,IF(OR(K78=0,N78=0),"N.M.",IF(ABS(L78/K78)&gt;=10,"N.M.",L78/K78))))</f>
        <v>N.M.</v>
      </c>
      <c r="N78" s="157"/>
      <c r="O78" s="51">
        <v>67059742.87</v>
      </c>
      <c r="P78" s="51">
        <f>+F78-O78</f>
        <v>30576216.240000002</v>
      </c>
      <c r="Q78" s="136">
        <f>IF(O78&lt;0,IF(P78=0,0,IF(OR(O78=0,F78=0),"N.M.",IF(ABS(P78/O78)&gt;=10,"N.M.",P78/(-O78)))),IF(P78=0,0,IF(OR(O78=0,F78=0),"N.M.",IF(ABS(P78/O78)&gt;=10,"N.M.",P78/O78))))</f>
        <v>0.4559548684711502</v>
      </c>
    </row>
    <row r="79" spans="2:17" s="67" customFormat="1" ht="0.75" customHeight="1" hidden="1" outlineLevel="1">
      <c r="B79" s="87"/>
      <c r="C79" s="82"/>
      <c r="D79" s="66"/>
      <c r="E79" s="66"/>
      <c r="F79" s="51"/>
      <c r="G79" s="51"/>
      <c r="H79" s="51"/>
      <c r="I79" s="136"/>
      <c r="J79" s="157"/>
      <c r="K79" s="51"/>
      <c r="L79" s="51"/>
      <c r="M79" s="136"/>
      <c r="N79" s="157"/>
      <c r="O79" s="51"/>
      <c r="P79" s="51"/>
      <c r="Q79" s="136"/>
    </row>
    <row r="80" spans="1:17" s="15" customFormat="1" ht="12.75" hidden="1" outlineLevel="2">
      <c r="A80" s="15" t="s">
        <v>431</v>
      </c>
      <c r="B80" s="15" t="s">
        <v>432</v>
      </c>
      <c r="C80" s="134" t="s">
        <v>433</v>
      </c>
      <c r="D80" s="16"/>
      <c r="E80" s="16"/>
      <c r="F80" s="16">
        <v>33419733.226</v>
      </c>
      <c r="G80" s="16">
        <v>25185092.846</v>
      </c>
      <c r="H80" s="16">
        <f aca="true" t="shared" si="20" ref="H80:H94">+F80-G80</f>
        <v>8234640.379999999</v>
      </c>
      <c r="I80" s="53">
        <f aca="true" t="shared" si="21" ref="I80:I94">IF(G80&lt;0,IF(H80=0,0,IF(OR(G80=0,F80=0),"N.M.",IF(ABS(H80/G80)&gt;=10,"N.M.",H80/(-G80)))),IF(H80=0,0,IF(OR(G80=0,F80=0),"N.M.",IF(ABS(H80/G80)&gt;=10,"N.M.",H80/G80))))</f>
        <v>0.32696486093390986</v>
      </c>
      <c r="J80" s="174"/>
      <c r="K80" s="256">
        <v>35872437.646</v>
      </c>
      <c r="L80" s="16">
        <f aca="true" t="shared" si="22" ref="L80:L94">+F80-K80</f>
        <v>-2452704.419999998</v>
      </c>
      <c r="M80" s="53" t="str">
        <f aca="true" t="shared" si="23" ref="M80:M94">IF(K80&lt;0,IF(L80=0,0,IF(OR(K80=0,N80=0),"N.M.",IF(ABS(L80/K80)&gt;=10,"N.M.",L80/(-K80)))),IF(L80=0,0,IF(OR(K80=0,N80=0),"N.M.",IF(ABS(L80/K80)&gt;=10,"N.M.",L80/K80))))</f>
        <v>N.M.</v>
      </c>
      <c r="N80" s="174"/>
      <c r="O80" s="256">
        <v>37513873.606</v>
      </c>
      <c r="P80" s="16">
        <f aca="true" t="shared" si="24" ref="P80:P94">+F80-O80</f>
        <v>-4094140.379999999</v>
      </c>
      <c r="Q80" s="53">
        <f aca="true" t="shared" si="25" ref="Q80:Q94">IF(O80&lt;0,IF(P80=0,0,IF(OR(O80=0,F80=0),"N.M.",IF(ABS(P80/O80)&gt;=10,"N.M.",P80/(-O80)))),IF(P80=0,0,IF(OR(O80=0,F80=0),"N.M.",IF(ABS(P80/O80)&gt;=10,"N.M.",P80/O80))))</f>
        <v>-0.1091367002778721</v>
      </c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374212.11</v>
      </c>
      <c r="G81" s="16">
        <v>663925.43</v>
      </c>
      <c r="H81" s="16">
        <f t="shared" si="20"/>
        <v>-289713.32000000007</v>
      </c>
      <c r="I81" s="53">
        <f t="shared" si="21"/>
        <v>-0.4363642465088286</v>
      </c>
      <c r="J81" s="174"/>
      <c r="K81" s="256">
        <v>468976.45</v>
      </c>
      <c r="L81" s="16">
        <f t="shared" si="22"/>
        <v>-94764.34000000003</v>
      </c>
      <c r="M81" s="53" t="str">
        <f t="shared" si="23"/>
        <v>N.M.</v>
      </c>
      <c r="N81" s="174"/>
      <c r="O81" s="256">
        <v>665768.93</v>
      </c>
      <c r="P81" s="16">
        <f t="shared" si="24"/>
        <v>-291556.82000000007</v>
      </c>
      <c r="Q81" s="53">
        <f t="shared" si="25"/>
        <v>-0.4379249419164094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4548</v>
      </c>
      <c r="G82" s="16">
        <v>8988</v>
      </c>
      <c r="H82" s="16">
        <f t="shared" si="20"/>
        <v>-4440</v>
      </c>
      <c r="I82" s="53">
        <f t="shared" si="21"/>
        <v>-0.4939919893190921</v>
      </c>
      <c r="J82" s="174"/>
      <c r="K82" s="256">
        <v>4488</v>
      </c>
      <c r="L82" s="16">
        <f t="shared" si="22"/>
        <v>60</v>
      </c>
      <c r="M82" s="53" t="str">
        <f t="shared" si="23"/>
        <v>N.M.</v>
      </c>
      <c r="N82" s="174"/>
      <c r="O82" s="256">
        <v>16704</v>
      </c>
      <c r="P82" s="16">
        <f t="shared" si="24"/>
        <v>-12156</v>
      </c>
      <c r="Q82" s="53">
        <f t="shared" si="25"/>
        <v>-0.7277298850574713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-32067435</v>
      </c>
      <c r="G83" s="16">
        <v>-24272254.34</v>
      </c>
      <c r="H83" s="16">
        <f t="shared" si="20"/>
        <v>-7795180.66</v>
      </c>
      <c r="I83" s="53">
        <f t="shared" si="21"/>
        <v>-0.3211560224611588</v>
      </c>
      <c r="J83" s="174"/>
      <c r="K83" s="256">
        <v>-34051992.16</v>
      </c>
      <c r="L83" s="16">
        <f t="shared" si="22"/>
        <v>1984557.1599999964</v>
      </c>
      <c r="M83" s="53" t="str">
        <f t="shared" si="23"/>
        <v>N.M.</v>
      </c>
      <c r="N83" s="174"/>
      <c r="O83" s="256">
        <v>-35446282.39</v>
      </c>
      <c r="P83" s="16">
        <f t="shared" si="24"/>
        <v>3378847.3900000006</v>
      </c>
      <c r="Q83" s="53">
        <f t="shared" si="25"/>
        <v>0.09532303988395778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6605535.82</v>
      </c>
      <c r="G84" s="16">
        <v>8384363.932</v>
      </c>
      <c r="H84" s="16">
        <f t="shared" si="20"/>
        <v>-1778828.1119999997</v>
      </c>
      <c r="I84" s="53">
        <f t="shared" si="21"/>
        <v>-0.21216017415595168</v>
      </c>
      <c r="J84" s="174"/>
      <c r="K84" s="256">
        <v>6610427.832</v>
      </c>
      <c r="L84" s="16">
        <f t="shared" si="22"/>
        <v>-4892.012000000104</v>
      </c>
      <c r="M84" s="53" t="str">
        <f t="shared" si="23"/>
        <v>N.M.</v>
      </c>
      <c r="N84" s="174"/>
      <c r="O84" s="256">
        <v>8775618.812</v>
      </c>
      <c r="P84" s="16">
        <f t="shared" si="24"/>
        <v>-2170082.9920000006</v>
      </c>
      <c r="Q84" s="53">
        <f t="shared" si="25"/>
        <v>-0.2472854665283062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411225.34</v>
      </c>
      <c r="G85" s="16">
        <v>333268.61</v>
      </c>
      <c r="H85" s="16">
        <f t="shared" si="20"/>
        <v>77956.73000000004</v>
      </c>
      <c r="I85" s="53">
        <f t="shared" si="21"/>
        <v>0.23391560939387615</v>
      </c>
      <c r="J85" s="174"/>
      <c r="K85" s="256">
        <v>249696.98</v>
      </c>
      <c r="L85" s="16">
        <f t="shared" si="22"/>
        <v>161528.36000000002</v>
      </c>
      <c r="M85" s="53" t="str">
        <f t="shared" si="23"/>
        <v>N.M.</v>
      </c>
      <c r="N85" s="174"/>
      <c r="O85" s="256">
        <v>362252.92</v>
      </c>
      <c r="P85" s="16">
        <f t="shared" si="24"/>
        <v>48972.42000000004</v>
      </c>
      <c r="Q85" s="53">
        <f t="shared" si="25"/>
        <v>0.13518847549938326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-28</v>
      </c>
      <c r="G86" s="16">
        <v>0</v>
      </c>
      <c r="H86" s="16">
        <f t="shared" si="20"/>
        <v>-28</v>
      </c>
      <c r="I86" s="53" t="str">
        <f t="shared" si="21"/>
        <v>N.M.</v>
      </c>
      <c r="J86" s="174"/>
      <c r="K86" s="256">
        <v>-28</v>
      </c>
      <c r="L86" s="16">
        <f t="shared" si="22"/>
        <v>0</v>
      </c>
      <c r="M86" s="53">
        <f t="shared" si="23"/>
        <v>0</v>
      </c>
      <c r="N86" s="174"/>
      <c r="O86" s="256">
        <v>593592</v>
      </c>
      <c r="P86" s="16">
        <f t="shared" si="24"/>
        <v>-593620</v>
      </c>
      <c r="Q86" s="53">
        <f t="shared" si="25"/>
        <v>-1.000047170447041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96285.61</v>
      </c>
      <c r="G87" s="16">
        <v>0</v>
      </c>
      <c r="H87" s="16">
        <f t="shared" si="20"/>
        <v>96285.61</v>
      </c>
      <c r="I87" s="53" t="str">
        <f t="shared" si="21"/>
        <v>N.M.</v>
      </c>
      <c r="J87" s="174"/>
      <c r="K87" s="256">
        <v>113899.75</v>
      </c>
      <c r="L87" s="16">
        <f t="shared" si="22"/>
        <v>-17614.14</v>
      </c>
      <c r="M87" s="53" t="str">
        <f t="shared" si="23"/>
        <v>N.M.</v>
      </c>
      <c r="N87" s="174"/>
      <c r="O87" s="256">
        <v>0</v>
      </c>
      <c r="P87" s="16">
        <f t="shared" si="24"/>
        <v>96285.61</v>
      </c>
      <c r="Q87" s="53" t="str">
        <f t="shared" si="25"/>
        <v>N.M.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4332976</v>
      </c>
      <c r="G88" s="16">
        <v>4926959</v>
      </c>
      <c r="H88" s="16">
        <f t="shared" si="20"/>
        <v>-593983</v>
      </c>
      <c r="I88" s="53">
        <f t="shared" si="21"/>
        <v>-0.12055773145260595</v>
      </c>
      <c r="J88" s="174"/>
      <c r="K88" s="256">
        <v>4435447.3</v>
      </c>
      <c r="L88" s="16">
        <f t="shared" si="22"/>
        <v>-102471.29999999981</v>
      </c>
      <c r="M88" s="53" t="str">
        <f t="shared" si="23"/>
        <v>N.M.</v>
      </c>
      <c r="N88" s="174"/>
      <c r="O88" s="256">
        <v>5932642</v>
      </c>
      <c r="P88" s="16">
        <f t="shared" si="24"/>
        <v>-1599666</v>
      </c>
      <c r="Q88" s="53">
        <f t="shared" si="25"/>
        <v>-0.2696380465903724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0.001</v>
      </c>
      <c r="G89" s="16">
        <v>0.001</v>
      </c>
      <c r="H89" s="16">
        <f t="shared" si="20"/>
        <v>0</v>
      </c>
      <c r="I89" s="53">
        <f t="shared" si="21"/>
        <v>0</v>
      </c>
      <c r="J89" s="174"/>
      <c r="K89" s="256">
        <v>530332.281</v>
      </c>
      <c r="L89" s="16">
        <f t="shared" si="22"/>
        <v>-530332.2799999999</v>
      </c>
      <c r="M89" s="53" t="str">
        <f t="shared" si="23"/>
        <v>N.M.</v>
      </c>
      <c r="N89" s="174"/>
      <c r="O89" s="256">
        <v>0.001</v>
      </c>
      <c r="P89" s="16">
        <f t="shared" si="24"/>
        <v>0</v>
      </c>
      <c r="Q89" s="53">
        <f t="shared" si="25"/>
        <v>0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6467.860000000001</v>
      </c>
      <c r="G90" s="16">
        <v>12967.960000000001</v>
      </c>
      <c r="H90" s="16">
        <f t="shared" si="20"/>
        <v>-6500.1</v>
      </c>
      <c r="I90" s="53">
        <f t="shared" si="21"/>
        <v>-0.5012430636738546</v>
      </c>
      <c r="J90" s="174"/>
      <c r="K90" s="256">
        <v>14296.130000000001</v>
      </c>
      <c r="L90" s="16">
        <f t="shared" si="22"/>
        <v>-7828.27</v>
      </c>
      <c r="M90" s="53" t="str">
        <f t="shared" si="23"/>
        <v>N.M.</v>
      </c>
      <c r="N90" s="174"/>
      <c r="O90" s="256">
        <v>4022.19</v>
      </c>
      <c r="P90" s="16">
        <f t="shared" si="24"/>
        <v>2445.6700000000005</v>
      </c>
      <c r="Q90" s="53">
        <f t="shared" si="25"/>
        <v>0.6080443738361441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263128.23</v>
      </c>
      <c r="G91" s="16">
        <v>342671.96</v>
      </c>
      <c r="H91" s="16">
        <f t="shared" si="20"/>
        <v>-79543.73000000004</v>
      </c>
      <c r="I91" s="53">
        <f t="shared" si="21"/>
        <v>-0.23212792199280044</v>
      </c>
      <c r="J91" s="174"/>
      <c r="K91" s="256">
        <v>472432.35000000003</v>
      </c>
      <c r="L91" s="16">
        <f t="shared" si="22"/>
        <v>-209304.12000000005</v>
      </c>
      <c r="M91" s="53" t="str">
        <f t="shared" si="23"/>
        <v>N.M.</v>
      </c>
      <c r="N91" s="174"/>
      <c r="O91" s="256">
        <v>295983.53</v>
      </c>
      <c r="P91" s="16">
        <f t="shared" si="24"/>
        <v>-32855.30000000005</v>
      </c>
      <c r="Q91" s="53">
        <f t="shared" si="25"/>
        <v>-0.11100381159721977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10021.72</v>
      </c>
      <c r="G92" s="16">
        <v>60024.56</v>
      </c>
      <c r="H92" s="16">
        <f t="shared" si="20"/>
        <v>-50002.84</v>
      </c>
      <c r="I92" s="53">
        <f t="shared" si="21"/>
        <v>-0.8330396757593891</v>
      </c>
      <c r="J92" s="174"/>
      <c r="K92" s="256">
        <v>3003.88</v>
      </c>
      <c r="L92" s="16">
        <f t="shared" si="22"/>
        <v>7017.839999999999</v>
      </c>
      <c r="M92" s="53" t="str">
        <f t="shared" si="23"/>
        <v>N.M.</v>
      </c>
      <c r="N92" s="174"/>
      <c r="O92" s="256">
        <v>214289.54</v>
      </c>
      <c r="P92" s="16">
        <f t="shared" si="24"/>
        <v>-204267.82</v>
      </c>
      <c r="Q92" s="53">
        <f t="shared" si="25"/>
        <v>-0.9532328082835961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0</v>
      </c>
      <c r="G93" s="16">
        <v>0</v>
      </c>
      <c r="H93" s="16">
        <f t="shared" si="20"/>
        <v>0</v>
      </c>
      <c r="I93" s="53">
        <f t="shared" si="21"/>
        <v>0</v>
      </c>
      <c r="J93" s="174"/>
      <c r="K93" s="256">
        <v>0</v>
      </c>
      <c r="L93" s="16">
        <f t="shared" si="22"/>
        <v>0</v>
      </c>
      <c r="M93" s="53">
        <f t="shared" si="23"/>
        <v>0</v>
      </c>
      <c r="N93" s="174"/>
      <c r="O93" s="256">
        <v>480008.08</v>
      </c>
      <c r="P93" s="16">
        <f t="shared" si="24"/>
        <v>-480008.08</v>
      </c>
      <c r="Q93" s="53" t="str">
        <f t="shared" si="25"/>
        <v>N.M.</v>
      </c>
    </row>
    <row r="94" spans="1:17" s="15" customFormat="1" ht="12.75" hidden="1" outlineLevel="2">
      <c r="A94" s="15" t="s">
        <v>473</v>
      </c>
      <c r="B94" s="15" t="s">
        <v>474</v>
      </c>
      <c r="C94" s="134" t="s">
        <v>475</v>
      </c>
      <c r="D94" s="16"/>
      <c r="E94" s="16"/>
      <c r="F94" s="16">
        <v>0</v>
      </c>
      <c r="G94" s="16">
        <v>21531.64</v>
      </c>
      <c r="H94" s="16">
        <f t="shared" si="20"/>
        <v>-21531.64</v>
      </c>
      <c r="I94" s="53" t="str">
        <f t="shared" si="21"/>
        <v>N.M.</v>
      </c>
      <c r="J94" s="174"/>
      <c r="K94" s="256">
        <v>0</v>
      </c>
      <c r="L94" s="16">
        <f t="shared" si="22"/>
        <v>0</v>
      </c>
      <c r="M94" s="53">
        <f t="shared" si="23"/>
        <v>0</v>
      </c>
      <c r="N94" s="174"/>
      <c r="O94" s="256">
        <v>0</v>
      </c>
      <c r="P94" s="16">
        <f t="shared" si="24"/>
        <v>0</v>
      </c>
      <c r="Q94" s="53">
        <f t="shared" si="25"/>
        <v>0</v>
      </c>
    </row>
    <row r="95" spans="1:17" s="67" customFormat="1" ht="12.75" collapsed="1">
      <c r="A95" s="67" t="s">
        <v>134</v>
      </c>
      <c r="B95" s="87"/>
      <c r="C95" s="82" t="s">
        <v>94</v>
      </c>
      <c r="D95" s="66"/>
      <c r="E95" s="66"/>
      <c r="F95" s="51">
        <v>13456670.917000003</v>
      </c>
      <c r="G95" s="51">
        <v>15667539.599000003</v>
      </c>
      <c r="H95" s="51">
        <f>+F95-G95</f>
        <v>-2210868.682</v>
      </c>
      <c r="I95" s="136">
        <f>IF(G95&lt;0,IF(H95=0,0,IF(OR(G95=0,F95=0),"N.M.",IF(ABS(H95/G95)&gt;=10,"N.M.",H95/(-G95)))),IF(H95=0,0,IF(OR(G95=0,F95=0),"N.M.",IF(ABS(H95/G95)&gt;=10,"N.M.",H95/G95))))</f>
        <v>-0.14111141497552757</v>
      </c>
      <c r="J95" s="157"/>
      <c r="K95" s="51">
        <v>14723418.439000005</v>
      </c>
      <c r="L95" s="51">
        <f>+F95-K95</f>
        <v>-1266747.5220000017</v>
      </c>
      <c r="M95" s="136" t="str">
        <f>IF(K95&lt;0,IF(L95=0,0,IF(OR(K95=0,N95=0),"N.M.",IF(ABS(L95/K95)&gt;=10,"N.M.",L95/(-K95)))),IF(L95=0,0,IF(OR(K95=0,N95=0),"N.M.",IF(ABS(L95/K95)&gt;=10,"N.M.",L95/K95))))</f>
        <v>N.M.</v>
      </c>
      <c r="N95" s="157"/>
      <c r="O95" s="51">
        <v>19408473.218999997</v>
      </c>
      <c r="P95" s="51">
        <f>+F95-O95</f>
        <v>-5951802.301999994</v>
      </c>
      <c r="Q95" s="136">
        <f>IF(O95&lt;0,IF(P95=0,0,IF(OR(O95=0,F95=0),"N.M.",IF(ABS(P95/O95)&gt;=10,"N.M.",P95/(-O95)))),IF(P95=0,0,IF(OR(O95=0,F95=0),"N.M.",IF(ABS(P95/O95)&gt;=10,"N.M.",P95/O95))))</f>
        <v>-0.30665999508778746</v>
      </c>
    </row>
    <row r="96" spans="2:17" s="67" customFormat="1" ht="0.75" customHeight="1" hidden="1" outlineLevel="1">
      <c r="B96" s="87"/>
      <c r="C96" s="82"/>
      <c r="D96" s="66"/>
      <c r="E96" s="66"/>
      <c r="F96" s="51"/>
      <c r="G96" s="51"/>
      <c r="H96" s="51"/>
      <c r="I96" s="136"/>
      <c r="J96" s="157"/>
      <c r="K96" s="51"/>
      <c r="L96" s="51"/>
      <c r="M96" s="136"/>
      <c r="N96" s="157"/>
      <c r="O96" s="51"/>
      <c r="P96" s="51"/>
      <c r="Q96" s="136"/>
    </row>
    <row r="97" spans="1:17" s="15" customFormat="1" ht="12.75" hidden="1" outlineLevel="2">
      <c r="A97" s="15" t="s">
        <v>476</v>
      </c>
      <c r="B97" s="15" t="s">
        <v>477</v>
      </c>
      <c r="C97" s="134" t="s">
        <v>478</v>
      </c>
      <c r="D97" s="16"/>
      <c r="E97" s="16"/>
      <c r="F97" s="16">
        <v>0</v>
      </c>
      <c r="G97" s="16">
        <v>0</v>
      </c>
      <c r="H97" s="16">
        <f aca="true" t="shared" si="26" ref="H97:H108">+F97-G97</f>
        <v>0</v>
      </c>
      <c r="I97" s="53">
        <f aca="true" t="shared" si="27" ref="I97:I108">IF(G97&lt;0,IF(H97=0,0,IF(OR(G97=0,F97=0),"N.M.",IF(ABS(H97/G97)&gt;=10,"N.M.",H97/(-G97)))),IF(H97=0,0,IF(OR(G97=0,F97=0),"N.M.",IF(ABS(H97/G97)&gt;=10,"N.M.",H97/G97))))</f>
        <v>0</v>
      </c>
      <c r="J97" s="174"/>
      <c r="K97" s="256">
        <v>427.28000000000003</v>
      </c>
      <c r="L97" s="16">
        <f aca="true" t="shared" si="28" ref="L97:L108">+F97-K97</f>
        <v>-427.28000000000003</v>
      </c>
      <c r="M97" s="53" t="str">
        <f aca="true" t="shared" si="29" ref="M97:M108">IF(K97&lt;0,IF(L97=0,0,IF(OR(K97=0,N97=0),"N.M.",IF(ABS(L97/K97)&gt;=10,"N.M.",L97/(-K97)))),IF(L97=0,0,IF(OR(K97=0,N97=0),"N.M.",IF(ABS(L97/K97)&gt;=10,"N.M.",L97/K97))))</f>
        <v>N.M.</v>
      </c>
      <c r="N97" s="174"/>
      <c r="O97" s="256">
        <v>0</v>
      </c>
      <c r="P97" s="16">
        <f aca="true" t="shared" si="30" ref="P97:P108">+F97-O97</f>
        <v>0</v>
      </c>
      <c r="Q97" s="53">
        <f aca="true" t="shared" si="31" ref="Q97:Q108">IF(O97&lt;0,IF(P97=0,0,IF(OR(O97=0,F97=0),"N.M.",IF(ABS(P97/O97)&gt;=10,"N.M.",P97/(-O97)))),IF(P97=0,0,IF(OR(O97=0,F97=0),"N.M.",IF(ABS(P97/O97)&gt;=10,"N.M.",P97/O97))))</f>
        <v>0</v>
      </c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74102.65000000001</v>
      </c>
      <c r="G98" s="16">
        <v>98464.87</v>
      </c>
      <c r="H98" s="16">
        <f t="shared" si="26"/>
        <v>-24362.219999999987</v>
      </c>
      <c r="I98" s="53">
        <f t="shared" si="27"/>
        <v>-0.2474204251729575</v>
      </c>
      <c r="J98" s="174"/>
      <c r="K98" s="256">
        <v>74102.65000000001</v>
      </c>
      <c r="L98" s="16">
        <f t="shared" si="28"/>
        <v>0</v>
      </c>
      <c r="M98" s="53">
        <f t="shared" si="29"/>
        <v>0</v>
      </c>
      <c r="N98" s="174"/>
      <c r="O98" s="256">
        <v>74102.65000000001</v>
      </c>
      <c r="P98" s="16">
        <f t="shared" si="30"/>
        <v>0</v>
      </c>
      <c r="Q98" s="53">
        <f t="shared" si="31"/>
        <v>0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401395.92</v>
      </c>
      <c r="G99" s="16">
        <v>555610.04</v>
      </c>
      <c r="H99" s="16">
        <f t="shared" si="26"/>
        <v>-154214.12000000005</v>
      </c>
      <c r="I99" s="53">
        <f t="shared" si="27"/>
        <v>-0.2775581953126694</v>
      </c>
      <c r="J99" s="174"/>
      <c r="K99" s="256">
        <v>244368.64</v>
      </c>
      <c r="L99" s="16">
        <f t="shared" si="28"/>
        <v>157027.27999999997</v>
      </c>
      <c r="M99" s="53" t="str">
        <f t="shared" si="29"/>
        <v>N.M.</v>
      </c>
      <c r="N99" s="174"/>
      <c r="O99" s="256">
        <v>0</v>
      </c>
      <c r="P99" s="16">
        <f t="shared" si="30"/>
        <v>401395.92</v>
      </c>
      <c r="Q99" s="53" t="str">
        <f t="shared" si="31"/>
        <v>N.M.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139731</v>
      </c>
      <c r="G100" s="16">
        <v>43901</v>
      </c>
      <c r="H100" s="16">
        <f t="shared" si="26"/>
        <v>95830</v>
      </c>
      <c r="I100" s="53">
        <f t="shared" si="27"/>
        <v>2.1828659939409123</v>
      </c>
      <c r="J100" s="174"/>
      <c r="K100" s="256">
        <v>152133</v>
      </c>
      <c r="L100" s="16">
        <f t="shared" si="28"/>
        <v>-12402</v>
      </c>
      <c r="M100" s="53" t="str">
        <f t="shared" si="29"/>
        <v>N.M.</v>
      </c>
      <c r="N100" s="174"/>
      <c r="O100" s="256">
        <v>35613</v>
      </c>
      <c r="P100" s="16">
        <f t="shared" si="30"/>
        <v>104118</v>
      </c>
      <c r="Q100" s="53">
        <f t="shared" si="31"/>
        <v>2.9235953163170754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-160055.004</v>
      </c>
      <c r="G101" s="16">
        <v>-53986.264</v>
      </c>
      <c r="H101" s="16">
        <f t="shared" si="26"/>
        <v>-106068.73999999999</v>
      </c>
      <c r="I101" s="53">
        <f t="shared" si="27"/>
        <v>-1.9647356964727174</v>
      </c>
      <c r="J101" s="174"/>
      <c r="K101" s="256">
        <v>-160055.004</v>
      </c>
      <c r="L101" s="16">
        <f t="shared" si="28"/>
        <v>0</v>
      </c>
      <c r="M101" s="53">
        <f t="shared" si="29"/>
        <v>0</v>
      </c>
      <c r="N101" s="174"/>
      <c r="O101" s="256">
        <v>-52677.004</v>
      </c>
      <c r="P101" s="16">
        <f t="shared" si="30"/>
        <v>-107377.99999999999</v>
      </c>
      <c r="Q101" s="53">
        <f t="shared" si="31"/>
        <v>-2.038422686301597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493</v>
      </c>
      <c r="D102" s="16"/>
      <c r="E102" s="16"/>
      <c r="F102" s="16">
        <v>235.5</v>
      </c>
      <c r="G102" s="16">
        <v>-1560.04</v>
      </c>
      <c r="H102" s="16">
        <f t="shared" si="26"/>
        <v>1795.54</v>
      </c>
      <c r="I102" s="53">
        <f t="shared" si="27"/>
        <v>1.150957667752109</v>
      </c>
      <c r="J102" s="174"/>
      <c r="K102" s="256">
        <v>2077.12</v>
      </c>
      <c r="L102" s="16">
        <f t="shared" si="28"/>
        <v>-1841.62</v>
      </c>
      <c r="M102" s="53" t="str">
        <f t="shared" si="29"/>
        <v>N.M.</v>
      </c>
      <c r="N102" s="174"/>
      <c r="O102" s="256">
        <v>4219.46</v>
      </c>
      <c r="P102" s="16">
        <f t="shared" si="30"/>
        <v>-3983.96</v>
      </c>
      <c r="Q102" s="53">
        <f t="shared" si="31"/>
        <v>-0.9441871708702061</v>
      </c>
    </row>
    <row r="103" spans="1:17" s="15" customFormat="1" ht="12.75" hidden="1" outlineLevel="2">
      <c r="A103" s="15" t="s">
        <v>494</v>
      </c>
      <c r="B103" s="15" t="s">
        <v>495</v>
      </c>
      <c r="C103" s="134" t="s">
        <v>496</v>
      </c>
      <c r="D103" s="16"/>
      <c r="E103" s="16"/>
      <c r="F103" s="16">
        <v>0</v>
      </c>
      <c r="G103" s="16">
        <v>0</v>
      </c>
      <c r="H103" s="16">
        <f t="shared" si="26"/>
        <v>0</v>
      </c>
      <c r="I103" s="53">
        <f t="shared" si="27"/>
        <v>0</v>
      </c>
      <c r="J103" s="174"/>
      <c r="K103" s="256">
        <v>0</v>
      </c>
      <c r="L103" s="16">
        <f t="shared" si="28"/>
        <v>0</v>
      </c>
      <c r="M103" s="53">
        <f t="shared" si="29"/>
        <v>0</v>
      </c>
      <c r="N103" s="174"/>
      <c r="O103" s="256">
        <v>16977.38</v>
      </c>
      <c r="P103" s="16">
        <f t="shared" si="30"/>
        <v>-16977.38</v>
      </c>
      <c r="Q103" s="53" t="str">
        <f t="shared" si="31"/>
        <v>N.M.</v>
      </c>
    </row>
    <row r="104" spans="1:17" s="15" customFormat="1" ht="12.75" hidden="1" outlineLevel="2">
      <c r="A104" s="15" t="s">
        <v>497</v>
      </c>
      <c r="B104" s="15" t="s">
        <v>498</v>
      </c>
      <c r="C104" s="134" t="s">
        <v>499</v>
      </c>
      <c r="D104" s="16"/>
      <c r="E104" s="16"/>
      <c r="F104" s="16">
        <v>0</v>
      </c>
      <c r="G104" s="16">
        <v>0</v>
      </c>
      <c r="H104" s="16">
        <f t="shared" si="26"/>
        <v>0</v>
      </c>
      <c r="I104" s="53">
        <f t="shared" si="27"/>
        <v>0</v>
      </c>
      <c r="J104" s="174"/>
      <c r="K104" s="256">
        <v>0</v>
      </c>
      <c r="L104" s="16">
        <f t="shared" si="28"/>
        <v>0</v>
      </c>
      <c r="M104" s="53">
        <f t="shared" si="29"/>
        <v>0</v>
      </c>
      <c r="N104" s="174"/>
      <c r="O104" s="256">
        <v>151756.45</v>
      </c>
      <c r="P104" s="16">
        <f t="shared" si="30"/>
        <v>-151756.45</v>
      </c>
      <c r="Q104" s="53" t="str">
        <f t="shared" si="31"/>
        <v>N.M.</v>
      </c>
    </row>
    <row r="105" spans="1:17" s="15" customFormat="1" ht="12.75" hidden="1" outlineLevel="2">
      <c r="A105" s="15" t="s">
        <v>500</v>
      </c>
      <c r="B105" s="15" t="s">
        <v>501</v>
      </c>
      <c r="C105" s="134" t="s">
        <v>502</v>
      </c>
      <c r="D105" s="16"/>
      <c r="E105" s="16"/>
      <c r="F105" s="16">
        <v>0</v>
      </c>
      <c r="G105" s="16">
        <v>-92288</v>
      </c>
      <c r="H105" s="16">
        <f t="shared" si="26"/>
        <v>92288</v>
      </c>
      <c r="I105" s="53" t="str">
        <f t="shared" si="27"/>
        <v>N.M.</v>
      </c>
      <c r="J105" s="174"/>
      <c r="K105" s="256">
        <v>0</v>
      </c>
      <c r="L105" s="16">
        <f t="shared" si="28"/>
        <v>0</v>
      </c>
      <c r="M105" s="53">
        <f t="shared" si="29"/>
        <v>0</v>
      </c>
      <c r="N105" s="174"/>
      <c r="O105" s="256">
        <v>0</v>
      </c>
      <c r="P105" s="16">
        <f t="shared" si="30"/>
        <v>0</v>
      </c>
      <c r="Q105" s="53">
        <f t="shared" si="31"/>
        <v>0</v>
      </c>
    </row>
    <row r="106" spans="1:17" s="15" customFormat="1" ht="12.75" hidden="1" outlineLevel="2">
      <c r="A106" s="15" t="s">
        <v>503</v>
      </c>
      <c r="B106" s="15" t="s">
        <v>504</v>
      </c>
      <c r="C106" s="134" t="s">
        <v>505</v>
      </c>
      <c r="D106" s="16"/>
      <c r="E106" s="16"/>
      <c r="F106" s="16">
        <v>344842</v>
      </c>
      <c r="G106" s="16">
        <v>796514</v>
      </c>
      <c r="H106" s="16">
        <f t="shared" si="26"/>
        <v>-451672</v>
      </c>
      <c r="I106" s="53">
        <f t="shared" si="27"/>
        <v>-0.5670609681687955</v>
      </c>
      <c r="J106" s="174"/>
      <c r="K106" s="256">
        <v>344842</v>
      </c>
      <c r="L106" s="16">
        <f t="shared" si="28"/>
        <v>0</v>
      </c>
      <c r="M106" s="53">
        <f t="shared" si="29"/>
        <v>0</v>
      </c>
      <c r="N106" s="174"/>
      <c r="O106" s="256">
        <v>344842</v>
      </c>
      <c r="P106" s="16">
        <f t="shared" si="30"/>
        <v>0</v>
      </c>
      <c r="Q106" s="53">
        <f t="shared" si="31"/>
        <v>0</v>
      </c>
    </row>
    <row r="107" spans="1:17" s="15" customFormat="1" ht="12.75" hidden="1" outlineLevel="2">
      <c r="A107" s="15" t="s">
        <v>506</v>
      </c>
      <c r="B107" s="15" t="s">
        <v>507</v>
      </c>
      <c r="C107" s="134" t="s">
        <v>508</v>
      </c>
      <c r="D107" s="16"/>
      <c r="E107" s="16"/>
      <c r="F107" s="16">
        <v>0</v>
      </c>
      <c r="G107" s="16">
        <v>137084</v>
      </c>
      <c r="H107" s="16">
        <f t="shared" si="26"/>
        <v>-137084</v>
      </c>
      <c r="I107" s="53" t="str">
        <f t="shared" si="27"/>
        <v>N.M.</v>
      </c>
      <c r="J107" s="174"/>
      <c r="K107" s="256">
        <v>0</v>
      </c>
      <c r="L107" s="16">
        <f t="shared" si="28"/>
        <v>0</v>
      </c>
      <c r="M107" s="53">
        <f t="shared" si="29"/>
        <v>0</v>
      </c>
      <c r="N107" s="174"/>
      <c r="O107" s="256">
        <v>12386</v>
      </c>
      <c r="P107" s="16">
        <f t="shared" si="30"/>
        <v>-12386</v>
      </c>
      <c r="Q107" s="53" t="str">
        <f t="shared" si="31"/>
        <v>N.M.</v>
      </c>
    </row>
    <row r="108" spans="1:17" s="15" customFormat="1" ht="12.75" hidden="1" outlineLevel="2">
      <c r="A108" s="15" t="s">
        <v>509</v>
      </c>
      <c r="B108" s="15" t="s">
        <v>510</v>
      </c>
      <c r="C108" s="134" t="s">
        <v>511</v>
      </c>
      <c r="D108" s="16"/>
      <c r="E108" s="16"/>
      <c r="F108" s="16">
        <v>3181233.47</v>
      </c>
      <c r="G108" s="16">
        <v>2941065.46</v>
      </c>
      <c r="H108" s="16">
        <f t="shared" si="26"/>
        <v>240168.01000000024</v>
      </c>
      <c r="I108" s="53">
        <f t="shared" si="27"/>
        <v>0.08166020555013428</v>
      </c>
      <c r="J108" s="174"/>
      <c r="K108" s="256">
        <v>2993679.75</v>
      </c>
      <c r="L108" s="16">
        <f t="shared" si="28"/>
        <v>187553.7200000002</v>
      </c>
      <c r="M108" s="53" t="str">
        <f t="shared" si="29"/>
        <v>N.M.</v>
      </c>
      <c r="N108" s="174"/>
      <c r="O108" s="256">
        <v>2243464.87</v>
      </c>
      <c r="P108" s="16">
        <f t="shared" si="30"/>
        <v>937768.6000000001</v>
      </c>
      <c r="Q108" s="53">
        <f t="shared" si="31"/>
        <v>0.4180001267414542</v>
      </c>
    </row>
    <row r="109" spans="1:17" s="67" customFormat="1" ht="12.75" collapsed="1">
      <c r="A109" s="67" t="s">
        <v>135</v>
      </c>
      <c r="B109" s="87"/>
      <c r="C109" s="82" t="s">
        <v>95</v>
      </c>
      <c r="D109" s="66"/>
      <c r="E109" s="66"/>
      <c r="F109" s="51">
        <v>3981485.5360000003</v>
      </c>
      <c r="G109" s="51">
        <v>4424805.066</v>
      </c>
      <c r="H109" s="51">
        <f>+F109-G109</f>
        <v>-443319.52999999933</v>
      </c>
      <c r="I109" s="136">
        <f>IF(G109&lt;0,IF(H109=0,0,IF(OR(G109=0,F109=0),"N.M.",IF(ABS(H109/G109)&gt;=10,"N.M.",H109/(-G109)))),IF(H109=0,0,IF(OR(G109=0,F109=0),"N.M.",IF(ABS(H109/G109)&gt;=10,"N.M.",H109/G109))))</f>
        <v>-0.10018961816113582</v>
      </c>
      <c r="J109" s="157"/>
      <c r="K109" s="51">
        <v>3651575.4359999998</v>
      </c>
      <c r="L109" s="51">
        <f>+F109-K109</f>
        <v>329910.10000000056</v>
      </c>
      <c r="M109" s="136" t="str">
        <f>IF(K109&lt;0,IF(L109=0,0,IF(OR(K109=0,N109=0),"N.M.",IF(ABS(L109/K109)&gt;=10,"N.M.",L109/(-K109)))),IF(L109=0,0,IF(OR(K109=0,N109=0),"N.M.",IF(ABS(L109/K109)&gt;=10,"N.M.",L109/K109))))</f>
        <v>N.M.</v>
      </c>
      <c r="N109" s="157"/>
      <c r="O109" s="51">
        <v>2830684.806</v>
      </c>
      <c r="P109" s="51">
        <f>+F109-O109</f>
        <v>1150800.7300000004</v>
      </c>
      <c r="Q109" s="136">
        <f>IF(O109&lt;0,IF(P109=0,0,IF(OR(O109=0,F109=0),"N.M.",IF(ABS(P109/O109)&gt;=10,"N.M.",P109/(-O109)))),IF(P109=0,0,IF(OR(O109=0,F109=0),"N.M.",IF(ABS(P109/O109)&gt;=10,"N.M.",P109/O109))))</f>
        <v>0.4065449913606526</v>
      </c>
    </row>
    <row r="110" spans="2:17" s="67" customFormat="1" ht="0.75" customHeight="1" hidden="1" outlineLevel="1">
      <c r="B110" s="87"/>
      <c r="C110" s="82"/>
      <c r="D110" s="66"/>
      <c r="E110" s="66"/>
      <c r="F110" s="51"/>
      <c r="G110" s="51"/>
      <c r="H110" s="51"/>
      <c r="I110" s="136"/>
      <c r="J110" s="157"/>
      <c r="K110" s="51"/>
      <c r="L110" s="51"/>
      <c r="M110" s="136"/>
      <c r="N110" s="157"/>
      <c r="O110" s="51"/>
      <c r="P110" s="51"/>
      <c r="Q110" s="136"/>
    </row>
    <row r="111" spans="1:17" s="15" customFormat="1" ht="12.75" hidden="1" outlineLevel="2">
      <c r="A111" s="15" t="s">
        <v>512</v>
      </c>
      <c r="B111" s="15" t="s">
        <v>513</v>
      </c>
      <c r="C111" s="134" t="s">
        <v>514</v>
      </c>
      <c r="D111" s="16"/>
      <c r="E111" s="16"/>
      <c r="F111" s="16">
        <v>-1593.66</v>
      </c>
      <c r="G111" s="16">
        <v>-31516.11</v>
      </c>
      <c r="H111" s="16">
        <f>+F111-G111</f>
        <v>29922.45</v>
      </c>
      <c r="I111" s="53">
        <f>IF(G111&lt;0,IF(H111=0,0,IF(OR(G111=0,F111=0),"N.M.",IF(ABS(H111/G111)&gt;=10,"N.M.",H111/(-G111)))),IF(H111=0,0,IF(OR(G111=0,F111=0),"N.M.",IF(ABS(H111/G111)&gt;=10,"N.M.",H111/G111))))</f>
        <v>0.949433480210597</v>
      </c>
      <c r="J111" s="174"/>
      <c r="K111" s="256">
        <v>0</v>
      </c>
      <c r="L111" s="16">
        <f>+F111-K111</f>
        <v>-1593.66</v>
      </c>
      <c r="M111" s="53" t="str">
        <f>IF(K111&lt;0,IF(L111=0,0,IF(OR(K111=0,N111=0),"N.M.",IF(ABS(L111/K111)&gt;=10,"N.M.",L111/(-K111)))),IF(L111=0,0,IF(OR(K111=0,N111=0),"N.M.",IF(ABS(L111/K111)&gt;=10,"N.M.",L111/K111))))</f>
        <v>N.M.</v>
      </c>
      <c r="N111" s="174"/>
      <c r="O111" s="256">
        <v>-6199.97</v>
      </c>
      <c r="P111" s="16">
        <f>+F111-O111</f>
        <v>4606.31</v>
      </c>
      <c r="Q111" s="53">
        <f>IF(O111&lt;0,IF(P111=0,0,IF(OR(O111=0,F111=0),"N.M.",IF(ABS(P111/O111)&gt;=10,"N.M.",P111/(-O111)))),IF(P111=0,0,IF(OR(O111=0,F111=0),"N.M.",IF(ABS(P111/O111)&gt;=10,"N.M.",P111/O111))))</f>
        <v>0.7429568207588102</v>
      </c>
    </row>
    <row r="112" spans="1:17" s="15" customFormat="1" ht="12.75" hidden="1" outlineLevel="2">
      <c r="A112" s="15" t="s">
        <v>515</v>
      </c>
      <c r="B112" s="15" t="s">
        <v>516</v>
      </c>
      <c r="C112" s="134" t="s">
        <v>517</v>
      </c>
      <c r="D112" s="16"/>
      <c r="E112" s="16"/>
      <c r="F112" s="16">
        <v>-657977.42</v>
      </c>
      <c r="G112" s="16">
        <v>-828642.09</v>
      </c>
      <c r="H112" s="16">
        <f>+F112-G112</f>
        <v>170664.66999999993</v>
      </c>
      <c r="I112" s="53">
        <f>IF(G112&lt;0,IF(H112=0,0,IF(OR(G112=0,F112=0),"N.M.",IF(ABS(H112/G112)&gt;=10,"N.M.",H112/(-G112)))),IF(H112=0,0,IF(OR(G112=0,F112=0),"N.M.",IF(ABS(H112/G112)&gt;=10,"N.M.",H112/G112))))</f>
        <v>0.20595703749492128</v>
      </c>
      <c r="J112" s="174"/>
      <c r="K112" s="256">
        <v>-657977.42</v>
      </c>
      <c r="L112" s="16">
        <f>+F112-K112</f>
        <v>0</v>
      </c>
      <c r="M112" s="53">
        <f>IF(K112&lt;0,IF(L112=0,0,IF(OR(K112=0,N112=0),"N.M.",IF(ABS(L112/K112)&gt;=10,"N.M.",L112/(-K112)))),IF(L112=0,0,IF(OR(K112=0,N112=0),"N.M.",IF(ABS(L112/K112)&gt;=10,"N.M.",L112/K112))))</f>
        <v>0</v>
      </c>
      <c r="N112" s="174"/>
      <c r="O112" s="256">
        <v>-617080.43</v>
      </c>
      <c r="P112" s="16">
        <f>+F112-O112</f>
        <v>-40896.98999999999</v>
      </c>
      <c r="Q112" s="53">
        <f>IF(O112&lt;0,IF(P112=0,0,IF(OR(O112=0,F112=0),"N.M.",IF(ABS(P112/O112)&gt;=10,"N.M.",P112/(-O112)))),IF(P112=0,0,IF(OR(O112=0,F112=0),"N.M.",IF(ABS(P112/O112)&gt;=10,"N.M.",P112/O112))))</f>
        <v>-0.06627497488455433</v>
      </c>
    </row>
    <row r="113" spans="1:17" s="67" customFormat="1" ht="12.75" collapsed="1">
      <c r="A113" s="67" t="s">
        <v>136</v>
      </c>
      <c r="B113" s="87"/>
      <c r="C113" s="82" t="s">
        <v>96</v>
      </c>
      <c r="D113" s="66"/>
      <c r="E113" s="66"/>
      <c r="F113" s="51">
        <v>-659571.0800000001</v>
      </c>
      <c r="G113" s="51">
        <v>-860158.2</v>
      </c>
      <c r="H113" s="51">
        <f>+F113-G113</f>
        <v>200587.11999999988</v>
      </c>
      <c r="I113" s="136">
        <f>IF(G113&lt;0,IF(H113=0,0,IF(OR(G113=0,F113=0),"N.M.",IF(ABS(H113/G113)&gt;=10,"N.M.",H113/(-G113)))),IF(H113=0,0,IF(OR(G113=0,F113=0),"N.M.",IF(ABS(H113/G113)&gt;=10,"N.M.",H113/G113))))</f>
        <v>0.23319793963482519</v>
      </c>
      <c r="J113" s="157"/>
      <c r="K113" s="51">
        <v>-657977.42</v>
      </c>
      <c r="L113" s="51">
        <f>+F113-K113</f>
        <v>-1593.6600000000326</v>
      </c>
      <c r="M113" s="136" t="str">
        <f>IF(K113&lt;0,IF(L113=0,0,IF(OR(K113=0,N113=0),"N.M.",IF(ABS(L113/K113)&gt;=10,"N.M.",L113/(-K113)))),IF(L113=0,0,IF(OR(K113=0,N113=0),"N.M.",IF(ABS(L113/K113)&gt;=10,"N.M.",L113/K113))))</f>
        <v>N.M.</v>
      </c>
      <c r="N113" s="157"/>
      <c r="O113" s="51">
        <v>-623280.4</v>
      </c>
      <c r="P113" s="51">
        <f>+F113-O113</f>
        <v>-36290.68000000005</v>
      </c>
      <c r="Q113" s="136">
        <f>IF(O113&lt;0,IF(P113=0,0,IF(OR(O113=0,F113=0),"N.M.",IF(ABS(P113/O113)&gt;=10,"N.M.",P113/(-O113)))),IF(P113=0,0,IF(OR(O113=0,F113=0),"N.M.",IF(ABS(P113/O113)&gt;=10,"N.M.",P113/O113))))</f>
        <v>-0.05822528672488345</v>
      </c>
    </row>
    <row r="114" spans="2:17" s="67" customFormat="1" ht="0.75" customHeight="1" hidden="1" outlineLevel="1">
      <c r="B114" s="87"/>
      <c r="C114" s="82"/>
      <c r="D114" s="66"/>
      <c r="E114" s="66"/>
      <c r="F114" s="51"/>
      <c r="G114" s="51"/>
      <c r="H114" s="51"/>
      <c r="I114" s="136"/>
      <c r="J114" s="157"/>
      <c r="K114" s="51"/>
      <c r="L114" s="51"/>
      <c r="M114" s="136"/>
      <c r="N114" s="157"/>
      <c r="O114" s="51"/>
      <c r="P114" s="51"/>
      <c r="Q114" s="136"/>
    </row>
    <row r="115" spans="1:17" s="15" customFormat="1" ht="12.75" hidden="1" outlineLevel="2">
      <c r="A115" s="15" t="s">
        <v>518</v>
      </c>
      <c r="B115" s="15" t="s">
        <v>519</v>
      </c>
      <c r="C115" s="134" t="s">
        <v>520</v>
      </c>
      <c r="D115" s="16"/>
      <c r="E115" s="16"/>
      <c r="F115" s="16">
        <v>8625281.715</v>
      </c>
      <c r="G115" s="16">
        <v>7086821.24</v>
      </c>
      <c r="H115" s="16">
        <f aca="true" t="shared" si="32" ref="H115:H124">+F115-G115</f>
        <v>1538460.4749999996</v>
      </c>
      <c r="I115" s="53">
        <f aca="true" t="shared" si="33" ref="I115:I124">IF(G115&lt;0,IF(H115=0,0,IF(OR(G115=0,F115=0),"N.M.",IF(ABS(H115/G115)&gt;=10,"N.M.",H115/(-G115)))),IF(H115=0,0,IF(OR(G115=0,F115=0),"N.M.",IF(ABS(H115/G115)&gt;=10,"N.M.",H115/G115))))</f>
        <v>0.217087523855759</v>
      </c>
      <c r="J115" s="174"/>
      <c r="K115" s="256">
        <v>8816316.73</v>
      </c>
      <c r="L115" s="16">
        <f aca="true" t="shared" si="34" ref="L115:L124">+F115-K115</f>
        <v>-191035.0150000006</v>
      </c>
      <c r="M115" s="53" t="str">
        <f aca="true" t="shared" si="35" ref="M115:M124">IF(K115&lt;0,IF(L115=0,0,IF(OR(K115=0,N115=0),"N.M.",IF(ABS(L115/K115)&gt;=10,"N.M.",L115/(-K115)))),IF(L115=0,0,IF(OR(K115=0,N115=0),"N.M.",IF(ABS(L115/K115)&gt;=10,"N.M.",L115/K115))))</f>
        <v>N.M.</v>
      </c>
      <c r="N115" s="174"/>
      <c r="O115" s="256">
        <v>12185346.372</v>
      </c>
      <c r="P115" s="16">
        <f aca="true" t="shared" si="36" ref="P115:P124">+F115-O115</f>
        <v>-3560064.6569999997</v>
      </c>
      <c r="Q115" s="53">
        <f aca="true" t="shared" si="37" ref="Q115:Q124">IF(O115&lt;0,IF(P115=0,0,IF(OR(O115=0,F115=0),"N.M.",IF(ABS(P115/O115)&gt;=10,"N.M.",P115/(-O115)))),IF(P115=0,0,IF(OR(O115=0,F115=0),"N.M.",IF(ABS(P115/O115)&gt;=10,"N.M.",P115/O115))))</f>
        <v>-0.2921594961945822</v>
      </c>
    </row>
    <row r="116" spans="1:17" s="15" customFormat="1" ht="12.75" hidden="1" outlineLevel="2">
      <c r="A116" s="15" t="s">
        <v>521</v>
      </c>
      <c r="B116" s="15" t="s">
        <v>522</v>
      </c>
      <c r="C116" s="134" t="s">
        <v>523</v>
      </c>
      <c r="D116" s="16"/>
      <c r="E116" s="16"/>
      <c r="F116" s="16">
        <v>0</v>
      </c>
      <c r="G116" s="16">
        <v>0</v>
      </c>
      <c r="H116" s="16">
        <f t="shared" si="32"/>
        <v>0</v>
      </c>
      <c r="I116" s="53">
        <f t="shared" si="33"/>
        <v>0</v>
      </c>
      <c r="J116" s="174"/>
      <c r="K116" s="256">
        <v>0</v>
      </c>
      <c r="L116" s="16">
        <f t="shared" si="34"/>
        <v>0</v>
      </c>
      <c r="M116" s="53">
        <f t="shared" si="35"/>
        <v>0</v>
      </c>
      <c r="N116" s="174"/>
      <c r="O116" s="256">
        <v>1898460.49</v>
      </c>
      <c r="P116" s="16">
        <f t="shared" si="36"/>
        <v>-1898460.49</v>
      </c>
      <c r="Q116" s="53" t="str">
        <f t="shared" si="37"/>
        <v>N.M.</v>
      </c>
    </row>
    <row r="117" spans="1:17" s="15" customFormat="1" ht="12.75" hidden="1" outlineLevel="2">
      <c r="A117" s="15" t="s">
        <v>524</v>
      </c>
      <c r="B117" s="15" t="s">
        <v>525</v>
      </c>
      <c r="C117" s="134" t="s">
        <v>526</v>
      </c>
      <c r="D117" s="16"/>
      <c r="E117" s="16"/>
      <c r="F117" s="16">
        <v>245575.41</v>
      </c>
      <c r="G117" s="16">
        <v>355461.63</v>
      </c>
      <c r="H117" s="16">
        <f t="shared" si="32"/>
        <v>-109886.22</v>
      </c>
      <c r="I117" s="53">
        <f t="shared" si="33"/>
        <v>-0.30913665702821425</v>
      </c>
      <c r="J117" s="174"/>
      <c r="K117" s="256">
        <v>196958.38</v>
      </c>
      <c r="L117" s="16">
        <f t="shared" si="34"/>
        <v>48617.03</v>
      </c>
      <c r="M117" s="53" t="str">
        <f t="shared" si="35"/>
        <v>N.M.</v>
      </c>
      <c r="N117" s="174"/>
      <c r="O117" s="256">
        <v>376403.73</v>
      </c>
      <c r="P117" s="16">
        <f t="shared" si="36"/>
        <v>-130828.31999999998</v>
      </c>
      <c r="Q117" s="53">
        <f t="shared" si="37"/>
        <v>-0.3475744515071622</v>
      </c>
    </row>
    <row r="118" spans="1:17" s="15" customFormat="1" ht="12.75" hidden="1" outlineLevel="2">
      <c r="A118" s="15" t="s">
        <v>527</v>
      </c>
      <c r="B118" s="15" t="s">
        <v>528</v>
      </c>
      <c r="C118" s="134" t="s">
        <v>529</v>
      </c>
      <c r="D118" s="16"/>
      <c r="E118" s="16"/>
      <c r="F118" s="16">
        <v>16066.31</v>
      </c>
      <c r="G118" s="16">
        <v>2096.23</v>
      </c>
      <c r="H118" s="16">
        <f t="shared" si="32"/>
        <v>13970.08</v>
      </c>
      <c r="I118" s="53">
        <f t="shared" si="33"/>
        <v>6.664383202224947</v>
      </c>
      <c r="J118" s="174"/>
      <c r="K118" s="256">
        <v>123.16</v>
      </c>
      <c r="L118" s="16">
        <f t="shared" si="34"/>
        <v>15943.15</v>
      </c>
      <c r="M118" s="53" t="str">
        <f t="shared" si="35"/>
        <v>N.M.</v>
      </c>
      <c r="N118" s="174"/>
      <c r="O118" s="256">
        <v>29438.43</v>
      </c>
      <c r="P118" s="16">
        <f t="shared" si="36"/>
        <v>-13372.12</v>
      </c>
      <c r="Q118" s="53">
        <f t="shared" si="37"/>
        <v>-0.45424025669847207</v>
      </c>
    </row>
    <row r="119" spans="1:17" s="15" customFormat="1" ht="12.75" hidden="1" outlineLevel="2">
      <c r="A119" s="15" t="s">
        <v>530</v>
      </c>
      <c r="B119" s="15" t="s">
        <v>531</v>
      </c>
      <c r="C119" s="134" t="s">
        <v>532</v>
      </c>
      <c r="D119" s="16"/>
      <c r="E119" s="16"/>
      <c r="F119" s="16">
        <v>872737.46</v>
      </c>
      <c r="G119" s="16">
        <v>1128465.5</v>
      </c>
      <c r="H119" s="16">
        <f t="shared" si="32"/>
        <v>-255728.04000000004</v>
      </c>
      <c r="I119" s="53">
        <f t="shared" si="33"/>
        <v>-0.2266157361478929</v>
      </c>
      <c r="J119" s="174"/>
      <c r="K119" s="256">
        <v>1460690.09</v>
      </c>
      <c r="L119" s="16">
        <f t="shared" si="34"/>
        <v>-587952.6300000001</v>
      </c>
      <c r="M119" s="53" t="str">
        <f t="shared" si="35"/>
        <v>N.M.</v>
      </c>
      <c r="N119" s="174"/>
      <c r="O119" s="256">
        <v>1446173.02</v>
      </c>
      <c r="P119" s="16">
        <f t="shared" si="36"/>
        <v>-573435.56</v>
      </c>
      <c r="Q119" s="53">
        <f t="shared" si="37"/>
        <v>-0.39651933210591916</v>
      </c>
    </row>
    <row r="120" spans="1:17" s="15" customFormat="1" ht="12.75" hidden="1" outlineLevel="2">
      <c r="A120" s="15" t="s">
        <v>533</v>
      </c>
      <c r="B120" s="15" t="s">
        <v>534</v>
      </c>
      <c r="C120" s="134" t="s">
        <v>535</v>
      </c>
      <c r="D120" s="16"/>
      <c r="E120" s="16"/>
      <c r="F120" s="16">
        <v>0</v>
      </c>
      <c r="G120" s="16">
        <v>788666</v>
      </c>
      <c r="H120" s="16">
        <f t="shared" si="32"/>
        <v>-788666</v>
      </c>
      <c r="I120" s="53" t="str">
        <f t="shared" si="33"/>
        <v>N.M.</v>
      </c>
      <c r="J120" s="174"/>
      <c r="K120" s="256">
        <v>0</v>
      </c>
      <c r="L120" s="16">
        <f t="shared" si="34"/>
        <v>0</v>
      </c>
      <c r="M120" s="53">
        <f t="shared" si="35"/>
        <v>0</v>
      </c>
      <c r="N120" s="174"/>
      <c r="O120" s="256">
        <v>0</v>
      </c>
      <c r="P120" s="16">
        <f t="shared" si="36"/>
        <v>0</v>
      </c>
      <c r="Q120" s="53">
        <f t="shared" si="37"/>
        <v>0</v>
      </c>
    </row>
    <row r="121" spans="1:17" s="15" customFormat="1" ht="12.75" hidden="1" outlineLevel="2">
      <c r="A121" s="15" t="s">
        <v>536</v>
      </c>
      <c r="B121" s="15" t="s">
        <v>537</v>
      </c>
      <c r="C121" s="134" t="s">
        <v>538</v>
      </c>
      <c r="D121" s="16"/>
      <c r="E121" s="16"/>
      <c r="F121" s="16">
        <v>0</v>
      </c>
      <c r="G121" s="16">
        <v>0</v>
      </c>
      <c r="H121" s="16">
        <f t="shared" si="32"/>
        <v>0</v>
      </c>
      <c r="I121" s="53">
        <f t="shared" si="33"/>
        <v>0</v>
      </c>
      <c r="J121" s="174"/>
      <c r="K121" s="256">
        <v>0</v>
      </c>
      <c r="L121" s="16">
        <f t="shared" si="34"/>
        <v>0</v>
      </c>
      <c r="M121" s="53">
        <f t="shared" si="35"/>
        <v>0</v>
      </c>
      <c r="N121" s="174"/>
      <c r="O121" s="256">
        <v>377241</v>
      </c>
      <c r="P121" s="16">
        <f t="shared" si="36"/>
        <v>-377241</v>
      </c>
      <c r="Q121" s="53" t="str">
        <f t="shared" si="37"/>
        <v>N.M.</v>
      </c>
    </row>
    <row r="122" spans="1:17" s="15" customFormat="1" ht="12.75" hidden="1" outlineLevel="2">
      <c r="A122" s="15" t="s">
        <v>539</v>
      </c>
      <c r="B122" s="15" t="s">
        <v>540</v>
      </c>
      <c r="C122" s="134" t="s">
        <v>541</v>
      </c>
      <c r="D122" s="16"/>
      <c r="E122" s="16"/>
      <c r="F122" s="16">
        <v>14230.29</v>
      </c>
      <c r="G122" s="16">
        <v>32471.11</v>
      </c>
      <c r="H122" s="16">
        <f t="shared" si="32"/>
        <v>-18240.82</v>
      </c>
      <c r="I122" s="53">
        <f t="shared" si="33"/>
        <v>-0.5617553573006897</v>
      </c>
      <c r="J122" s="174"/>
      <c r="K122" s="256">
        <v>20438.61</v>
      </c>
      <c r="L122" s="16">
        <f t="shared" si="34"/>
        <v>-6208.32</v>
      </c>
      <c r="M122" s="53" t="str">
        <f t="shared" si="35"/>
        <v>N.M.</v>
      </c>
      <c r="N122" s="174"/>
      <c r="O122" s="256">
        <v>30321.45</v>
      </c>
      <c r="P122" s="16">
        <f t="shared" si="36"/>
        <v>-16091.16</v>
      </c>
      <c r="Q122" s="53">
        <f t="shared" si="37"/>
        <v>-0.5306857026956164</v>
      </c>
    </row>
    <row r="123" spans="1:17" s="15" customFormat="1" ht="12.75" hidden="1" outlineLevel="2">
      <c r="A123" s="15" t="s">
        <v>542</v>
      </c>
      <c r="B123" s="15" t="s">
        <v>543</v>
      </c>
      <c r="C123" s="134" t="s">
        <v>544</v>
      </c>
      <c r="D123" s="16"/>
      <c r="E123" s="16"/>
      <c r="F123" s="16">
        <v>26809.13</v>
      </c>
      <c r="G123" s="16">
        <v>17532.46</v>
      </c>
      <c r="H123" s="16">
        <f t="shared" si="32"/>
        <v>9276.670000000002</v>
      </c>
      <c r="I123" s="53">
        <f t="shared" si="33"/>
        <v>0.5291139976934214</v>
      </c>
      <c r="J123" s="174"/>
      <c r="K123" s="256">
        <v>18450.420000000002</v>
      </c>
      <c r="L123" s="16">
        <f t="shared" si="34"/>
        <v>8358.71</v>
      </c>
      <c r="M123" s="53" t="str">
        <f t="shared" si="35"/>
        <v>N.M.</v>
      </c>
      <c r="N123" s="174"/>
      <c r="O123" s="256">
        <v>15828.9</v>
      </c>
      <c r="P123" s="16">
        <f t="shared" si="36"/>
        <v>10980.230000000001</v>
      </c>
      <c r="Q123" s="53">
        <f t="shared" si="37"/>
        <v>0.6936824416099667</v>
      </c>
    </row>
    <row r="124" spans="1:17" s="15" customFormat="1" ht="12.75" hidden="1" outlineLevel="2">
      <c r="A124" s="15" t="s">
        <v>545</v>
      </c>
      <c r="B124" s="15" t="s">
        <v>546</v>
      </c>
      <c r="C124" s="134" t="s">
        <v>547</v>
      </c>
      <c r="D124" s="16"/>
      <c r="E124" s="16"/>
      <c r="F124" s="16">
        <v>113</v>
      </c>
      <c r="G124" s="16">
        <v>0</v>
      </c>
      <c r="H124" s="16">
        <f t="shared" si="32"/>
        <v>113</v>
      </c>
      <c r="I124" s="53" t="str">
        <f t="shared" si="33"/>
        <v>N.M.</v>
      </c>
      <c r="J124" s="174"/>
      <c r="K124" s="256">
        <v>30</v>
      </c>
      <c r="L124" s="16">
        <f t="shared" si="34"/>
        <v>83</v>
      </c>
      <c r="M124" s="53" t="str">
        <f t="shared" si="35"/>
        <v>N.M.</v>
      </c>
      <c r="N124" s="174"/>
      <c r="O124" s="256">
        <v>0</v>
      </c>
      <c r="P124" s="16">
        <f t="shared" si="36"/>
        <v>113</v>
      </c>
      <c r="Q124" s="53" t="str">
        <f t="shared" si="37"/>
        <v>N.M.</v>
      </c>
    </row>
    <row r="125" spans="1:17" s="67" customFormat="1" ht="12.75" collapsed="1">
      <c r="A125" s="67" t="s">
        <v>137</v>
      </c>
      <c r="B125" s="87"/>
      <c r="C125" s="82" t="s">
        <v>97</v>
      </c>
      <c r="D125" s="66"/>
      <c r="E125" s="66"/>
      <c r="F125" s="51">
        <v>9800813.315</v>
      </c>
      <c r="G125" s="51">
        <v>9411514.170000002</v>
      </c>
      <c r="H125" s="51">
        <f>+F125-G125</f>
        <v>389299.1449999977</v>
      </c>
      <c r="I125" s="136">
        <f>IF(G125&lt;0,IF(H125=0,0,IF(OR(G125=0,F125=0),"N.M.",IF(ABS(H125/G125)&gt;=10,"N.M.",H125/(-G125)))),IF(H125=0,0,IF(OR(G125=0,F125=0),"N.M.",IF(ABS(H125/G125)&gt;=10,"N.M.",H125/G125))))</f>
        <v>0.04136413524626267</v>
      </c>
      <c r="J125" s="157"/>
      <c r="K125" s="51">
        <v>10513007.39</v>
      </c>
      <c r="L125" s="51">
        <f>+F125-K125</f>
        <v>-712194.0750000011</v>
      </c>
      <c r="M125" s="136" t="str">
        <f>IF(K125&lt;0,IF(L125=0,0,IF(OR(K125=0,N125=0),"N.M.",IF(ABS(L125/K125)&gt;=10,"N.M.",L125/(-K125)))),IF(L125=0,0,IF(OR(K125=0,N125=0),"N.M.",IF(ABS(L125/K125)&gt;=10,"N.M.",L125/K125))))</f>
        <v>N.M.</v>
      </c>
      <c r="N125" s="157"/>
      <c r="O125" s="51">
        <v>16359213.391999999</v>
      </c>
      <c r="P125" s="51">
        <f>+F125-O125</f>
        <v>-6558400.077</v>
      </c>
      <c r="Q125" s="136">
        <f>IF(O125&lt;0,IF(P125=0,0,IF(OR(O125=0,F125=0),"N.M.",IF(ABS(P125/O125)&gt;=10,"N.M.",P125/(-O125)))),IF(P125=0,0,IF(OR(O125=0,F125=0),"N.M.",IF(ABS(P125/O125)&gt;=10,"N.M.",P125/O125))))</f>
        <v>-0.4008994760229239</v>
      </c>
    </row>
    <row r="126" spans="2:17" s="67" customFormat="1" ht="0.75" customHeight="1" hidden="1" outlineLevel="1">
      <c r="B126" s="87"/>
      <c r="C126" s="82"/>
      <c r="D126" s="66"/>
      <c r="E126" s="66"/>
      <c r="F126" s="51"/>
      <c r="G126" s="51"/>
      <c r="H126" s="51"/>
      <c r="I126" s="136"/>
      <c r="J126" s="157"/>
      <c r="K126" s="51"/>
      <c r="L126" s="51"/>
      <c r="M126" s="136"/>
      <c r="N126" s="157"/>
      <c r="O126" s="51"/>
      <c r="P126" s="51"/>
      <c r="Q126" s="136"/>
    </row>
    <row r="127" spans="1:17" s="15" customFormat="1" ht="12.75" hidden="1" outlineLevel="2">
      <c r="A127" s="15" t="s">
        <v>548</v>
      </c>
      <c r="B127" s="15" t="s">
        <v>549</v>
      </c>
      <c r="C127" s="134" t="s">
        <v>550</v>
      </c>
      <c r="D127" s="16"/>
      <c r="E127" s="16"/>
      <c r="F127" s="16">
        <v>18967670.16</v>
      </c>
      <c r="G127" s="16">
        <v>31693883.58</v>
      </c>
      <c r="H127" s="16">
        <f>+F127-G127</f>
        <v>-12726213.419999998</v>
      </c>
      <c r="I127" s="53">
        <f>IF(G127&lt;0,IF(H127=0,0,IF(OR(G127=0,F127=0),"N.M.",IF(ABS(H127/G127)&gt;=10,"N.M.",H127/(-G127)))),IF(H127=0,0,IF(OR(G127=0,F127=0),"N.M.",IF(ABS(H127/G127)&gt;=10,"N.M.",H127/G127))))</f>
        <v>-0.4015353116280993</v>
      </c>
      <c r="J127" s="174"/>
      <c r="K127" s="256">
        <v>19659785.43</v>
      </c>
      <c r="L127" s="16">
        <f>+F127-K127</f>
        <v>-692115.2699999996</v>
      </c>
      <c r="M127" s="53" t="str">
        <f>IF(K127&lt;0,IF(L127=0,0,IF(OR(K127=0,N127=0),"N.M.",IF(ABS(L127/K127)&gt;=10,"N.M.",L127/(-K127)))),IF(L127=0,0,IF(OR(K127=0,N127=0),"N.M.",IF(ABS(L127/K127)&gt;=10,"N.M.",L127/K127))))</f>
        <v>N.M.</v>
      </c>
      <c r="N127" s="174"/>
      <c r="O127" s="256">
        <v>14872926.88</v>
      </c>
      <c r="P127" s="16">
        <f>+F127-O127</f>
        <v>4094743.2799999993</v>
      </c>
      <c r="Q127" s="53">
        <f>IF(O127&lt;0,IF(P127=0,0,IF(OR(O127=0,F127=0),"N.M.",IF(ABS(P127/O127)&gt;=10,"N.M.",P127/(-O127)))),IF(P127=0,0,IF(OR(O127=0,F127=0),"N.M.",IF(ABS(P127/O127)&gt;=10,"N.M.",P127/O127))))</f>
        <v>0.27531522968127436</v>
      </c>
    </row>
    <row r="128" spans="1:17" s="15" customFormat="1" ht="12.75" hidden="1" outlineLevel="2">
      <c r="A128" s="15" t="s">
        <v>551</v>
      </c>
      <c r="B128" s="15" t="s">
        <v>552</v>
      </c>
      <c r="C128" s="134" t="s">
        <v>553</v>
      </c>
      <c r="D128" s="16"/>
      <c r="E128" s="16"/>
      <c r="F128" s="16">
        <v>955807.16</v>
      </c>
      <c r="G128" s="16">
        <v>513561.55</v>
      </c>
      <c r="H128" s="16">
        <f>+F128-G128</f>
        <v>442245.61000000004</v>
      </c>
      <c r="I128" s="53">
        <f>IF(G128&lt;0,IF(H128=0,0,IF(OR(G128=0,F128=0),"N.M.",IF(ABS(H128/G128)&gt;=10,"N.M.",H128/(-G128)))),IF(H128=0,0,IF(OR(G128=0,F128=0),"N.M.",IF(ABS(H128/G128)&gt;=10,"N.M.",H128/G128))))</f>
        <v>0.8611345806554249</v>
      </c>
      <c r="J128" s="174"/>
      <c r="K128" s="256">
        <v>789206.29</v>
      </c>
      <c r="L128" s="16">
        <f>+F128-K128</f>
        <v>166600.87</v>
      </c>
      <c r="M128" s="53" t="str">
        <f>IF(K128&lt;0,IF(L128=0,0,IF(OR(K128=0,N128=0),"N.M.",IF(ABS(L128/K128)&gt;=10,"N.M.",L128/(-K128)))),IF(L128=0,0,IF(OR(K128=0,N128=0),"N.M.",IF(ABS(L128/K128)&gt;=10,"N.M.",L128/K128))))</f>
        <v>N.M.</v>
      </c>
      <c r="N128" s="174"/>
      <c r="O128" s="256">
        <v>658271.27</v>
      </c>
      <c r="P128" s="16">
        <f>+F128-O128</f>
        <v>297535.89</v>
      </c>
      <c r="Q128" s="53">
        <f>IF(O128&lt;0,IF(P128=0,0,IF(OR(O128=0,F128=0),"N.M.",IF(ABS(P128/O128)&gt;=10,"N.M.",P128/(-O128)))),IF(P128=0,0,IF(OR(O128=0,F128=0),"N.M.",IF(ABS(P128/O128)&gt;=10,"N.M.",P128/O128))))</f>
        <v>0.4519958618276019</v>
      </c>
    </row>
    <row r="129" spans="1:17" s="15" customFormat="1" ht="12.75" hidden="1" outlineLevel="2">
      <c r="A129" s="15" t="s">
        <v>554</v>
      </c>
      <c r="B129" s="15" t="s">
        <v>555</v>
      </c>
      <c r="C129" s="134" t="s">
        <v>556</v>
      </c>
      <c r="D129" s="16"/>
      <c r="E129" s="16"/>
      <c r="F129" s="16">
        <v>819387.79</v>
      </c>
      <c r="G129" s="16">
        <v>0</v>
      </c>
      <c r="H129" s="16">
        <f>+F129-G129</f>
        <v>819387.79</v>
      </c>
      <c r="I129" s="53" t="str">
        <f>IF(G129&lt;0,IF(H129=0,0,IF(OR(G129=0,F129=0),"N.M.",IF(ABS(H129/G129)&gt;=10,"N.M.",H129/(-G129)))),IF(H129=0,0,IF(OR(G129=0,F129=0),"N.M.",IF(ABS(H129/G129)&gt;=10,"N.M.",H129/G129))))</f>
        <v>N.M.</v>
      </c>
      <c r="J129" s="174"/>
      <c r="K129" s="256">
        <v>558754.77</v>
      </c>
      <c r="L129" s="16">
        <f>+F129-K129</f>
        <v>260633.02000000002</v>
      </c>
      <c r="M129" s="53" t="str">
        <f>IF(K129&lt;0,IF(L129=0,0,IF(OR(K129=0,N129=0),"N.M.",IF(ABS(L129/K129)&gt;=10,"N.M.",L129/(-K129)))),IF(L129=0,0,IF(OR(K129=0,N129=0),"N.M.",IF(ABS(L129/K129)&gt;=10,"N.M.",L129/K129))))</f>
        <v>N.M.</v>
      </c>
      <c r="N129" s="174"/>
      <c r="O129" s="256">
        <v>815384.7000000001</v>
      </c>
      <c r="P129" s="16">
        <f>+F129-O129</f>
        <v>4003.0899999999674</v>
      </c>
      <c r="Q129" s="53">
        <f>IF(O129&lt;0,IF(P129=0,0,IF(OR(O129=0,F129=0),"N.M.",IF(ABS(P129/O129)&gt;=10,"N.M.",P129/(-O129)))),IF(P129=0,0,IF(OR(O129=0,F129=0),"N.M.",IF(ABS(P129/O129)&gt;=10,"N.M.",P129/O129))))</f>
        <v>0.004909449490528786</v>
      </c>
    </row>
    <row r="130" spans="1:17" s="15" customFormat="1" ht="12.75" hidden="1" outlineLevel="2">
      <c r="A130" s="15" t="s">
        <v>557</v>
      </c>
      <c r="B130" s="15" t="s">
        <v>558</v>
      </c>
      <c r="C130" s="134" t="s">
        <v>559</v>
      </c>
      <c r="D130" s="16"/>
      <c r="E130" s="16"/>
      <c r="F130" s="16">
        <v>304509.244</v>
      </c>
      <c r="G130" s="16">
        <v>548254.21</v>
      </c>
      <c r="H130" s="16">
        <f>+F130-G130</f>
        <v>-243744.96599999996</v>
      </c>
      <c r="I130" s="53">
        <f>IF(G130&lt;0,IF(H130=0,0,IF(OR(G130=0,F130=0),"N.M.",IF(ABS(H130/G130)&gt;=10,"N.M.",H130/(-G130)))),IF(H130=0,0,IF(OR(G130=0,F130=0),"N.M.",IF(ABS(H130/G130)&gt;=10,"N.M.",H130/G130))))</f>
        <v>-0.4445838473360742</v>
      </c>
      <c r="J130" s="174"/>
      <c r="K130" s="256">
        <v>264132.914</v>
      </c>
      <c r="L130" s="16">
        <f>+F130-K130</f>
        <v>40376.330000000016</v>
      </c>
      <c r="M130" s="53" t="str">
        <f>IF(K130&lt;0,IF(L130=0,0,IF(OR(K130=0,N130=0),"N.M.",IF(ABS(L130/K130)&gt;=10,"N.M.",L130/(-K130)))),IF(L130=0,0,IF(OR(K130=0,N130=0),"N.M.",IF(ABS(L130/K130)&gt;=10,"N.M.",L130/K130))))</f>
        <v>N.M.</v>
      </c>
      <c r="N130" s="174"/>
      <c r="O130" s="256">
        <v>292974.824</v>
      </c>
      <c r="P130" s="16">
        <f>+F130-O130</f>
        <v>11534.419999999984</v>
      </c>
      <c r="Q130" s="53">
        <f>IF(O130&lt;0,IF(P130=0,0,IF(OR(O130=0,F130=0),"N.M.",IF(ABS(P130/O130)&gt;=10,"N.M.",P130/(-O130)))),IF(P130=0,0,IF(OR(O130=0,F130=0),"N.M.",IF(ABS(P130/O130)&gt;=10,"N.M.",P130/O130))))</f>
        <v>0.0393700040246461</v>
      </c>
    </row>
    <row r="131" spans="1:17" s="67" customFormat="1" ht="12.75" collapsed="1">
      <c r="A131" s="67" t="s">
        <v>119</v>
      </c>
      <c r="B131" s="87"/>
      <c r="C131" s="82" t="s">
        <v>98</v>
      </c>
      <c r="D131" s="66"/>
      <c r="E131" s="66"/>
      <c r="F131" s="51">
        <v>21047374.354</v>
      </c>
      <c r="G131" s="51">
        <v>32755699.34</v>
      </c>
      <c r="H131" s="51">
        <f>+F131-G131</f>
        <v>-11708324.986000001</v>
      </c>
      <c r="I131" s="136">
        <f>IF(G131&lt;0,IF(H131=0,0,IF(OR(G131=0,F131=0),"N.M.",IF(ABS(H131/G131)&gt;=10,"N.M.",H131/(-G131)))),IF(H131=0,0,IF(OR(G131=0,F131=0),"N.M.",IF(ABS(H131/G131)&gt;=10,"N.M.",H131/G131))))</f>
        <v>-0.3574439020357671</v>
      </c>
      <c r="J131" s="157"/>
      <c r="K131" s="51">
        <v>21271879.404</v>
      </c>
      <c r="L131" s="51">
        <f>+F131-K131</f>
        <v>-224505.05000000075</v>
      </c>
      <c r="M131" s="136" t="str">
        <f>IF(K131&lt;0,IF(L131=0,0,IF(OR(K131=0,N131=0),"N.M.",IF(ABS(L131/K131)&gt;=10,"N.M.",L131/(-K131)))),IF(L131=0,0,IF(OR(K131=0,N131=0),"N.M.",IF(ABS(L131/K131)&gt;=10,"N.M.",L131/K131))))</f>
        <v>N.M.</v>
      </c>
      <c r="N131" s="157"/>
      <c r="O131" s="51">
        <v>16639557.673999999</v>
      </c>
      <c r="P131" s="51">
        <f>+F131-O131</f>
        <v>4407816.68</v>
      </c>
      <c r="Q131" s="136">
        <f>IF(O131&lt;0,IF(P131=0,0,IF(OR(O131=0,F131=0),"N.M.",IF(ABS(P131/O131)&gt;=10,"N.M.",P131/(-O131)))),IF(P131=0,0,IF(OR(O131=0,F131=0),"N.M.",IF(ABS(P131/O131)&gt;=10,"N.M.",P131/O131))))</f>
        <v>0.26489987091948947</v>
      </c>
    </row>
    <row r="132" spans="2:17" s="67" customFormat="1" ht="0.75" customHeight="1" hidden="1" outlineLevel="1">
      <c r="B132" s="87"/>
      <c r="C132" s="82"/>
      <c r="D132" s="66"/>
      <c r="E132" s="66"/>
      <c r="F132" s="51"/>
      <c r="G132" s="51"/>
      <c r="H132" s="51"/>
      <c r="I132" s="136"/>
      <c r="J132" s="157"/>
      <c r="K132" s="51"/>
      <c r="L132" s="51"/>
      <c r="M132" s="136"/>
      <c r="N132" s="157"/>
      <c r="O132" s="51"/>
      <c r="P132" s="51"/>
      <c r="Q132" s="136"/>
    </row>
    <row r="133" spans="1:17" s="15" customFormat="1" ht="12.75" hidden="1" outlineLevel="2">
      <c r="A133" s="15" t="s">
        <v>560</v>
      </c>
      <c r="B133" s="15" t="s">
        <v>561</v>
      </c>
      <c r="C133" s="134" t="s">
        <v>562</v>
      </c>
      <c r="D133" s="16"/>
      <c r="E133" s="16"/>
      <c r="F133" s="16">
        <v>10431060.33</v>
      </c>
      <c r="G133" s="16">
        <v>10628734.08</v>
      </c>
      <c r="H133" s="16">
        <f aca="true" t="shared" si="38" ref="H133:H144">+F133-G133</f>
        <v>-197673.75</v>
      </c>
      <c r="I133" s="53">
        <f aca="true" t="shared" si="39" ref="I133:I144">IF(G133&lt;0,IF(H133=0,0,IF(OR(G133=0,F133=0),"N.M.",IF(ABS(H133/G133)&gt;=10,"N.M.",H133/(-G133)))),IF(H133=0,0,IF(OR(G133=0,F133=0),"N.M.",IF(ABS(H133/G133)&gt;=10,"N.M.",H133/G133))))</f>
        <v>-0.018598052083357797</v>
      </c>
      <c r="J133" s="174"/>
      <c r="K133" s="256">
        <v>10654038.86</v>
      </c>
      <c r="L133" s="16">
        <f aca="true" t="shared" si="40" ref="L133:L144">+F133-K133</f>
        <v>-222978.52999999933</v>
      </c>
      <c r="M133" s="53" t="str">
        <f aca="true" t="shared" si="41" ref="M133:M144">IF(K133&lt;0,IF(L133=0,0,IF(OR(K133=0,N133=0),"N.M.",IF(ABS(L133/K133)&gt;=10,"N.M.",L133/(-K133)))),IF(L133=0,0,IF(OR(K133=0,N133=0),"N.M.",IF(ABS(L133/K133)&gt;=10,"N.M.",L133/K133))))</f>
        <v>N.M.</v>
      </c>
      <c r="N133" s="174"/>
      <c r="O133" s="256">
        <v>10708013.77</v>
      </c>
      <c r="P133" s="16">
        <f aca="true" t="shared" si="42" ref="P133:P144">+F133-O133</f>
        <v>-276953.4399999995</v>
      </c>
      <c r="Q133" s="53">
        <f aca="true" t="shared" si="43" ref="Q133:Q144">IF(O133&lt;0,IF(P133=0,0,IF(OR(O133=0,F133=0),"N.M.",IF(ABS(P133/O133)&gt;=10,"N.M.",P133/(-O133)))),IF(P133=0,0,IF(OR(O133=0,F133=0),"N.M.",IF(ABS(P133/O133)&gt;=10,"N.M.",P133/O133))))</f>
        <v>-0.025864128114583055</v>
      </c>
    </row>
    <row r="134" spans="1:17" s="15" customFormat="1" ht="12.75" hidden="1" outlineLevel="2">
      <c r="A134" s="15" t="s">
        <v>563</v>
      </c>
      <c r="B134" s="15" t="s">
        <v>564</v>
      </c>
      <c r="C134" s="134" t="s">
        <v>565</v>
      </c>
      <c r="D134" s="16"/>
      <c r="E134" s="16"/>
      <c r="F134" s="16">
        <v>49680.567</v>
      </c>
      <c r="G134" s="16">
        <v>39369.547</v>
      </c>
      <c r="H134" s="16">
        <f t="shared" si="38"/>
        <v>10311.020000000004</v>
      </c>
      <c r="I134" s="53">
        <f t="shared" si="39"/>
        <v>0.2619034453203133</v>
      </c>
      <c r="J134" s="174"/>
      <c r="K134" s="256">
        <v>152956.887</v>
      </c>
      <c r="L134" s="16">
        <f t="shared" si="40"/>
        <v>-103276.31999999998</v>
      </c>
      <c r="M134" s="53" t="str">
        <f t="shared" si="41"/>
        <v>N.M.</v>
      </c>
      <c r="N134" s="174"/>
      <c r="O134" s="256">
        <v>45598.227</v>
      </c>
      <c r="P134" s="16">
        <f t="shared" si="42"/>
        <v>4082.340000000004</v>
      </c>
      <c r="Q134" s="53">
        <f t="shared" si="43"/>
        <v>0.08952848100870246</v>
      </c>
    </row>
    <row r="135" spans="1:17" s="15" customFormat="1" ht="12.75" hidden="1" outlineLevel="2">
      <c r="A135" s="15" t="s">
        <v>566</v>
      </c>
      <c r="B135" s="15" t="s">
        <v>567</v>
      </c>
      <c r="C135" s="134" t="s">
        <v>568</v>
      </c>
      <c r="D135" s="16"/>
      <c r="E135" s="16"/>
      <c r="F135" s="16">
        <v>338019.60000000003</v>
      </c>
      <c r="G135" s="16">
        <v>247463.95</v>
      </c>
      <c r="H135" s="16">
        <f t="shared" si="38"/>
        <v>90555.65000000002</v>
      </c>
      <c r="I135" s="53">
        <f t="shared" si="39"/>
        <v>0.3659347149352462</v>
      </c>
      <c r="J135" s="174"/>
      <c r="K135" s="256">
        <v>259330.36000000002</v>
      </c>
      <c r="L135" s="16">
        <f t="shared" si="40"/>
        <v>78689.24000000002</v>
      </c>
      <c r="M135" s="53" t="str">
        <f t="shared" si="41"/>
        <v>N.M.</v>
      </c>
      <c r="N135" s="174"/>
      <c r="O135" s="256">
        <v>287071.68</v>
      </c>
      <c r="P135" s="16">
        <f t="shared" si="42"/>
        <v>50947.92000000004</v>
      </c>
      <c r="Q135" s="53">
        <f t="shared" si="43"/>
        <v>0.17747455966398373</v>
      </c>
    </row>
    <row r="136" spans="1:17" s="15" customFormat="1" ht="12.75" hidden="1" outlineLevel="2">
      <c r="A136" s="15" t="s">
        <v>569</v>
      </c>
      <c r="B136" s="15" t="s">
        <v>570</v>
      </c>
      <c r="C136" s="134" t="s">
        <v>571</v>
      </c>
      <c r="D136" s="16"/>
      <c r="E136" s="16"/>
      <c r="F136" s="16">
        <v>72751.03</v>
      </c>
      <c r="G136" s="16">
        <v>65975.64</v>
      </c>
      <c r="H136" s="16">
        <f t="shared" si="38"/>
        <v>6775.389999999999</v>
      </c>
      <c r="I136" s="53">
        <f t="shared" si="39"/>
        <v>0.10269532815445215</v>
      </c>
      <c r="J136" s="174"/>
      <c r="K136" s="256">
        <v>72751.03</v>
      </c>
      <c r="L136" s="16">
        <f t="shared" si="40"/>
        <v>0</v>
      </c>
      <c r="M136" s="53">
        <f t="shared" si="41"/>
        <v>0</v>
      </c>
      <c r="N136" s="174"/>
      <c r="O136" s="256">
        <v>72751.03</v>
      </c>
      <c r="P136" s="16">
        <f t="shared" si="42"/>
        <v>0</v>
      </c>
      <c r="Q136" s="53">
        <f t="shared" si="43"/>
        <v>0</v>
      </c>
    </row>
    <row r="137" spans="1:17" s="15" customFormat="1" ht="12.75" hidden="1" outlineLevel="2">
      <c r="A137" s="15" t="s">
        <v>572</v>
      </c>
      <c r="B137" s="15" t="s">
        <v>573</v>
      </c>
      <c r="C137" s="134" t="s">
        <v>574</v>
      </c>
      <c r="D137" s="16"/>
      <c r="E137" s="16"/>
      <c r="F137" s="16">
        <v>929029.92</v>
      </c>
      <c r="G137" s="16">
        <v>1147501.6</v>
      </c>
      <c r="H137" s="16">
        <f t="shared" si="38"/>
        <v>-218471.68000000005</v>
      </c>
      <c r="I137" s="53">
        <f t="shared" si="39"/>
        <v>-0.19038899815041654</v>
      </c>
      <c r="J137" s="174"/>
      <c r="K137" s="256">
        <v>781230.5700000001</v>
      </c>
      <c r="L137" s="16">
        <f t="shared" si="40"/>
        <v>147799.34999999998</v>
      </c>
      <c r="M137" s="53" t="str">
        <f t="shared" si="41"/>
        <v>N.M.</v>
      </c>
      <c r="N137" s="174"/>
      <c r="O137" s="256">
        <v>1052462.72</v>
      </c>
      <c r="P137" s="16">
        <f t="shared" si="42"/>
        <v>-123432.79999999993</v>
      </c>
      <c r="Q137" s="53">
        <f t="shared" si="43"/>
        <v>-0.11727997358424243</v>
      </c>
    </row>
    <row r="138" spans="1:17" s="67" customFormat="1" ht="12.75" hidden="1" outlineLevel="1">
      <c r="A138" s="86" t="s">
        <v>120</v>
      </c>
      <c r="B138" s="87"/>
      <c r="C138" s="83" t="s">
        <v>115</v>
      </c>
      <c r="D138" s="66"/>
      <c r="E138" s="66"/>
      <c r="F138" s="51">
        <v>11820541.446999999</v>
      </c>
      <c r="G138" s="51">
        <v>12129044.817</v>
      </c>
      <c r="H138" s="51">
        <f t="shared" si="38"/>
        <v>-308503.37000000104</v>
      </c>
      <c r="I138" s="136">
        <f t="shared" si="39"/>
        <v>-0.02543509193465956</v>
      </c>
      <c r="J138" s="157"/>
      <c r="K138" s="51">
        <v>11920307.706999999</v>
      </c>
      <c r="L138" s="51">
        <f t="shared" si="40"/>
        <v>-99766.25999999978</v>
      </c>
      <c r="M138" s="136" t="str">
        <f t="shared" si="41"/>
        <v>N.M.</v>
      </c>
      <c r="N138" s="157"/>
      <c r="O138" s="51">
        <v>12165897.427</v>
      </c>
      <c r="P138" s="51">
        <f t="shared" si="42"/>
        <v>-345355.98000000045</v>
      </c>
      <c r="Q138" s="136">
        <f t="shared" si="43"/>
        <v>-0.02838721780059937</v>
      </c>
    </row>
    <row r="139" spans="1:17" s="67" customFormat="1" ht="12.75" hidden="1" outlineLevel="1">
      <c r="A139" s="86" t="s">
        <v>121</v>
      </c>
      <c r="B139" s="87"/>
      <c r="C139" s="83" t="s">
        <v>116</v>
      </c>
      <c r="D139" s="66"/>
      <c r="E139" s="66"/>
      <c r="F139" s="51">
        <v>0</v>
      </c>
      <c r="G139" s="51">
        <v>0</v>
      </c>
      <c r="H139" s="51">
        <f t="shared" si="38"/>
        <v>0</v>
      </c>
      <c r="I139" s="136">
        <f t="shared" si="39"/>
        <v>0</v>
      </c>
      <c r="J139" s="157"/>
      <c r="K139" s="51">
        <v>0</v>
      </c>
      <c r="L139" s="51">
        <f t="shared" si="40"/>
        <v>0</v>
      </c>
      <c r="M139" s="136">
        <f t="shared" si="41"/>
        <v>0</v>
      </c>
      <c r="N139" s="157"/>
      <c r="O139" s="51">
        <v>0</v>
      </c>
      <c r="P139" s="51">
        <f t="shared" si="42"/>
        <v>0</v>
      </c>
      <c r="Q139" s="136">
        <f t="shared" si="43"/>
        <v>0</v>
      </c>
    </row>
    <row r="140" spans="1:17" s="15" customFormat="1" ht="12.75" hidden="1" outlineLevel="2">
      <c r="A140" s="15" t="s">
        <v>575</v>
      </c>
      <c r="B140" s="15" t="s">
        <v>576</v>
      </c>
      <c r="C140" s="134" t="s">
        <v>577</v>
      </c>
      <c r="D140" s="16"/>
      <c r="E140" s="16"/>
      <c r="F140" s="16">
        <v>2789358.0700000003</v>
      </c>
      <c r="G140" s="16">
        <v>6023589.53</v>
      </c>
      <c r="H140" s="16">
        <f t="shared" si="38"/>
        <v>-3234231.46</v>
      </c>
      <c r="I140" s="53">
        <f t="shared" si="39"/>
        <v>-0.5369275983850115</v>
      </c>
      <c r="J140" s="174"/>
      <c r="K140" s="256">
        <v>4562140.86</v>
      </c>
      <c r="L140" s="16">
        <f t="shared" si="40"/>
        <v>-1772782.79</v>
      </c>
      <c r="M140" s="53" t="str">
        <f t="shared" si="41"/>
        <v>N.M.</v>
      </c>
      <c r="N140" s="174"/>
      <c r="O140" s="256">
        <v>12027962.24</v>
      </c>
      <c r="P140" s="16">
        <f t="shared" si="42"/>
        <v>-9238604.17</v>
      </c>
      <c r="Q140" s="53">
        <f t="shared" si="43"/>
        <v>-0.7680938787183954</v>
      </c>
    </row>
    <row r="141" spans="1:17" s="15" customFormat="1" ht="12.75" hidden="1" outlineLevel="2">
      <c r="A141" s="15" t="s">
        <v>578</v>
      </c>
      <c r="B141" s="15" t="s">
        <v>579</v>
      </c>
      <c r="C141" s="134" t="s">
        <v>580</v>
      </c>
      <c r="D141" s="16"/>
      <c r="E141" s="16"/>
      <c r="F141" s="16">
        <v>108236.33</v>
      </c>
      <c r="G141" s="16">
        <v>15743.52</v>
      </c>
      <c r="H141" s="16">
        <f t="shared" si="38"/>
        <v>92492.81</v>
      </c>
      <c r="I141" s="53">
        <f t="shared" si="39"/>
        <v>5.874976498267223</v>
      </c>
      <c r="J141" s="174"/>
      <c r="K141" s="256">
        <v>127987.26000000001</v>
      </c>
      <c r="L141" s="16">
        <f t="shared" si="40"/>
        <v>-19750.930000000008</v>
      </c>
      <c r="M141" s="53" t="str">
        <f t="shared" si="41"/>
        <v>N.M.</v>
      </c>
      <c r="N141" s="174"/>
      <c r="O141" s="256">
        <v>184206.4</v>
      </c>
      <c r="P141" s="16">
        <f t="shared" si="42"/>
        <v>-75970.06999999999</v>
      </c>
      <c r="Q141" s="53">
        <f t="shared" si="43"/>
        <v>-0.41241818959601834</v>
      </c>
    </row>
    <row r="142" spans="1:17" s="67" customFormat="1" ht="12.75" hidden="1" outlineLevel="1">
      <c r="A142" s="86" t="s">
        <v>122</v>
      </c>
      <c r="B142" s="87"/>
      <c r="C142" s="83" t="s">
        <v>117</v>
      </c>
      <c r="D142" s="66"/>
      <c r="E142" s="66"/>
      <c r="F142" s="51">
        <v>2897594.4000000004</v>
      </c>
      <c r="G142" s="51">
        <v>6039333.05</v>
      </c>
      <c r="H142" s="51">
        <f t="shared" si="38"/>
        <v>-3141738.6499999994</v>
      </c>
      <c r="I142" s="136">
        <f t="shared" si="39"/>
        <v>-0.520212848668778</v>
      </c>
      <c r="J142" s="157"/>
      <c r="K142" s="51">
        <v>4690128.12</v>
      </c>
      <c r="L142" s="51">
        <f t="shared" si="40"/>
        <v>-1792533.7199999997</v>
      </c>
      <c r="M142" s="136" t="str">
        <f t="shared" si="41"/>
        <v>N.M.</v>
      </c>
      <c r="N142" s="157"/>
      <c r="O142" s="51">
        <v>12212168.64</v>
      </c>
      <c r="P142" s="51">
        <f t="shared" si="42"/>
        <v>-9314574.24</v>
      </c>
      <c r="Q142" s="136">
        <f t="shared" si="43"/>
        <v>-0.7627289234682563</v>
      </c>
    </row>
    <row r="143" spans="1:17" s="67" customFormat="1" ht="12.75" hidden="1" outlineLevel="1">
      <c r="A143" s="86" t="s">
        <v>123</v>
      </c>
      <c r="B143" s="87"/>
      <c r="C143" s="84" t="s">
        <v>118</v>
      </c>
      <c r="D143" s="66"/>
      <c r="E143" s="66"/>
      <c r="F143" s="197">
        <v>0</v>
      </c>
      <c r="G143" s="197">
        <v>0</v>
      </c>
      <c r="H143" s="197">
        <f t="shared" si="38"/>
        <v>0</v>
      </c>
      <c r="I143" s="138">
        <f t="shared" si="39"/>
        <v>0</v>
      </c>
      <c r="J143" s="157"/>
      <c r="K143" s="197">
        <v>0</v>
      </c>
      <c r="L143" s="197">
        <f t="shared" si="40"/>
        <v>0</v>
      </c>
      <c r="M143" s="138">
        <f t="shared" si="41"/>
        <v>0</v>
      </c>
      <c r="N143" s="157"/>
      <c r="O143" s="197">
        <v>0</v>
      </c>
      <c r="P143" s="197">
        <f t="shared" si="42"/>
        <v>0</v>
      </c>
      <c r="Q143" s="138">
        <f t="shared" si="43"/>
        <v>0</v>
      </c>
    </row>
    <row r="144" spans="1:17" s="67" customFormat="1" ht="12.75" collapsed="1">
      <c r="A144" s="67" t="s">
        <v>233</v>
      </c>
      <c r="B144" s="87"/>
      <c r="C144" s="82" t="s">
        <v>99</v>
      </c>
      <c r="D144" s="66"/>
      <c r="E144" s="66"/>
      <c r="F144" s="51">
        <f>+F143+F142+F139+F138</f>
        <v>14718135.847</v>
      </c>
      <c r="G144" s="51">
        <f>+G143+G142+G139+G138</f>
        <v>18168377.867</v>
      </c>
      <c r="H144" s="51">
        <f t="shared" si="38"/>
        <v>-3450242.0199999996</v>
      </c>
      <c r="I144" s="136">
        <f t="shared" si="39"/>
        <v>-0.18990369119671502</v>
      </c>
      <c r="J144" s="157"/>
      <c r="K144" s="51">
        <f>+K143+K142+K139+K138</f>
        <v>16610435.827</v>
      </c>
      <c r="L144" s="51">
        <f t="shared" si="40"/>
        <v>-1892299.9800000004</v>
      </c>
      <c r="M144" s="136" t="str">
        <f t="shared" si="41"/>
        <v>N.M.</v>
      </c>
      <c r="N144" s="157"/>
      <c r="O144" s="51">
        <f>+O143+O142+O139+O138</f>
        <v>24378066.067</v>
      </c>
      <c r="P144" s="51">
        <f t="shared" si="42"/>
        <v>-9659930.220000003</v>
      </c>
      <c r="Q144" s="136">
        <f t="shared" si="43"/>
        <v>-0.3962549856683019</v>
      </c>
    </row>
    <row r="145" spans="2:17" s="67" customFormat="1" ht="0.75" customHeight="1" hidden="1" outlineLevel="1">
      <c r="B145" s="87"/>
      <c r="C145" s="82"/>
      <c r="D145" s="66"/>
      <c r="E145" s="66"/>
      <c r="F145" s="51"/>
      <c r="G145" s="51"/>
      <c r="H145" s="51"/>
      <c r="I145" s="136"/>
      <c r="J145" s="157"/>
      <c r="K145" s="51"/>
      <c r="L145" s="51"/>
      <c r="M145" s="136"/>
      <c r="N145" s="157"/>
      <c r="O145" s="51"/>
      <c r="P145" s="51"/>
      <c r="Q145" s="136"/>
    </row>
    <row r="146" spans="1:17" s="15" customFormat="1" ht="12.75" hidden="1" outlineLevel="2">
      <c r="A146" s="15" t="s">
        <v>581</v>
      </c>
      <c r="B146" s="15" t="s">
        <v>582</v>
      </c>
      <c r="C146" s="134" t="s">
        <v>100</v>
      </c>
      <c r="D146" s="16"/>
      <c r="E146" s="16"/>
      <c r="F146" s="16">
        <v>17712164.06</v>
      </c>
      <c r="G146" s="16">
        <v>14630081.53</v>
      </c>
      <c r="H146" s="16">
        <f>+F146-G146</f>
        <v>3082082.5299999993</v>
      </c>
      <c r="I146" s="53">
        <f>IF(G146&lt;0,IF(H146=0,0,IF(OR(G146=0,F146=0),"N.M.",IF(ABS(H146/G146)&gt;=10,"N.M.",H146/(-G146)))),IF(H146=0,0,IF(OR(G146=0,F146=0),"N.M.",IF(ABS(H146/G146)&gt;=10,"N.M.",H146/G146))))</f>
        <v>0.21066748833080493</v>
      </c>
      <c r="J146" s="174"/>
      <c r="K146" s="256">
        <v>14633648.9</v>
      </c>
      <c r="L146" s="16">
        <f>+F146-K146</f>
        <v>3078515.1599999983</v>
      </c>
      <c r="M146" s="53" t="str">
        <f>IF(K146&lt;0,IF(L146=0,0,IF(OR(K146=0,N146=0),"N.M.",IF(ABS(L146/K146)&gt;=10,"N.M.",L146/(-K146)))),IF(L146=0,0,IF(OR(K146=0,N146=0),"N.M.",IF(ABS(L146/K146)&gt;=10,"N.M.",L146/K146))))</f>
        <v>N.M.</v>
      </c>
      <c r="N146" s="174"/>
      <c r="O146" s="256">
        <v>31228544.24</v>
      </c>
      <c r="P146" s="16">
        <f>+F146-O146</f>
        <v>-13516380.18</v>
      </c>
      <c r="Q146" s="53">
        <f>IF(O146&lt;0,IF(P146=0,0,IF(OR(O146=0,F146=0),"N.M.",IF(ABS(P146/O146)&gt;=10,"N.M.",P146/(-O146)))),IF(P146=0,0,IF(OR(O146=0,F146=0),"N.M.",IF(ABS(P146/O146)&gt;=10,"N.M.",P146/O146))))</f>
        <v>-0.4328213341013555</v>
      </c>
    </row>
    <row r="147" spans="1:17" s="15" customFormat="1" ht="12.75" hidden="1" outlineLevel="2">
      <c r="A147" s="15" t="s">
        <v>583</v>
      </c>
      <c r="B147" s="15" t="s">
        <v>584</v>
      </c>
      <c r="C147" s="134" t="s">
        <v>585</v>
      </c>
      <c r="D147" s="16"/>
      <c r="E147" s="16"/>
      <c r="F147" s="16">
        <v>-17472413.66</v>
      </c>
      <c r="G147" s="16">
        <v>-10682697.97</v>
      </c>
      <c r="H147" s="16">
        <f>+F147-G147</f>
        <v>-6789715.6899999995</v>
      </c>
      <c r="I147" s="53">
        <f>IF(G147&lt;0,IF(H147=0,0,IF(OR(G147=0,F147=0),"N.M.",IF(ABS(H147/G147)&gt;=10,"N.M.",H147/(-G147)))),IF(H147=0,0,IF(OR(G147=0,F147=0),"N.M.",IF(ABS(H147/G147)&gt;=10,"N.M.",H147/G147))))</f>
        <v>-0.6355806097923405</v>
      </c>
      <c r="J147" s="174"/>
      <c r="K147" s="256">
        <v>-21174163.67</v>
      </c>
      <c r="L147" s="16">
        <f>+F147-K147</f>
        <v>3701750.0100000016</v>
      </c>
      <c r="M147" s="53" t="str">
        <f>IF(K147&lt;0,IF(L147=0,0,IF(OR(K147=0,N147=0),"N.M.",IF(ABS(L147/K147)&gt;=10,"N.M.",L147/(-K147)))),IF(L147=0,0,IF(OR(K147=0,N147=0),"N.M.",IF(ABS(L147/K147)&gt;=10,"N.M.",L147/K147))))</f>
        <v>N.M.</v>
      </c>
      <c r="N147" s="174"/>
      <c r="O147" s="256">
        <v>-27405152.03</v>
      </c>
      <c r="P147" s="16">
        <f>+F147-O147</f>
        <v>9932738.370000001</v>
      </c>
      <c r="Q147" s="53">
        <f>IF(O147&lt;0,IF(P147=0,0,IF(OR(O147=0,F147=0),"N.M.",IF(ABS(P147/O147)&gt;=10,"N.M.",P147/(-O147)))),IF(P147=0,0,IF(OR(O147=0,F147=0),"N.M.",IF(ABS(P147/O147)&gt;=10,"N.M.",P147/O147))))</f>
        <v>0.3624405498326294</v>
      </c>
    </row>
    <row r="148" spans="1:17" s="67" customFormat="1" ht="12.75" collapsed="1">
      <c r="A148" s="67" t="s">
        <v>124</v>
      </c>
      <c r="B148" s="87"/>
      <c r="C148" s="82" t="s">
        <v>100</v>
      </c>
      <c r="D148" s="66"/>
      <c r="E148" s="66"/>
      <c r="F148" s="51">
        <v>239750.3999999985</v>
      </c>
      <c r="G148" s="51">
        <v>3947383.5599999987</v>
      </c>
      <c r="H148" s="51">
        <f>+F148-G148</f>
        <v>-3707633.16</v>
      </c>
      <c r="I148" s="136">
        <f>IF(G148&lt;0,IF(H148=0,0,IF(OR(G148=0,F148=0),"N.M.",IF(ABS(H148/G148)&gt;=10,"N.M.",H148/(-G148)))),IF(H148=0,0,IF(OR(G148=0,F148=0),"N.M.",IF(ABS(H148/G148)&gt;=10,"N.M.",H148/G148))))</f>
        <v>-0.9392634649367596</v>
      </c>
      <c r="J148" s="157"/>
      <c r="K148" s="51">
        <v>-6540514.770000001</v>
      </c>
      <c r="L148" s="51">
        <f>+F148-K148</f>
        <v>6780265.17</v>
      </c>
      <c r="M148" s="136" t="str">
        <f>IF(K148&lt;0,IF(L148=0,0,IF(OR(K148=0,N148=0),"N.M.",IF(ABS(L148/K148)&gt;=10,"N.M.",L148/(-K148)))),IF(L148=0,0,IF(OR(K148=0,N148=0),"N.M.",IF(ABS(L148/K148)&gt;=10,"N.M.",L148/K148))))</f>
        <v>N.M.</v>
      </c>
      <c r="N148" s="157"/>
      <c r="O148" s="51">
        <v>3823392.209999997</v>
      </c>
      <c r="P148" s="51">
        <f>+F148-O148</f>
        <v>-3583641.8099999987</v>
      </c>
      <c r="Q148" s="136">
        <f>IF(O148&lt;0,IF(P148=0,0,IF(OR(O148=0,F148=0),"N.M.",IF(ABS(P148/O148)&gt;=10,"N.M.",P148/(-O148)))),IF(P148=0,0,IF(OR(O148=0,F148=0),"N.M.",IF(ABS(P148/O148)&gt;=10,"N.M.",P148/O148))))</f>
        <v>-0.9372937991103982</v>
      </c>
    </row>
    <row r="149" spans="2:17" s="67" customFormat="1" ht="0.75" customHeight="1" hidden="1" outlineLevel="1">
      <c r="B149" s="87"/>
      <c r="C149" s="82"/>
      <c r="D149" s="66"/>
      <c r="E149" s="66"/>
      <c r="F149" s="51"/>
      <c r="G149" s="51"/>
      <c r="H149" s="51"/>
      <c r="I149" s="136"/>
      <c r="J149" s="157"/>
      <c r="K149" s="51"/>
      <c r="L149" s="51"/>
      <c r="M149" s="136"/>
      <c r="N149" s="157"/>
      <c r="O149" s="51"/>
      <c r="P149" s="51"/>
      <c r="Q149" s="136"/>
    </row>
    <row r="150" spans="1:17" s="15" customFormat="1" ht="12.75" hidden="1" outlineLevel="2">
      <c r="A150" s="15" t="s">
        <v>586</v>
      </c>
      <c r="B150" s="15" t="s">
        <v>587</v>
      </c>
      <c r="C150" s="134" t="s">
        <v>588</v>
      </c>
      <c r="D150" s="16"/>
      <c r="E150" s="16"/>
      <c r="F150" s="16">
        <v>5408480.83</v>
      </c>
      <c r="G150" s="16">
        <v>13824125.65</v>
      </c>
      <c r="H150" s="16">
        <f>+F150-G150</f>
        <v>-8415644.82</v>
      </c>
      <c r="I150" s="53">
        <f>IF(G150&lt;0,IF(H150=0,0,IF(OR(G150=0,F150=0),"N.M.",IF(ABS(H150/G150)&gt;=10,"N.M.",H150/(-G150)))),IF(H150=0,0,IF(OR(G150=0,F150=0),"N.M.",IF(ABS(H150/G150)&gt;=10,"N.M.",H150/G150))))</f>
        <v>-0.6087650700715384</v>
      </c>
      <c r="J150" s="174"/>
      <c r="K150" s="256">
        <v>6798786.19</v>
      </c>
      <c r="L150" s="16">
        <f>+F150-K150</f>
        <v>-1390305.3600000003</v>
      </c>
      <c r="M150" s="53" t="str">
        <f>IF(K150&lt;0,IF(L150=0,0,IF(OR(K150=0,N150=0),"N.M.",IF(ABS(L150/K150)&gt;=10,"N.M.",L150/(-K150)))),IF(L150=0,0,IF(OR(K150=0,N150=0),"N.M.",IF(ABS(L150/K150)&gt;=10,"N.M.",L150/K150))))</f>
        <v>N.M.</v>
      </c>
      <c r="N150" s="174"/>
      <c r="O150" s="256">
        <v>8957232.27</v>
      </c>
      <c r="P150" s="16">
        <f>+F150-O150</f>
        <v>-3548751.4399999995</v>
      </c>
      <c r="Q150" s="53">
        <f>IF(O150&lt;0,IF(P150=0,0,IF(OR(O150=0,F150=0),"N.M.",IF(ABS(P150/O150)&gt;=10,"N.M.",P150/(-O150)))),IF(P150=0,0,IF(OR(O150=0,F150=0),"N.M.",IF(ABS(P150/O150)&gt;=10,"N.M.",P150/O150))))</f>
        <v>-0.39618839090347713</v>
      </c>
    </row>
    <row r="151" spans="1:17" s="15" customFormat="1" ht="12.75" hidden="1" outlineLevel="2">
      <c r="A151" s="15" t="s">
        <v>589</v>
      </c>
      <c r="B151" s="15" t="s">
        <v>590</v>
      </c>
      <c r="C151" s="134" t="s">
        <v>591</v>
      </c>
      <c r="D151" s="16"/>
      <c r="E151" s="16"/>
      <c r="F151" s="16">
        <v>0</v>
      </c>
      <c r="G151" s="16">
        <v>4193.18</v>
      </c>
      <c r="H151" s="16">
        <f>+F151-G151</f>
        <v>-4193.18</v>
      </c>
      <c r="I151" s="53" t="str">
        <f>IF(G151&lt;0,IF(H151=0,0,IF(OR(G151=0,F151=0),"N.M.",IF(ABS(H151/G151)&gt;=10,"N.M.",H151/(-G151)))),IF(H151=0,0,IF(OR(G151=0,F151=0),"N.M.",IF(ABS(H151/G151)&gt;=10,"N.M.",H151/G151))))</f>
        <v>N.M.</v>
      </c>
      <c r="J151" s="174"/>
      <c r="K151" s="256">
        <v>0</v>
      </c>
      <c r="L151" s="16">
        <f>+F151-K151</f>
        <v>0</v>
      </c>
      <c r="M151" s="53">
        <f>IF(K151&lt;0,IF(L151=0,0,IF(OR(K151=0,N151=0),"N.M.",IF(ABS(L151/K151)&gt;=10,"N.M.",L151/(-K151)))),IF(L151=0,0,IF(OR(K151=0,N151=0),"N.M.",IF(ABS(L151/K151)&gt;=10,"N.M.",L151/K151))))</f>
        <v>0</v>
      </c>
      <c r="N151" s="174"/>
      <c r="O151" s="256">
        <v>0</v>
      </c>
      <c r="P151" s="16">
        <f>+F151-O151</f>
        <v>0</v>
      </c>
      <c r="Q151" s="53">
        <f>IF(O151&lt;0,IF(P151=0,0,IF(OR(O151=0,F151=0),"N.M.",IF(ABS(P151/O151)&gt;=10,"N.M.",P151/(-O151)))),IF(P151=0,0,IF(OR(O151=0,F151=0),"N.M.",IF(ABS(P151/O151)&gt;=10,"N.M.",P151/O151))))</f>
        <v>0</v>
      </c>
    </row>
    <row r="152" spans="1:17" s="15" customFormat="1" ht="12.75" hidden="1" outlineLevel="2">
      <c r="A152" s="15" t="s">
        <v>592</v>
      </c>
      <c r="B152" s="15" t="s">
        <v>593</v>
      </c>
      <c r="C152" s="134" t="s">
        <v>594</v>
      </c>
      <c r="D152" s="16"/>
      <c r="E152" s="16"/>
      <c r="F152" s="16">
        <v>-161726</v>
      </c>
      <c r="G152" s="16">
        <v>-564358</v>
      </c>
      <c r="H152" s="16">
        <f>+F152-G152</f>
        <v>402632</v>
      </c>
      <c r="I152" s="53">
        <f>IF(G152&lt;0,IF(H152=0,0,IF(OR(G152=0,F152=0),"N.M.",IF(ABS(H152/G152)&gt;=10,"N.M.",H152/(-G152)))),IF(H152=0,0,IF(OR(G152=0,F152=0),"N.M.",IF(ABS(H152/G152)&gt;=10,"N.M.",H152/G152))))</f>
        <v>0.713433671534735</v>
      </c>
      <c r="J152" s="174"/>
      <c r="K152" s="256">
        <v>-172200</v>
      </c>
      <c r="L152" s="16">
        <f>+F152-K152</f>
        <v>10474</v>
      </c>
      <c r="M152" s="53" t="str">
        <f>IF(K152&lt;0,IF(L152=0,0,IF(OR(K152=0,N152=0),"N.M.",IF(ABS(L152/K152)&gt;=10,"N.M.",L152/(-K152)))),IF(L152=0,0,IF(OR(K152=0,N152=0),"N.M.",IF(ABS(L152/K152)&gt;=10,"N.M.",L152/K152))))</f>
        <v>N.M.</v>
      </c>
      <c r="N152" s="174"/>
      <c r="O152" s="256">
        <v>-339000</v>
      </c>
      <c r="P152" s="16">
        <f>+F152-O152</f>
        <v>177274</v>
      </c>
      <c r="Q152" s="53">
        <f>IF(O152&lt;0,IF(P152=0,0,IF(OR(O152=0,F152=0),"N.M.",IF(ABS(P152/O152)&gt;=10,"N.M.",P152/(-O152)))),IF(P152=0,0,IF(OR(O152=0,F152=0),"N.M.",IF(ABS(P152/O152)&gt;=10,"N.M.",P152/O152))))</f>
        <v>0.5229321533923303</v>
      </c>
    </row>
    <row r="153" spans="1:17" s="15" customFormat="1" ht="12.75" hidden="1" outlineLevel="2">
      <c r="A153" s="15" t="s">
        <v>595</v>
      </c>
      <c r="B153" s="15" t="s">
        <v>596</v>
      </c>
      <c r="C153" s="134" t="s">
        <v>597</v>
      </c>
      <c r="D153" s="16"/>
      <c r="E153" s="16"/>
      <c r="F153" s="16">
        <v>457997</v>
      </c>
      <c r="G153" s="16">
        <v>95534</v>
      </c>
      <c r="H153" s="16">
        <f>+F153-G153</f>
        <v>362463</v>
      </c>
      <c r="I153" s="53">
        <f>IF(G153&lt;0,IF(H153=0,0,IF(OR(G153=0,F153=0),"N.M.",IF(ABS(H153/G153)&gt;=10,"N.M.",H153/(-G153)))),IF(H153=0,0,IF(OR(G153=0,F153=0),"N.M.",IF(ABS(H153/G153)&gt;=10,"N.M.",H153/G153))))</f>
        <v>3.794073314212741</v>
      </c>
      <c r="J153" s="174"/>
      <c r="K153" s="256">
        <v>375040</v>
      </c>
      <c r="L153" s="16">
        <f>+F153-K153</f>
        <v>82957</v>
      </c>
      <c r="M153" s="53" t="str">
        <f>IF(K153&lt;0,IF(L153=0,0,IF(OR(K153=0,N153=0),"N.M.",IF(ABS(L153/K153)&gt;=10,"N.M.",L153/(-K153)))),IF(L153=0,0,IF(OR(K153=0,N153=0),"N.M.",IF(ABS(L153/K153)&gt;=10,"N.M.",L153/K153))))</f>
        <v>N.M.</v>
      </c>
      <c r="N153" s="174"/>
      <c r="O153" s="256">
        <v>78854</v>
      </c>
      <c r="P153" s="16">
        <f>+F153-O153</f>
        <v>379143</v>
      </c>
      <c r="Q153" s="53">
        <f>IF(O153&lt;0,IF(P153=0,0,IF(OR(O153=0,F153=0),"N.M.",IF(ABS(P153/O153)&gt;=10,"N.M.",P153/(-O153)))),IF(P153=0,0,IF(OR(O153=0,F153=0),"N.M.",IF(ABS(P153/O153)&gt;=10,"N.M.",P153/O153))))</f>
        <v>4.808164455829761</v>
      </c>
    </row>
    <row r="154" spans="1:17" s="67" customFormat="1" ht="12.75" collapsed="1">
      <c r="A154" s="67" t="s">
        <v>125</v>
      </c>
      <c r="B154" s="87"/>
      <c r="C154" s="82" t="s">
        <v>101</v>
      </c>
      <c r="D154" s="66"/>
      <c r="E154" s="66"/>
      <c r="F154" s="51">
        <v>5704751.83</v>
      </c>
      <c r="G154" s="51">
        <v>13359494.83</v>
      </c>
      <c r="H154" s="51">
        <f>+F154-G154</f>
        <v>-7654743</v>
      </c>
      <c r="I154" s="136">
        <f>IF(G154&lt;0,IF(H154=0,0,IF(OR(G154=0,F154=0),"N.M.",IF(ABS(H154/G154)&gt;=10,"N.M.",H154/(-G154)))),IF(H154=0,0,IF(OR(G154=0,F154=0),"N.M.",IF(ABS(H154/G154)&gt;=10,"N.M.",H154/G154))))</f>
        <v>-0.572981471036656</v>
      </c>
      <c r="J154" s="157"/>
      <c r="K154" s="51">
        <v>7001626.19</v>
      </c>
      <c r="L154" s="51">
        <f>+F154-K154</f>
        <v>-1296874.3600000003</v>
      </c>
      <c r="M154" s="136" t="str">
        <f>IF(K154&lt;0,IF(L154=0,0,IF(OR(K154=0,N154=0),"N.M.",IF(ABS(L154/K154)&gt;=10,"N.M.",L154/(-K154)))),IF(L154=0,0,IF(OR(K154=0,N154=0),"N.M.",IF(ABS(L154/K154)&gt;=10,"N.M.",L154/K154))))</f>
        <v>N.M.</v>
      </c>
      <c r="N154" s="157"/>
      <c r="O154" s="51">
        <v>8697086.27</v>
      </c>
      <c r="P154" s="51">
        <f>+F154-O154</f>
        <v>-2992334.4399999995</v>
      </c>
      <c r="Q154" s="136">
        <f>IF(O154&lt;0,IF(P154=0,0,IF(OR(O154=0,F154=0),"N.M.",IF(ABS(P154/O154)&gt;=10,"N.M.",P154/(-O154)))),IF(P154=0,0,IF(OR(O154=0,F154=0),"N.M.",IF(ABS(P154/O154)&gt;=10,"N.M.",P154/O154))))</f>
        <v>-0.3440617175802718</v>
      </c>
    </row>
    <row r="155" spans="1:17" s="67" customFormat="1" ht="0.75" customHeight="1" hidden="1" outlineLevel="1">
      <c r="A155" s="86"/>
      <c r="B155" s="87"/>
      <c r="C155" s="83"/>
      <c r="D155" s="66"/>
      <c r="E155" s="66"/>
      <c r="F155" s="51"/>
      <c r="G155" s="51"/>
      <c r="H155" s="51"/>
      <c r="I155" s="136"/>
      <c r="J155" s="157"/>
      <c r="K155" s="51"/>
      <c r="L155" s="51"/>
      <c r="M155" s="136"/>
      <c r="N155" s="157"/>
      <c r="O155" s="51"/>
      <c r="P155" s="51"/>
      <c r="Q155" s="136"/>
    </row>
    <row r="156" spans="1:17" s="15" customFormat="1" ht="12.75" hidden="1" outlineLevel="2">
      <c r="A156" s="15" t="s">
        <v>598</v>
      </c>
      <c r="B156" s="15" t="s">
        <v>599</v>
      </c>
      <c r="C156" s="134" t="s">
        <v>600</v>
      </c>
      <c r="D156" s="16"/>
      <c r="E156" s="16"/>
      <c r="F156" s="16">
        <v>164880.295</v>
      </c>
      <c r="G156" s="16">
        <v>186892.805</v>
      </c>
      <c r="H156" s="16">
        <f aca="true" t="shared" si="44" ref="H156:H167">+F156-G156</f>
        <v>-22012.50999999998</v>
      </c>
      <c r="I156" s="53">
        <f aca="true" t="shared" si="45" ref="I156:I167">IF(G156&lt;0,IF(H156=0,0,IF(OR(G156=0,F156=0),"N.M.",IF(ABS(H156/G156)&gt;=10,"N.M.",H156/(-G156)))),IF(H156=0,0,IF(OR(G156=0,F156=0),"N.M.",IF(ABS(H156/G156)&gt;=10,"N.M.",H156/G156))))</f>
        <v>-0.117781473716979</v>
      </c>
      <c r="J156" s="174"/>
      <c r="K156" s="256">
        <v>223047.005</v>
      </c>
      <c r="L156" s="16">
        <f aca="true" t="shared" si="46" ref="L156:L167">+F156-K156</f>
        <v>-58166.70999999999</v>
      </c>
      <c r="M156" s="53" t="str">
        <f aca="true" t="shared" si="47" ref="M156:M167">IF(K156&lt;0,IF(L156=0,0,IF(OR(K156=0,N156=0),"N.M.",IF(ABS(L156/K156)&gt;=10,"N.M.",L156/(-K156)))),IF(L156=0,0,IF(OR(K156=0,N156=0),"N.M.",IF(ABS(L156/K156)&gt;=10,"N.M.",L156/K156))))</f>
        <v>N.M.</v>
      </c>
      <c r="N156" s="174"/>
      <c r="O156" s="256">
        <v>347069.595</v>
      </c>
      <c r="P156" s="16">
        <f aca="true" t="shared" si="48" ref="P156:P167">+F156-O156</f>
        <v>-182189.29999999996</v>
      </c>
      <c r="Q156" s="53">
        <f aca="true" t="shared" si="49" ref="Q156:Q167">IF(O156&lt;0,IF(P156=0,0,IF(OR(O156=0,F156=0),"N.M.",IF(ABS(P156/O156)&gt;=10,"N.M.",P156/(-O156)))),IF(P156=0,0,IF(OR(O156=0,F156=0),"N.M.",IF(ABS(P156/O156)&gt;=10,"N.M.",P156/O156))))</f>
        <v>-0.5249359281961877</v>
      </c>
    </row>
    <row r="157" spans="1:17" s="15" customFormat="1" ht="12.75" hidden="1" outlineLevel="2">
      <c r="A157" s="15" t="s">
        <v>601</v>
      </c>
      <c r="B157" s="15" t="s">
        <v>602</v>
      </c>
      <c r="C157" s="134" t="s">
        <v>603</v>
      </c>
      <c r="D157" s="16"/>
      <c r="E157" s="16"/>
      <c r="F157" s="16">
        <v>0</v>
      </c>
      <c r="G157" s="16">
        <v>62479.61</v>
      </c>
      <c r="H157" s="16">
        <f t="shared" si="44"/>
        <v>-62479.61</v>
      </c>
      <c r="I157" s="53" t="str">
        <f t="shared" si="45"/>
        <v>N.M.</v>
      </c>
      <c r="J157" s="174"/>
      <c r="K157" s="256">
        <v>0</v>
      </c>
      <c r="L157" s="16">
        <f t="shared" si="46"/>
        <v>0</v>
      </c>
      <c r="M157" s="53">
        <f t="shared" si="47"/>
        <v>0</v>
      </c>
      <c r="N157" s="174"/>
      <c r="O157" s="256">
        <v>0</v>
      </c>
      <c r="P157" s="16">
        <f t="shared" si="48"/>
        <v>0</v>
      </c>
      <c r="Q157" s="53">
        <f t="shared" si="49"/>
        <v>0</v>
      </c>
    </row>
    <row r="158" spans="1:17" s="15" customFormat="1" ht="12.75" hidden="1" outlineLevel="2">
      <c r="A158" s="15" t="s">
        <v>604</v>
      </c>
      <c r="B158" s="15" t="s">
        <v>605</v>
      </c>
      <c r="C158" s="134" t="s">
        <v>603</v>
      </c>
      <c r="D158" s="16"/>
      <c r="E158" s="16"/>
      <c r="F158" s="16">
        <v>66612.48</v>
      </c>
      <c r="G158" s="16">
        <v>0</v>
      </c>
      <c r="H158" s="16">
        <f t="shared" si="44"/>
        <v>66612.48</v>
      </c>
      <c r="I158" s="53" t="str">
        <f t="shared" si="45"/>
        <v>N.M.</v>
      </c>
      <c r="J158" s="174"/>
      <c r="K158" s="256">
        <v>133224.94</v>
      </c>
      <c r="L158" s="16">
        <f t="shared" si="46"/>
        <v>-66612.46</v>
      </c>
      <c r="M158" s="53" t="str">
        <f t="shared" si="47"/>
        <v>N.M.</v>
      </c>
      <c r="N158" s="174"/>
      <c r="O158" s="256">
        <v>399674.78</v>
      </c>
      <c r="P158" s="16">
        <f t="shared" si="48"/>
        <v>-333062.30000000005</v>
      </c>
      <c r="Q158" s="53">
        <f t="shared" si="49"/>
        <v>-0.833333291632762</v>
      </c>
    </row>
    <row r="159" spans="1:17" s="15" customFormat="1" ht="12.75" hidden="1" outlineLevel="2">
      <c r="A159" s="15" t="s">
        <v>606</v>
      </c>
      <c r="B159" s="15" t="s">
        <v>607</v>
      </c>
      <c r="C159" s="134" t="s">
        <v>608</v>
      </c>
      <c r="D159" s="16"/>
      <c r="E159" s="16"/>
      <c r="F159" s="16">
        <v>31887.38</v>
      </c>
      <c r="G159" s="16">
        <v>13908.32</v>
      </c>
      <c r="H159" s="16">
        <f t="shared" si="44"/>
        <v>17979.06</v>
      </c>
      <c r="I159" s="53">
        <f t="shared" si="45"/>
        <v>1.2926838036513397</v>
      </c>
      <c r="J159" s="174"/>
      <c r="K159" s="256">
        <v>28027.27</v>
      </c>
      <c r="L159" s="16">
        <f t="shared" si="46"/>
        <v>3860.1100000000006</v>
      </c>
      <c r="M159" s="53" t="str">
        <f t="shared" si="47"/>
        <v>N.M.</v>
      </c>
      <c r="N159" s="174"/>
      <c r="O159" s="256">
        <v>24052.44</v>
      </c>
      <c r="P159" s="16">
        <f t="shared" si="48"/>
        <v>7834.940000000002</v>
      </c>
      <c r="Q159" s="53">
        <f t="shared" si="49"/>
        <v>0.32574408251304243</v>
      </c>
    </row>
    <row r="160" spans="1:17" s="15" customFormat="1" ht="12.75" hidden="1" outlineLevel="2">
      <c r="A160" s="15" t="s">
        <v>609</v>
      </c>
      <c r="B160" s="15" t="s">
        <v>610</v>
      </c>
      <c r="C160" s="134" t="s">
        <v>611</v>
      </c>
      <c r="D160" s="16"/>
      <c r="E160" s="16"/>
      <c r="F160" s="16">
        <v>17930642.61</v>
      </c>
      <c r="G160" s="16">
        <v>15075038.16</v>
      </c>
      <c r="H160" s="16">
        <f t="shared" si="44"/>
        <v>2855604.4499999993</v>
      </c>
      <c r="I160" s="53">
        <f t="shared" si="45"/>
        <v>0.18942601801015935</v>
      </c>
      <c r="J160" s="174"/>
      <c r="K160" s="256">
        <v>17059809.28</v>
      </c>
      <c r="L160" s="16">
        <f t="shared" si="46"/>
        <v>870833.3299999982</v>
      </c>
      <c r="M160" s="53" t="str">
        <f t="shared" si="47"/>
        <v>N.M.</v>
      </c>
      <c r="N160" s="174"/>
      <c r="O160" s="256">
        <v>18024475.96</v>
      </c>
      <c r="P160" s="16">
        <f t="shared" si="48"/>
        <v>-93833.35000000149</v>
      </c>
      <c r="Q160" s="53">
        <f t="shared" si="49"/>
        <v>-0.005205885053647989</v>
      </c>
    </row>
    <row r="161" spans="1:17" s="15" customFormat="1" ht="12.75" hidden="1" outlineLevel="2">
      <c r="A161" s="15" t="s">
        <v>612</v>
      </c>
      <c r="B161" s="15" t="s">
        <v>613</v>
      </c>
      <c r="C161" s="134" t="s">
        <v>614</v>
      </c>
      <c r="D161" s="16"/>
      <c r="E161" s="16"/>
      <c r="F161" s="16">
        <v>0</v>
      </c>
      <c r="G161" s="16">
        <v>297602.15</v>
      </c>
      <c r="H161" s="16">
        <f t="shared" si="44"/>
        <v>-297602.15</v>
      </c>
      <c r="I161" s="53" t="str">
        <f t="shared" si="45"/>
        <v>N.M.</v>
      </c>
      <c r="J161" s="174"/>
      <c r="K161" s="256">
        <v>0</v>
      </c>
      <c r="L161" s="16">
        <f t="shared" si="46"/>
        <v>0</v>
      </c>
      <c r="M161" s="53">
        <f t="shared" si="47"/>
        <v>0</v>
      </c>
      <c r="N161" s="174"/>
      <c r="O161" s="256">
        <v>339691.13</v>
      </c>
      <c r="P161" s="16">
        <f t="shared" si="48"/>
        <v>-339691.13</v>
      </c>
      <c r="Q161" s="53" t="str">
        <f t="shared" si="49"/>
        <v>N.M.</v>
      </c>
    </row>
    <row r="162" spans="1:17" s="15" customFormat="1" ht="12.75" hidden="1" outlineLevel="2">
      <c r="A162" s="15" t="s">
        <v>615</v>
      </c>
      <c r="B162" s="15" t="s">
        <v>616</v>
      </c>
      <c r="C162" s="134" t="s">
        <v>614</v>
      </c>
      <c r="D162" s="16"/>
      <c r="E162" s="16"/>
      <c r="F162" s="16">
        <v>363160.25</v>
      </c>
      <c r="G162" s="16">
        <v>0</v>
      </c>
      <c r="H162" s="16">
        <f t="shared" si="44"/>
        <v>363160.25</v>
      </c>
      <c r="I162" s="53" t="str">
        <f t="shared" si="45"/>
        <v>N.M.</v>
      </c>
      <c r="J162" s="174"/>
      <c r="K162" s="256">
        <v>364914.33</v>
      </c>
      <c r="L162" s="16">
        <f t="shared" si="46"/>
        <v>-1754.0800000000163</v>
      </c>
      <c r="M162" s="53" t="str">
        <f t="shared" si="47"/>
        <v>N.M.</v>
      </c>
      <c r="N162" s="174"/>
      <c r="O162" s="256">
        <v>0</v>
      </c>
      <c r="P162" s="16">
        <f t="shared" si="48"/>
        <v>363160.25</v>
      </c>
      <c r="Q162" s="53" t="str">
        <f t="shared" si="49"/>
        <v>N.M.</v>
      </c>
    </row>
    <row r="163" spans="1:17" s="15" customFormat="1" ht="12.75" hidden="1" outlineLevel="2">
      <c r="A163" s="15" t="s">
        <v>617</v>
      </c>
      <c r="B163" s="15" t="s">
        <v>618</v>
      </c>
      <c r="C163" s="134" t="s">
        <v>619</v>
      </c>
      <c r="D163" s="16"/>
      <c r="E163" s="16"/>
      <c r="F163" s="16">
        <v>0</v>
      </c>
      <c r="G163" s="16">
        <v>24813.32</v>
      </c>
      <c r="H163" s="16">
        <f t="shared" si="44"/>
        <v>-24813.32</v>
      </c>
      <c r="I163" s="53" t="str">
        <f t="shared" si="45"/>
        <v>N.M.</v>
      </c>
      <c r="J163" s="174"/>
      <c r="K163" s="256">
        <v>0</v>
      </c>
      <c r="L163" s="16">
        <f t="shared" si="46"/>
        <v>0</v>
      </c>
      <c r="M163" s="53">
        <f t="shared" si="47"/>
        <v>0</v>
      </c>
      <c r="N163" s="174"/>
      <c r="O163" s="256">
        <v>30787.79</v>
      </c>
      <c r="P163" s="16">
        <f t="shared" si="48"/>
        <v>-30787.79</v>
      </c>
      <c r="Q163" s="53" t="str">
        <f t="shared" si="49"/>
        <v>N.M.</v>
      </c>
    </row>
    <row r="164" spans="1:17" s="15" customFormat="1" ht="12.75" hidden="1" outlineLevel="2">
      <c r="A164" s="15" t="s">
        <v>620</v>
      </c>
      <c r="B164" s="15" t="s">
        <v>621</v>
      </c>
      <c r="C164" s="134" t="s">
        <v>619</v>
      </c>
      <c r="D164" s="16"/>
      <c r="E164" s="16"/>
      <c r="F164" s="16">
        <v>23188.65</v>
      </c>
      <c r="G164" s="16">
        <v>0</v>
      </c>
      <c r="H164" s="16">
        <f t="shared" si="44"/>
        <v>23188.65</v>
      </c>
      <c r="I164" s="53" t="str">
        <f t="shared" si="45"/>
        <v>N.M.</v>
      </c>
      <c r="J164" s="174"/>
      <c r="K164" s="256">
        <v>40466.23</v>
      </c>
      <c r="L164" s="16">
        <f t="shared" si="46"/>
        <v>-17277.58</v>
      </c>
      <c r="M164" s="53" t="str">
        <f t="shared" si="47"/>
        <v>N.M.</v>
      </c>
      <c r="N164" s="174"/>
      <c r="O164" s="256">
        <v>0</v>
      </c>
      <c r="P164" s="16">
        <f t="shared" si="48"/>
        <v>23188.65</v>
      </c>
      <c r="Q164" s="53" t="str">
        <f t="shared" si="49"/>
        <v>N.M.</v>
      </c>
    </row>
    <row r="165" spans="1:17" s="15" customFormat="1" ht="12.75" hidden="1" outlineLevel="2">
      <c r="A165" s="15" t="s">
        <v>622</v>
      </c>
      <c r="B165" s="15" t="s">
        <v>623</v>
      </c>
      <c r="C165" s="134" t="s">
        <v>624</v>
      </c>
      <c r="D165" s="16"/>
      <c r="E165" s="16"/>
      <c r="F165" s="16">
        <v>-17930642.61</v>
      </c>
      <c r="G165" s="16">
        <v>-14979495.36</v>
      </c>
      <c r="H165" s="16">
        <f t="shared" si="44"/>
        <v>-2951147.25</v>
      </c>
      <c r="I165" s="53">
        <f t="shared" si="45"/>
        <v>-0.19701246130630665</v>
      </c>
      <c r="J165" s="174"/>
      <c r="K165" s="256">
        <v>-17059809.28</v>
      </c>
      <c r="L165" s="16">
        <f t="shared" si="46"/>
        <v>-870833.3299999982</v>
      </c>
      <c r="M165" s="53" t="str">
        <f t="shared" si="47"/>
        <v>N.M.</v>
      </c>
      <c r="N165" s="174"/>
      <c r="O165" s="256">
        <v>-18024475.96</v>
      </c>
      <c r="P165" s="16">
        <f t="shared" si="48"/>
        <v>93833.35000000149</v>
      </c>
      <c r="Q165" s="53">
        <f t="shared" si="49"/>
        <v>0.005205885053647989</v>
      </c>
    </row>
    <row r="166" spans="1:17" s="15" customFormat="1" ht="12.75" hidden="1" outlineLevel="2">
      <c r="A166" s="15" t="s">
        <v>625</v>
      </c>
      <c r="B166" s="15" t="s">
        <v>626</v>
      </c>
      <c r="C166" s="134" t="s">
        <v>627</v>
      </c>
      <c r="D166" s="16"/>
      <c r="E166" s="16"/>
      <c r="F166" s="16">
        <v>381427.04</v>
      </c>
      <c r="G166" s="16">
        <v>354962.57</v>
      </c>
      <c r="H166" s="16">
        <f t="shared" si="44"/>
        <v>26464.469999999972</v>
      </c>
      <c r="I166" s="53">
        <f t="shared" si="45"/>
        <v>0.07455566371406419</v>
      </c>
      <c r="J166" s="174"/>
      <c r="K166" s="256">
        <v>472135.14</v>
      </c>
      <c r="L166" s="16">
        <f t="shared" si="46"/>
        <v>-90708.10000000003</v>
      </c>
      <c r="M166" s="53" t="str">
        <f t="shared" si="47"/>
        <v>N.M.</v>
      </c>
      <c r="N166" s="174"/>
      <c r="O166" s="256">
        <v>253339.49000000002</v>
      </c>
      <c r="P166" s="16">
        <f t="shared" si="48"/>
        <v>128087.54999999996</v>
      </c>
      <c r="Q166" s="53">
        <f t="shared" si="49"/>
        <v>0.5055964626754398</v>
      </c>
    </row>
    <row r="167" spans="1:17" s="15" customFormat="1" ht="12.75" hidden="1" outlineLevel="2">
      <c r="A167" s="15" t="s">
        <v>628</v>
      </c>
      <c r="B167" s="15" t="s">
        <v>629</v>
      </c>
      <c r="C167" s="134" t="s">
        <v>630</v>
      </c>
      <c r="D167" s="16"/>
      <c r="E167" s="16"/>
      <c r="F167" s="16">
        <v>0</v>
      </c>
      <c r="G167" s="16">
        <v>0</v>
      </c>
      <c r="H167" s="16">
        <f t="shared" si="44"/>
        <v>0</v>
      </c>
      <c r="I167" s="53">
        <f t="shared" si="45"/>
        <v>0</v>
      </c>
      <c r="J167" s="174"/>
      <c r="K167" s="256">
        <v>0</v>
      </c>
      <c r="L167" s="16">
        <f t="shared" si="46"/>
        <v>0</v>
      </c>
      <c r="M167" s="53">
        <f t="shared" si="47"/>
        <v>0</v>
      </c>
      <c r="N167" s="174"/>
      <c r="O167" s="256">
        <v>2928.12</v>
      </c>
      <c r="P167" s="16">
        <f t="shared" si="48"/>
        <v>-2928.12</v>
      </c>
      <c r="Q167" s="53" t="str">
        <f t="shared" si="49"/>
        <v>N.M.</v>
      </c>
    </row>
    <row r="168" spans="1:17" s="67" customFormat="1" ht="12.75" collapsed="1">
      <c r="A168" s="67" t="s">
        <v>126</v>
      </c>
      <c r="B168" s="87"/>
      <c r="C168" s="82" t="s">
        <v>102</v>
      </c>
      <c r="D168" s="66"/>
      <c r="E168" s="66"/>
      <c r="F168" s="51">
        <v>1031156.0949999997</v>
      </c>
      <c r="G168" s="51">
        <v>1036201.5750000009</v>
      </c>
      <c r="H168" s="51">
        <f>+F168-G168</f>
        <v>-5045.4800000011455</v>
      </c>
      <c r="I168" s="136">
        <f>IF(G168&lt;0,IF(H168=0,0,IF(OR(G168=0,F168=0),"N.M.",IF(ABS(H168/G168)&gt;=10,"N.M.",H168/(-G168)))),IF(H168=0,0,IF(OR(G168=0,F168=0),"N.M.",IF(ABS(H168/G168)&gt;=10,"N.M.",H168/G168))))</f>
        <v>-0.004869207036286488</v>
      </c>
      <c r="J168" s="157"/>
      <c r="K168" s="51">
        <v>1261814.9149999986</v>
      </c>
      <c r="L168" s="51">
        <f>+F168-K168</f>
        <v>-230658.8199999989</v>
      </c>
      <c r="M168" s="136" t="str">
        <f>IF(K168&lt;0,IF(L168=0,0,IF(OR(K168=0,N168=0),"N.M.",IF(ABS(L168/K168)&gt;=10,"N.M.",L168/(-K168)))),IF(L168=0,0,IF(OR(K168=0,N168=0),"N.M.",IF(ABS(L168/K168)&gt;=10,"N.M.",L168/K168))))</f>
        <v>N.M.</v>
      </c>
      <c r="N168" s="157"/>
      <c r="O168" s="51">
        <v>1397543.3449999995</v>
      </c>
      <c r="P168" s="51">
        <f>+F168-O168</f>
        <v>-366387.24999999977</v>
      </c>
      <c r="Q168" s="136">
        <f>IF(O168&lt;0,IF(P168=0,0,IF(OR(O168=0,F168=0),"N.M.",IF(ABS(P168/O168)&gt;=10,"N.M.",P168/(-O168)))),IF(P168=0,0,IF(OR(O168=0,F168=0),"N.M.",IF(ABS(P168/O168)&gt;=10,"N.M.",P168/O168))))</f>
        <v>-0.26216521391685343</v>
      </c>
    </row>
    <row r="169" spans="2:17" s="67" customFormat="1" ht="0.75" customHeight="1" hidden="1" outlineLevel="1">
      <c r="B169" s="87"/>
      <c r="C169" s="82"/>
      <c r="D169" s="66"/>
      <c r="E169" s="66"/>
      <c r="F169" s="51"/>
      <c r="G169" s="51"/>
      <c r="H169" s="51"/>
      <c r="I169" s="136"/>
      <c r="J169" s="157"/>
      <c r="K169" s="51"/>
      <c r="L169" s="51"/>
      <c r="M169" s="136"/>
      <c r="N169" s="157"/>
      <c r="O169" s="51"/>
      <c r="P169" s="51"/>
      <c r="Q169" s="136"/>
    </row>
    <row r="170" spans="1:17" s="15" customFormat="1" ht="12.75" hidden="1" outlineLevel="2">
      <c r="A170" s="15" t="s">
        <v>631</v>
      </c>
      <c r="B170" s="15" t="s">
        <v>632</v>
      </c>
      <c r="C170" s="134" t="s">
        <v>633</v>
      </c>
      <c r="D170" s="16"/>
      <c r="E170" s="16"/>
      <c r="F170" s="16">
        <v>54.49</v>
      </c>
      <c r="G170" s="16">
        <v>76.88</v>
      </c>
      <c r="H170" s="16">
        <f aca="true" t="shared" si="50" ref="H170:H177">+F170-G170</f>
        <v>-22.389999999999993</v>
      </c>
      <c r="I170" s="53">
        <f aca="true" t="shared" si="51" ref="I170:I177">IF(G170&lt;0,IF(H170=0,0,IF(OR(G170=0,F170=0),"N.M.",IF(ABS(H170/G170)&gt;=10,"N.M.",H170/(-G170)))),IF(H170=0,0,IF(OR(G170=0,F170=0),"N.M.",IF(ABS(H170/G170)&gt;=10,"N.M.",H170/G170))))</f>
        <v>-0.2912330905306971</v>
      </c>
      <c r="J170" s="174"/>
      <c r="K170" s="256">
        <v>54.49</v>
      </c>
      <c r="L170" s="16">
        <f aca="true" t="shared" si="52" ref="L170:L177">+F170-K170</f>
        <v>0</v>
      </c>
      <c r="M170" s="53">
        <f aca="true" t="shared" si="53" ref="M170:M177">IF(K170&lt;0,IF(L170=0,0,IF(OR(K170=0,N170=0),"N.M.",IF(ABS(L170/K170)&gt;=10,"N.M.",L170/(-K170)))),IF(L170=0,0,IF(OR(K170=0,N170=0),"N.M.",IF(ABS(L170/K170)&gt;=10,"N.M.",L170/K170))))</f>
        <v>0</v>
      </c>
      <c r="N170" s="174"/>
      <c r="O170" s="256">
        <v>50.67</v>
      </c>
      <c r="P170" s="16">
        <f aca="true" t="shared" si="54" ref="P170:P177">+F170-O170</f>
        <v>3.8200000000000003</v>
      </c>
      <c r="Q170" s="53">
        <f aca="true" t="shared" si="55" ref="Q170:Q177">IF(O170&lt;0,IF(P170=0,0,IF(OR(O170=0,F170=0),"N.M.",IF(ABS(P170/O170)&gt;=10,"N.M.",P170/(-O170)))),IF(P170=0,0,IF(OR(O170=0,F170=0),"N.M.",IF(ABS(P170/O170)&gt;=10,"N.M.",P170/O170))))</f>
        <v>0.07538977698835603</v>
      </c>
    </row>
    <row r="171" spans="1:17" s="15" customFormat="1" ht="12.75" hidden="1" outlineLevel="2">
      <c r="A171" s="15" t="s">
        <v>634</v>
      </c>
      <c r="B171" s="15" t="s">
        <v>635</v>
      </c>
      <c r="C171" s="134" t="s">
        <v>636</v>
      </c>
      <c r="D171" s="16"/>
      <c r="E171" s="16"/>
      <c r="F171" s="16">
        <v>0.14</v>
      </c>
      <c r="G171" s="16">
        <v>949.83</v>
      </c>
      <c r="H171" s="16">
        <f t="shared" si="50"/>
        <v>-949.69</v>
      </c>
      <c r="I171" s="53">
        <f t="shared" si="51"/>
        <v>-0.9998526052030363</v>
      </c>
      <c r="J171" s="174"/>
      <c r="K171" s="256">
        <v>0.14</v>
      </c>
      <c r="L171" s="16">
        <f t="shared" si="52"/>
        <v>0</v>
      </c>
      <c r="M171" s="53">
        <f t="shared" si="53"/>
        <v>0</v>
      </c>
      <c r="N171" s="174"/>
      <c r="O171" s="256">
        <v>33.17</v>
      </c>
      <c r="P171" s="16">
        <f t="shared" si="54"/>
        <v>-33.03</v>
      </c>
      <c r="Q171" s="53">
        <f t="shared" si="55"/>
        <v>-0.9957793186614411</v>
      </c>
    </row>
    <row r="172" spans="1:17" s="15" customFormat="1" ht="12.75" hidden="1" outlineLevel="2">
      <c r="A172" s="15" t="s">
        <v>637</v>
      </c>
      <c r="B172" s="15" t="s">
        <v>638</v>
      </c>
      <c r="C172" s="134" t="s">
        <v>639</v>
      </c>
      <c r="D172" s="16"/>
      <c r="E172" s="16"/>
      <c r="F172" s="16">
        <v>0</v>
      </c>
      <c r="G172" s="16">
        <v>516.97</v>
      </c>
      <c r="H172" s="16">
        <f t="shared" si="50"/>
        <v>-516.97</v>
      </c>
      <c r="I172" s="53" t="str">
        <f t="shared" si="51"/>
        <v>N.M.</v>
      </c>
      <c r="J172" s="174"/>
      <c r="K172" s="256">
        <v>0</v>
      </c>
      <c r="L172" s="16">
        <f t="shared" si="52"/>
        <v>0</v>
      </c>
      <c r="M172" s="53">
        <f t="shared" si="53"/>
        <v>0</v>
      </c>
      <c r="N172" s="174"/>
      <c r="O172" s="256">
        <v>0</v>
      </c>
      <c r="P172" s="16">
        <f t="shared" si="54"/>
        <v>0</v>
      </c>
      <c r="Q172" s="53">
        <f t="shared" si="55"/>
        <v>0</v>
      </c>
    </row>
    <row r="173" spans="1:17" s="15" customFormat="1" ht="12.75" hidden="1" outlineLevel="2">
      <c r="A173" s="15" t="s">
        <v>640</v>
      </c>
      <c r="B173" s="15" t="s">
        <v>641</v>
      </c>
      <c r="C173" s="134" t="s">
        <v>642</v>
      </c>
      <c r="D173" s="16"/>
      <c r="E173" s="16"/>
      <c r="F173" s="16">
        <v>210912.892</v>
      </c>
      <c r="G173" s="16">
        <v>1064075.282</v>
      </c>
      <c r="H173" s="16">
        <f t="shared" si="50"/>
        <v>-853162.3899999999</v>
      </c>
      <c r="I173" s="53">
        <f t="shared" si="51"/>
        <v>-0.8017876220152627</v>
      </c>
      <c r="J173" s="174"/>
      <c r="K173" s="256">
        <v>400918.932</v>
      </c>
      <c r="L173" s="16">
        <f t="shared" si="52"/>
        <v>-190006.03999999998</v>
      </c>
      <c r="M173" s="53" t="str">
        <f t="shared" si="53"/>
        <v>N.M.</v>
      </c>
      <c r="N173" s="174"/>
      <c r="O173" s="256">
        <v>1381154.022</v>
      </c>
      <c r="P173" s="16">
        <f t="shared" si="54"/>
        <v>-1170241.1300000001</v>
      </c>
      <c r="Q173" s="53">
        <f t="shared" si="55"/>
        <v>-0.8472922725196249</v>
      </c>
    </row>
    <row r="174" spans="1:17" s="15" customFormat="1" ht="12.75" hidden="1" outlineLevel="2">
      <c r="A174" s="15" t="s">
        <v>643</v>
      </c>
      <c r="B174" s="15" t="s">
        <v>644</v>
      </c>
      <c r="C174" s="134" t="s">
        <v>645</v>
      </c>
      <c r="D174" s="16"/>
      <c r="E174" s="16"/>
      <c r="F174" s="16">
        <v>3698182.915</v>
      </c>
      <c r="G174" s="16">
        <v>10370446.795</v>
      </c>
      <c r="H174" s="16">
        <f t="shared" si="50"/>
        <v>-6672263.88</v>
      </c>
      <c r="I174" s="53">
        <f t="shared" si="51"/>
        <v>-0.6433921326530464</v>
      </c>
      <c r="J174" s="174"/>
      <c r="K174" s="256">
        <v>4244178.895</v>
      </c>
      <c r="L174" s="16">
        <f t="shared" si="52"/>
        <v>-545995.9799999995</v>
      </c>
      <c r="M174" s="53" t="str">
        <f t="shared" si="53"/>
        <v>N.M.</v>
      </c>
      <c r="N174" s="174"/>
      <c r="O174" s="256">
        <v>5596940.615</v>
      </c>
      <c r="P174" s="16">
        <f t="shared" si="54"/>
        <v>-1898757.7000000002</v>
      </c>
      <c r="Q174" s="53">
        <f t="shared" si="55"/>
        <v>-0.33924921320609724</v>
      </c>
    </row>
    <row r="175" spans="1:17" s="15" customFormat="1" ht="12.75" hidden="1" outlineLevel="2">
      <c r="A175" s="15" t="s">
        <v>646</v>
      </c>
      <c r="B175" s="15" t="s">
        <v>647</v>
      </c>
      <c r="C175" s="134" t="s">
        <v>648</v>
      </c>
      <c r="D175" s="16"/>
      <c r="E175" s="16"/>
      <c r="F175" s="16">
        <v>-423599</v>
      </c>
      <c r="G175" s="16">
        <v>-7039521</v>
      </c>
      <c r="H175" s="16">
        <f t="shared" si="50"/>
        <v>6615922</v>
      </c>
      <c r="I175" s="53">
        <f t="shared" si="51"/>
        <v>0.9398255932470405</v>
      </c>
      <c r="J175" s="174"/>
      <c r="K175" s="256">
        <v>-1756235</v>
      </c>
      <c r="L175" s="16">
        <f t="shared" si="52"/>
        <v>1332636</v>
      </c>
      <c r="M175" s="53" t="str">
        <f t="shared" si="53"/>
        <v>N.M.</v>
      </c>
      <c r="N175" s="174"/>
      <c r="O175" s="256">
        <v>-3374582</v>
      </c>
      <c r="P175" s="16">
        <f t="shared" si="54"/>
        <v>2950983</v>
      </c>
      <c r="Q175" s="53">
        <f t="shared" si="55"/>
        <v>0.8744736385128588</v>
      </c>
    </row>
    <row r="176" spans="1:17" s="15" customFormat="1" ht="12.75" hidden="1" outlineLevel="2">
      <c r="A176" s="15" t="s">
        <v>649</v>
      </c>
      <c r="B176" s="15" t="s">
        <v>650</v>
      </c>
      <c r="C176" s="134" t="s">
        <v>651</v>
      </c>
      <c r="D176" s="16"/>
      <c r="E176" s="16"/>
      <c r="F176" s="16">
        <v>0</v>
      </c>
      <c r="G176" s="16">
        <v>0</v>
      </c>
      <c r="H176" s="16">
        <f t="shared" si="50"/>
        <v>0</v>
      </c>
      <c r="I176" s="53">
        <f t="shared" si="51"/>
        <v>0</v>
      </c>
      <c r="J176" s="174"/>
      <c r="K176" s="256">
        <v>0</v>
      </c>
      <c r="L176" s="16">
        <f t="shared" si="52"/>
        <v>0</v>
      </c>
      <c r="M176" s="53">
        <f t="shared" si="53"/>
        <v>0</v>
      </c>
      <c r="N176" s="174"/>
      <c r="O176" s="256">
        <v>8.22</v>
      </c>
      <c r="P176" s="16">
        <f t="shared" si="54"/>
        <v>-8.22</v>
      </c>
      <c r="Q176" s="53" t="str">
        <f t="shared" si="55"/>
        <v>N.M.</v>
      </c>
    </row>
    <row r="177" spans="1:17" s="15" customFormat="1" ht="12.75" hidden="1" outlineLevel="2">
      <c r="A177" s="15" t="s">
        <v>652</v>
      </c>
      <c r="B177" s="15" t="s">
        <v>653</v>
      </c>
      <c r="C177" s="134" t="s">
        <v>654</v>
      </c>
      <c r="D177" s="16"/>
      <c r="E177" s="16"/>
      <c r="F177" s="16">
        <v>191115.567</v>
      </c>
      <c r="G177" s="16">
        <v>991291.087</v>
      </c>
      <c r="H177" s="16">
        <f t="shared" si="50"/>
        <v>-800175.52</v>
      </c>
      <c r="I177" s="53">
        <f t="shared" si="51"/>
        <v>-0.807205401615802</v>
      </c>
      <c r="J177" s="174"/>
      <c r="K177" s="256">
        <v>270868.117</v>
      </c>
      <c r="L177" s="16">
        <f t="shared" si="52"/>
        <v>-79752.55000000002</v>
      </c>
      <c r="M177" s="53" t="str">
        <f t="shared" si="53"/>
        <v>N.M.</v>
      </c>
      <c r="N177" s="174"/>
      <c r="O177" s="256">
        <v>72149.167</v>
      </c>
      <c r="P177" s="16">
        <f t="shared" si="54"/>
        <v>118966.40000000001</v>
      </c>
      <c r="Q177" s="53">
        <f t="shared" si="55"/>
        <v>1.64889499001423</v>
      </c>
    </row>
    <row r="178" spans="1:17" s="67" customFormat="1" ht="12" customHeight="1" collapsed="1">
      <c r="A178" s="67" t="s">
        <v>127</v>
      </c>
      <c r="B178" s="87"/>
      <c r="C178" s="96" t="s">
        <v>103</v>
      </c>
      <c r="D178" s="51"/>
      <c r="E178" s="51"/>
      <c r="F178" s="197">
        <v>3676667.0039999997</v>
      </c>
      <c r="G178" s="197">
        <v>5387835.844</v>
      </c>
      <c r="H178" s="197">
        <f>+F178-G178</f>
        <v>-1711168.8399999999</v>
      </c>
      <c r="I178" s="138">
        <f>IF(G178&lt;0,IF(H178=0,0,IF(OR(G178=0,F178=0),"N.M.",IF(ABS(H178/G178)&gt;=10,"N.M.",H178/(-G178)))),IF(H178=0,0,IF(OR(G178=0,F178=0),"N.M.",IF(ABS(H178/G178)&gt;=10,"N.M.",H178/G178))))</f>
        <v>-0.31759854782984737</v>
      </c>
      <c r="J178" s="157"/>
      <c r="K178" s="197">
        <v>3159785.5739999996</v>
      </c>
      <c r="L178" s="197">
        <f>+F178-K178</f>
        <v>516881.43000000017</v>
      </c>
      <c r="M178" s="138" t="str">
        <f>IF(K178&lt;0,IF(L178=0,0,IF(OR(K178=0,N178=0),"N.M.",IF(ABS(L178/K178)&gt;=10,"N.M.",L178/(-K178)))),IF(L178=0,0,IF(OR(K178=0,N178=0),"N.M.",IF(ABS(L178/K178)&gt;=10,"N.M.",L178/K178))))</f>
        <v>N.M.</v>
      </c>
      <c r="N178" s="157"/>
      <c r="O178" s="197">
        <v>3675753.864</v>
      </c>
      <c r="P178" s="197">
        <f>+F178-O178</f>
        <v>913.1399999996647</v>
      </c>
      <c r="Q178" s="138">
        <f>IF(O178&lt;0,IF(P178=0,0,IF(OR(O178=0,F178=0),"N.M.",IF(ABS(P178/O178)&gt;=10,"N.M.",P178/(-O178)))),IF(P178=0,0,IF(OR(O178=0,F178=0),"N.M.",IF(ABS(P178/O178)&gt;=10,"N.M.",P178/O178))))</f>
        <v>0.0002484225097177684</v>
      </c>
    </row>
    <row r="179" spans="1:17" s="75" customFormat="1" ht="12" customHeight="1">
      <c r="A179" s="75" t="s">
        <v>106</v>
      </c>
      <c r="B179" s="93"/>
      <c r="C179" s="75" t="s">
        <v>139</v>
      </c>
      <c r="D179" s="74"/>
      <c r="E179" s="74"/>
      <c r="F179" s="74">
        <f>+F178+F168+F154+F148+F144+F131+F125+F113+F109+F95+F78+F75</f>
        <v>172618431.75800002</v>
      </c>
      <c r="G179" s="74">
        <f>+G178+G168+G154+G148+G144+G131+G125+G113+G109+G95+G78+G75</f>
        <v>105770540.471</v>
      </c>
      <c r="H179" s="74">
        <f>+F179-G179</f>
        <v>66847891.287000015</v>
      </c>
      <c r="I179" s="137">
        <f>IF(G179&lt;0,IF(H179=0,0,IF(OR(G179=0,F179=0),"N.M.",IF(ABS(H179/G179)&gt;=10,"N.M.",H179/(-G179)))),IF(H179=0,0,IF(OR(G179=0,F179=0),"N.M.",IF(ABS(H179/G179)&gt;=10,"N.M.",H179/G179))))</f>
        <v>0.6320086007816919</v>
      </c>
      <c r="J179" s="163" t="s">
        <v>65</v>
      </c>
      <c r="K179" s="74">
        <f>+K178+K168+K154+K148+K144+K131+K125+K113+K109+K95+K78+K75</f>
        <v>165745809.00499997</v>
      </c>
      <c r="L179" s="74">
        <f>+F179-K179</f>
        <v>6872622.753000051</v>
      </c>
      <c r="M179" s="137">
        <f>IF(K179&lt;0,IF(L179=0,0,IF(OR(K179=0,N179=0),"N.M.",IF(ABS(L179/K179)&gt;=10,"N.M.",L179/(-K179)))),IF(L179=0,0,IF(OR(K179=0,N179=0),"N.M.",IF(ABS(L179/K179)&gt;=10,"N.M.",L179/K179))))</f>
        <v>0.04146483578835304</v>
      </c>
      <c r="N179" s="163" t="s">
        <v>65</v>
      </c>
      <c r="O179" s="74">
        <f>+O178+O168+O154+O148+O144+O131+O125+O113+O109+O95+O78+O75</f>
        <v>165680945.86699998</v>
      </c>
      <c r="P179" s="74">
        <f>+F179-O179</f>
        <v>6937485.891000032</v>
      </c>
      <c r="Q179" s="137">
        <f>IF(O179&lt;0,IF(P179=0,0,IF(OR(O179=0,F179=0),"N.M.",IF(ABS(P179/O179)&gt;=10,"N.M.",P179/(-O179)))),IF(P179=0,0,IF(OR(O179=0,F179=0),"N.M.",IF(ABS(P179/O179)&gt;=10,"N.M.",P179/O179))))</f>
        <v>0.041872563285394834</v>
      </c>
    </row>
    <row r="180" spans="2:17" s="67" customFormat="1" ht="6" customHeight="1">
      <c r="B180" s="87"/>
      <c r="D180" s="51"/>
      <c r="E180" s="51"/>
      <c r="F180" s="51"/>
      <c r="G180" s="51"/>
      <c r="H180" s="51"/>
      <c r="I180" s="136"/>
      <c r="J180" s="162"/>
      <c r="K180" s="51"/>
      <c r="L180" s="51"/>
      <c r="M180" s="136"/>
      <c r="N180" s="162"/>
      <c r="O180" s="51"/>
      <c r="P180" s="51"/>
      <c r="Q180" s="136"/>
    </row>
    <row r="181" spans="2:17" s="67" customFormat="1" ht="0.75" customHeight="1" hidden="1" outlineLevel="1">
      <c r="B181" s="87"/>
      <c r="D181" s="51"/>
      <c r="E181" s="51"/>
      <c r="F181" s="51"/>
      <c r="G181" s="51"/>
      <c r="H181" s="51"/>
      <c r="I181" s="136"/>
      <c r="J181" s="162"/>
      <c r="K181" s="51"/>
      <c r="L181" s="51"/>
      <c r="M181" s="136"/>
      <c r="N181" s="162"/>
      <c r="O181" s="51"/>
      <c r="P181" s="51"/>
      <c r="Q181" s="136"/>
    </row>
    <row r="182" spans="1:17" s="15" customFormat="1" ht="12.75" hidden="1" outlineLevel="2">
      <c r="A182" s="15" t="s">
        <v>655</v>
      </c>
      <c r="B182" s="15" t="s">
        <v>656</v>
      </c>
      <c r="C182" s="134" t="s">
        <v>657</v>
      </c>
      <c r="D182" s="16"/>
      <c r="E182" s="16"/>
      <c r="F182" s="16">
        <v>5204956.02</v>
      </c>
      <c r="G182" s="16">
        <v>6456335.62</v>
      </c>
      <c r="H182" s="16">
        <f aca="true" t="shared" si="56" ref="H182:H203">+F182-G182</f>
        <v>-1251379.6000000006</v>
      </c>
      <c r="I182" s="53">
        <f aca="true" t="shared" si="57" ref="I182:I203">IF(G182&lt;0,IF(H182=0,0,IF(OR(G182=0,F182=0),"N.M.",IF(ABS(H182/G182)&gt;=10,"N.M.",H182/(-G182)))),IF(H182=0,0,IF(OR(G182=0,F182=0),"N.M.",IF(ABS(H182/G182)&gt;=10,"N.M.",H182/G182))))</f>
        <v>-0.1938219562383903</v>
      </c>
      <c r="J182" s="174"/>
      <c r="K182" s="256">
        <v>5204956.02</v>
      </c>
      <c r="L182" s="16">
        <f aca="true" t="shared" si="58" ref="L182:L203">+F182-K182</f>
        <v>0</v>
      </c>
      <c r="M182" s="53">
        <f aca="true" t="shared" si="59" ref="M182:M203">IF(K182&lt;0,IF(L182=0,0,IF(OR(K182=0,N182=0),"N.M.",IF(ABS(L182/K182)&gt;=10,"N.M.",L182/(-K182)))),IF(L182=0,0,IF(OR(K182=0,N182=0),"N.M.",IF(ABS(L182/K182)&gt;=10,"N.M.",L182/K182))))</f>
        <v>0</v>
      </c>
      <c r="N182" s="174"/>
      <c r="O182" s="256">
        <v>6456335.62</v>
      </c>
      <c r="P182" s="16">
        <f aca="true" t="shared" si="60" ref="P182:P203">+F182-O182</f>
        <v>-1251379.6000000006</v>
      </c>
      <c r="Q182" s="53">
        <f aca="true" t="shared" si="61" ref="Q182:Q203">IF(O182&lt;0,IF(P182=0,0,IF(OR(O182=0,F182=0),"N.M.",IF(ABS(P182/O182)&gt;=10,"N.M.",P182/(-O182)))),IF(P182=0,0,IF(OR(O182=0,F182=0),"N.M.",IF(ABS(P182/O182)&gt;=10,"N.M.",P182/O182))))</f>
        <v>-0.1938219562383903</v>
      </c>
    </row>
    <row r="183" spans="1:17" s="15" customFormat="1" ht="12.75" hidden="1" outlineLevel="2">
      <c r="A183" s="15" t="s">
        <v>658</v>
      </c>
      <c r="B183" s="15" t="s">
        <v>659</v>
      </c>
      <c r="C183" s="134" t="s">
        <v>660</v>
      </c>
      <c r="D183" s="16"/>
      <c r="E183" s="16"/>
      <c r="F183" s="16">
        <v>1397080</v>
      </c>
      <c r="G183" s="16">
        <v>1102797</v>
      </c>
      <c r="H183" s="16">
        <f t="shared" si="56"/>
        <v>294283</v>
      </c>
      <c r="I183" s="53">
        <f t="shared" si="57"/>
        <v>0.2668514694907585</v>
      </c>
      <c r="J183" s="174"/>
      <c r="K183" s="256">
        <v>1360549</v>
      </c>
      <c r="L183" s="16">
        <f t="shared" si="58"/>
        <v>36531</v>
      </c>
      <c r="M183" s="53" t="str">
        <f t="shared" si="59"/>
        <v>N.M.</v>
      </c>
      <c r="N183" s="174"/>
      <c r="O183" s="256">
        <v>1244548</v>
      </c>
      <c r="P183" s="16">
        <f t="shared" si="60"/>
        <v>152532</v>
      </c>
      <c r="Q183" s="53">
        <f t="shared" si="61"/>
        <v>0.12256015838681995</v>
      </c>
    </row>
    <row r="184" spans="1:17" s="15" customFormat="1" ht="12.75" hidden="1" outlineLevel="2">
      <c r="A184" s="15" t="s">
        <v>661</v>
      </c>
      <c r="B184" s="15" t="s">
        <v>662</v>
      </c>
      <c r="C184" s="134" t="s">
        <v>663</v>
      </c>
      <c r="D184" s="16"/>
      <c r="E184" s="16"/>
      <c r="F184" s="16">
        <v>-18875121</v>
      </c>
      <c r="G184" s="16">
        <v>-15462365</v>
      </c>
      <c r="H184" s="16">
        <f t="shared" si="56"/>
        <v>-3412756</v>
      </c>
      <c r="I184" s="53">
        <f t="shared" si="57"/>
        <v>-0.2207137135877985</v>
      </c>
      <c r="J184" s="174"/>
      <c r="K184" s="256">
        <v>-18651329</v>
      </c>
      <c r="L184" s="16">
        <f t="shared" si="58"/>
        <v>-223792</v>
      </c>
      <c r="M184" s="53" t="str">
        <f t="shared" si="59"/>
        <v>N.M.</v>
      </c>
      <c r="N184" s="174"/>
      <c r="O184" s="256">
        <v>-16945216</v>
      </c>
      <c r="P184" s="16">
        <f t="shared" si="60"/>
        <v>-1929905</v>
      </c>
      <c r="Q184" s="53">
        <f t="shared" si="61"/>
        <v>-0.11389084683252193</v>
      </c>
    </row>
    <row r="185" spans="1:17" s="15" customFormat="1" ht="12.75" hidden="1" outlineLevel="2">
      <c r="A185" s="15" t="s">
        <v>664</v>
      </c>
      <c r="B185" s="15" t="s">
        <v>665</v>
      </c>
      <c r="C185" s="134" t="s">
        <v>666</v>
      </c>
      <c r="D185" s="16"/>
      <c r="E185" s="16"/>
      <c r="F185" s="16">
        <v>4321031</v>
      </c>
      <c r="G185" s="16">
        <v>3796437</v>
      </c>
      <c r="H185" s="16">
        <f t="shared" si="56"/>
        <v>524594</v>
      </c>
      <c r="I185" s="53">
        <f t="shared" si="57"/>
        <v>0.13818061513993252</v>
      </c>
      <c r="J185" s="174"/>
      <c r="K185" s="256">
        <v>4239327</v>
      </c>
      <c r="L185" s="16">
        <f t="shared" si="58"/>
        <v>81704</v>
      </c>
      <c r="M185" s="53" t="str">
        <f t="shared" si="59"/>
        <v>N.M.</v>
      </c>
      <c r="N185" s="174"/>
      <c r="O185" s="256">
        <v>4018519</v>
      </c>
      <c r="P185" s="16">
        <f t="shared" si="60"/>
        <v>302512</v>
      </c>
      <c r="Q185" s="53">
        <f t="shared" si="61"/>
        <v>0.07527947485130716</v>
      </c>
    </row>
    <row r="186" spans="1:17" s="15" customFormat="1" ht="12.75" hidden="1" outlineLevel="2">
      <c r="A186" s="15" t="s">
        <v>667</v>
      </c>
      <c r="B186" s="15" t="s">
        <v>668</v>
      </c>
      <c r="C186" s="134" t="s">
        <v>669</v>
      </c>
      <c r="D186" s="16"/>
      <c r="E186" s="16"/>
      <c r="F186" s="16">
        <v>12185000.17</v>
      </c>
      <c r="G186" s="16">
        <v>10932309</v>
      </c>
      <c r="H186" s="16">
        <f t="shared" si="56"/>
        <v>1252691.17</v>
      </c>
      <c r="I186" s="53">
        <f t="shared" si="57"/>
        <v>0.11458614735459818</v>
      </c>
      <c r="J186" s="174"/>
      <c r="K186" s="256">
        <v>12061328.17</v>
      </c>
      <c r="L186" s="16">
        <f t="shared" si="58"/>
        <v>123672</v>
      </c>
      <c r="M186" s="53" t="str">
        <f t="shared" si="59"/>
        <v>N.M.</v>
      </c>
      <c r="N186" s="174"/>
      <c r="O186" s="256">
        <v>11708655</v>
      </c>
      <c r="P186" s="16">
        <f t="shared" si="60"/>
        <v>476345.1699999999</v>
      </c>
      <c r="Q186" s="53">
        <f t="shared" si="61"/>
        <v>0.040683167280955834</v>
      </c>
    </row>
    <row r="187" spans="1:17" s="15" customFormat="1" ht="12.75" hidden="1" outlineLevel="2">
      <c r="A187" s="15" t="s">
        <v>670</v>
      </c>
      <c r="B187" s="15" t="s">
        <v>671</v>
      </c>
      <c r="C187" s="134" t="s">
        <v>672</v>
      </c>
      <c r="D187" s="16"/>
      <c r="E187" s="16"/>
      <c r="F187" s="16">
        <v>718536</v>
      </c>
      <c r="G187" s="16">
        <v>751944</v>
      </c>
      <c r="H187" s="16">
        <f t="shared" si="56"/>
        <v>-33408</v>
      </c>
      <c r="I187" s="53">
        <f t="shared" si="57"/>
        <v>-0.044428840445565096</v>
      </c>
      <c r="J187" s="174"/>
      <c r="K187" s="256">
        <v>721320</v>
      </c>
      <c r="L187" s="16">
        <f t="shared" si="58"/>
        <v>-2784</v>
      </c>
      <c r="M187" s="53" t="str">
        <f t="shared" si="59"/>
        <v>N.M.</v>
      </c>
      <c r="N187" s="174"/>
      <c r="O187" s="256">
        <v>732456</v>
      </c>
      <c r="P187" s="16">
        <f t="shared" si="60"/>
        <v>-13920</v>
      </c>
      <c r="Q187" s="53">
        <f t="shared" si="61"/>
        <v>-0.019004554539794882</v>
      </c>
    </row>
    <row r="188" spans="1:17" s="15" customFormat="1" ht="12.75" hidden="1" outlineLevel="2">
      <c r="A188" s="15" t="s">
        <v>673</v>
      </c>
      <c r="B188" s="15" t="s">
        <v>674</v>
      </c>
      <c r="C188" s="134" t="s">
        <v>675</v>
      </c>
      <c r="D188" s="16"/>
      <c r="E188" s="16"/>
      <c r="F188" s="16">
        <v>111975</v>
      </c>
      <c r="G188" s="16">
        <v>117183</v>
      </c>
      <c r="H188" s="16">
        <f t="shared" si="56"/>
        <v>-5208</v>
      </c>
      <c r="I188" s="53">
        <f t="shared" si="57"/>
        <v>-0.04444330662297432</v>
      </c>
      <c r="J188" s="174"/>
      <c r="K188" s="256">
        <v>112409</v>
      </c>
      <c r="L188" s="16">
        <f t="shared" si="58"/>
        <v>-434</v>
      </c>
      <c r="M188" s="53" t="str">
        <f t="shared" si="59"/>
        <v>N.M.</v>
      </c>
      <c r="N188" s="174"/>
      <c r="O188" s="256">
        <v>114145</v>
      </c>
      <c r="P188" s="16">
        <f t="shared" si="60"/>
        <v>-2170</v>
      </c>
      <c r="Q188" s="53">
        <f t="shared" si="61"/>
        <v>-0.019010907179464714</v>
      </c>
    </row>
    <row r="189" spans="1:17" s="15" customFormat="1" ht="12.75" hidden="1" outlineLevel="2">
      <c r="A189" s="15" t="s">
        <v>676</v>
      </c>
      <c r="B189" s="15" t="s">
        <v>677</v>
      </c>
      <c r="C189" s="134" t="s">
        <v>678</v>
      </c>
      <c r="D189" s="16"/>
      <c r="E189" s="16"/>
      <c r="F189" s="16">
        <v>91895.12</v>
      </c>
      <c r="G189" s="16">
        <v>0</v>
      </c>
      <c r="H189" s="16">
        <f t="shared" si="56"/>
        <v>91895.12</v>
      </c>
      <c r="I189" s="53" t="str">
        <f t="shared" si="57"/>
        <v>N.M.</v>
      </c>
      <c r="J189" s="174"/>
      <c r="K189" s="256">
        <v>0</v>
      </c>
      <c r="L189" s="16">
        <f t="shared" si="58"/>
        <v>91895.12</v>
      </c>
      <c r="M189" s="53" t="str">
        <f t="shared" si="59"/>
        <v>N.M.</v>
      </c>
      <c r="N189" s="174"/>
      <c r="O189" s="256">
        <v>0</v>
      </c>
      <c r="P189" s="16">
        <f t="shared" si="60"/>
        <v>91895.12</v>
      </c>
      <c r="Q189" s="53" t="str">
        <f t="shared" si="61"/>
        <v>N.M.</v>
      </c>
    </row>
    <row r="190" spans="1:17" s="15" customFormat="1" ht="12.75" hidden="1" outlineLevel="2">
      <c r="A190" s="15" t="s">
        <v>679</v>
      </c>
      <c r="B190" s="15" t="s">
        <v>680</v>
      </c>
      <c r="C190" s="134" t="s">
        <v>681</v>
      </c>
      <c r="D190" s="16"/>
      <c r="E190" s="16"/>
      <c r="F190" s="16">
        <v>-1510.1100000000001</v>
      </c>
      <c r="G190" s="16">
        <v>0</v>
      </c>
      <c r="H190" s="16">
        <f t="shared" si="56"/>
        <v>-1510.1100000000001</v>
      </c>
      <c r="I190" s="53" t="str">
        <f t="shared" si="57"/>
        <v>N.M.</v>
      </c>
      <c r="J190" s="174"/>
      <c r="K190" s="256">
        <v>-1510.1100000000001</v>
      </c>
      <c r="L190" s="16">
        <f t="shared" si="58"/>
        <v>0</v>
      </c>
      <c r="M190" s="53">
        <f t="shared" si="59"/>
        <v>0</v>
      </c>
      <c r="N190" s="174"/>
      <c r="O190" s="256">
        <v>93036.27</v>
      </c>
      <c r="P190" s="16">
        <f t="shared" si="60"/>
        <v>-94546.38</v>
      </c>
      <c r="Q190" s="53">
        <f t="shared" si="61"/>
        <v>-1.0162314116849267</v>
      </c>
    </row>
    <row r="191" spans="1:17" s="15" customFormat="1" ht="12.75" hidden="1" outlineLevel="2">
      <c r="A191" s="15" t="s">
        <v>682</v>
      </c>
      <c r="B191" s="15" t="s">
        <v>683</v>
      </c>
      <c r="C191" s="134" t="s">
        <v>684</v>
      </c>
      <c r="D191" s="16"/>
      <c r="E191" s="16"/>
      <c r="F191" s="16">
        <v>19185313</v>
      </c>
      <c r="G191" s="16">
        <v>23492206</v>
      </c>
      <c r="H191" s="16">
        <f t="shared" si="56"/>
        <v>-4306893</v>
      </c>
      <c r="I191" s="53">
        <f t="shared" si="57"/>
        <v>-0.18333284664709648</v>
      </c>
      <c r="J191" s="174"/>
      <c r="K191" s="256">
        <v>19576850</v>
      </c>
      <c r="L191" s="16">
        <f t="shared" si="58"/>
        <v>-391537</v>
      </c>
      <c r="M191" s="53" t="str">
        <f t="shared" si="59"/>
        <v>N.M.</v>
      </c>
      <c r="N191" s="174"/>
      <c r="O191" s="256">
        <v>21142998</v>
      </c>
      <c r="P191" s="16">
        <f t="shared" si="60"/>
        <v>-1957685</v>
      </c>
      <c r="Q191" s="53">
        <f t="shared" si="61"/>
        <v>-0.09259259259259259</v>
      </c>
    </row>
    <row r="192" spans="1:17" s="15" customFormat="1" ht="12.75" hidden="1" outlineLevel="2">
      <c r="A192" s="15" t="s">
        <v>685</v>
      </c>
      <c r="B192" s="15" t="s">
        <v>686</v>
      </c>
      <c r="C192" s="134" t="s">
        <v>687</v>
      </c>
      <c r="D192" s="16"/>
      <c r="E192" s="16"/>
      <c r="F192" s="16">
        <v>-143195.65</v>
      </c>
      <c r="G192" s="16">
        <v>-165623.65</v>
      </c>
      <c r="H192" s="16">
        <f t="shared" si="56"/>
        <v>22428</v>
      </c>
      <c r="I192" s="53">
        <f t="shared" si="57"/>
        <v>0.13541544338625552</v>
      </c>
      <c r="J192" s="174"/>
      <c r="K192" s="256">
        <v>-145064.65</v>
      </c>
      <c r="L192" s="16">
        <f t="shared" si="58"/>
        <v>1869</v>
      </c>
      <c r="M192" s="53" t="str">
        <f t="shared" si="59"/>
        <v>N.M.</v>
      </c>
      <c r="N192" s="174"/>
      <c r="O192" s="256">
        <v>-152540.65</v>
      </c>
      <c r="P192" s="16">
        <f t="shared" si="60"/>
        <v>9345</v>
      </c>
      <c r="Q192" s="53">
        <f t="shared" si="61"/>
        <v>0.06126235859097231</v>
      </c>
    </row>
    <row r="193" spans="1:17" s="15" customFormat="1" ht="12.75" hidden="1" outlineLevel="2">
      <c r="A193" s="15" t="s">
        <v>688</v>
      </c>
      <c r="B193" s="15" t="s">
        <v>689</v>
      </c>
      <c r="C193" s="134" t="s">
        <v>690</v>
      </c>
      <c r="D193" s="16"/>
      <c r="E193" s="16"/>
      <c r="F193" s="16">
        <v>304810.758</v>
      </c>
      <c r="G193" s="16">
        <v>327538.588</v>
      </c>
      <c r="H193" s="16">
        <f t="shared" si="56"/>
        <v>-22727.830000000016</v>
      </c>
      <c r="I193" s="53">
        <f t="shared" si="57"/>
        <v>-0.06938977828163569</v>
      </c>
      <c r="J193" s="174"/>
      <c r="K193" s="256">
        <v>306773.028</v>
      </c>
      <c r="L193" s="16">
        <f t="shared" si="58"/>
        <v>-1962.2700000000186</v>
      </c>
      <c r="M193" s="53" t="str">
        <f t="shared" si="59"/>
        <v>N.M.</v>
      </c>
      <c r="N193" s="174"/>
      <c r="O193" s="256">
        <v>314496.108</v>
      </c>
      <c r="P193" s="16">
        <f t="shared" si="60"/>
        <v>-9685.350000000035</v>
      </c>
      <c r="Q193" s="53">
        <f t="shared" si="61"/>
        <v>-0.030796406548853173</v>
      </c>
    </row>
    <row r="194" spans="1:17" s="15" customFormat="1" ht="12.75" hidden="1" outlineLevel="2">
      <c r="A194" s="15" t="s">
        <v>691</v>
      </c>
      <c r="B194" s="15" t="s">
        <v>692</v>
      </c>
      <c r="C194" s="134" t="s">
        <v>693</v>
      </c>
      <c r="D194" s="16"/>
      <c r="E194" s="16"/>
      <c r="F194" s="16">
        <v>463978.741</v>
      </c>
      <c r="G194" s="16">
        <v>573125.291</v>
      </c>
      <c r="H194" s="16">
        <f t="shared" si="56"/>
        <v>-109146.54999999999</v>
      </c>
      <c r="I194" s="53">
        <f t="shared" si="57"/>
        <v>-0.1904409938175281</v>
      </c>
      <c r="J194" s="174"/>
      <c r="K194" s="256">
        <v>473381.841</v>
      </c>
      <c r="L194" s="16">
        <f t="shared" si="58"/>
        <v>-9403.100000000035</v>
      </c>
      <c r="M194" s="53" t="str">
        <f t="shared" si="59"/>
        <v>N.M.</v>
      </c>
      <c r="N194" s="174"/>
      <c r="O194" s="256">
        <v>510427.131</v>
      </c>
      <c r="P194" s="16">
        <f t="shared" si="60"/>
        <v>-46448.390000000014</v>
      </c>
      <c r="Q194" s="53">
        <f t="shared" si="61"/>
        <v>-0.09099906172503204</v>
      </c>
    </row>
    <row r="195" spans="1:17" s="15" customFormat="1" ht="12.75" hidden="1" outlineLevel="2">
      <c r="A195" s="15" t="s">
        <v>694</v>
      </c>
      <c r="B195" s="15" t="s">
        <v>695</v>
      </c>
      <c r="C195" s="134" t="s">
        <v>696</v>
      </c>
      <c r="D195" s="16"/>
      <c r="E195" s="16"/>
      <c r="F195" s="16">
        <v>322031.875</v>
      </c>
      <c r="G195" s="16">
        <v>346043.775</v>
      </c>
      <c r="H195" s="16">
        <f t="shared" si="56"/>
        <v>-24011.900000000023</v>
      </c>
      <c r="I195" s="53">
        <f t="shared" si="57"/>
        <v>-0.06938977590335217</v>
      </c>
      <c r="J195" s="174"/>
      <c r="K195" s="256">
        <v>324105.025</v>
      </c>
      <c r="L195" s="16">
        <f t="shared" si="58"/>
        <v>-2073.1500000000233</v>
      </c>
      <c r="M195" s="53" t="str">
        <f t="shared" si="59"/>
        <v>N.M.</v>
      </c>
      <c r="N195" s="174"/>
      <c r="O195" s="256">
        <v>332264.425</v>
      </c>
      <c r="P195" s="16">
        <f t="shared" si="60"/>
        <v>-10232.549999999988</v>
      </c>
      <c r="Q195" s="53">
        <f t="shared" si="61"/>
        <v>-0.030796405603759684</v>
      </c>
    </row>
    <row r="196" spans="1:17" s="15" customFormat="1" ht="12.75" hidden="1" outlineLevel="2">
      <c r="A196" s="15" t="s">
        <v>697</v>
      </c>
      <c r="B196" s="15" t="s">
        <v>698</v>
      </c>
      <c r="C196" s="134" t="s">
        <v>699</v>
      </c>
      <c r="D196" s="16"/>
      <c r="E196" s="16"/>
      <c r="F196" s="16">
        <v>192962.84</v>
      </c>
      <c r="G196" s="16">
        <v>218495.41</v>
      </c>
      <c r="H196" s="16">
        <f t="shared" si="56"/>
        <v>-25532.570000000007</v>
      </c>
      <c r="I196" s="53">
        <f t="shared" si="57"/>
        <v>-0.11685632206186851</v>
      </c>
      <c r="J196" s="174"/>
      <c r="K196" s="256">
        <v>195165.32</v>
      </c>
      <c r="L196" s="16">
        <f t="shared" si="58"/>
        <v>-2202.4800000000105</v>
      </c>
      <c r="M196" s="53" t="str">
        <f t="shared" si="59"/>
        <v>N.M.</v>
      </c>
      <c r="N196" s="174"/>
      <c r="O196" s="256">
        <v>203837.28</v>
      </c>
      <c r="P196" s="16">
        <f t="shared" si="60"/>
        <v>-10874.440000000002</v>
      </c>
      <c r="Q196" s="53">
        <f t="shared" si="61"/>
        <v>-0.053348631810628565</v>
      </c>
    </row>
    <row r="197" spans="1:17" s="15" customFormat="1" ht="12.75" hidden="1" outlineLevel="2">
      <c r="A197" s="15" t="s">
        <v>700</v>
      </c>
      <c r="B197" s="15" t="s">
        <v>701</v>
      </c>
      <c r="C197" s="134" t="s">
        <v>702</v>
      </c>
      <c r="D197" s="16"/>
      <c r="E197" s="16"/>
      <c r="F197" s="16">
        <v>159534.485</v>
      </c>
      <c r="G197" s="16">
        <v>171429.995</v>
      </c>
      <c r="H197" s="16">
        <f t="shared" si="56"/>
        <v>-11895.51000000001</v>
      </c>
      <c r="I197" s="53">
        <f t="shared" si="57"/>
        <v>-0.06938989877471564</v>
      </c>
      <c r="J197" s="174"/>
      <c r="K197" s="256">
        <v>160561.525</v>
      </c>
      <c r="L197" s="16">
        <f t="shared" si="58"/>
        <v>-1027.0400000000081</v>
      </c>
      <c r="M197" s="53" t="str">
        <f t="shared" si="59"/>
        <v>N.M.</v>
      </c>
      <c r="N197" s="174"/>
      <c r="O197" s="256">
        <v>164603.705</v>
      </c>
      <c r="P197" s="16">
        <f t="shared" si="60"/>
        <v>-5069.220000000001</v>
      </c>
      <c r="Q197" s="53">
        <f t="shared" si="61"/>
        <v>-0.03079651214412216</v>
      </c>
    </row>
    <row r="198" spans="1:17" s="15" customFormat="1" ht="12.75" hidden="1" outlineLevel="2">
      <c r="A198" s="15" t="s">
        <v>703</v>
      </c>
      <c r="B198" s="15" t="s">
        <v>704</v>
      </c>
      <c r="C198" s="134" t="s">
        <v>705</v>
      </c>
      <c r="D198" s="16"/>
      <c r="E198" s="16"/>
      <c r="F198" s="16">
        <v>42175442.5</v>
      </c>
      <c r="G198" s="16">
        <v>41153013</v>
      </c>
      <c r="H198" s="16">
        <f t="shared" si="56"/>
        <v>1022429.5</v>
      </c>
      <c r="I198" s="53">
        <f t="shared" si="57"/>
        <v>0.024844584283537148</v>
      </c>
      <c r="J198" s="174"/>
      <c r="K198" s="256">
        <v>42175442.5</v>
      </c>
      <c r="L198" s="16">
        <f t="shared" si="58"/>
        <v>0</v>
      </c>
      <c r="M198" s="53">
        <f t="shared" si="59"/>
        <v>0</v>
      </c>
      <c r="N198" s="174"/>
      <c r="O198" s="256">
        <v>42950406</v>
      </c>
      <c r="P198" s="16">
        <f t="shared" si="60"/>
        <v>-774963.5</v>
      </c>
      <c r="Q198" s="53">
        <f t="shared" si="61"/>
        <v>-0.018043217100206226</v>
      </c>
    </row>
    <row r="199" spans="1:17" s="15" customFormat="1" ht="12.75" hidden="1" outlineLevel="2">
      <c r="A199" s="15" t="s">
        <v>706</v>
      </c>
      <c r="B199" s="15" t="s">
        <v>707</v>
      </c>
      <c r="C199" s="134" t="s">
        <v>708</v>
      </c>
      <c r="D199" s="16"/>
      <c r="E199" s="16"/>
      <c r="F199" s="16">
        <v>15853142.5</v>
      </c>
      <c r="G199" s="16">
        <v>14961122</v>
      </c>
      <c r="H199" s="16">
        <f t="shared" si="56"/>
        <v>892020.5</v>
      </c>
      <c r="I199" s="53">
        <f t="shared" si="57"/>
        <v>0.05962256707752266</v>
      </c>
      <c r="J199" s="174"/>
      <c r="K199" s="256">
        <v>15853142.5</v>
      </c>
      <c r="L199" s="16">
        <f t="shared" si="58"/>
        <v>0</v>
      </c>
      <c r="M199" s="53">
        <f t="shared" si="59"/>
        <v>0</v>
      </c>
      <c r="N199" s="174"/>
      <c r="O199" s="256">
        <v>16032268</v>
      </c>
      <c r="P199" s="16">
        <f t="shared" si="60"/>
        <v>-179125.5</v>
      </c>
      <c r="Q199" s="53">
        <f t="shared" si="61"/>
        <v>-0.01117281098344913</v>
      </c>
    </row>
    <row r="200" spans="1:17" s="15" customFormat="1" ht="12.75" hidden="1" outlineLevel="2">
      <c r="A200" s="15" t="s">
        <v>709</v>
      </c>
      <c r="B200" s="15" t="s">
        <v>710</v>
      </c>
      <c r="C200" s="134" t="s">
        <v>711</v>
      </c>
      <c r="D200" s="16"/>
      <c r="E200" s="16"/>
      <c r="F200" s="16">
        <v>-129851.25</v>
      </c>
      <c r="G200" s="16">
        <v>-121676</v>
      </c>
      <c r="H200" s="16">
        <f t="shared" si="56"/>
        <v>-8175.25</v>
      </c>
      <c r="I200" s="53">
        <f t="shared" si="57"/>
        <v>-0.06718868141622013</v>
      </c>
      <c r="J200" s="174"/>
      <c r="K200" s="256">
        <v>-129851.25</v>
      </c>
      <c r="L200" s="16">
        <f t="shared" si="58"/>
        <v>0</v>
      </c>
      <c r="M200" s="53">
        <f t="shared" si="59"/>
        <v>0</v>
      </c>
      <c r="N200" s="174"/>
      <c r="O200" s="256">
        <v>-129506</v>
      </c>
      <c r="P200" s="16">
        <f t="shared" si="60"/>
        <v>-345.25</v>
      </c>
      <c r="Q200" s="53">
        <f t="shared" si="61"/>
        <v>-0.0026658996494370916</v>
      </c>
    </row>
    <row r="201" spans="1:17" s="15" customFormat="1" ht="12.75" hidden="1" outlineLevel="2">
      <c r="A201" s="15" t="s">
        <v>712</v>
      </c>
      <c r="B201" s="15" t="s">
        <v>713</v>
      </c>
      <c r="C201" s="134" t="s">
        <v>714</v>
      </c>
      <c r="D201" s="16"/>
      <c r="E201" s="16"/>
      <c r="F201" s="16">
        <v>220837</v>
      </c>
      <c r="G201" s="16">
        <v>250000</v>
      </c>
      <c r="H201" s="16">
        <f t="shared" si="56"/>
        <v>-29163</v>
      </c>
      <c r="I201" s="53">
        <f t="shared" si="57"/>
        <v>-0.116652</v>
      </c>
      <c r="J201" s="174"/>
      <c r="K201" s="256">
        <v>241670</v>
      </c>
      <c r="L201" s="16">
        <f t="shared" si="58"/>
        <v>-20833</v>
      </c>
      <c r="M201" s="53" t="str">
        <f t="shared" si="59"/>
        <v>N.M.</v>
      </c>
      <c r="N201" s="174"/>
      <c r="O201" s="256">
        <v>275002</v>
      </c>
      <c r="P201" s="16">
        <f t="shared" si="60"/>
        <v>-54165</v>
      </c>
      <c r="Q201" s="53">
        <f t="shared" si="61"/>
        <v>-0.19696220391124428</v>
      </c>
    </row>
    <row r="202" spans="1:17" s="15" customFormat="1" ht="12.75" hidden="1" outlineLevel="2">
      <c r="A202" s="15" t="s">
        <v>715</v>
      </c>
      <c r="B202" s="15" t="s">
        <v>716</v>
      </c>
      <c r="C202" s="134" t="s">
        <v>717</v>
      </c>
      <c r="D202" s="16"/>
      <c r="E202" s="16"/>
      <c r="F202" s="16">
        <v>83492776.48</v>
      </c>
      <c r="G202" s="16">
        <v>80542218.72</v>
      </c>
      <c r="H202" s="16">
        <f t="shared" si="56"/>
        <v>2950557.7600000054</v>
      </c>
      <c r="I202" s="53">
        <f t="shared" si="57"/>
        <v>0.036633678670529746</v>
      </c>
      <c r="J202" s="174"/>
      <c r="K202" s="256">
        <v>83411092.11</v>
      </c>
      <c r="L202" s="16">
        <f t="shared" si="58"/>
        <v>81684.37000000477</v>
      </c>
      <c r="M202" s="53" t="str">
        <f t="shared" si="59"/>
        <v>N.M.</v>
      </c>
      <c r="N202" s="174"/>
      <c r="O202" s="256">
        <v>83182558.29</v>
      </c>
      <c r="P202" s="16">
        <f t="shared" si="60"/>
        <v>310218.1899999976</v>
      </c>
      <c r="Q202" s="53">
        <f t="shared" si="61"/>
        <v>0.003729365823523743</v>
      </c>
    </row>
    <row r="203" spans="1:17" s="15" customFormat="1" ht="12.75" hidden="1" outlineLevel="2">
      <c r="A203" s="15" t="s">
        <v>718</v>
      </c>
      <c r="B203" s="15" t="s">
        <v>719</v>
      </c>
      <c r="C203" s="134" t="s">
        <v>720</v>
      </c>
      <c r="D203" s="16"/>
      <c r="E203" s="16"/>
      <c r="F203" s="16">
        <v>41647036.07</v>
      </c>
      <c r="G203" s="16">
        <v>37430792</v>
      </c>
      <c r="H203" s="16">
        <f t="shared" si="56"/>
        <v>4216244.07</v>
      </c>
      <c r="I203" s="53">
        <f t="shared" si="57"/>
        <v>0.112641059531949</v>
      </c>
      <c r="J203" s="174"/>
      <c r="K203" s="256">
        <v>41710125.07</v>
      </c>
      <c r="L203" s="16">
        <f t="shared" si="58"/>
        <v>-63089</v>
      </c>
      <c r="M203" s="53" t="str">
        <f t="shared" si="59"/>
        <v>N.M.</v>
      </c>
      <c r="N203" s="174"/>
      <c r="O203" s="256">
        <v>42232048.27</v>
      </c>
      <c r="P203" s="16">
        <f t="shared" si="60"/>
        <v>-585012.200000003</v>
      </c>
      <c r="Q203" s="53">
        <f t="shared" si="61"/>
        <v>-0.013852328361150619</v>
      </c>
    </row>
    <row r="204" spans="1:17" s="67" customFormat="1" ht="12.75" hidden="1" outlineLevel="1">
      <c r="A204" s="67" t="s">
        <v>142</v>
      </c>
      <c r="B204" s="87"/>
      <c r="C204" s="82" t="s">
        <v>140</v>
      </c>
      <c r="D204" s="66"/>
      <c r="E204" s="66"/>
      <c r="F204" s="51">
        <v>208898661.549</v>
      </c>
      <c r="G204" s="51">
        <v>206873325.749</v>
      </c>
      <c r="H204" s="51">
        <f>+F204-G204</f>
        <v>2025335.7999999821</v>
      </c>
      <c r="I204" s="136">
        <f>IF(G204&lt;0,IF(H204=0,0,IF(OR(G204=0,F204=0),"N.M.",IF(ABS(H204/G204)&gt;=10,"N.M.",H204/(-G204)))),IF(H204=0,0,IF(OR(G204=0,F204=0),"N.M.",IF(ABS(H204/G204)&gt;=10,"N.M.",H204/G204))))</f>
        <v>0.009790222072696447</v>
      </c>
      <c r="J204" s="162"/>
      <c r="K204" s="51">
        <v>209200443.09899998</v>
      </c>
      <c r="L204" s="51">
        <f>+F204-K204</f>
        <v>-301781.5499999821</v>
      </c>
      <c r="M204" s="136" t="str">
        <f>IF(K204&lt;0,IF(L204=0,0,IF(OR(K204=0,N204=0),"N.M.",IF(ABS(L204/K204)&gt;=10,"N.M.",L204/(-K204)))),IF(L204=0,0,IF(OR(K204=0,N204=0),"N.M.",IF(ABS(L204/K204)&gt;=10,"N.M.",L204/K204))))</f>
        <v>N.M.</v>
      </c>
      <c r="N204" s="162"/>
      <c r="O204" s="51">
        <v>214481341.44900003</v>
      </c>
      <c r="P204" s="51">
        <f>+F204-O204</f>
        <v>-5582679.900000036</v>
      </c>
      <c r="Q204" s="136">
        <f>IF(O204&lt;0,IF(P204=0,0,IF(OR(O204=0,F204=0),"N.M.",IF(ABS(P204/O204)&gt;=10,"N.M.",P204/(-O204)))),IF(P204=0,0,IF(OR(O204=0,F204=0),"N.M.",IF(ABS(P204/O204)&gt;=10,"N.M.",P204/O204))))</f>
        <v>-0.026028743863146252</v>
      </c>
    </row>
    <row r="205" spans="1:17" s="15" customFormat="1" ht="12.75" hidden="1" outlineLevel="2">
      <c r="A205" s="15" t="s">
        <v>721</v>
      </c>
      <c r="B205" s="15" t="s">
        <v>722</v>
      </c>
      <c r="C205" s="134" t="s">
        <v>723</v>
      </c>
      <c r="D205" s="16"/>
      <c r="E205" s="16"/>
      <c r="F205" s="16">
        <v>723444.35</v>
      </c>
      <c r="G205" s="16">
        <v>757092.9500000001</v>
      </c>
      <c r="H205" s="16">
        <f>+F205-G205</f>
        <v>-33648.60000000009</v>
      </c>
      <c r="I205" s="53">
        <f>IF(G205&lt;0,IF(H205=0,0,IF(OR(G205=0,F205=0),"N.M.",IF(ABS(H205/G205)&gt;=10,"N.M.",H205/(-G205)))),IF(H205=0,0,IF(OR(G205=0,F205=0),"N.M.",IF(ABS(H205/G205)&gt;=10,"N.M.",H205/G205))))</f>
        <v>-0.04444447673168808</v>
      </c>
      <c r="J205" s="174"/>
      <c r="K205" s="256">
        <v>726248.4</v>
      </c>
      <c r="L205" s="16">
        <f>+F205-K205</f>
        <v>-2804.0500000000466</v>
      </c>
      <c r="M205" s="53" t="str">
        <f>IF(K205&lt;0,IF(L205=0,0,IF(OR(K205=0,N205=0),"N.M.",IF(ABS(L205/K205)&gt;=10,"N.M.",L205/(-K205)))),IF(L205=0,0,IF(OR(K205=0,N205=0),"N.M.",IF(ABS(L205/K205)&gt;=10,"N.M.",L205/K205))))</f>
        <v>N.M.</v>
      </c>
      <c r="N205" s="174"/>
      <c r="O205" s="256">
        <v>737464.6</v>
      </c>
      <c r="P205" s="16">
        <f>+F205-O205</f>
        <v>-14020.25</v>
      </c>
      <c r="Q205" s="53">
        <f>IF(O205&lt;0,IF(P205=0,0,IF(OR(O205=0,F205=0),"N.M.",IF(ABS(P205/O205)&gt;=10,"N.M.",P205/(-O205)))),IF(P205=0,0,IF(OR(O205=0,F205=0),"N.M.",IF(ABS(P205/O205)&gt;=10,"N.M.",P205/O205))))</f>
        <v>-0.019011421022785364</v>
      </c>
    </row>
    <row r="206" spans="1:17" s="67" customFormat="1" ht="12.75" hidden="1" outlineLevel="1">
      <c r="A206" s="67" t="s">
        <v>143</v>
      </c>
      <c r="B206" s="87"/>
      <c r="C206" s="96" t="s">
        <v>141</v>
      </c>
      <c r="D206" s="66"/>
      <c r="E206" s="66"/>
      <c r="F206" s="197">
        <v>723444.35</v>
      </c>
      <c r="G206" s="197">
        <v>757092.9500000001</v>
      </c>
      <c r="H206" s="197">
        <f>+F206-G206</f>
        <v>-33648.60000000009</v>
      </c>
      <c r="I206" s="138">
        <f>IF(G206&lt;0,IF(H206=0,0,IF(OR(G206=0,F206=0),"N.M.",IF(ABS(H206/G206)&gt;=10,"N.M.",H206/(-G206)))),IF(H206=0,0,IF(OR(G206=0,F206=0),"N.M.",IF(ABS(H206/G206)&gt;=10,"N.M.",H206/G206))))</f>
        <v>-0.04444447673168808</v>
      </c>
      <c r="J206" s="162"/>
      <c r="K206" s="197">
        <v>726248.4</v>
      </c>
      <c r="L206" s="197">
        <f>+F206-K206</f>
        <v>-2804.0500000000466</v>
      </c>
      <c r="M206" s="138" t="str">
        <f>IF(K206&lt;0,IF(L206=0,0,IF(OR(K206=0,N206=0),"N.M.",IF(ABS(L206/K206)&gt;=10,"N.M.",L206/(-K206)))),IF(L206=0,0,IF(OR(K206=0,N206=0),"N.M.",IF(ABS(L206/K206)&gt;=10,"N.M.",L206/K206))))</f>
        <v>N.M.</v>
      </c>
      <c r="N206" s="162"/>
      <c r="O206" s="197">
        <v>737464.6</v>
      </c>
      <c r="P206" s="197">
        <f>+F206-O206</f>
        <v>-14020.25</v>
      </c>
      <c r="Q206" s="138">
        <f>IF(O206&lt;0,IF(P206=0,0,IF(OR(O206=0,F206=0),"N.M.",IF(ABS(P206/O206)&gt;=10,"N.M.",P206/(-O206)))),IF(P206=0,0,IF(OR(O206=0,F206=0),"N.M.",IF(ABS(P206/O206)&gt;=10,"N.M.",P206/O206))))</f>
        <v>-0.019011421022785364</v>
      </c>
    </row>
    <row r="207" spans="1:17" s="75" customFormat="1" ht="12" customHeight="1" collapsed="1">
      <c r="A207" s="75" t="s">
        <v>152</v>
      </c>
      <c r="B207" s="93"/>
      <c r="C207" s="75" t="s">
        <v>67</v>
      </c>
      <c r="D207" s="74"/>
      <c r="E207" s="74"/>
      <c r="F207" s="74">
        <f>+F206+F204</f>
        <v>209622105.899</v>
      </c>
      <c r="G207" s="74">
        <f>+G206+G204</f>
        <v>207630418.699</v>
      </c>
      <c r="H207" s="74">
        <f>+F207-G207</f>
        <v>1991687.199999988</v>
      </c>
      <c r="I207" s="137">
        <f>IF(G207&lt;0,IF(H207=0,0,IF(OR(G207=0,F207=0),"N.M.",IF(ABS(H207/G207)&gt;=10,"N.M.",H207/(-G207)))),IF(H207=0,0,IF(OR(G207=0,F207=0),"N.M.",IF(ABS(H207/G207)&gt;=10,"N.M.",H207/G207))))</f>
        <v>0.00959246343806357</v>
      </c>
      <c r="J207" s="163"/>
      <c r="K207" s="74">
        <f>+K206+K204</f>
        <v>209926691.49899998</v>
      </c>
      <c r="L207" s="74">
        <f>+F207-K207</f>
        <v>-304585.59999999404</v>
      </c>
      <c r="M207" s="137" t="str">
        <f>IF(K207&lt;0,IF(L207=0,0,IF(OR(K207=0,N207=0),"N.M.",IF(ABS(L207/K207)&gt;=10,"N.M.",L207/(-K207)))),IF(L207=0,0,IF(OR(K207=0,N207=0),"N.M.",IF(ABS(L207/K207)&gt;=10,"N.M.",L207/K207))))</f>
        <v>N.M.</v>
      </c>
      <c r="N207" s="163"/>
      <c r="O207" s="74">
        <f>+O206+O204</f>
        <v>215218806.04900002</v>
      </c>
      <c r="P207" s="74">
        <f>+F207-O207</f>
        <v>-5596700.150000036</v>
      </c>
      <c r="Q207" s="137">
        <f>IF(O207&lt;0,IF(P207=0,0,IF(OR(O207=0,F207=0),"N.M.",IF(ABS(P207/O207)&gt;=10,"N.M.",P207/(-O207)))),IF(P207=0,0,IF(OR(O207=0,F207=0),"N.M.",IF(ABS(P207/O207)&gt;=10,"N.M.",P207/O207))))</f>
        <v>-0.0260046984403668</v>
      </c>
    </row>
    <row r="208" spans="2:17" s="67" customFormat="1" ht="7.5" customHeight="1">
      <c r="B208" s="87"/>
      <c r="D208" s="51"/>
      <c r="E208" s="51"/>
      <c r="F208" s="51"/>
      <c r="G208" s="51"/>
      <c r="H208" s="51"/>
      <c r="I208" s="136"/>
      <c r="J208" s="162"/>
      <c r="K208" s="51"/>
      <c r="L208" s="51"/>
      <c r="M208" s="136"/>
      <c r="N208" s="162"/>
      <c r="O208" s="51"/>
      <c r="P208" s="51"/>
      <c r="Q208" s="136"/>
    </row>
    <row r="209" spans="2:17" s="67" customFormat="1" ht="0.75" customHeight="1" hidden="1" outlineLevel="1">
      <c r="B209" s="87"/>
      <c r="D209" s="51"/>
      <c r="E209" s="51"/>
      <c r="F209" s="51"/>
      <c r="G209" s="51"/>
      <c r="H209" s="51"/>
      <c r="I209" s="136"/>
      <c r="J209" s="162"/>
      <c r="K209" s="51"/>
      <c r="L209" s="51"/>
      <c r="M209" s="136"/>
      <c r="N209" s="162"/>
      <c r="O209" s="51"/>
      <c r="P209" s="51"/>
      <c r="Q209" s="136"/>
    </row>
    <row r="210" spans="1:17" s="15" customFormat="1" ht="12.75" hidden="1" outlineLevel="2">
      <c r="A210" s="15" t="s">
        <v>724</v>
      </c>
      <c r="B210" s="15" t="s">
        <v>725</v>
      </c>
      <c r="C210" s="134" t="s">
        <v>726</v>
      </c>
      <c r="D210" s="16"/>
      <c r="E210" s="16"/>
      <c r="F210" s="16">
        <v>2687343.6</v>
      </c>
      <c r="G210" s="16">
        <v>2991805.08</v>
      </c>
      <c r="H210" s="16">
        <f>+F210-G210</f>
        <v>-304461.48</v>
      </c>
      <c r="I210" s="53">
        <f>IF(G210&lt;0,IF(H210=0,0,IF(OR(G210=0,F210=0),"N.M.",IF(ABS(H210/G210)&gt;=10,"N.M.",H210/(-G210)))),IF(H210=0,0,IF(OR(G210=0,F210=0),"N.M.",IF(ABS(H210/G210)&gt;=10,"N.M.",H210/G210))))</f>
        <v>-0.10176514574271663</v>
      </c>
      <c r="J210" s="174"/>
      <c r="K210" s="256">
        <v>2712715.39</v>
      </c>
      <c r="L210" s="16">
        <f>+F210-K210</f>
        <v>-25371.790000000037</v>
      </c>
      <c r="M210" s="53" t="str">
        <f>IF(K210&lt;0,IF(L210=0,0,IF(OR(K210=0,N210=0),"N.M.",IF(ABS(L210/K210)&gt;=10,"N.M.",L210/(-K210)))),IF(L210=0,0,IF(OR(K210=0,N210=0),"N.M.",IF(ABS(L210/K210)&gt;=10,"N.M.",L210/K210))))</f>
        <v>N.M.</v>
      </c>
      <c r="N210" s="174"/>
      <c r="O210" s="256">
        <v>2814202.55</v>
      </c>
      <c r="P210" s="16">
        <f>+F210-O210</f>
        <v>-126858.94999999972</v>
      </c>
      <c r="Q210" s="53">
        <f>IF(O210&lt;0,IF(P210=0,0,IF(OR(O210=0,F210=0),"N.M.",IF(ABS(P210/O210)&gt;=10,"N.M.",P210/(-O210)))),IF(P210=0,0,IF(OR(O210=0,F210=0),"N.M.",IF(ABS(P210/O210)&gt;=10,"N.M.",P210/O210))))</f>
        <v>-0.045078116356621074</v>
      </c>
    </row>
    <row r="211" spans="1:17" s="67" customFormat="1" ht="12.75" hidden="1" outlineLevel="1">
      <c r="A211" s="67" t="s">
        <v>164</v>
      </c>
      <c r="B211" s="87"/>
      <c r="C211" s="82" t="s">
        <v>144</v>
      </c>
      <c r="D211" s="66"/>
      <c r="E211" s="66"/>
      <c r="F211" s="51">
        <v>2687343.6</v>
      </c>
      <c r="G211" s="51">
        <v>2991805.08</v>
      </c>
      <c r="H211" s="51">
        <f>+F211-G211</f>
        <v>-304461.48</v>
      </c>
      <c r="I211" s="136">
        <f>IF(G211&lt;0,IF(H211=0,0,IF(OR(G211=0,F211=0),"N.M.",IF(ABS(H211/G211)&gt;=10,"N.M.",H211/(-G211)))),IF(H211=0,0,IF(OR(G211=0,F211=0),"N.M.",IF(ABS(H211/G211)&gt;=10,"N.M.",H211/G211))))</f>
        <v>-0.10176514574271663</v>
      </c>
      <c r="J211" s="162"/>
      <c r="K211" s="51">
        <v>2712715.39</v>
      </c>
      <c r="L211" s="51">
        <f>+F211-K211</f>
        <v>-25371.790000000037</v>
      </c>
      <c r="M211" s="136" t="str">
        <f>IF(K211&lt;0,IF(L211=0,0,IF(OR(K211=0,N211=0),"N.M.",IF(ABS(L211/K211)&gt;=10,"N.M.",L211/(-K211)))),IF(L211=0,0,IF(OR(K211=0,N211=0),"N.M.",IF(ABS(L211/K211)&gt;=10,"N.M.",L211/K211))))</f>
        <v>N.M.</v>
      </c>
      <c r="N211" s="162"/>
      <c r="O211" s="51">
        <v>2814202.55</v>
      </c>
      <c r="P211" s="51">
        <f>+F211-O211</f>
        <v>-126858.94999999972</v>
      </c>
      <c r="Q211" s="136">
        <f>IF(O211&lt;0,IF(P211=0,0,IF(OR(O211=0,F211=0),"N.M.",IF(ABS(P211/O211)&gt;=10,"N.M.",P211/(-O211)))),IF(P211=0,0,IF(OR(O211=0,F211=0),"N.M.",IF(ABS(P211/O211)&gt;=10,"N.M.",P211/O211))))</f>
        <v>-0.045078116356621074</v>
      </c>
    </row>
    <row r="212" spans="1:17" s="15" customFormat="1" ht="12.75" hidden="1" outlineLevel="2">
      <c r="A212" s="15" t="s">
        <v>727</v>
      </c>
      <c r="B212" s="15" t="s">
        <v>728</v>
      </c>
      <c r="C212" s="134" t="s">
        <v>729</v>
      </c>
      <c r="D212" s="16"/>
      <c r="E212" s="16"/>
      <c r="F212" s="16">
        <v>17443.46</v>
      </c>
      <c r="G212" s="16">
        <v>7854.97</v>
      </c>
      <c r="H212" s="16">
        <f>+F212-G212</f>
        <v>9588.489999999998</v>
      </c>
      <c r="I212" s="53">
        <f>IF(G212&lt;0,IF(H212=0,0,IF(OR(G212=0,F212=0),"N.M.",IF(ABS(H212/G212)&gt;=10,"N.M.",H212/(-G212)))),IF(H212=0,0,IF(OR(G212=0,F212=0),"N.M.",IF(ABS(H212/G212)&gt;=10,"N.M.",H212/G212))))</f>
        <v>1.220690849233033</v>
      </c>
      <c r="J212" s="174"/>
      <c r="K212" s="256">
        <v>12612.65</v>
      </c>
      <c r="L212" s="16">
        <f>+F212-K212</f>
        <v>4830.8099999999995</v>
      </c>
      <c r="M212" s="53" t="str">
        <f>IF(K212&lt;0,IF(L212=0,0,IF(OR(K212=0,N212=0),"N.M.",IF(ABS(L212/K212)&gt;=10,"N.M.",L212/(-K212)))),IF(L212=0,0,IF(OR(K212=0,N212=0),"N.M.",IF(ABS(L212/K212)&gt;=10,"N.M.",L212/K212))))</f>
        <v>N.M.</v>
      </c>
      <c r="N212" s="174"/>
      <c r="O212" s="256">
        <v>0</v>
      </c>
      <c r="P212" s="16">
        <f>+F212-O212</f>
        <v>17443.46</v>
      </c>
      <c r="Q212" s="53" t="str">
        <f>IF(O212&lt;0,IF(P212=0,0,IF(OR(O212=0,F212=0),"N.M.",IF(ABS(P212/O212)&gt;=10,"N.M.",P212/(-O212)))),IF(P212=0,0,IF(OR(O212=0,F212=0),"N.M.",IF(ABS(P212/O212)&gt;=10,"N.M.",P212/O212))))</f>
        <v>N.M.</v>
      </c>
    </row>
    <row r="213" spans="1:17" s="67" customFormat="1" ht="12.75" hidden="1" outlineLevel="1">
      <c r="A213" s="67" t="s">
        <v>150</v>
      </c>
      <c r="B213" s="87"/>
      <c r="C213" s="82" t="s">
        <v>145</v>
      </c>
      <c r="D213" s="66"/>
      <c r="E213" s="66"/>
      <c r="F213" s="51">
        <v>17443.46</v>
      </c>
      <c r="G213" s="51">
        <v>7854.97</v>
      </c>
      <c r="H213" s="51">
        <f>+F213-G213</f>
        <v>9588.489999999998</v>
      </c>
      <c r="I213" s="136">
        <f>IF(G213&lt;0,IF(H213=0,0,IF(OR(G213=0,F213=0),"N.M.",IF(ABS(H213/G213)&gt;=10,"N.M.",H213/(-G213)))),IF(H213=0,0,IF(OR(G213=0,F213=0),"N.M.",IF(ABS(H213/G213)&gt;=10,"N.M.",H213/G213))))</f>
        <v>1.220690849233033</v>
      </c>
      <c r="J213" s="162"/>
      <c r="K213" s="51">
        <v>12612.65</v>
      </c>
      <c r="L213" s="51">
        <f>+F213-K213</f>
        <v>4830.8099999999995</v>
      </c>
      <c r="M213" s="136" t="str">
        <f>IF(K213&lt;0,IF(L213=0,0,IF(OR(K213=0,N213=0),"N.M.",IF(ABS(L213/K213)&gt;=10,"N.M.",L213/(-K213)))),IF(L213=0,0,IF(OR(K213=0,N213=0),"N.M.",IF(ABS(L213/K213)&gt;=10,"N.M.",L213/K213))))</f>
        <v>N.M.</v>
      </c>
      <c r="N213" s="162"/>
      <c r="O213" s="51">
        <v>0</v>
      </c>
      <c r="P213" s="51">
        <f>+F213-O213</f>
        <v>17443.46</v>
      </c>
      <c r="Q213" s="136" t="str">
        <f>IF(O213&lt;0,IF(P213=0,0,IF(OR(O213=0,F213=0),"N.M.",IF(ABS(P213/O213)&gt;=10,"N.M.",P213/(-O213)))),IF(P213=0,0,IF(OR(O213=0,F213=0),"N.M.",IF(ABS(P213/O213)&gt;=10,"N.M.",P213/O213))))</f>
        <v>N.M.</v>
      </c>
    </row>
    <row r="214" spans="1:17" s="15" customFormat="1" ht="12.75" hidden="1" outlineLevel="2">
      <c r="A214" s="15" t="s">
        <v>730</v>
      </c>
      <c r="B214" s="15" t="s">
        <v>731</v>
      </c>
      <c r="C214" s="134" t="s">
        <v>732</v>
      </c>
      <c r="D214" s="16"/>
      <c r="E214" s="16"/>
      <c r="F214" s="16">
        <v>21924651.37</v>
      </c>
      <c r="G214" s="16">
        <v>21933386.54</v>
      </c>
      <c r="H214" s="16">
        <f aca="true" t="shared" si="62" ref="H214:H226">+F214-G214</f>
        <v>-8735.169999998063</v>
      </c>
      <c r="I214" s="53">
        <f aca="true" t="shared" si="63" ref="I214:I226">IF(G214&lt;0,IF(H214=0,0,IF(OR(G214=0,F214=0),"N.M.",IF(ABS(H214/G214)&gt;=10,"N.M.",H214/(-G214)))),IF(H214=0,0,IF(OR(G214=0,F214=0),"N.M.",IF(ABS(H214/G214)&gt;=10,"N.M.",H214/G214))))</f>
        <v>-0.00039825906428392626</v>
      </c>
      <c r="J214" s="174"/>
      <c r="K214" s="256">
        <v>21852831.12</v>
      </c>
      <c r="L214" s="16">
        <f aca="true" t="shared" si="64" ref="L214:L226">+F214-K214</f>
        <v>71820.25</v>
      </c>
      <c r="M214" s="53" t="str">
        <f aca="true" t="shared" si="65" ref="M214:M226">IF(K214&lt;0,IF(L214=0,0,IF(OR(K214=0,N214=0),"N.M.",IF(ABS(L214/K214)&gt;=10,"N.M.",L214/(-K214)))),IF(L214=0,0,IF(OR(K214=0,N214=0),"N.M.",IF(ABS(L214/K214)&gt;=10,"N.M.",L214/K214))))</f>
        <v>N.M.</v>
      </c>
      <c r="N214" s="174"/>
      <c r="O214" s="256">
        <v>21673627.77</v>
      </c>
      <c r="P214" s="16">
        <f aca="true" t="shared" si="66" ref="P214:P226">+F214-O214</f>
        <v>251023.6000000015</v>
      </c>
      <c r="Q214" s="53">
        <f aca="true" t="shared" si="67" ref="Q214:Q226">IF(O214&lt;0,IF(P214=0,0,IF(OR(O214=0,F214=0),"N.M.",IF(ABS(P214/O214)&gt;=10,"N.M.",P214/(-O214)))),IF(P214=0,0,IF(OR(O214=0,F214=0),"N.M.",IF(ABS(P214/O214)&gt;=10,"N.M.",P214/O214))))</f>
        <v>0.011581983536113921</v>
      </c>
    </row>
    <row r="215" spans="1:17" s="15" customFormat="1" ht="12.75" hidden="1" outlineLevel="2">
      <c r="A215" s="15" t="s">
        <v>733</v>
      </c>
      <c r="B215" s="15" t="s">
        <v>734</v>
      </c>
      <c r="C215" s="134" t="s">
        <v>478</v>
      </c>
      <c r="D215" s="16"/>
      <c r="E215" s="16"/>
      <c r="F215" s="16">
        <v>322.69</v>
      </c>
      <c r="G215" s="16">
        <v>78.36</v>
      </c>
      <c r="H215" s="16">
        <f t="shared" si="62"/>
        <v>244.32999999999998</v>
      </c>
      <c r="I215" s="53">
        <f t="shared" si="63"/>
        <v>3.118044920877999</v>
      </c>
      <c r="J215" s="174"/>
      <c r="K215" s="256">
        <v>322.69</v>
      </c>
      <c r="L215" s="16">
        <f t="shared" si="64"/>
        <v>0</v>
      </c>
      <c r="M215" s="53">
        <f t="shared" si="65"/>
        <v>0</v>
      </c>
      <c r="N215" s="174"/>
      <c r="O215" s="256">
        <v>323.09000000000003</v>
      </c>
      <c r="P215" s="16">
        <f t="shared" si="66"/>
        <v>-0.4000000000000341</v>
      </c>
      <c r="Q215" s="53">
        <f t="shared" si="67"/>
        <v>-0.0012380451267449753</v>
      </c>
    </row>
    <row r="216" spans="1:17" s="15" customFormat="1" ht="12.75" hidden="1" outlineLevel="2">
      <c r="A216" s="15" t="s">
        <v>735</v>
      </c>
      <c r="B216" s="15" t="s">
        <v>736</v>
      </c>
      <c r="C216" s="134" t="s">
        <v>737</v>
      </c>
      <c r="D216" s="16"/>
      <c r="E216" s="16"/>
      <c r="F216" s="16">
        <v>-3742.17</v>
      </c>
      <c r="G216" s="16">
        <v>0</v>
      </c>
      <c r="H216" s="16">
        <f t="shared" si="62"/>
        <v>-3742.17</v>
      </c>
      <c r="I216" s="53" t="str">
        <f t="shared" si="63"/>
        <v>N.M.</v>
      </c>
      <c r="J216" s="174"/>
      <c r="K216" s="256">
        <v>0</v>
      </c>
      <c r="L216" s="16">
        <f t="shared" si="64"/>
        <v>-3742.17</v>
      </c>
      <c r="M216" s="53" t="str">
        <f t="shared" si="65"/>
        <v>N.M.</v>
      </c>
      <c r="N216" s="174"/>
      <c r="O216" s="256">
        <v>0</v>
      </c>
      <c r="P216" s="16">
        <f t="shared" si="66"/>
        <v>-3742.17</v>
      </c>
      <c r="Q216" s="53" t="str">
        <f t="shared" si="67"/>
        <v>N.M.</v>
      </c>
    </row>
    <row r="217" spans="1:17" s="15" customFormat="1" ht="12.75" hidden="1" outlineLevel="2">
      <c r="A217" s="15" t="s">
        <v>738</v>
      </c>
      <c r="B217" s="15" t="s">
        <v>739</v>
      </c>
      <c r="C217" s="134" t="s">
        <v>740</v>
      </c>
      <c r="D217" s="16"/>
      <c r="E217" s="16"/>
      <c r="F217" s="16">
        <v>0</v>
      </c>
      <c r="G217" s="16">
        <v>5274730</v>
      </c>
      <c r="H217" s="16">
        <f t="shared" si="62"/>
        <v>-5274730</v>
      </c>
      <c r="I217" s="53" t="str">
        <f t="shared" si="63"/>
        <v>N.M.</v>
      </c>
      <c r="J217" s="174"/>
      <c r="K217" s="256">
        <v>0</v>
      </c>
      <c r="L217" s="16">
        <f t="shared" si="64"/>
        <v>0</v>
      </c>
      <c r="M217" s="53">
        <f t="shared" si="65"/>
        <v>0</v>
      </c>
      <c r="N217" s="174"/>
      <c r="O217" s="256">
        <v>0</v>
      </c>
      <c r="P217" s="16">
        <f t="shared" si="66"/>
        <v>0</v>
      </c>
      <c r="Q217" s="53">
        <f t="shared" si="67"/>
        <v>0</v>
      </c>
    </row>
    <row r="218" spans="1:17" s="15" customFormat="1" ht="12.75" hidden="1" outlineLevel="2">
      <c r="A218" s="15" t="s">
        <v>741</v>
      </c>
      <c r="B218" s="15" t="s">
        <v>742</v>
      </c>
      <c r="C218" s="134" t="s">
        <v>740</v>
      </c>
      <c r="D218" s="16"/>
      <c r="E218" s="16"/>
      <c r="F218" s="16">
        <v>4925494.34</v>
      </c>
      <c r="G218" s="16">
        <v>0</v>
      </c>
      <c r="H218" s="16">
        <f t="shared" si="62"/>
        <v>4925494.34</v>
      </c>
      <c r="I218" s="53" t="str">
        <f t="shared" si="63"/>
        <v>N.M.</v>
      </c>
      <c r="J218" s="174"/>
      <c r="K218" s="256">
        <v>5629134.34</v>
      </c>
      <c r="L218" s="16">
        <f t="shared" si="64"/>
        <v>-703640</v>
      </c>
      <c r="M218" s="53" t="str">
        <f t="shared" si="65"/>
        <v>N.M.</v>
      </c>
      <c r="N218" s="174"/>
      <c r="O218" s="256">
        <v>7970436</v>
      </c>
      <c r="P218" s="16">
        <f t="shared" si="66"/>
        <v>-3044941.66</v>
      </c>
      <c r="Q218" s="53">
        <f t="shared" si="67"/>
        <v>-0.382029497508041</v>
      </c>
    </row>
    <row r="219" spans="1:17" s="15" customFormat="1" ht="12.75" hidden="1" outlineLevel="2">
      <c r="A219" s="15" t="s">
        <v>743</v>
      </c>
      <c r="B219" s="15" t="s">
        <v>744</v>
      </c>
      <c r="C219" s="134" t="s">
        <v>745</v>
      </c>
      <c r="D219" s="16"/>
      <c r="E219" s="16"/>
      <c r="F219" s="16">
        <v>-35</v>
      </c>
      <c r="G219" s="16">
        <v>0</v>
      </c>
      <c r="H219" s="16">
        <f t="shared" si="62"/>
        <v>-35</v>
      </c>
      <c r="I219" s="53" t="str">
        <f t="shared" si="63"/>
        <v>N.M.</v>
      </c>
      <c r="J219" s="174"/>
      <c r="K219" s="256">
        <v>-35</v>
      </c>
      <c r="L219" s="16">
        <f t="shared" si="64"/>
        <v>0</v>
      </c>
      <c r="M219" s="53">
        <f t="shared" si="65"/>
        <v>0</v>
      </c>
      <c r="N219" s="174"/>
      <c r="O219" s="256">
        <v>0</v>
      </c>
      <c r="P219" s="16">
        <f t="shared" si="66"/>
        <v>-35</v>
      </c>
      <c r="Q219" s="53" t="str">
        <f t="shared" si="67"/>
        <v>N.M.</v>
      </c>
    </row>
    <row r="220" spans="1:17" s="15" customFormat="1" ht="12.75" hidden="1" outlineLevel="2">
      <c r="A220" s="15" t="s">
        <v>746</v>
      </c>
      <c r="B220" s="15" t="s">
        <v>747</v>
      </c>
      <c r="C220" s="134" t="s">
        <v>748</v>
      </c>
      <c r="D220" s="16"/>
      <c r="E220" s="16"/>
      <c r="F220" s="16">
        <v>990796.89</v>
      </c>
      <c r="G220" s="16">
        <v>699099.0700000001</v>
      </c>
      <c r="H220" s="16">
        <f t="shared" si="62"/>
        <v>291697.81999999995</v>
      </c>
      <c r="I220" s="53">
        <f t="shared" si="63"/>
        <v>0.41724818772824274</v>
      </c>
      <c r="J220" s="174"/>
      <c r="K220" s="256">
        <v>1104523.06</v>
      </c>
      <c r="L220" s="16">
        <f t="shared" si="64"/>
        <v>-113726.17000000004</v>
      </c>
      <c r="M220" s="53" t="str">
        <f t="shared" si="65"/>
        <v>N.M.</v>
      </c>
      <c r="N220" s="174"/>
      <c r="O220" s="256">
        <v>1257028.69</v>
      </c>
      <c r="P220" s="16">
        <f t="shared" si="66"/>
        <v>-266231.79999999993</v>
      </c>
      <c r="Q220" s="53">
        <f t="shared" si="67"/>
        <v>-0.21179452952660924</v>
      </c>
    </row>
    <row r="221" spans="1:17" s="15" customFormat="1" ht="12.75" hidden="1" outlineLevel="2">
      <c r="A221" s="15" t="s">
        <v>749</v>
      </c>
      <c r="B221" s="15" t="s">
        <v>750</v>
      </c>
      <c r="C221" s="134" t="s">
        <v>751</v>
      </c>
      <c r="D221" s="16"/>
      <c r="E221" s="16"/>
      <c r="F221" s="16">
        <v>0</v>
      </c>
      <c r="G221" s="16">
        <v>62005</v>
      </c>
      <c r="H221" s="16">
        <f t="shared" si="62"/>
        <v>-62005</v>
      </c>
      <c r="I221" s="53" t="str">
        <f t="shared" si="63"/>
        <v>N.M.</v>
      </c>
      <c r="J221" s="174"/>
      <c r="K221" s="256">
        <v>0</v>
      </c>
      <c r="L221" s="16">
        <f t="shared" si="64"/>
        <v>0</v>
      </c>
      <c r="M221" s="53">
        <f t="shared" si="65"/>
        <v>0</v>
      </c>
      <c r="N221" s="174"/>
      <c r="O221" s="256">
        <v>0</v>
      </c>
      <c r="P221" s="16">
        <f t="shared" si="66"/>
        <v>0</v>
      </c>
      <c r="Q221" s="53">
        <f t="shared" si="67"/>
        <v>0</v>
      </c>
    </row>
    <row r="222" spans="1:17" s="15" customFormat="1" ht="12.75" hidden="1" outlineLevel="2">
      <c r="A222" s="15" t="s">
        <v>752</v>
      </c>
      <c r="B222" s="15" t="s">
        <v>753</v>
      </c>
      <c r="C222" s="134" t="s">
        <v>751</v>
      </c>
      <c r="D222" s="16"/>
      <c r="E222" s="16"/>
      <c r="F222" s="16">
        <v>46080</v>
      </c>
      <c r="G222" s="16">
        <v>0</v>
      </c>
      <c r="H222" s="16">
        <f t="shared" si="62"/>
        <v>46080</v>
      </c>
      <c r="I222" s="53" t="str">
        <f t="shared" si="63"/>
        <v>N.M.</v>
      </c>
      <c r="J222" s="174"/>
      <c r="K222" s="256">
        <v>52664</v>
      </c>
      <c r="L222" s="16">
        <f t="shared" si="64"/>
        <v>-6584</v>
      </c>
      <c r="M222" s="53" t="str">
        <f t="shared" si="65"/>
        <v>N.M.</v>
      </c>
      <c r="N222" s="174"/>
      <c r="O222" s="256">
        <v>0</v>
      </c>
      <c r="P222" s="16">
        <f t="shared" si="66"/>
        <v>46080</v>
      </c>
      <c r="Q222" s="53" t="str">
        <f t="shared" si="67"/>
        <v>N.M.</v>
      </c>
    </row>
    <row r="223" spans="1:17" s="15" customFormat="1" ht="12.75" hidden="1" outlineLevel="2">
      <c r="A223" s="15" t="s">
        <v>754</v>
      </c>
      <c r="B223" s="15" t="s">
        <v>755</v>
      </c>
      <c r="C223" s="134" t="s">
        <v>756</v>
      </c>
      <c r="D223" s="16"/>
      <c r="E223" s="16"/>
      <c r="F223" s="16">
        <v>251950.15</v>
      </c>
      <c r="G223" s="16">
        <v>70176.99</v>
      </c>
      <c r="H223" s="16">
        <f t="shared" si="62"/>
        <v>181773.15999999997</v>
      </c>
      <c r="I223" s="53">
        <f t="shared" si="63"/>
        <v>2.5902102669265235</v>
      </c>
      <c r="J223" s="174"/>
      <c r="K223" s="256">
        <v>263883.26</v>
      </c>
      <c r="L223" s="16">
        <f t="shared" si="64"/>
        <v>-11933.110000000015</v>
      </c>
      <c r="M223" s="53" t="str">
        <f t="shared" si="65"/>
        <v>N.M.</v>
      </c>
      <c r="N223" s="174"/>
      <c r="O223" s="256">
        <v>311615.7</v>
      </c>
      <c r="P223" s="16">
        <f t="shared" si="66"/>
        <v>-59665.55000000002</v>
      </c>
      <c r="Q223" s="53">
        <f t="shared" si="67"/>
        <v>-0.19147157861429964</v>
      </c>
    </row>
    <row r="224" spans="1:17" s="15" customFormat="1" ht="12.75" hidden="1" outlineLevel="2">
      <c r="A224" s="15" t="s">
        <v>757</v>
      </c>
      <c r="B224" s="15" t="s">
        <v>758</v>
      </c>
      <c r="C224" s="134" t="s">
        <v>759</v>
      </c>
      <c r="D224" s="16"/>
      <c r="E224" s="16"/>
      <c r="F224" s="16">
        <v>10.28</v>
      </c>
      <c r="G224" s="16">
        <v>0</v>
      </c>
      <c r="H224" s="16">
        <f t="shared" si="62"/>
        <v>10.28</v>
      </c>
      <c r="I224" s="53" t="str">
        <f t="shared" si="63"/>
        <v>N.M.</v>
      </c>
      <c r="J224" s="174"/>
      <c r="K224" s="256">
        <v>10.28</v>
      </c>
      <c r="L224" s="16">
        <f t="shared" si="64"/>
        <v>0</v>
      </c>
      <c r="M224" s="53">
        <f t="shared" si="65"/>
        <v>0</v>
      </c>
      <c r="N224" s="174"/>
      <c r="O224" s="256">
        <v>0</v>
      </c>
      <c r="P224" s="16">
        <f t="shared" si="66"/>
        <v>10.28</v>
      </c>
      <c r="Q224" s="53" t="str">
        <f t="shared" si="67"/>
        <v>N.M.</v>
      </c>
    </row>
    <row r="225" spans="1:17" s="15" customFormat="1" ht="12.75" hidden="1" outlineLevel="2">
      <c r="A225" s="15" t="s">
        <v>760</v>
      </c>
      <c r="B225" s="15" t="s">
        <v>761</v>
      </c>
      <c r="C225" s="134" t="s">
        <v>762</v>
      </c>
      <c r="D225" s="16"/>
      <c r="E225" s="16"/>
      <c r="F225" s="16">
        <v>2180.64</v>
      </c>
      <c r="G225" s="16">
        <v>1325.01</v>
      </c>
      <c r="H225" s="16">
        <f t="shared" si="62"/>
        <v>855.6299999999999</v>
      </c>
      <c r="I225" s="53">
        <f t="shared" si="63"/>
        <v>0.6457536169538343</v>
      </c>
      <c r="J225" s="174"/>
      <c r="K225" s="256">
        <v>1645.99</v>
      </c>
      <c r="L225" s="16">
        <f t="shared" si="64"/>
        <v>534.6499999999999</v>
      </c>
      <c r="M225" s="53" t="str">
        <f t="shared" si="65"/>
        <v>N.M.</v>
      </c>
      <c r="N225" s="174"/>
      <c r="O225" s="256">
        <v>578.77</v>
      </c>
      <c r="P225" s="16">
        <f t="shared" si="66"/>
        <v>1601.87</v>
      </c>
      <c r="Q225" s="53">
        <f t="shared" si="67"/>
        <v>2.7677142906508627</v>
      </c>
    </row>
    <row r="226" spans="1:17" s="15" customFormat="1" ht="12.75" hidden="1" outlineLevel="2">
      <c r="A226" s="15" t="s">
        <v>763</v>
      </c>
      <c r="B226" s="15" t="s">
        <v>764</v>
      </c>
      <c r="C226" s="134" t="s">
        <v>765</v>
      </c>
      <c r="D226" s="16"/>
      <c r="E226" s="16"/>
      <c r="F226" s="16">
        <v>0</v>
      </c>
      <c r="G226" s="16">
        <v>118552.98</v>
      </c>
      <c r="H226" s="16">
        <f t="shared" si="62"/>
        <v>-118552.98</v>
      </c>
      <c r="I226" s="53" t="str">
        <f t="shared" si="63"/>
        <v>N.M.</v>
      </c>
      <c r="J226" s="174"/>
      <c r="K226" s="256">
        <v>0</v>
      </c>
      <c r="L226" s="16">
        <f t="shared" si="64"/>
        <v>0</v>
      </c>
      <c r="M226" s="53">
        <f t="shared" si="65"/>
        <v>0</v>
      </c>
      <c r="N226" s="174"/>
      <c r="O226" s="256">
        <v>26580.31</v>
      </c>
      <c r="P226" s="16">
        <f t="shared" si="66"/>
        <v>-26580.31</v>
      </c>
      <c r="Q226" s="53" t="str">
        <f t="shared" si="67"/>
        <v>N.M.</v>
      </c>
    </row>
    <row r="227" spans="1:17" s="67" customFormat="1" ht="12.75" hidden="1" outlineLevel="1">
      <c r="A227" s="67" t="s">
        <v>149</v>
      </c>
      <c r="B227" s="87"/>
      <c r="C227" s="82" t="s">
        <v>146</v>
      </c>
      <c r="D227" s="66"/>
      <c r="E227" s="66"/>
      <c r="F227" s="51">
        <v>28137709.19</v>
      </c>
      <c r="G227" s="51">
        <v>28159353.95</v>
      </c>
      <c r="H227" s="51">
        <f>+F227-G227</f>
        <v>-21644.759999997914</v>
      </c>
      <c r="I227" s="136">
        <f>IF(G227&lt;0,IF(H227=0,0,IF(OR(G227=0,F227=0),"N.M.",IF(ABS(H227/G227)&gt;=10,"N.M.",H227/(-G227)))),IF(H227=0,0,IF(OR(G227=0,F227=0),"N.M.",IF(ABS(H227/G227)&gt;=10,"N.M.",H227/G227))))</f>
        <v>-0.0007686525776987122</v>
      </c>
      <c r="J227" s="162"/>
      <c r="K227" s="51">
        <v>28904979.740000002</v>
      </c>
      <c r="L227" s="51">
        <f>+F227-K227</f>
        <v>-767270.5500000007</v>
      </c>
      <c r="M227" s="136" t="str">
        <f>IF(K227&lt;0,IF(L227=0,0,IF(OR(K227=0,N227=0),"N.M.",IF(ABS(L227/K227)&gt;=10,"N.M.",L227/(-K227)))),IF(L227=0,0,IF(OR(K227=0,N227=0),"N.M.",IF(ABS(L227/K227)&gt;=10,"N.M.",L227/K227))))</f>
        <v>N.M.</v>
      </c>
      <c r="N227" s="162"/>
      <c r="O227" s="51">
        <v>31240190.33</v>
      </c>
      <c r="P227" s="51">
        <f>+F227-O227</f>
        <v>-3102481.139999997</v>
      </c>
      <c r="Q227" s="136">
        <f>IF(O227&lt;0,IF(P227=0,0,IF(OR(O227=0,F227=0),"N.M.",IF(ABS(P227/O227)&gt;=10,"N.M.",P227/(-O227)))),IF(P227=0,0,IF(OR(O227=0,F227=0),"N.M.",IF(ABS(P227/O227)&gt;=10,"N.M.",P227/O227))))</f>
        <v>-0.09931057100573039</v>
      </c>
    </row>
    <row r="228" spans="1:17" s="15" customFormat="1" ht="12.75" hidden="1" outlineLevel="2">
      <c r="A228" s="15" t="s">
        <v>766</v>
      </c>
      <c r="B228" s="15" t="s">
        <v>767</v>
      </c>
      <c r="C228" s="134" t="s">
        <v>768</v>
      </c>
      <c r="D228" s="16"/>
      <c r="E228" s="16"/>
      <c r="F228" s="16">
        <v>146462.30000000002</v>
      </c>
      <c r="G228" s="16">
        <v>201131.9</v>
      </c>
      <c r="H228" s="16">
        <f aca="true" t="shared" si="68" ref="H228:H233">+F228-G228</f>
        <v>-54669.59999999998</v>
      </c>
      <c r="I228" s="53">
        <f aca="true" t="shared" si="69" ref="I228:I233">IF(G228&lt;0,IF(H228=0,0,IF(OR(G228=0,F228=0),"N.M.",IF(ABS(H228/G228)&gt;=10,"N.M.",H228/(-G228)))),IF(H228=0,0,IF(OR(G228=0,F228=0),"N.M.",IF(ABS(H228/G228)&gt;=10,"N.M.",H228/G228))))</f>
        <v>-0.2718096930422274</v>
      </c>
      <c r="J228" s="174"/>
      <c r="K228" s="256">
        <v>64219.9</v>
      </c>
      <c r="L228" s="16">
        <f aca="true" t="shared" si="70" ref="L228:L233">+F228-K228</f>
        <v>82242.40000000002</v>
      </c>
      <c r="M228" s="53" t="str">
        <f aca="true" t="shared" si="71" ref="M228:M233">IF(K228&lt;0,IF(L228=0,0,IF(OR(K228=0,N228=0),"N.M.",IF(ABS(L228/K228)&gt;=10,"N.M.",L228/(-K228)))),IF(L228=0,0,IF(OR(K228=0,N228=0),"N.M.",IF(ABS(L228/K228)&gt;=10,"N.M.",L228/K228))))</f>
        <v>N.M.</v>
      </c>
      <c r="N228" s="174"/>
      <c r="O228" s="256">
        <v>54733.05</v>
      </c>
      <c r="P228" s="16">
        <f aca="true" t="shared" si="72" ref="P228:P233">+F228-O228</f>
        <v>91729.25000000001</v>
      </c>
      <c r="Q228" s="53">
        <f aca="true" t="shared" si="73" ref="Q228:Q233">IF(O228&lt;0,IF(P228=0,0,IF(OR(O228=0,F228=0),"N.M.",IF(ABS(P228/O228)&gt;=10,"N.M.",P228/(-O228)))),IF(P228=0,0,IF(OR(O228=0,F228=0),"N.M.",IF(ABS(P228/O228)&gt;=10,"N.M.",P228/O228))))</f>
        <v>1.6759389436547023</v>
      </c>
    </row>
    <row r="229" spans="1:17" s="15" customFormat="1" ht="12.75" hidden="1" outlineLevel="2">
      <c r="A229" s="15" t="s">
        <v>769</v>
      </c>
      <c r="B229" s="15" t="s">
        <v>770</v>
      </c>
      <c r="C229" s="134" t="s">
        <v>771</v>
      </c>
      <c r="D229" s="16"/>
      <c r="E229" s="16"/>
      <c r="F229" s="16">
        <v>203341.5</v>
      </c>
      <c r="G229" s="16">
        <v>235876.14</v>
      </c>
      <c r="H229" s="16">
        <f t="shared" si="68"/>
        <v>-32534.640000000014</v>
      </c>
      <c r="I229" s="53">
        <f t="shared" si="69"/>
        <v>-0.13793103448275867</v>
      </c>
      <c r="J229" s="174"/>
      <c r="K229" s="256">
        <v>206052.72</v>
      </c>
      <c r="L229" s="16">
        <f t="shared" si="70"/>
        <v>-2711.220000000001</v>
      </c>
      <c r="M229" s="53" t="str">
        <f t="shared" si="71"/>
        <v>N.M.</v>
      </c>
      <c r="N229" s="174"/>
      <c r="O229" s="256">
        <v>216897.6</v>
      </c>
      <c r="P229" s="16">
        <f t="shared" si="72"/>
        <v>-13556.100000000006</v>
      </c>
      <c r="Q229" s="53">
        <f t="shared" si="73"/>
        <v>-0.06250000000000003</v>
      </c>
    </row>
    <row r="230" spans="1:17" s="15" customFormat="1" ht="12.75" hidden="1" outlineLevel="2">
      <c r="A230" s="15" t="s">
        <v>772</v>
      </c>
      <c r="B230" s="15" t="s">
        <v>773</v>
      </c>
      <c r="C230" s="134" t="s">
        <v>774</v>
      </c>
      <c r="D230" s="16"/>
      <c r="E230" s="16"/>
      <c r="F230" s="16">
        <v>14277221.59</v>
      </c>
      <c r="G230" s="16">
        <v>12519655.23</v>
      </c>
      <c r="H230" s="16">
        <f t="shared" si="68"/>
        <v>1757566.3599999994</v>
      </c>
      <c r="I230" s="53">
        <f t="shared" si="69"/>
        <v>0.14038456552609072</v>
      </c>
      <c r="J230" s="174"/>
      <c r="K230" s="256">
        <v>14980598.4</v>
      </c>
      <c r="L230" s="16">
        <f t="shared" si="70"/>
        <v>-703376.8100000005</v>
      </c>
      <c r="M230" s="53" t="str">
        <f t="shared" si="71"/>
        <v>N.M.</v>
      </c>
      <c r="N230" s="174"/>
      <c r="O230" s="256">
        <v>14422180.22</v>
      </c>
      <c r="P230" s="16">
        <f t="shared" si="72"/>
        <v>-144958.63000000082</v>
      </c>
      <c r="Q230" s="53">
        <f t="shared" si="73"/>
        <v>-0.010051089903798249</v>
      </c>
    </row>
    <row r="231" spans="1:17" s="15" customFormat="1" ht="12.75" hidden="1" outlineLevel="2">
      <c r="A231" s="15" t="s">
        <v>775</v>
      </c>
      <c r="B231" s="15" t="s">
        <v>776</v>
      </c>
      <c r="C231" s="134" t="s">
        <v>777</v>
      </c>
      <c r="D231" s="16"/>
      <c r="E231" s="16"/>
      <c r="F231" s="16">
        <v>407319.99</v>
      </c>
      <c r="G231" s="16">
        <v>567488.74</v>
      </c>
      <c r="H231" s="16">
        <f t="shared" si="68"/>
        <v>-160168.75</v>
      </c>
      <c r="I231" s="53">
        <f t="shared" si="69"/>
        <v>-0.2822412828843089</v>
      </c>
      <c r="J231" s="174"/>
      <c r="K231" s="256">
        <v>407328.04000000004</v>
      </c>
      <c r="L231" s="16">
        <f t="shared" si="70"/>
        <v>-8.050000000046566</v>
      </c>
      <c r="M231" s="53" t="str">
        <f t="shared" si="71"/>
        <v>N.M.</v>
      </c>
      <c r="N231" s="174"/>
      <c r="O231" s="256">
        <v>407301.79000000004</v>
      </c>
      <c r="P231" s="16">
        <f t="shared" si="72"/>
        <v>18.199999999953434</v>
      </c>
      <c r="Q231" s="53">
        <f t="shared" si="73"/>
        <v>4.468431135535503E-05</v>
      </c>
    </row>
    <row r="232" spans="1:17" s="15" customFormat="1" ht="12.75" hidden="1" outlineLevel="2">
      <c r="A232" s="15" t="s">
        <v>778</v>
      </c>
      <c r="B232" s="15" t="s">
        <v>779</v>
      </c>
      <c r="C232" s="134" t="s">
        <v>780</v>
      </c>
      <c r="D232" s="16"/>
      <c r="E232" s="16"/>
      <c r="F232" s="16">
        <v>13284864.01</v>
      </c>
      <c r="G232" s="16">
        <v>12314313.94</v>
      </c>
      <c r="H232" s="16">
        <f t="shared" si="68"/>
        <v>970550.0700000003</v>
      </c>
      <c r="I232" s="53">
        <f t="shared" si="69"/>
        <v>0.07881479022939383</v>
      </c>
      <c r="J232" s="174"/>
      <c r="K232" s="256">
        <v>13342293.39</v>
      </c>
      <c r="L232" s="16">
        <f t="shared" si="70"/>
        <v>-57429.38000000082</v>
      </c>
      <c r="M232" s="53" t="str">
        <f t="shared" si="71"/>
        <v>N.M.</v>
      </c>
      <c r="N232" s="174"/>
      <c r="O232" s="256">
        <v>13666359.26</v>
      </c>
      <c r="P232" s="16">
        <f t="shared" si="72"/>
        <v>-381495.25</v>
      </c>
      <c r="Q232" s="53">
        <f t="shared" si="73"/>
        <v>-0.02791491448030322</v>
      </c>
    </row>
    <row r="233" spans="1:17" s="15" customFormat="1" ht="12.75" hidden="1" outlineLevel="2">
      <c r="A233" s="15" t="s">
        <v>781</v>
      </c>
      <c r="B233" s="15" t="s">
        <v>782</v>
      </c>
      <c r="C233" s="134" t="s">
        <v>783</v>
      </c>
      <c r="D233" s="16"/>
      <c r="E233" s="16"/>
      <c r="F233" s="16">
        <v>537749.67</v>
      </c>
      <c r="G233" s="16">
        <v>410059.46</v>
      </c>
      <c r="H233" s="16">
        <f t="shared" si="68"/>
        <v>127690.21000000002</v>
      </c>
      <c r="I233" s="53">
        <f t="shared" si="69"/>
        <v>0.3113943768057443</v>
      </c>
      <c r="J233" s="174"/>
      <c r="K233" s="256">
        <v>506568.45</v>
      </c>
      <c r="L233" s="16">
        <f t="shared" si="70"/>
        <v>31181.22000000003</v>
      </c>
      <c r="M233" s="53" t="str">
        <f t="shared" si="71"/>
        <v>N.M.</v>
      </c>
      <c r="N233" s="174"/>
      <c r="O233" s="256">
        <v>381843.53</v>
      </c>
      <c r="P233" s="16">
        <f t="shared" si="72"/>
        <v>155906.14</v>
      </c>
      <c r="Q233" s="53">
        <f t="shared" si="73"/>
        <v>0.408298498602294</v>
      </c>
    </row>
    <row r="234" spans="1:17" s="67" customFormat="1" ht="12.75" hidden="1" outlineLevel="1">
      <c r="A234" s="67" t="s">
        <v>148</v>
      </c>
      <c r="B234" s="87"/>
      <c r="C234" s="96" t="s">
        <v>147</v>
      </c>
      <c r="D234" s="66"/>
      <c r="E234" s="66"/>
      <c r="F234" s="197">
        <v>28856959.060000002</v>
      </c>
      <c r="G234" s="197">
        <v>26248525.41</v>
      </c>
      <c r="H234" s="197">
        <f>+F234-G234</f>
        <v>2608433.6500000022</v>
      </c>
      <c r="I234" s="138">
        <f>IF(G234&lt;0,IF(H234=0,0,IF(OR(G234=0,F234=0),"N.M.",IF(ABS(H234/G234)&gt;=10,"N.M.",H234/(-G234)))),IF(H234=0,0,IF(OR(G234=0,F234=0),"N.M.",IF(ABS(H234/G234)&gt;=10,"N.M.",H234/G234))))</f>
        <v>0.09937448329978404</v>
      </c>
      <c r="J234" s="162"/>
      <c r="K234" s="197">
        <v>29507060.9</v>
      </c>
      <c r="L234" s="197">
        <f>+F234-K234</f>
        <v>-650101.8399999961</v>
      </c>
      <c r="M234" s="138" t="str">
        <f>IF(K234&lt;0,IF(L234=0,0,IF(OR(K234=0,N234=0),"N.M.",IF(ABS(L234/K234)&gt;=10,"N.M.",L234/(-K234)))),IF(L234=0,0,IF(OR(K234=0,N234=0),"N.M.",IF(ABS(L234/K234)&gt;=10,"N.M.",L234/K234))))</f>
        <v>N.M.</v>
      </c>
      <c r="N234" s="162"/>
      <c r="O234" s="197">
        <v>29149315.450000003</v>
      </c>
      <c r="P234" s="197">
        <f>+F234-O234</f>
        <v>-292356.3900000006</v>
      </c>
      <c r="Q234" s="138">
        <f>IF(O234&lt;0,IF(P234=0,0,IF(OR(O234=0,F234=0),"N.M.",IF(ABS(P234/O234)&gt;=10,"N.M.",P234/(-O234)))),IF(P234=0,0,IF(OR(O234=0,F234=0),"N.M.",IF(ABS(P234/O234)&gt;=10,"N.M.",P234/O234))))</f>
        <v>-0.01002961426320564</v>
      </c>
    </row>
    <row r="235" spans="1:17" s="75" customFormat="1" ht="12" customHeight="1" collapsed="1">
      <c r="A235" s="75" t="s">
        <v>151</v>
      </c>
      <c r="B235" s="93"/>
      <c r="C235" s="75" t="s">
        <v>68</v>
      </c>
      <c r="D235" s="74"/>
      <c r="E235" s="74"/>
      <c r="F235" s="74">
        <f>+F211+F213+F227+F234</f>
        <v>59699455.31</v>
      </c>
      <c r="G235" s="74">
        <f>+G211+G213+G227+G234</f>
        <v>57407539.41</v>
      </c>
      <c r="H235" s="74">
        <f>+F235-G235</f>
        <v>2291915.900000006</v>
      </c>
      <c r="I235" s="137">
        <f>IF(G235&lt;0,IF(H235=0,0,IF(OR(G235=0,F235=0),"N.M.",IF(ABS(H235/G235)&gt;=10,"N.M.",H235/(-G235)))),IF(H235=0,0,IF(OR(G235=0,F235=0),"N.M.",IF(ABS(H235/G235)&gt;=10,"N.M.",H235/G235))))</f>
        <v>0.03992360452224451</v>
      </c>
      <c r="J235" s="163"/>
      <c r="K235" s="74">
        <f>+K211+K213+K227+K234</f>
        <v>61137368.68</v>
      </c>
      <c r="L235" s="74">
        <f>+F235-K235</f>
        <v>-1437913.3699999973</v>
      </c>
      <c r="M235" s="137" t="str">
        <f>IF(K235&lt;0,IF(L235=0,0,IF(OR(K235=0,N235=0),"N.M.",IF(ABS(L235/K235)&gt;=10,"N.M.",L235/(-K235)))),IF(L235=0,0,IF(OR(K235=0,N235=0),"N.M.",IF(ABS(L235/K235)&gt;=10,"N.M.",L235/K235))))</f>
        <v>N.M.</v>
      </c>
      <c r="N235" s="163"/>
      <c r="O235" s="74">
        <f>+O211+O213+O227+O234</f>
        <v>63203708.33</v>
      </c>
      <c r="P235" s="74">
        <f>+F235-O235</f>
        <v>-3504253.019999996</v>
      </c>
      <c r="Q235" s="137">
        <f>IF(O235&lt;0,IF(P235=0,0,IF(OR(O235=0,F235=0),"N.M.",IF(ABS(P235/O235)&gt;=10,"N.M.",P235/(-O235)))),IF(P235=0,0,IF(OR(O235=0,F235=0),"N.M.",IF(ABS(P235/O235)&gt;=10,"N.M.",P235/O235))))</f>
        <v>-0.05544378823001248</v>
      </c>
    </row>
    <row r="236" spans="1:17" s="75" customFormat="1" ht="9" customHeight="1">
      <c r="A236" s="67"/>
      <c r="B236" s="88"/>
      <c r="C236" s="71"/>
      <c r="D236" s="74"/>
      <c r="E236" s="74"/>
      <c r="F236" s="74"/>
      <c r="G236" s="74"/>
      <c r="H236" s="74"/>
      <c r="I236" s="137"/>
      <c r="J236" s="163"/>
      <c r="K236" s="74"/>
      <c r="L236" s="74"/>
      <c r="M236" s="137"/>
      <c r="N236" s="163"/>
      <c r="O236" s="74"/>
      <c r="P236" s="74"/>
      <c r="Q236" s="137"/>
    </row>
    <row r="237" spans="1:17" s="95" customFormat="1" ht="12" customHeight="1">
      <c r="A237" s="93" t="s">
        <v>153</v>
      </c>
      <c r="B237" s="93"/>
      <c r="C237" s="75" t="s">
        <v>69</v>
      </c>
      <c r="D237" s="94"/>
      <c r="E237" s="94"/>
      <c r="F237" s="232">
        <v>1570993389.3089998</v>
      </c>
      <c r="G237" s="232">
        <v>1494474211.220999</v>
      </c>
      <c r="H237" s="74">
        <f>+F237-G237</f>
        <v>76519178.08800077</v>
      </c>
      <c r="I237" s="137">
        <f>IF(G237&lt;0,IF(H237=0,0,IF(OR(G237=0,F237=0),"N.M.",IF(ABS(H237/G237)&gt;=10,"N.M.",H237/(-G237)))),IF(H237=0,0,IF(OR(G237=0,F237=0),"N.M.",IF(ABS(H237/G237)&gt;=10,"N.M.",H237/G237))))</f>
        <v>0.051201404155033166</v>
      </c>
      <c r="J237" s="164"/>
      <c r="K237" s="232">
        <v>1565283184.8660007</v>
      </c>
      <c r="L237" s="74">
        <f>+F237-K237</f>
        <v>5710204.4429991245</v>
      </c>
      <c r="M237" s="137" t="str">
        <f>IF(K237&lt;0,IF(L237=0,0,IF(OR(K237=0,N237=0),"N.M.",IF(ABS(L237/K237)&gt;=10,"N.M.",L237/(-K237)))),IF(L237=0,0,IF(OR(K237=0,N237=0),"N.M.",IF(ABS(L237/K237)&gt;=10,"N.M.",L237/K237))))</f>
        <v>N.M.</v>
      </c>
      <c r="N237" s="164"/>
      <c r="O237" s="232">
        <v>1573464080.4780002</v>
      </c>
      <c r="P237" s="74">
        <f>+F237-O237</f>
        <v>-2470691.169000387</v>
      </c>
      <c r="Q237" s="137">
        <f>IF(O237&lt;0,IF(P237=0,0,IF(OR(O237=0,F237=0),"N.M.",IF(ABS(P237/O237)&gt;=10,"N.M.",P237/(-O237)))),IF(P237=0,0,IF(OR(O237=0,F237=0),"N.M.",IF(ABS(P237/O237)&gt;=10,"N.M.",P237/O237))))</f>
        <v>-0.0015702240678095556</v>
      </c>
    </row>
    <row r="238" spans="2:17" s="89" customFormat="1" ht="12" customHeight="1">
      <c r="B238" s="90"/>
      <c r="C238" s="91"/>
      <c r="D238" s="92"/>
      <c r="E238" s="92"/>
      <c r="F238" s="233" t="str">
        <f>IF(ABS(F31+F61+F179+F207+F235-F237)&gt;$C$576,$C$577," ")</f>
        <v> </v>
      </c>
      <c r="G238" s="233" t="str">
        <f>IF(ABS(G31+G61+G179+G207+G235-G237)&gt;$C$576,$C$577," ")</f>
        <v> </v>
      </c>
      <c r="H238" s="233"/>
      <c r="I238" s="140"/>
      <c r="J238" s="165"/>
      <c r="K238" s="233" t="str">
        <f>IF(ABS(K31+K61+K179+K207+K235-K237)&gt;$C$576,$C$577," ")</f>
        <v> </v>
      </c>
      <c r="L238" s="233"/>
      <c r="M238" s="140"/>
      <c r="N238" s="165"/>
      <c r="O238" s="233" t="str">
        <f>IF(ABS(O31+O61+O179+O207+O235-O237)&gt;$C$576,$C$577," ")</f>
        <v> </v>
      </c>
      <c r="P238" s="233"/>
      <c r="Q238" s="140"/>
    </row>
    <row r="239" spans="3:17" s="63" customFormat="1" ht="12.75">
      <c r="C239" s="62" t="s">
        <v>181</v>
      </c>
      <c r="D239" s="64"/>
      <c r="E239" s="64"/>
      <c r="F239" s="231"/>
      <c r="G239" s="231"/>
      <c r="H239" s="244"/>
      <c r="I239" s="65"/>
      <c r="J239" s="158"/>
      <c r="K239" s="231"/>
      <c r="L239" s="244"/>
      <c r="M239" s="65"/>
      <c r="N239" s="158"/>
      <c r="O239" s="231"/>
      <c r="P239" s="244"/>
      <c r="Q239" s="65"/>
    </row>
    <row r="240" spans="3:17" ht="12.75">
      <c r="C240" s="97" t="s">
        <v>170</v>
      </c>
      <c r="D240" s="98"/>
      <c r="E240" s="99"/>
      <c r="F240" s="98"/>
      <c r="G240" s="98"/>
      <c r="H240" s="98"/>
      <c r="I240" s="141"/>
      <c r="J240" s="166"/>
      <c r="K240" s="98"/>
      <c r="L240" s="98"/>
      <c r="M240" s="141"/>
      <c r="N240" s="166"/>
      <c r="O240" s="98"/>
      <c r="P240" s="98"/>
      <c r="Q240" s="141"/>
    </row>
    <row r="241" spans="3:17" s="1" customFormat="1" ht="12.75">
      <c r="C241" s="100" t="str">
        <f>"Authorized: "&amp;TEXT(CSA,"#,##0")&amp;" Shares"</f>
        <v>Authorized: 2,000,000 Shares</v>
      </c>
      <c r="D241" s="101" t="s">
        <v>18</v>
      </c>
      <c r="E241" s="102"/>
      <c r="F241" s="101" t="s">
        <v>18</v>
      </c>
      <c r="G241" s="101"/>
      <c r="H241" s="101" t="s">
        <v>18</v>
      </c>
      <c r="I241" s="142"/>
      <c r="J241" s="167"/>
      <c r="K241" s="101" t="s">
        <v>18</v>
      </c>
      <c r="L241" s="101" t="s">
        <v>18</v>
      </c>
      <c r="M241" s="142"/>
      <c r="N241" s="167"/>
      <c r="O241" s="101" t="s">
        <v>18</v>
      </c>
      <c r="P241" s="101" t="s">
        <v>18</v>
      </c>
      <c r="Q241" s="142"/>
    </row>
    <row r="242" spans="3:17" s="1" customFormat="1" ht="12.75">
      <c r="C242" s="100" t="str">
        <f>"Outstanding: "&amp;TEXT(CSO,"#,##0")&amp;" Shares"</f>
        <v>Outstanding: 1,009,000 Shares</v>
      </c>
      <c r="D242" s="101" t="s">
        <v>18</v>
      </c>
      <c r="E242" s="102"/>
      <c r="F242" s="101" t="s">
        <v>18</v>
      </c>
      <c r="G242" s="101"/>
      <c r="H242" s="101" t="s">
        <v>18</v>
      </c>
      <c r="I242" s="142"/>
      <c r="J242" s="167"/>
      <c r="K242" s="101" t="s">
        <v>18</v>
      </c>
      <c r="L242" s="101" t="s">
        <v>18</v>
      </c>
      <c r="M242" s="142"/>
      <c r="N242" s="167"/>
      <c r="O242" s="101" t="s">
        <v>18</v>
      </c>
      <c r="P242" s="101" t="s">
        <v>18</v>
      </c>
      <c r="Q242" s="142"/>
    </row>
    <row r="243" spans="3:17" s="1" customFormat="1" ht="0.75" customHeight="1" hidden="1" outlineLevel="1">
      <c r="C243" s="100"/>
      <c r="D243" s="101"/>
      <c r="E243" s="102"/>
      <c r="F243" s="101"/>
      <c r="G243" s="101"/>
      <c r="H243" s="101"/>
      <c r="I243" s="142"/>
      <c r="J243" s="167"/>
      <c r="K243" s="101"/>
      <c r="L243" s="101"/>
      <c r="M243" s="142"/>
      <c r="N243" s="167"/>
      <c r="O243" s="101"/>
      <c r="P243" s="101"/>
      <c r="Q243" s="142"/>
    </row>
    <row r="244" spans="1:17" s="15" customFormat="1" ht="12.75" hidden="1" outlineLevel="2">
      <c r="A244" s="15" t="s">
        <v>784</v>
      </c>
      <c r="B244" s="15" t="s">
        <v>785</v>
      </c>
      <c r="C244" s="134" t="s">
        <v>786</v>
      </c>
      <c r="D244" s="16"/>
      <c r="E244" s="16"/>
      <c r="F244" s="16">
        <v>50450000</v>
      </c>
      <c r="G244" s="16">
        <v>50450000</v>
      </c>
      <c r="H244" s="16">
        <f>+F244-G244</f>
        <v>0</v>
      </c>
      <c r="I244" s="53">
        <f>IF(G244&lt;0,IF(H244=0,0,IF(OR(G244=0,F244=0),"N.M.",IF(ABS(H244/G244)&gt;=10,"N.M.",H244/(-G244)))),IF(H244=0,0,IF(OR(G244=0,F244=0),"N.M.",IF(ABS(H244/G244)&gt;=10,"N.M.",H244/G244))))</f>
        <v>0</v>
      </c>
      <c r="J244" s="174"/>
      <c r="K244" s="256">
        <v>50450000</v>
      </c>
      <c r="L244" s="16">
        <f>+F244-K244</f>
        <v>0</v>
      </c>
      <c r="M244" s="53">
        <f>IF(K244&lt;0,IF(L244=0,0,IF(OR(K244=0,N244=0),"N.M.",IF(ABS(L244/K244)&gt;=10,"N.M.",L244/(-K244)))),IF(L244=0,0,IF(OR(K244=0,N244=0),"N.M.",IF(ABS(L244/K244)&gt;=10,"N.M.",L244/K244))))</f>
        <v>0</v>
      </c>
      <c r="N244" s="174"/>
      <c r="O244" s="256">
        <v>50450000</v>
      </c>
      <c r="P244" s="16">
        <f>+F244-O244</f>
        <v>0</v>
      </c>
      <c r="Q244" s="53">
        <f>IF(O244&lt;0,IF(P244=0,0,IF(OR(O244=0,F244=0),"N.M.",IF(ABS(P244/O244)&gt;=10,"N.M.",P244/(-O244)))),IF(P244=0,0,IF(OR(O244=0,F244=0),"N.M.",IF(ABS(P244/O244)&gt;=10,"N.M.",P244/O244))))</f>
        <v>0</v>
      </c>
    </row>
    <row r="245" spans="1:17" ht="12.75" collapsed="1">
      <c r="A245" s="11" t="s">
        <v>241</v>
      </c>
      <c r="C245" s="111" t="s">
        <v>175</v>
      </c>
      <c r="D245" s="103"/>
      <c r="E245" s="104"/>
      <c r="F245" s="103">
        <v>50450000</v>
      </c>
      <c r="G245" s="103">
        <v>50450000</v>
      </c>
      <c r="H245" s="51">
        <f>+F245-G245</f>
        <v>0</v>
      </c>
      <c r="I245" s="136">
        <f>IF(G245&lt;0,IF(H245=0,0,IF(OR(G245=0,F245=0),"N.M.",IF(ABS(H245/G245)&gt;=10,"N.M.",H245/(-G245)))),IF(H245=0,0,IF(OR(G245=0,F245=0),"N.M.",IF(ABS(H245/G245)&gt;=10,"N.M.",H245/G245))))</f>
        <v>0</v>
      </c>
      <c r="J245" s="166"/>
      <c r="K245" s="103">
        <v>50450000</v>
      </c>
      <c r="L245" s="51">
        <f>+F245-K245</f>
        <v>0</v>
      </c>
      <c r="M245" s="136">
        <f>IF(K245&lt;0,IF(L245=0,0,IF(OR(K245=0,N245=0),"N.M.",IF(ABS(L245/K245)&gt;=10,"N.M.",L245/(-K245)))),IF(L245=0,0,IF(OR(K245=0,N245=0),"N.M.",IF(ABS(L245/K245)&gt;=10,"N.M.",L245/K245))))</f>
        <v>0</v>
      </c>
      <c r="N245" s="166"/>
      <c r="O245" s="103">
        <v>50450000</v>
      </c>
      <c r="P245" s="51">
        <f>+F245-O245</f>
        <v>0</v>
      </c>
      <c r="Q245" s="136">
        <f>IF(O245&lt;0,IF(P245=0,0,IF(OR(O245=0,F245=0),"N.M.",IF(ABS(P245/O245)&gt;=10,"N.M.",P245/(-O245)))),IF(P245=0,0,IF(OR(O245=0,F245=0),"N.M.",IF(ABS(P245/O245)&gt;=10,"N.M.",P245/O245))))</f>
        <v>0</v>
      </c>
    </row>
    <row r="246" spans="3:17" ht="0.75" customHeight="1" hidden="1" outlineLevel="1">
      <c r="C246" s="111"/>
      <c r="D246" s="103"/>
      <c r="E246" s="104"/>
      <c r="F246" s="103"/>
      <c r="G246" s="103"/>
      <c r="H246" s="51"/>
      <c r="I246" s="136"/>
      <c r="J246" s="166"/>
      <c r="K246" s="103"/>
      <c r="L246" s="51"/>
      <c r="M246" s="136"/>
      <c r="N246" s="166"/>
      <c r="O246" s="103"/>
      <c r="P246" s="51"/>
      <c r="Q246" s="136"/>
    </row>
    <row r="247" spans="1:17" ht="12.75" collapsed="1">
      <c r="A247" s="11" t="s">
        <v>242</v>
      </c>
      <c r="C247" s="111" t="s">
        <v>176</v>
      </c>
      <c r="D247" s="103"/>
      <c r="E247" s="104"/>
      <c r="F247" s="103">
        <v>0</v>
      </c>
      <c r="G247" s="103">
        <v>0</v>
      </c>
      <c r="H247" s="51">
        <f>+F247-G247</f>
        <v>0</v>
      </c>
      <c r="I247" s="136">
        <f>IF(G247&lt;0,IF(H247=0,0,IF(OR(G247=0,F247=0),"N.M.",IF(ABS(H247/G247)&gt;=10,"N.M.",H247/(-G247)))),IF(H247=0,0,IF(OR(G247=0,F247=0),"N.M.",IF(ABS(H247/G247)&gt;=10,"N.M.",H247/G247))))</f>
        <v>0</v>
      </c>
      <c r="J247" s="166"/>
      <c r="K247" s="103">
        <v>0</v>
      </c>
      <c r="L247" s="51">
        <f>+F247-K247</f>
        <v>0</v>
      </c>
      <c r="M247" s="136">
        <f>IF(K247&lt;0,IF(L247=0,0,IF(OR(K247=0,N247=0),"N.M.",IF(ABS(L247/K247)&gt;=10,"N.M.",L247/(-K247)))),IF(L247=0,0,IF(OR(K247=0,N247=0),"N.M.",IF(ABS(L247/K247)&gt;=10,"N.M.",L247/K247))))</f>
        <v>0</v>
      </c>
      <c r="N247" s="166"/>
      <c r="O247" s="103">
        <v>0</v>
      </c>
      <c r="P247" s="51">
        <f>+F247-O247</f>
        <v>0</v>
      </c>
      <c r="Q247" s="136">
        <f>IF(O247&lt;0,IF(P247=0,0,IF(OR(O247=0,F247=0),"N.M.",IF(ABS(P247/O247)&gt;=10,"N.M.",P247/(-O247)))),IF(P247=0,0,IF(OR(O247=0,F247=0),"N.M.",IF(ABS(P247/O247)&gt;=10,"N.M.",P247/O247))))</f>
        <v>0</v>
      </c>
    </row>
    <row r="248" spans="3:17" ht="0.75" customHeight="1" hidden="1" outlineLevel="1">
      <c r="C248" s="111"/>
      <c r="D248" s="103"/>
      <c r="E248" s="104"/>
      <c r="F248" s="103"/>
      <c r="G248" s="103"/>
      <c r="H248" s="51"/>
      <c r="I248" s="136"/>
      <c r="J248" s="166"/>
      <c r="K248" s="103"/>
      <c r="L248" s="51"/>
      <c r="M248" s="136"/>
      <c r="N248" s="166"/>
      <c r="O248" s="103"/>
      <c r="P248" s="51"/>
      <c r="Q248" s="136"/>
    </row>
    <row r="249" spans="1:17" s="15" customFormat="1" ht="12.75" hidden="1" outlineLevel="2">
      <c r="A249" s="15" t="s">
        <v>787</v>
      </c>
      <c r="B249" s="15" t="s">
        <v>788</v>
      </c>
      <c r="C249" s="134" t="s">
        <v>789</v>
      </c>
      <c r="D249" s="16"/>
      <c r="E249" s="16"/>
      <c r="F249" s="16">
        <v>238750000</v>
      </c>
      <c r="G249" s="16">
        <v>238750000</v>
      </c>
      <c r="H249" s="16">
        <f>+F249-G249</f>
        <v>0</v>
      </c>
      <c r="I249" s="53">
        <f>IF(G249&lt;0,IF(H249=0,0,IF(OR(G249=0,F249=0),"N.M.",IF(ABS(H249/G249)&gt;=10,"N.M.",H249/(-G249)))),IF(H249=0,0,IF(OR(G249=0,F249=0),"N.M.",IF(ABS(H249/G249)&gt;=10,"N.M.",H249/G249))))</f>
        <v>0</v>
      </c>
      <c r="J249" s="174"/>
      <c r="K249" s="256">
        <v>238750000</v>
      </c>
      <c r="L249" s="16">
        <f>+F249-K249</f>
        <v>0</v>
      </c>
      <c r="M249" s="53">
        <f>IF(K249&lt;0,IF(L249=0,0,IF(OR(K249=0,N249=0),"N.M.",IF(ABS(L249/K249)&gt;=10,"N.M.",L249/(-K249)))),IF(L249=0,0,IF(OR(K249=0,N249=0),"N.M.",IF(ABS(L249/K249)&gt;=10,"N.M.",L249/K249))))</f>
        <v>0</v>
      </c>
      <c r="N249" s="174"/>
      <c r="O249" s="256">
        <v>238750000</v>
      </c>
      <c r="P249" s="16">
        <f>+F249-O249</f>
        <v>0</v>
      </c>
      <c r="Q249" s="53">
        <f>IF(O249&lt;0,IF(P249=0,0,IF(OR(O249=0,F249=0),"N.M.",IF(ABS(P249/O249)&gt;=10,"N.M.",P249/(-O249)))),IF(P249=0,0,IF(OR(O249=0,F249=0),"N.M.",IF(ABS(P249/O249)&gt;=10,"N.M.",P249/O249))))</f>
        <v>0</v>
      </c>
    </row>
    <row r="250" spans="1:17" s="15" customFormat="1" ht="12.75" hidden="1" outlineLevel="2">
      <c r="A250" s="15" t="s">
        <v>790</v>
      </c>
      <c r="B250" s="15" t="s">
        <v>791</v>
      </c>
      <c r="C250" s="134" t="s">
        <v>792</v>
      </c>
      <c r="D250" s="16"/>
      <c r="E250" s="16"/>
      <c r="F250" s="16">
        <v>144993.77</v>
      </c>
      <c r="G250" s="16">
        <v>-309228.88</v>
      </c>
      <c r="H250" s="16">
        <f>+F250-G250</f>
        <v>454222.65</v>
      </c>
      <c r="I250" s="53">
        <f>IF(G250&lt;0,IF(H250=0,0,IF(OR(G250=0,F250=0),"N.M.",IF(ABS(H250/G250)&gt;=10,"N.M.",H250/(-G250)))),IF(H250=0,0,IF(OR(G250=0,F250=0),"N.M.",IF(ABS(H250/G250)&gt;=10,"N.M.",H250/G250))))</f>
        <v>1.4688881905208855</v>
      </c>
      <c r="J250" s="174"/>
      <c r="K250" s="256">
        <v>214853.58000000002</v>
      </c>
      <c r="L250" s="16">
        <f>+F250-K250</f>
        <v>-69859.81000000003</v>
      </c>
      <c r="M250" s="53" t="str">
        <f>IF(K250&lt;0,IF(L250=0,0,IF(OR(K250=0,N250=0),"N.M.",IF(ABS(L250/K250)&gt;=10,"N.M.",L250/(-K250)))),IF(L250=0,0,IF(OR(K250=0,N250=0),"N.M.",IF(ABS(L250/K250)&gt;=10,"N.M.",L250/K250))))</f>
        <v>N.M.</v>
      </c>
      <c r="N250" s="174"/>
      <c r="O250" s="256">
        <v>-48318.73</v>
      </c>
      <c r="P250" s="16">
        <f>+F250-O250</f>
        <v>193312.5</v>
      </c>
      <c r="Q250" s="53">
        <f>IF(O250&lt;0,IF(P250=0,0,IF(OR(O250=0,F250=0),"N.M.",IF(ABS(P250/O250)&gt;=10,"N.M.",P250/(-O250)))),IF(P250=0,0,IF(OR(O250=0,F250=0),"N.M.",IF(ABS(P250/O250)&gt;=10,"N.M.",P250/O250))))</f>
        <v>4.000777752229829</v>
      </c>
    </row>
    <row r="251" spans="1:17" s="15" customFormat="1" ht="12.75" hidden="1" outlineLevel="2">
      <c r="A251" s="15" t="s">
        <v>793</v>
      </c>
      <c r="B251" s="15" t="s">
        <v>794</v>
      </c>
      <c r="C251" s="134" t="s">
        <v>795</v>
      </c>
      <c r="D251" s="16"/>
      <c r="E251" s="16"/>
      <c r="F251" s="16">
        <v>-377634.75</v>
      </c>
      <c r="G251" s="16">
        <v>-438056.31</v>
      </c>
      <c r="H251" s="16">
        <f>+F251-G251</f>
        <v>60421.56</v>
      </c>
      <c r="I251" s="53">
        <f>IF(G251&lt;0,IF(H251=0,0,IF(OR(G251=0,F251=0),"N.M.",IF(ABS(H251/G251)&gt;=10,"N.M.",H251/(-G251)))),IF(H251=0,0,IF(OR(G251=0,F251=0),"N.M.",IF(ABS(H251/G251)&gt;=10,"N.M.",H251/G251))))</f>
        <v>0.13793103448275862</v>
      </c>
      <c r="J251" s="174"/>
      <c r="K251" s="256">
        <v>-382669.88</v>
      </c>
      <c r="L251" s="16">
        <f>+F251-K251</f>
        <v>5035.130000000005</v>
      </c>
      <c r="M251" s="53" t="str">
        <f>IF(K251&lt;0,IF(L251=0,0,IF(OR(K251=0,N251=0),"N.M.",IF(ABS(L251/K251)&gt;=10,"N.M.",L251/(-K251)))),IF(L251=0,0,IF(OR(K251=0,N251=0),"N.M.",IF(ABS(L251/K251)&gt;=10,"N.M.",L251/K251))))</f>
        <v>N.M.</v>
      </c>
      <c r="N251" s="174"/>
      <c r="O251" s="256">
        <v>-402810.4</v>
      </c>
      <c r="P251" s="16">
        <f>+F251-O251</f>
        <v>25175.650000000023</v>
      </c>
      <c r="Q251" s="53">
        <f>IF(O251&lt;0,IF(P251=0,0,IF(OR(O251=0,F251=0),"N.M.",IF(ABS(P251/O251)&gt;=10,"N.M.",P251/(-O251)))),IF(P251=0,0,IF(OR(O251=0,F251=0),"N.M.",IF(ABS(P251/O251)&gt;=10,"N.M.",P251/O251))))</f>
        <v>0.06250000000000006</v>
      </c>
    </row>
    <row r="252" spans="1:17" ht="12.75" collapsed="1">
      <c r="A252" s="11" t="s">
        <v>243</v>
      </c>
      <c r="C252" s="111" t="s">
        <v>177</v>
      </c>
      <c r="D252" s="103"/>
      <c r="E252" s="104"/>
      <c r="F252" s="103">
        <v>238517359.02</v>
      </c>
      <c r="G252" s="103">
        <v>238002714.81</v>
      </c>
      <c r="H252" s="51">
        <f>+F252-G252</f>
        <v>514644.21000000834</v>
      </c>
      <c r="I252" s="136">
        <f>IF(G252&lt;0,IF(H252=0,0,IF(OR(G252=0,F252=0),"N.M.",IF(ABS(H252/G252)&gt;=10,"N.M.",H252/(-G252)))),IF(H252=0,0,IF(OR(G252=0,F252=0),"N.M.",IF(ABS(H252/G252)&gt;=10,"N.M.",H252/G252))))</f>
        <v>0.002162345964880502</v>
      </c>
      <c r="J252" s="166"/>
      <c r="K252" s="103">
        <v>238582183.70000002</v>
      </c>
      <c r="L252" s="51">
        <f>+F252-K252</f>
        <v>-64824.68000000715</v>
      </c>
      <c r="M252" s="136" t="str">
        <f>IF(K252&lt;0,IF(L252=0,0,IF(OR(K252=0,N252=0),"N.M.",IF(ABS(L252/K252)&gt;=10,"N.M.",L252/(-K252)))),IF(L252=0,0,IF(OR(K252=0,N252=0),"N.M.",IF(ABS(L252/K252)&gt;=10,"N.M.",L252/K252))))</f>
        <v>N.M.</v>
      </c>
      <c r="N252" s="166"/>
      <c r="O252" s="103">
        <v>238298870.87</v>
      </c>
      <c r="P252" s="51">
        <f>+F252-O252</f>
        <v>218488.15000000596</v>
      </c>
      <c r="Q252" s="136">
        <f>IF(O252&lt;0,IF(P252=0,0,IF(OR(O252=0,F252=0),"N.M.",IF(ABS(P252/O252)&gt;=10,"N.M.",P252/(-O252)))),IF(P252=0,0,IF(OR(O252=0,F252=0),"N.M.",IF(ABS(P252/O252)&gt;=10,"N.M.",P252/O252))))</f>
        <v>0.0009168660732731652</v>
      </c>
    </row>
    <row r="253" spans="3:17" ht="0.75" customHeight="1" hidden="1" outlineLevel="1">
      <c r="C253" s="111"/>
      <c r="D253" s="103"/>
      <c r="E253" s="104"/>
      <c r="F253" s="103"/>
      <c r="G253" s="103"/>
      <c r="H253" s="51"/>
      <c r="I253" s="136"/>
      <c r="J253" s="166"/>
      <c r="K253" s="103"/>
      <c r="L253" s="51"/>
      <c r="M253" s="136"/>
      <c r="N253" s="166"/>
      <c r="O253" s="103"/>
      <c r="P253" s="51"/>
      <c r="Q253" s="136"/>
    </row>
    <row r="254" spans="1:17" ht="12.75" collapsed="1">
      <c r="A254" s="11" t="s">
        <v>244</v>
      </c>
      <c r="C254" s="112" t="s">
        <v>228</v>
      </c>
      <c r="D254" s="103"/>
      <c r="E254" s="104"/>
      <c r="F254" s="234">
        <v>164067741.2249999</v>
      </c>
      <c r="G254" s="234">
        <v>141616981.51800004</v>
      </c>
      <c r="H254" s="197">
        <f>+F254-G254</f>
        <v>22450759.70699987</v>
      </c>
      <c r="I254" s="138">
        <f>IF(G254&lt;0,IF(H254=0,0,IF(OR(G254=0,F254=0),"N.M.",IF(ABS(H254/G254)&gt;=10,"N.M.",H254/(-G254)))),IF(H254=0,0,IF(OR(G254=0,F254=0),"N.M.",IF(ABS(H254/G254)&gt;=10,"N.M.",H254/G254))))</f>
        <v>0.1585315508518044</v>
      </c>
      <c r="J254" s="166"/>
      <c r="K254" s="234">
        <v>168489108.0959999</v>
      </c>
      <c r="L254" s="197">
        <f>+F254-K254</f>
        <v>-4421366.870999992</v>
      </c>
      <c r="M254" s="138" t="str">
        <f>IF(K254&lt;0,IF(L254=0,0,IF(OR(K254=0,N254=0),"N.M.",IF(ABS(L254/K254)&gt;=10,"N.M.",L254/(-K254)))),IF(L254=0,0,IF(OR(K254=0,N254=0),"N.M.",IF(ABS(L254/K254)&gt;=10,"N.M.",L254/K254))))</f>
        <v>N.M.</v>
      </c>
      <c r="N254" s="166"/>
      <c r="O254" s="234">
        <v>157466514.06299987</v>
      </c>
      <c r="P254" s="197">
        <f>+F254-O254</f>
        <v>6601227.16200003</v>
      </c>
      <c r="Q254" s="138">
        <f>IF(O254&lt;0,IF(P254=0,0,IF(OR(O254=0,F254=0),"N.M.",IF(ABS(P254/O254)&gt;=10,"N.M.",P254/(-O254)))),IF(P254=0,0,IF(OR(O254=0,F254=0),"N.M.",IF(ABS(P254/O254)&gt;=10,"N.M.",P254/O254))))</f>
        <v>0.041921466295741984</v>
      </c>
    </row>
    <row r="255" spans="1:17" s="13" customFormat="1" ht="12.75">
      <c r="A255" s="13" t="s">
        <v>245</v>
      </c>
      <c r="C255" s="110" t="s">
        <v>171</v>
      </c>
      <c r="D255" s="33"/>
      <c r="F255" s="33">
        <v>453035100.24499995</v>
      </c>
      <c r="G255" s="33">
        <v>430069696.32799983</v>
      </c>
      <c r="H255" s="74">
        <f>+F255-G255</f>
        <v>22965403.917000115</v>
      </c>
      <c r="I255" s="137">
        <f>IF(G255&lt;0,IF(H255=0,0,IF(OR(G255=0,F255=0),"N.M.",IF(ABS(H255/G255)&gt;=10,"N.M.",H255/(-G255)))),IF(H255=0,0,IF(OR(G255=0,F255=0),"N.M.",IF(ABS(H255/G255)&gt;=10,"N.M.",H255/G255))))</f>
        <v>0.05339926089441365</v>
      </c>
      <c r="J255" s="168"/>
      <c r="K255" s="33">
        <v>457521291.79600006</v>
      </c>
      <c r="L255" s="74">
        <f>+F255-K255</f>
        <v>-4486191.551000118</v>
      </c>
      <c r="M255" s="137" t="str">
        <f>IF(K255&lt;0,IF(L255=0,0,IF(OR(K255=0,N255=0),"N.M.",IF(ABS(L255/K255)&gt;=10,"N.M.",L255/(-K255)))),IF(L255=0,0,IF(OR(K255=0,N255=0),"N.M.",IF(ABS(L255/K255)&gt;=10,"N.M.",L255/K255))))</f>
        <v>N.M.</v>
      </c>
      <c r="N255" s="168"/>
      <c r="O255" s="33">
        <v>446215384.93300027</v>
      </c>
      <c r="P255" s="74">
        <f>+F255-O255</f>
        <v>6819715.311999679</v>
      </c>
      <c r="Q255" s="137">
        <f>IF(O255&lt;0,IF(P255=0,0,IF(OR(O255=0,F255=0),"N.M.",IF(ABS(P255/O255)&gt;=10,"N.M.",P255/(-O255)))),IF(P255=0,0,IF(OR(O255=0,F255=0),"N.M.",IF(ABS(P255/O255)&gt;=10,"N.M.",P255/O255))))</f>
        <v>0.015283460728328913</v>
      </c>
    </row>
    <row r="256" spans="3:17" ht="12.75">
      <c r="C256" s="105"/>
      <c r="D256" s="105"/>
      <c r="E256" s="105"/>
      <c r="F256" s="108"/>
      <c r="G256" s="108"/>
      <c r="H256" s="108"/>
      <c r="I256" s="143"/>
      <c r="J256" s="169"/>
      <c r="K256" s="108"/>
      <c r="L256" s="108"/>
      <c r="M256" s="143"/>
      <c r="N256" s="169"/>
      <c r="O256" s="108"/>
      <c r="P256" s="108"/>
      <c r="Q256" s="143"/>
    </row>
    <row r="257" spans="3:17" ht="0.75" customHeight="1" hidden="1" outlineLevel="1">
      <c r="C257" s="105"/>
      <c r="D257" s="108"/>
      <c r="E257" s="107"/>
      <c r="F257" s="108"/>
      <c r="G257" s="108"/>
      <c r="H257" s="108"/>
      <c r="I257" s="141"/>
      <c r="J257" s="166"/>
      <c r="K257" s="108"/>
      <c r="L257" s="108"/>
      <c r="M257" s="141"/>
      <c r="N257" s="166"/>
      <c r="O257" s="108"/>
      <c r="P257" s="108"/>
      <c r="Q257" s="141"/>
    </row>
    <row r="258" spans="1:17" ht="14.25" customHeight="1" collapsed="1">
      <c r="A258" s="11" t="s">
        <v>246</v>
      </c>
      <c r="C258" s="111" t="s">
        <v>178</v>
      </c>
      <c r="D258" s="103"/>
      <c r="E258" s="104"/>
      <c r="F258" s="103">
        <v>0</v>
      </c>
      <c r="G258" s="103">
        <v>0</v>
      </c>
      <c r="H258" s="51">
        <f>+F258-G258</f>
        <v>0</v>
      </c>
      <c r="I258" s="136">
        <f>IF(G258&lt;0,IF(H258=0,0,IF(OR(G258=0,F258=0),"N.M.",IF(ABS(H258/G258)&gt;=10,"N.M.",H258/(-G258)))),IF(H258=0,0,IF(OR(G258=0,F258=0),"N.M.",IF(ABS(H258/G258)&gt;=10,"N.M.",H258/G258))))</f>
        <v>0</v>
      </c>
      <c r="J258" s="166"/>
      <c r="K258" s="103">
        <v>0</v>
      </c>
      <c r="L258" s="51">
        <f>+F258-K258</f>
        <v>0</v>
      </c>
      <c r="M258" s="136">
        <f>IF(K258&lt;0,IF(L258=0,0,IF(OR(K258=0,N258=0),"N.M.",IF(ABS(L258/K258)&gt;=10,"N.M.",L258/(-K258)))),IF(L258=0,0,IF(OR(K258=0,N258=0),"N.M.",IF(ABS(L258/K258)&gt;=10,"N.M.",L258/K258))))</f>
        <v>0</v>
      </c>
      <c r="N258" s="166"/>
      <c r="O258" s="103">
        <v>0</v>
      </c>
      <c r="P258" s="51">
        <f>+F258-O258</f>
        <v>0</v>
      </c>
      <c r="Q258" s="136">
        <f>IF(O258&lt;0,IF(P258=0,0,IF(OR(O258=0,F258=0),"N.M.",IF(ABS(P258/O258)&gt;=10,"N.M.",P258/(-O258)))),IF(P258=0,0,IF(OR(O258=0,F258=0),"N.M.",IF(ABS(P258/O258)&gt;=10,"N.M.",P258/O258))))</f>
        <v>0</v>
      </c>
    </row>
    <row r="259" spans="3:17" ht="0.75" customHeight="1" hidden="1" outlineLevel="1">
      <c r="C259" s="111"/>
      <c r="D259" s="103"/>
      <c r="E259" s="104"/>
      <c r="F259" s="103"/>
      <c r="G259" s="103"/>
      <c r="H259" s="51"/>
      <c r="I259" s="136"/>
      <c r="J259" s="166"/>
      <c r="K259" s="103"/>
      <c r="L259" s="51"/>
      <c r="M259" s="136"/>
      <c r="N259" s="166"/>
      <c r="O259" s="103"/>
      <c r="P259" s="51"/>
      <c r="Q259" s="136"/>
    </row>
    <row r="260" spans="1:17" ht="12.75" collapsed="1">
      <c r="A260" s="11" t="s">
        <v>247</v>
      </c>
      <c r="C260" s="112" t="s">
        <v>179</v>
      </c>
      <c r="D260" s="103"/>
      <c r="E260" s="104"/>
      <c r="F260" s="234">
        <v>0</v>
      </c>
      <c r="G260" s="234">
        <v>0</v>
      </c>
      <c r="H260" s="197">
        <f>+F260-G260</f>
        <v>0</v>
      </c>
      <c r="I260" s="138">
        <f>IF(G260&lt;0,IF(H260=0,0,IF(OR(G260=0,F260=0),"N.M.",IF(ABS(H260/G260)&gt;=10,"N.M.",H260/(-G260)))),IF(H260=0,0,IF(OR(G260=0,F260=0),"N.M.",IF(ABS(H260/G260)&gt;=10,"N.M.",H260/G260))))</f>
        <v>0</v>
      </c>
      <c r="J260" s="166"/>
      <c r="K260" s="234">
        <v>0</v>
      </c>
      <c r="L260" s="197">
        <f>+F260-K260</f>
        <v>0</v>
      </c>
      <c r="M260" s="138">
        <f>IF(K260&lt;0,IF(L260=0,0,IF(OR(K260=0,N260=0),"N.M.",IF(ABS(L260/K260)&gt;=10,"N.M.",L260/(-K260)))),IF(L260=0,0,IF(OR(K260=0,N260=0),"N.M.",IF(ABS(L260/K260)&gt;=10,"N.M.",L260/K260))))</f>
        <v>0</v>
      </c>
      <c r="N260" s="166"/>
      <c r="O260" s="234">
        <v>0</v>
      </c>
      <c r="P260" s="197">
        <f>+F260-O260</f>
        <v>0</v>
      </c>
      <c r="Q260" s="138">
        <f>IF(O260&lt;0,IF(P260=0,0,IF(OR(O260=0,F260=0),"N.M.",IF(ABS(P260/O260)&gt;=10,"N.M.",P260/(-O260)))),IF(P260=0,0,IF(OR(O260=0,F260=0),"N.M.",IF(ABS(P260/O260)&gt;=10,"N.M.",P260/O260))))</f>
        <v>0</v>
      </c>
    </row>
    <row r="261" spans="3:17" s="13" customFormat="1" ht="12.75">
      <c r="C261" s="110" t="s">
        <v>172</v>
      </c>
      <c r="D261" s="33"/>
      <c r="F261" s="33">
        <f>+F260+F258</f>
        <v>0</v>
      </c>
      <c r="G261" s="33"/>
      <c r="H261" s="74">
        <f>+F261-G261</f>
        <v>0</v>
      </c>
      <c r="I261" s="137">
        <f>IF(G261&lt;0,IF(H261=0,0,IF(OR(G261=0,F261=0),"N.M.",IF(ABS(H261/G261)&gt;=10,"N.M.",H261/(-G261)))),IF(H261=0,0,IF(OR(G261=0,F261=0),"N.M.",IF(ABS(H261/G261)&gt;=10,"N.M.",H261/G261))))</f>
        <v>0</v>
      </c>
      <c r="J261" s="168"/>
      <c r="K261" s="33">
        <f>+K260+K258</f>
        <v>0</v>
      </c>
      <c r="L261" s="74">
        <f>+F261-K261</f>
        <v>0</v>
      </c>
      <c r="M261" s="137">
        <f>IF(K261&lt;0,IF(L261=0,0,IF(OR(K261=0,N261=0),"N.M.",IF(ABS(L261/K261)&gt;=10,"N.M.",L261/(-K261)))),IF(L261=0,0,IF(OR(K261=0,N261=0),"N.M.",IF(ABS(L261/K261)&gt;=10,"N.M.",L261/K261))))</f>
        <v>0</v>
      </c>
      <c r="N261" s="168"/>
      <c r="O261" s="33">
        <f>+O260+O258</f>
        <v>0</v>
      </c>
      <c r="P261" s="74">
        <f>+F261-O261</f>
        <v>0</v>
      </c>
      <c r="Q261" s="137">
        <f>IF(O261&lt;0,IF(P261=0,0,IF(OR(O261=0,F261=0),"N.M.",IF(ABS(P261/O261)&gt;=10,"N.M.",P261/(-O261)))),IF(P261=0,0,IF(OR(O261=0,F261=0),"N.M.",IF(ABS(P261/O261)&gt;=10,"N.M.",P261/O261))))</f>
        <v>0</v>
      </c>
    </row>
    <row r="262" spans="3:17" ht="12.75">
      <c r="C262" s="105"/>
      <c r="D262" s="108"/>
      <c r="E262" s="107"/>
      <c r="F262" s="108"/>
      <c r="G262" s="108"/>
      <c r="H262" s="108"/>
      <c r="I262" s="141"/>
      <c r="J262" s="166"/>
      <c r="K262" s="108"/>
      <c r="L262" s="108"/>
      <c r="M262" s="141"/>
      <c r="N262" s="166"/>
      <c r="O262" s="108"/>
      <c r="P262" s="108"/>
      <c r="Q262" s="141"/>
    </row>
    <row r="263" spans="1:17" s="14" customFormat="1" ht="12.75">
      <c r="A263" s="14" t="s">
        <v>248</v>
      </c>
      <c r="C263" s="109" t="s">
        <v>173</v>
      </c>
      <c r="D263" s="31"/>
      <c r="F263" s="31">
        <v>0</v>
      </c>
      <c r="G263" s="31">
        <v>0</v>
      </c>
      <c r="H263" s="74">
        <f>+F263-G263</f>
        <v>0</v>
      </c>
      <c r="I263" s="137">
        <f>IF(G263&lt;0,IF(H263=0,0,IF(OR(G263=0,F263=0),"N.M.",IF(ABS(H263/G263)&gt;=10,"N.M.",H263/(-G263)))),IF(H263=0,0,IF(OR(G263=0,F263=0),"N.M.",IF(ABS(H263/G263)&gt;=10,"N.M.",H263/G263))))</f>
        <v>0</v>
      </c>
      <c r="J263" s="170"/>
      <c r="K263" s="31">
        <v>0</v>
      </c>
      <c r="L263" s="74">
        <f>+F263-K263</f>
        <v>0</v>
      </c>
      <c r="M263" s="137">
        <f>IF(K263&lt;0,IF(L263=0,0,IF(OR(K263=0,N263=0),"N.M.",IF(ABS(L263/K263)&gt;=10,"N.M.",L263/(-K263)))),IF(L263=0,0,IF(OR(K263=0,N263=0),"N.M.",IF(ABS(L263/K263)&gt;=10,"N.M.",L263/K263))))</f>
        <v>0</v>
      </c>
      <c r="N263" s="170"/>
      <c r="O263" s="31">
        <v>0</v>
      </c>
      <c r="P263" s="74">
        <f>+F263-O263</f>
        <v>0</v>
      </c>
      <c r="Q263" s="137">
        <f>IF(O263&lt;0,IF(P263=0,0,IF(OR(O263=0,F263=0),"N.M.",IF(ABS(P263/O263)&gt;=10,"N.M.",P263/(-O263)))),IF(P263=0,0,IF(OR(O263=0,F263=0),"N.M.",IF(ABS(P263/O263)&gt;=10,"N.M.",P263/O263))))</f>
        <v>0</v>
      </c>
    </row>
    <row r="264" spans="3:17" ht="12.75">
      <c r="C264" s="105"/>
      <c r="D264" s="108"/>
      <c r="E264" s="107"/>
      <c r="F264" s="108"/>
      <c r="G264" s="108"/>
      <c r="H264" s="108"/>
      <c r="I264" s="141"/>
      <c r="J264" s="166"/>
      <c r="K264" s="108"/>
      <c r="L264" s="108"/>
      <c r="M264" s="141"/>
      <c r="N264" s="166"/>
      <c r="O264" s="108"/>
      <c r="P264" s="108"/>
      <c r="Q264" s="141"/>
    </row>
    <row r="265" spans="3:17" ht="0.75" customHeight="1" hidden="1" outlineLevel="1">
      <c r="C265" s="105"/>
      <c r="D265" s="108"/>
      <c r="E265" s="107"/>
      <c r="F265" s="108"/>
      <c r="G265" s="108"/>
      <c r="H265" s="108"/>
      <c r="I265" s="141"/>
      <c r="J265" s="166"/>
      <c r="K265" s="108"/>
      <c r="L265" s="108"/>
      <c r="M265" s="141"/>
      <c r="N265" s="166"/>
      <c r="O265" s="108"/>
      <c r="P265" s="108"/>
      <c r="Q265" s="141"/>
    </row>
    <row r="266" spans="1:17" s="15" customFormat="1" ht="12.75" hidden="1" outlineLevel="2">
      <c r="A266" s="15" t="s">
        <v>796</v>
      </c>
      <c r="B266" s="15" t="s">
        <v>797</v>
      </c>
      <c r="C266" s="134" t="s">
        <v>798</v>
      </c>
      <c r="D266" s="16"/>
      <c r="E266" s="16"/>
      <c r="F266" s="16">
        <v>20000000</v>
      </c>
      <c r="G266" s="16">
        <v>20000000</v>
      </c>
      <c r="H266" s="16">
        <f>+F266-G266</f>
        <v>0</v>
      </c>
      <c r="I266" s="53">
        <f>IF(G266&lt;0,IF(H266=0,0,IF(OR(G266=0,F266=0),"N.M.",IF(ABS(H266/G266)&gt;=10,"N.M.",H266/(-G266)))),IF(H266=0,0,IF(OR(G266=0,F266=0),"N.M.",IF(ABS(H266/G266)&gt;=10,"N.M.",H266/G266))))</f>
        <v>0</v>
      </c>
      <c r="J266" s="174"/>
      <c r="K266" s="256">
        <v>20000000</v>
      </c>
      <c r="L266" s="16">
        <f>+F266-K266</f>
        <v>0</v>
      </c>
      <c r="M266" s="53">
        <f>IF(K266&lt;0,IF(L266=0,0,IF(OR(K266=0,N266=0),"N.M.",IF(ABS(L266/K266)&gt;=10,"N.M.",L266/(-K266)))),IF(L266=0,0,IF(OR(K266=0,N266=0),"N.M.",IF(ABS(L266/K266)&gt;=10,"N.M.",L266/K266))))</f>
        <v>0</v>
      </c>
      <c r="N266" s="174"/>
      <c r="O266" s="256">
        <v>20000000</v>
      </c>
      <c r="P266" s="16">
        <f>+F266-O266</f>
        <v>0</v>
      </c>
      <c r="Q266" s="53">
        <f>IF(O266&lt;0,IF(P266=0,0,IF(OR(O266=0,F266=0),"N.M.",IF(ABS(P266/O266)&gt;=10,"N.M.",P266/(-O266)))),IF(P266=0,0,IF(OR(O266=0,F266=0),"N.M.",IF(ABS(P266/O266)&gt;=10,"N.M.",P266/O266))))</f>
        <v>0</v>
      </c>
    </row>
    <row r="267" spans="1:17" s="15" customFormat="1" ht="12.75" hidden="1" outlineLevel="2">
      <c r="A267" s="15" t="s">
        <v>799</v>
      </c>
      <c r="B267" s="15" t="s">
        <v>800</v>
      </c>
      <c r="C267" s="134" t="s">
        <v>801</v>
      </c>
      <c r="D267" s="16"/>
      <c r="E267" s="16"/>
      <c r="F267" s="16">
        <v>530000000</v>
      </c>
      <c r="G267" s="16">
        <v>530000000</v>
      </c>
      <c r="H267" s="16">
        <f>+F267-G267</f>
        <v>0</v>
      </c>
      <c r="I267" s="53">
        <f>IF(G267&lt;0,IF(H267=0,0,IF(OR(G267=0,F267=0),"N.M.",IF(ABS(H267/G267)&gt;=10,"N.M.",H267/(-G267)))),IF(H267=0,0,IF(OR(G267=0,F267=0),"N.M.",IF(ABS(H267/G267)&gt;=10,"N.M.",H267/G267))))</f>
        <v>0</v>
      </c>
      <c r="J267" s="174"/>
      <c r="K267" s="256">
        <v>530000000</v>
      </c>
      <c r="L267" s="16">
        <f>+F267-K267</f>
        <v>0</v>
      </c>
      <c r="M267" s="53">
        <f>IF(K267&lt;0,IF(L267=0,0,IF(OR(K267=0,N267=0),"N.M.",IF(ABS(L267/K267)&gt;=10,"N.M.",L267/(-K267)))),IF(L267=0,0,IF(OR(K267=0,N267=0),"N.M.",IF(ABS(L267/K267)&gt;=10,"N.M.",L267/K267))))</f>
        <v>0</v>
      </c>
      <c r="N267" s="174"/>
      <c r="O267" s="256">
        <v>530000000</v>
      </c>
      <c r="P267" s="16">
        <f>+F267-O267</f>
        <v>0</v>
      </c>
      <c r="Q267" s="53">
        <f>IF(O267&lt;0,IF(P267=0,0,IF(OR(O267=0,F267=0),"N.M.",IF(ABS(P267/O267)&gt;=10,"N.M.",P267/(-O267)))),IF(P267=0,0,IF(OR(O267=0,F267=0),"N.M.",IF(ABS(P267/O267)&gt;=10,"N.M.",P267/O267))))</f>
        <v>0</v>
      </c>
    </row>
    <row r="268" spans="1:17" s="15" customFormat="1" ht="12.75" hidden="1" outlineLevel="2">
      <c r="A268" s="15" t="s">
        <v>802</v>
      </c>
      <c r="B268" s="15" t="s">
        <v>803</v>
      </c>
      <c r="C268" s="134" t="s">
        <v>804</v>
      </c>
      <c r="D268" s="16"/>
      <c r="E268" s="16"/>
      <c r="F268" s="16">
        <v>-1042031.25</v>
      </c>
      <c r="G268" s="16">
        <v>-1208756.25</v>
      </c>
      <c r="H268" s="16">
        <f>+F268-G268</f>
        <v>166725</v>
      </c>
      <c r="I268" s="53">
        <f>IF(G268&lt;0,IF(H268=0,0,IF(OR(G268=0,F268=0),"N.M.",IF(ABS(H268/G268)&gt;=10,"N.M.",H268/(-G268)))),IF(H268=0,0,IF(OR(G268=0,F268=0),"N.M.",IF(ABS(H268/G268)&gt;=10,"N.M.",H268/G268))))</f>
        <v>0.13793103448275862</v>
      </c>
      <c r="J268" s="174"/>
      <c r="K268" s="256">
        <v>-1055925</v>
      </c>
      <c r="L268" s="16">
        <f>+F268-K268</f>
        <v>13893.75</v>
      </c>
      <c r="M268" s="53" t="str">
        <f>IF(K268&lt;0,IF(L268=0,0,IF(OR(K268=0,N268=0),"N.M.",IF(ABS(L268/K268)&gt;=10,"N.M.",L268/(-K268)))),IF(L268=0,0,IF(OR(K268=0,N268=0),"N.M.",IF(ABS(L268/K268)&gt;=10,"N.M.",L268/K268))))</f>
        <v>N.M.</v>
      </c>
      <c r="N268" s="174"/>
      <c r="O268" s="256">
        <v>-1111500</v>
      </c>
      <c r="P268" s="16">
        <f>+F268-O268</f>
        <v>69468.75</v>
      </c>
      <c r="Q268" s="53">
        <f>IF(O268&lt;0,IF(P268=0,0,IF(OR(O268=0,F268=0),"N.M.",IF(ABS(P268/O268)&gt;=10,"N.M.",P268/(-O268)))),IF(P268=0,0,IF(OR(O268=0,F268=0),"N.M.",IF(ABS(P268/O268)&gt;=10,"N.M.",P268/O268))))</f>
        <v>0.0625</v>
      </c>
    </row>
    <row r="269" spans="1:17" s="13" customFormat="1" ht="12.75" collapsed="1">
      <c r="A269" s="13" t="s">
        <v>249</v>
      </c>
      <c r="C269" s="109" t="s">
        <v>180</v>
      </c>
      <c r="D269" s="33"/>
      <c r="F269" s="33">
        <v>548957968.75</v>
      </c>
      <c r="G269" s="33">
        <v>548791243.75</v>
      </c>
      <c r="H269" s="74">
        <f>+F269-G269</f>
        <v>166725</v>
      </c>
      <c r="I269" s="137">
        <f>IF(G269&lt;0,IF(H269=0,0,IF(OR(G269=0,F269=0),"N.M.",IF(ABS(H269/G269)&gt;=10,"N.M.",H269/(-G269)))),IF(H269=0,0,IF(OR(G269=0,F269=0),"N.M.",IF(ABS(H269/G269)&gt;=10,"N.M.",H269/G269))))</f>
        <v>0.0003038040455250977</v>
      </c>
      <c r="J269" s="168"/>
      <c r="K269" s="33">
        <v>548944075</v>
      </c>
      <c r="L269" s="74">
        <f>+F269-K269</f>
        <v>13893.75</v>
      </c>
      <c r="M269" s="137" t="str">
        <f>IF(K269&lt;0,IF(L269=0,0,IF(OR(K269=0,N269=0),"N.M.",IF(ABS(L269/K269)&gt;=10,"N.M.",L269/(-K269)))),IF(L269=0,0,IF(OR(K269=0,N269=0),"N.M.",IF(ABS(L269/K269)&gt;=10,"N.M.",L269/K269))))</f>
        <v>N.M.</v>
      </c>
      <c r="N269" s="168"/>
      <c r="O269" s="33">
        <v>548888500</v>
      </c>
      <c r="P269" s="74">
        <f>+F269-O269</f>
        <v>69468.75</v>
      </c>
      <c r="Q269" s="137">
        <f>IF(O269&lt;0,IF(P269=0,0,IF(OR(O269=0,F269=0),"N.M.",IF(ABS(P269/O269)&gt;=10,"N.M.",P269/(-O269)))),IF(P269=0,0,IF(OR(O269=0,F269=0),"N.M.",IF(ABS(P269/O269)&gt;=10,"N.M.",P269/O269))))</f>
        <v>0.000126562589669851</v>
      </c>
    </row>
    <row r="270" spans="1:17" ht="12.75">
      <c r="A270" s="11" t="s">
        <v>174</v>
      </c>
      <c r="C270" s="113"/>
      <c r="D270" s="103"/>
      <c r="E270" s="104"/>
      <c r="F270" s="234"/>
      <c r="G270" s="234"/>
      <c r="H270" s="234"/>
      <c r="I270" s="144"/>
      <c r="J270" s="166"/>
      <c r="K270" s="234"/>
      <c r="L270" s="234"/>
      <c r="M270" s="144"/>
      <c r="N270" s="166"/>
      <c r="O270" s="234"/>
      <c r="P270" s="234"/>
      <c r="Q270" s="144"/>
    </row>
    <row r="271" spans="1:17" s="13" customFormat="1" ht="12.75">
      <c r="A271" s="13" t="s">
        <v>250</v>
      </c>
      <c r="C271" s="13" t="s">
        <v>169</v>
      </c>
      <c r="D271" s="33"/>
      <c r="F271" s="33">
        <v>1001993068.9949999</v>
      </c>
      <c r="G271" s="33">
        <v>978860940.078</v>
      </c>
      <c r="H271" s="74">
        <f>+F271-G271</f>
        <v>23132128.916999936</v>
      </c>
      <c r="I271" s="137">
        <f>IF(G271&lt;0,IF(H271=0,0,IF(OR(G271=0,F271=0),"N.M.",IF(ABS(H271/G271)&gt;=10,"N.M.",H271/(-G271)))),IF(H271=0,0,IF(OR(G271=0,F271=0),"N.M.",IF(ABS(H271/G271)&gt;=10,"N.M.",H271/G271))))</f>
        <v>0.023631680425573693</v>
      </c>
      <c r="J271" s="168"/>
      <c r="K271" s="33">
        <v>1006465366.7960004</v>
      </c>
      <c r="L271" s="74">
        <f>+F271-K271</f>
        <v>-4472297.801000476</v>
      </c>
      <c r="M271" s="137" t="str">
        <f>IF(K271&lt;0,IF(L271=0,0,IF(OR(K271=0,N271=0),"N.M.",IF(ABS(L271/K271)&gt;=10,"N.M.",L271/(-K271)))),IF(L271=0,0,IF(OR(K271=0,N271=0),"N.M.",IF(ABS(L271/K271)&gt;=10,"N.M.",L271/K271))))</f>
        <v>N.M.</v>
      </c>
      <c r="N271" s="168"/>
      <c r="O271" s="33">
        <v>995103884.9330002</v>
      </c>
      <c r="P271" s="74">
        <f>+F271-O271</f>
        <v>6889184.061999679</v>
      </c>
      <c r="Q271" s="137">
        <f>IF(O271&lt;0,IF(P271=0,0,IF(OR(O271=0,F271=0),"N.M.",IF(ABS(P271/O271)&gt;=10,"N.M.",P271/(-O271)))),IF(P271=0,0,IF(OR(O271=0,F271=0),"N.M.",IF(ABS(P271/O271)&gt;=10,"N.M.",P271/O271))))</f>
        <v>0.006923080259568601</v>
      </c>
    </row>
    <row r="272" spans="4:17" ht="12.75">
      <c r="D272" s="106"/>
      <c r="E272" s="11"/>
      <c r="F272" s="233" t="str">
        <f>IF(ABS(+F255+F258+F260+F263+F269-F271)&gt;$C$576,$J$178," ")</f>
        <v> </v>
      </c>
      <c r="G272" s="233" t="str">
        <f>IF(ABS(+G255+G258+G260+G263+G269-G271)&gt;$C$576,$J$178," ")</f>
        <v> </v>
      </c>
      <c r="H272" s="233" t="str">
        <f>IF(ABS(+H255+H258+H260+H263+H269-H271)&gt;$C$576,$J$178," ")</f>
        <v> </v>
      </c>
      <c r="I272" s="141"/>
      <c r="J272" s="166"/>
      <c r="K272" s="233" t="str">
        <f>IF(ABS(+K255+K258+K260+K263+K269-K271)&gt;$C$576,$J$178," ")</f>
        <v> </v>
      </c>
      <c r="L272" s="233" t="str">
        <f>IF(ABS(+L255+L258+L260+L263+L269-L271)&gt;$C$576,$J$178," ")</f>
        <v> </v>
      </c>
      <c r="M272" s="141"/>
      <c r="N272" s="166"/>
      <c r="O272" s="233" t="str">
        <f>IF(ABS(+O255+O258+O260+O263+O269-O271)&gt;$C$576,$J$178," ")</f>
        <v> </v>
      </c>
      <c r="P272" s="233" t="str">
        <f>IF(ABS(+P255+P258+P260+P263+P269-P271)&gt;$C$576,$J$178," ")</f>
        <v> </v>
      </c>
      <c r="Q272" s="141"/>
    </row>
    <row r="273" spans="3:17" ht="0.75" customHeight="1" hidden="1" outlineLevel="1">
      <c r="C273" s="119"/>
      <c r="D273" s="108"/>
      <c r="E273" s="107"/>
      <c r="F273" s="108"/>
      <c r="G273" s="108"/>
      <c r="H273" s="108"/>
      <c r="I273" s="141"/>
      <c r="J273" s="166"/>
      <c r="K273" s="108"/>
      <c r="L273" s="108"/>
      <c r="M273" s="141"/>
      <c r="N273" s="166"/>
      <c r="O273" s="108"/>
      <c r="P273" s="108"/>
      <c r="Q273" s="141"/>
    </row>
    <row r="274" spans="1:17" s="15" customFormat="1" ht="12.75" hidden="1" outlineLevel="2">
      <c r="A274" s="15" t="s">
        <v>805</v>
      </c>
      <c r="B274" s="15" t="s">
        <v>806</v>
      </c>
      <c r="C274" s="134" t="s">
        <v>807</v>
      </c>
      <c r="D274" s="16"/>
      <c r="E274" s="16"/>
      <c r="F274" s="16">
        <v>3112846.25</v>
      </c>
      <c r="G274" s="16">
        <v>3293701.75</v>
      </c>
      <c r="H274" s="16">
        <f>+F274-G274</f>
        <v>-180855.5</v>
      </c>
      <c r="I274" s="53">
        <f>IF(G274&lt;0,IF(H274=0,0,IF(OR(G274=0,F274=0),"N.M.",IF(ABS(H274/G274)&gt;=10,"N.M.",H274/(-G274)))),IF(H274=0,0,IF(OR(G274=0,F274=0),"N.M.",IF(ABS(H274/G274)&gt;=10,"N.M.",H274/G274))))</f>
        <v>-0.05490949506888412</v>
      </c>
      <c r="J274" s="174"/>
      <c r="K274" s="256">
        <v>3205737.31</v>
      </c>
      <c r="L274" s="16">
        <f>+F274-K274</f>
        <v>-92891.06000000006</v>
      </c>
      <c r="M274" s="53" t="str">
        <f>IF(K274&lt;0,IF(L274=0,0,IF(OR(K274=0,N274=0),"N.M.",IF(ABS(L274/K274)&gt;=10,"N.M.",L274/(-K274)))),IF(L274=0,0,IF(OR(K274=0,N274=0),"N.M.",IF(ABS(L274/K274)&gt;=10,"N.M.",L274/K274))))</f>
        <v>N.M.</v>
      </c>
      <c r="N274" s="174"/>
      <c r="O274" s="256">
        <v>3568506.2199999997</v>
      </c>
      <c r="P274" s="16">
        <f>+F274-O274</f>
        <v>-455659.96999999974</v>
      </c>
      <c r="Q274" s="53">
        <f>IF(O274&lt;0,IF(P274=0,0,IF(OR(O274=0,F274=0),"N.M.",IF(ABS(P274/O274)&gt;=10,"N.M.",P274/(-O274)))),IF(P274=0,0,IF(OR(O274=0,F274=0),"N.M.",IF(ABS(P274/O274)&gt;=10,"N.M.",P274/O274))))</f>
        <v>-0.12768927442138514</v>
      </c>
    </row>
    <row r="275" spans="1:17" s="15" customFormat="1" ht="12.75" hidden="1" outlineLevel="2">
      <c r="A275" s="15" t="s">
        <v>808</v>
      </c>
      <c r="B275" s="15" t="s">
        <v>809</v>
      </c>
      <c r="C275" s="134" t="s">
        <v>810</v>
      </c>
      <c r="D275" s="16"/>
      <c r="E275" s="16"/>
      <c r="F275" s="16">
        <v>2207.4900000000002</v>
      </c>
      <c r="G275" s="16">
        <v>37030.48</v>
      </c>
      <c r="H275" s="16">
        <f>+F275-G275</f>
        <v>-34822.990000000005</v>
      </c>
      <c r="I275" s="53">
        <f>IF(G275&lt;0,IF(H275=0,0,IF(OR(G275=0,F275=0),"N.M.",IF(ABS(H275/G275)&gt;=10,"N.M.",H275/(-G275)))),IF(H275=0,0,IF(OR(G275=0,F275=0),"N.M.",IF(ABS(H275/G275)&gt;=10,"N.M.",H275/G275))))</f>
        <v>-0.9403872161527478</v>
      </c>
      <c r="J275" s="174"/>
      <c r="K275" s="256">
        <v>4007.1800000000003</v>
      </c>
      <c r="L275" s="16">
        <f>+F275-K275</f>
        <v>-1799.69</v>
      </c>
      <c r="M275" s="53" t="str">
        <f>IF(K275&lt;0,IF(L275=0,0,IF(OR(K275=0,N275=0),"N.M.",IF(ABS(L275/K275)&gt;=10,"N.M.",L275/(-K275)))),IF(L275=0,0,IF(OR(K275=0,N275=0),"N.M.",IF(ABS(L275/K275)&gt;=10,"N.M.",L275/K275))))</f>
        <v>N.M.</v>
      </c>
      <c r="N275" s="174"/>
      <c r="O275" s="256">
        <v>277.83</v>
      </c>
      <c r="P275" s="16">
        <f>+F275-O275</f>
        <v>1929.6600000000003</v>
      </c>
      <c r="Q275" s="53">
        <f>IF(O275&lt;0,IF(P275=0,0,IF(OR(O275=0,F275=0),"N.M.",IF(ABS(P275/O275)&gt;=10,"N.M.",P275/(-O275)))),IF(P275=0,0,IF(OR(O275=0,F275=0),"N.M.",IF(ABS(P275/O275)&gt;=10,"N.M.",P275/O275))))</f>
        <v>6.9454702515927025</v>
      </c>
    </row>
    <row r="276" spans="1:17" ht="12.75" collapsed="1">
      <c r="A276" s="11" t="s">
        <v>251</v>
      </c>
      <c r="C276" s="120" t="s">
        <v>183</v>
      </c>
      <c r="D276" s="103"/>
      <c r="E276" s="104"/>
      <c r="F276" s="103">
        <v>3115053.74</v>
      </c>
      <c r="G276" s="103">
        <v>3330732.23</v>
      </c>
      <c r="H276" s="51">
        <f>+F276-G276</f>
        <v>-215678.48999999976</v>
      </c>
      <c r="I276" s="136">
        <f>IF(G276&lt;0,IF(H276=0,0,IF(OR(G276=0,F276=0),"N.M.",IF(ABS(H276/G276)&gt;=10,"N.M.",H276/(-G276)))),IF(H276=0,0,IF(OR(G276=0,F276=0),"N.M.",IF(ABS(H276/G276)&gt;=10,"N.M.",H276/G276))))</f>
        <v>-0.0647540766133577</v>
      </c>
      <c r="J276" s="166"/>
      <c r="K276" s="103">
        <v>3209744.49</v>
      </c>
      <c r="L276" s="51">
        <f>+F276-K276</f>
        <v>-94690.75</v>
      </c>
      <c r="M276" s="136" t="str">
        <f>IF(K276&lt;0,IF(L276=0,0,IF(OR(K276=0,N276=0),"N.M.",IF(ABS(L276/K276)&gt;=10,"N.M.",L276/(-K276)))),IF(L276=0,0,IF(OR(K276=0,N276=0),"N.M.",IF(ABS(L276/K276)&gt;=10,"N.M.",L276/K276))))</f>
        <v>N.M.</v>
      </c>
      <c r="N276" s="166"/>
      <c r="O276" s="103">
        <v>3568784.05</v>
      </c>
      <c r="P276" s="51">
        <f>+F276-O276</f>
        <v>-453730.3099999996</v>
      </c>
      <c r="Q276" s="136">
        <f>IF(O276&lt;0,IF(P276=0,0,IF(OR(O276=0,F276=0),"N.M.",IF(ABS(P276/O276)&gt;=10,"N.M.",P276/(-O276)))),IF(P276=0,0,IF(OR(O276=0,F276=0),"N.M.",IF(ABS(P276/O276)&gt;=10,"N.M.",P276/O276))))</f>
        <v>-0.12713862863178835</v>
      </c>
    </row>
    <row r="277" spans="3:17" ht="0.75" customHeight="1" hidden="1" outlineLevel="1">
      <c r="C277" s="120"/>
      <c r="D277" s="103"/>
      <c r="E277" s="104"/>
      <c r="F277" s="103"/>
      <c r="G277" s="103"/>
      <c r="H277" s="51"/>
      <c r="I277" s="136"/>
      <c r="J277" s="166"/>
      <c r="K277" s="103"/>
      <c r="L277" s="51"/>
      <c r="M277" s="136"/>
      <c r="N277" s="166"/>
      <c r="O277" s="103"/>
      <c r="P277" s="51"/>
      <c r="Q277" s="136"/>
    </row>
    <row r="278" spans="1:17" ht="12.75" collapsed="1">
      <c r="A278" s="11" t="s">
        <v>252</v>
      </c>
      <c r="C278" s="120" t="s">
        <v>184</v>
      </c>
      <c r="E278" s="11"/>
      <c r="F278" s="18">
        <v>0</v>
      </c>
      <c r="G278" s="18">
        <v>0</v>
      </c>
      <c r="H278" s="51">
        <f>+F278-G278</f>
        <v>0</v>
      </c>
      <c r="I278" s="136">
        <f>IF(G278&lt;0,IF(H278=0,0,IF(OR(G278=0,F278=0),"N.M.",IF(ABS(H278/G278)&gt;=10,"N.M.",H278/(-G278)))),IF(H278=0,0,IF(OR(G278=0,F278=0),"N.M.",IF(ABS(H278/G278)&gt;=10,"N.M.",H278/G278))))</f>
        <v>0</v>
      </c>
      <c r="J278" s="166"/>
      <c r="K278" s="18">
        <v>0</v>
      </c>
      <c r="L278" s="51">
        <f>+F278-K278</f>
        <v>0</v>
      </c>
      <c r="M278" s="136">
        <f>IF(K278&lt;0,IF(L278=0,0,IF(OR(K278=0,N278=0),"N.M.",IF(ABS(L278/K278)&gt;=10,"N.M.",L278/(-K278)))),IF(L278=0,0,IF(OR(K278=0,N278=0),"N.M.",IF(ABS(L278/K278)&gt;=10,"N.M.",L278/K278))))</f>
        <v>0</v>
      </c>
      <c r="N278" s="166"/>
      <c r="O278" s="18">
        <v>0</v>
      </c>
      <c r="P278" s="51">
        <f>+F278-O278</f>
        <v>0</v>
      </c>
      <c r="Q278" s="136">
        <f>IF(O278&lt;0,IF(P278=0,0,IF(OR(O278=0,F278=0),"N.M.",IF(ABS(P278/O278)&gt;=10,"N.M.",P278/(-O278)))),IF(P278=0,0,IF(OR(O278=0,F278=0),"N.M.",IF(ABS(P278/O278)&gt;=10,"N.M.",P278/O278))))</f>
        <v>0</v>
      </c>
    </row>
    <row r="279" spans="3:17" ht="0.75" customHeight="1" hidden="1" outlineLevel="1">
      <c r="C279" s="120"/>
      <c r="E279" s="11"/>
      <c r="H279" s="51"/>
      <c r="I279" s="136"/>
      <c r="J279" s="166"/>
      <c r="K279" s="18"/>
      <c r="L279" s="51"/>
      <c r="M279" s="136"/>
      <c r="N279" s="166"/>
      <c r="O279" s="18"/>
      <c r="P279" s="51"/>
      <c r="Q279" s="136"/>
    </row>
    <row r="280" spans="1:17" s="15" customFormat="1" ht="12.75" hidden="1" outlineLevel="2">
      <c r="A280" s="15" t="s">
        <v>811</v>
      </c>
      <c r="B280" s="15" t="s">
        <v>812</v>
      </c>
      <c r="C280" s="134" t="s">
        <v>813</v>
      </c>
      <c r="D280" s="16"/>
      <c r="E280" s="16"/>
      <c r="F280" s="16">
        <v>45881.91</v>
      </c>
      <c r="G280" s="16">
        <v>49547.76</v>
      </c>
      <c r="H280" s="16">
        <f aca="true" t="shared" si="74" ref="H280:H292">+F280-G280</f>
        <v>-3665.8499999999985</v>
      </c>
      <c r="I280" s="53">
        <f aca="true" t="shared" si="75" ref="I280:I292">IF(G280&lt;0,IF(H280=0,0,IF(OR(G280=0,F280=0),"N.M.",IF(ABS(H280/G280)&gt;=10,"N.M.",H280/(-G280)))),IF(H280=0,0,IF(OR(G280=0,F280=0),"N.M.",IF(ABS(H280/G280)&gt;=10,"N.M.",H280/G280))))</f>
        <v>-0.07398619029397087</v>
      </c>
      <c r="J280" s="174"/>
      <c r="K280" s="256">
        <v>45433.86</v>
      </c>
      <c r="L280" s="16">
        <f aca="true" t="shared" si="76" ref="L280:L292">+F280-K280</f>
        <v>448.0500000000029</v>
      </c>
      <c r="M280" s="53" t="str">
        <f aca="true" t="shared" si="77" ref="M280:M292">IF(K280&lt;0,IF(L280=0,0,IF(OR(K280=0,N280=0),"N.M.",IF(ABS(L280/K280)&gt;=10,"N.M.",L280/(-K280)))),IF(L280=0,0,IF(OR(K280=0,N280=0),"N.M.",IF(ABS(L280/K280)&gt;=10,"N.M.",L280/K280))))</f>
        <v>N.M.</v>
      </c>
      <c r="N280" s="174"/>
      <c r="O280" s="256">
        <v>50087.67</v>
      </c>
      <c r="P280" s="16">
        <f aca="true" t="shared" si="78" ref="P280:P292">+F280-O280</f>
        <v>-4205.759999999995</v>
      </c>
      <c r="Q280" s="53">
        <f aca="true" t="shared" si="79" ref="Q280:Q292">IF(O280&lt;0,IF(P280=0,0,IF(OR(O280=0,F280=0),"N.M.",IF(ABS(P280/O280)&gt;=10,"N.M.",P280/(-O280)))),IF(P280=0,0,IF(OR(O280=0,F280=0),"N.M.",IF(ABS(P280/O280)&gt;=10,"N.M.",P280/O280))))</f>
        <v>-0.08396797056041926</v>
      </c>
    </row>
    <row r="281" spans="1:17" s="15" customFormat="1" ht="12.75" hidden="1" outlineLevel="2">
      <c r="A281" s="15" t="s">
        <v>814</v>
      </c>
      <c r="B281" s="15" t="s">
        <v>815</v>
      </c>
      <c r="C281" s="134" t="s">
        <v>816</v>
      </c>
      <c r="D281" s="16"/>
      <c r="E281" s="16"/>
      <c r="F281" s="16">
        <v>129923</v>
      </c>
      <c r="G281" s="16">
        <v>128903.44</v>
      </c>
      <c r="H281" s="16">
        <f t="shared" si="74"/>
        <v>1019.5599999999977</v>
      </c>
      <c r="I281" s="53">
        <f t="shared" si="75"/>
        <v>0.007909486356609239</v>
      </c>
      <c r="J281" s="174"/>
      <c r="K281" s="256">
        <v>129839.67</v>
      </c>
      <c r="L281" s="16">
        <f t="shared" si="76"/>
        <v>83.33000000000175</v>
      </c>
      <c r="M281" s="53" t="str">
        <f t="shared" si="77"/>
        <v>N.M.</v>
      </c>
      <c r="N281" s="174"/>
      <c r="O281" s="256">
        <v>129506.35</v>
      </c>
      <c r="P281" s="16">
        <f t="shared" si="78"/>
        <v>416.6499999999942</v>
      </c>
      <c r="Q281" s="53">
        <f t="shared" si="79"/>
        <v>0.003217216761957959</v>
      </c>
    </row>
    <row r="282" spans="1:17" s="15" customFormat="1" ht="12.75" hidden="1" outlineLevel="2">
      <c r="A282" s="15" t="s">
        <v>817</v>
      </c>
      <c r="B282" s="15" t="s">
        <v>818</v>
      </c>
      <c r="C282" s="134" t="s">
        <v>819</v>
      </c>
      <c r="D282" s="16"/>
      <c r="E282" s="16"/>
      <c r="F282" s="16">
        <v>662317.0700000001</v>
      </c>
      <c r="G282" s="16">
        <v>659384.02</v>
      </c>
      <c r="H282" s="16">
        <f t="shared" si="74"/>
        <v>2933.0500000000466</v>
      </c>
      <c r="I282" s="53">
        <f t="shared" si="75"/>
        <v>0.004448166638918618</v>
      </c>
      <c r="J282" s="174"/>
      <c r="K282" s="256">
        <v>662317.0700000001</v>
      </c>
      <c r="L282" s="16">
        <f t="shared" si="76"/>
        <v>0</v>
      </c>
      <c r="M282" s="53">
        <f t="shared" si="77"/>
        <v>0</v>
      </c>
      <c r="N282" s="174"/>
      <c r="O282" s="256">
        <v>702953.08</v>
      </c>
      <c r="P282" s="16">
        <f t="shared" si="78"/>
        <v>-40636.00999999989</v>
      </c>
      <c r="Q282" s="53">
        <f t="shared" si="79"/>
        <v>-0.057807570883678175</v>
      </c>
    </row>
    <row r="283" spans="1:17" s="15" customFormat="1" ht="12.75" hidden="1" outlineLevel="2">
      <c r="A283" s="15" t="s">
        <v>820</v>
      </c>
      <c r="B283" s="15" t="s">
        <v>821</v>
      </c>
      <c r="C283" s="134" t="s">
        <v>822</v>
      </c>
      <c r="D283" s="16"/>
      <c r="E283" s="16"/>
      <c r="F283" s="16">
        <v>5554022.594</v>
      </c>
      <c r="G283" s="16">
        <v>4984498.41</v>
      </c>
      <c r="H283" s="16">
        <f t="shared" si="74"/>
        <v>569524.1839999994</v>
      </c>
      <c r="I283" s="53">
        <f t="shared" si="75"/>
        <v>0.1142590762708257</v>
      </c>
      <c r="J283" s="174"/>
      <c r="K283" s="256">
        <v>5366448.924</v>
      </c>
      <c r="L283" s="16">
        <f t="shared" si="76"/>
        <v>187573.66999999993</v>
      </c>
      <c r="M283" s="53" t="str">
        <f t="shared" si="77"/>
        <v>N.M.</v>
      </c>
      <c r="N283" s="174"/>
      <c r="O283" s="256">
        <v>5608808.6</v>
      </c>
      <c r="P283" s="16">
        <f t="shared" si="78"/>
        <v>-54786.00600000005</v>
      </c>
      <c r="Q283" s="53">
        <f t="shared" si="79"/>
        <v>-0.009767850876565846</v>
      </c>
    </row>
    <row r="284" spans="1:17" s="15" customFormat="1" ht="12.75" hidden="1" outlineLevel="2">
      <c r="A284" s="15" t="s">
        <v>823</v>
      </c>
      <c r="B284" s="15" t="s">
        <v>824</v>
      </c>
      <c r="C284" s="134" t="s">
        <v>657</v>
      </c>
      <c r="D284" s="16"/>
      <c r="E284" s="16"/>
      <c r="F284" s="16">
        <v>4321430.38</v>
      </c>
      <c r="G284" s="16">
        <v>5182903.62</v>
      </c>
      <c r="H284" s="16">
        <f t="shared" si="74"/>
        <v>-861473.2400000002</v>
      </c>
      <c r="I284" s="53">
        <f t="shared" si="75"/>
        <v>-0.16621440473554477</v>
      </c>
      <c r="J284" s="174"/>
      <c r="K284" s="256">
        <v>4321430.38</v>
      </c>
      <c r="L284" s="16">
        <f t="shared" si="76"/>
        <v>0</v>
      </c>
      <c r="M284" s="53">
        <f t="shared" si="77"/>
        <v>0</v>
      </c>
      <c r="N284" s="174"/>
      <c r="O284" s="256">
        <v>5182903.62</v>
      </c>
      <c r="P284" s="16">
        <f t="shared" si="78"/>
        <v>-861473.2400000002</v>
      </c>
      <c r="Q284" s="53">
        <f t="shared" si="79"/>
        <v>-0.16621440473554477</v>
      </c>
    </row>
    <row r="285" spans="1:17" s="15" customFormat="1" ht="12.75" hidden="1" outlineLevel="2">
      <c r="A285" s="15" t="s">
        <v>825</v>
      </c>
      <c r="B285" s="15" t="s">
        <v>826</v>
      </c>
      <c r="C285" s="134" t="s">
        <v>827</v>
      </c>
      <c r="D285" s="16"/>
      <c r="E285" s="16"/>
      <c r="F285" s="16">
        <v>93833.35</v>
      </c>
      <c r="G285" s="16">
        <v>-143314.2</v>
      </c>
      <c r="H285" s="16">
        <f t="shared" si="74"/>
        <v>237147.55000000002</v>
      </c>
      <c r="I285" s="53">
        <f t="shared" si="75"/>
        <v>1.6547386790701828</v>
      </c>
      <c r="J285" s="174"/>
      <c r="K285" s="256">
        <v>964666.68</v>
      </c>
      <c r="L285" s="16">
        <f t="shared" si="76"/>
        <v>-870833.3300000001</v>
      </c>
      <c r="M285" s="53" t="str">
        <f t="shared" si="77"/>
        <v>N.M.</v>
      </c>
      <c r="N285" s="174"/>
      <c r="O285" s="256">
        <v>0</v>
      </c>
      <c r="P285" s="16">
        <f t="shared" si="78"/>
        <v>93833.35</v>
      </c>
      <c r="Q285" s="53" t="str">
        <f t="shared" si="79"/>
        <v>N.M.</v>
      </c>
    </row>
    <row r="286" spans="1:17" s="15" customFormat="1" ht="12.75" hidden="1" outlineLevel="2">
      <c r="A286" s="15" t="s">
        <v>828</v>
      </c>
      <c r="B286" s="15" t="s">
        <v>829</v>
      </c>
      <c r="C286" s="134" t="s">
        <v>830</v>
      </c>
      <c r="D286" s="16"/>
      <c r="E286" s="16"/>
      <c r="F286" s="16">
        <v>555785.45</v>
      </c>
      <c r="G286" s="16">
        <v>658825.24</v>
      </c>
      <c r="H286" s="16">
        <f t="shared" si="74"/>
        <v>-103039.79000000004</v>
      </c>
      <c r="I286" s="53">
        <f t="shared" si="75"/>
        <v>-0.15639927517045346</v>
      </c>
      <c r="J286" s="174"/>
      <c r="K286" s="256">
        <v>564545.46</v>
      </c>
      <c r="L286" s="16">
        <f t="shared" si="76"/>
        <v>-8760.01000000001</v>
      </c>
      <c r="M286" s="53" t="str">
        <f t="shared" si="77"/>
        <v>N.M.</v>
      </c>
      <c r="N286" s="174"/>
      <c r="O286" s="256">
        <v>604735.51</v>
      </c>
      <c r="P286" s="16">
        <f t="shared" si="78"/>
        <v>-48950.060000000056</v>
      </c>
      <c r="Q286" s="53">
        <f t="shared" si="79"/>
        <v>-0.08094457691098718</v>
      </c>
    </row>
    <row r="287" spans="1:17" s="15" customFormat="1" ht="12.75" hidden="1" outlineLevel="2">
      <c r="A287" s="15" t="s">
        <v>831</v>
      </c>
      <c r="B287" s="15" t="s">
        <v>832</v>
      </c>
      <c r="C287" s="134" t="s">
        <v>833</v>
      </c>
      <c r="D287" s="16"/>
      <c r="E287" s="16"/>
      <c r="F287" s="16">
        <v>321946.25</v>
      </c>
      <c r="G287" s="16">
        <v>318356.88</v>
      </c>
      <c r="H287" s="16">
        <f t="shared" si="74"/>
        <v>3589.3699999999953</v>
      </c>
      <c r="I287" s="53">
        <f t="shared" si="75"/>
        <v>0.011274673881714117</v>
      </c>
      <c r="J287" s="174"/>
      <c r="K287" s="256">
        <v>321946.25</v>
      </c>
      <c r="L287" s="16">
        <f t="shared" si="76"/>
        <v>0</v>
      </c>
      <c r="M287" s="53">
        <f t="shared" si="77"/>
        <v>0</v>
      </c>
      <c r="N287" s="174"/>
      <c r="O287" s="256">
        <v>319534.44</v>
      </c>
      <c r="P287" s="16">
        <f t="shared" si="78"/>
        <v>2411.8099999999977</v>
      </c>
      <c r="Q287" s="53">
        <f t="shared" si="79"/>
        <v>0.007547887482801534</v>
      </c>
    </row>
    <row r="288" spans="1:17" s="15" customFormat="1" ht="12.75" hidden="1" outlineLevel="2">
      <c r="A288" s="15" t="s">
        <v>834</v>
      </c>
      <c r="B288" s="15" t="s">
        <v>835</v>
      </c>
      <c r="C288" s="134" t="s">
        <v>836</v>
      </c>
      <c r="D288" s="16"/>
      <c r="E288" s="16"/>
      <c r="F288" s="16">
        <v>-129851.25</v>
      </c>
      <c r="G288" s="16">
        <v>-121870</v>
      </c>
      <c r="H288" s="16">
        <f t="shared" si="74"/>
        <v>-7981.25</v>
      </c>
      <c r="I288" s="53">
        <f t="shared" si="75"/>
        <v>-0.06548986625092311</v>
      </c>
      <c r="J288" s="174"/>
      <c r="K288" s="256">
        <v>-129851.25</v>
      </c>
      <c r="L288" s="16">
        <f t="shared" si="76"/>
        <v>0</v>
      </c>
      <c r="M288" s="53">
        <f t="shared" si="77"/>
        <v>0</v>
      </c>
      <c r="N288" s="174"/>
      <c r="O288" s="256">
        <v>-129506</v>
      </c>
      <c r="P288" s="16">
        <f t="shared" si="78"/>
        <v>-345.25</v>
      </c>
      <c r="Q288" s="53">
        <f t="shared" si="79"/>
        <v>-0.0026658996494370916</v>
      </c>
    </row>
    <row r="289" spans="1:17" s="15" customFormat="1" ht="12.75" hidden="1" outlineLevel="2">
      <c r="A289" s="15" t="s">
        <v>837</v>
      </c>
      <c r="B289" s="15" t="s">
        <v>838</v>
      </c>
      <c r="C289" s="134" t="s">
        <v>839</v>
      </c>
      <c r="D289" s="16"/>
      <c r="E289" s="16"/>
      <c r="F289" s="16">
        <v>24150966.54</v>
      </c>
      <c r="G289" s="16">
        <v>26316831.84</v>
      </c>
      <c r="H289" s="16">
        <f t="shared" si="74"/>
        <v>-2165865.3000000007</v>
      </c>
      <c r="I289" s="53">
        <f t="shared" si="75"/>
        <v>-0.08229962151857564</v>
      </c>
      <c r="J289" s="174"/>
      <c r="K289" s="256">
        <v>24150966.54</v>
      </c>
      <c r="L289" s="16">
        <f t="shared" si="76"/>
        <v>0</v>
      </c>
      <c r="M289" s="53">
        <f t="shared" si="77"/>
        <v>0</v>
      </c>
      <c r="N289" s="174"/>
      <c r="O289" s="256">
        <v>24925930.04</v>
      </c>
      <c r="P289" s="16">
        <f t="shared" si="78"/>
        <v>-774963.5</v>
      </c>
      <c r="Q289" s="53">
        <f t="shared" si="79"/>
        <v>-0.031090655343907883</v>
      </c>
    </row>
    <row r="290" spans="1:17" s="15" customFormat="1" ht="12.75" hidden="1" outlineLevel="2">
      <c r="A290" s="15" t="s">
        <v>840</v>
      </c>
      <c r="B290" s="15" t="s">
        <v>841</v>
      </c>
      <c r="C290" s="134" t="s">
        <v>842</v>
      </c>
      <c r="D290" s="16"/>
      <c r="E290" s="16"/>
      <c r="F290" s="16">
        <v>15853142.5</v>
      </c>
      <c r="G290" s="16">
        <v>14961122</v>
      </c>
      <c r="H290" s="16">
        <f t="shared" si="74"/>
        <v>892020.5</v>
      </c>
      <c r="I290" s="53">
        <f t="shared" si="75"/>
        <v>0.05962256707752266</v>
      </c>
      <c r="J290" s="174"/>
      <c r="K290" s="256">
        <v>15853142.5</v>
      </c>
      <c r="L290" s="16">
        <f t="shared" si="76"/>
        <v>0</v>
      </c>
      <c r="M290" s="53">
        <f t="shared" si="77"/>
        <v>0</v>
      </c>
      <c r="N290" s="174"/>
      <c r="O290" s="256">
        <v>16032268</v>
      </c>
      <c r="P290" s="16">
        <f t="shared" si="78"/>
        <v>-179125.5</v>
      </c>
      <c r="Q290" s="53">
        <f t="shared" si="79"/>
        <v>-0.01117281098344913</v>
      </c>
    </row>
    <row r="291" spans="1:17" s="15" customFormat="1" ht="12.75" hidden="1" outlineLevel="2">
      <c r="A291" s="15" t="s">
        <v>843</v>
      </c>
      <c r="B291" s="15" t="s">
        <v>844</v>
      </c>
      <c r="C291" s="134" t="s">
        <v>845</v>
      </c>
      <c r="D291" s="16"/>
      <c r="E291" s="16"/>
      <c r="F291" s="16">
        <v>-5718026.49</v>
      </c>
      <c r="G291" s="16">
        <v>-5044459.69</v>
      </c>
      <c r="H291" s="16">
        <f t="shared" si="74"/>
        <v>-673566.7999999998</v>
      </c>
      <c r="I291" s="53">
        <f t="shared" si="75"/>
        <v>-0.13352605460110234</v>
      </c>
      <c r="J291" s="174"/>
      <c r="K291" s="256">
        <v>-5647340.07</v>
      </c>
      <c r="L291" s="16">
        <f t="shared" si="76"/>
        <v>-70686.41999999993</v>
      </c>
      <c r="M291" s="53" t="str">
        <f t="shared" si="77"/>
        <v>N.M.</v>
      </c>
      <c r="N291" s="174"/>
      <c r="O291" s="256">
        <v>-5601495.61</v>
      </c>
      <c r="P291" s="16">
        <f t="shared" si="78"/>
        <v>-116530.87999999989</v>
      </c>
      <c r="Q291" s="53">
        <f t="shared" si="79"/>
        <v>-0.020803529648753913</v>
      </c>
    </row>
    <row r="292" spans="1:17" s="15" customFormat="1" ht="12.75" hidden="1" outlineLevel="2">
      <c r="A292" s="15" t="s">
        <v>846</v>
      </c>
      <c r="B292" s="15" t="s">
        <v>847</v>
      </c>
      <c r="C292" s="134" t="s">
        <v>848</v>
      </c>
      <c r="D292" s="16"/>
      <c r="E292" s="16"/>
      <c r="F292" s="16">
        <v>4251541.41</v>
      </c>
      <c r="G292" s="16">
        <v>3210359.31</v>
      </c>
      <c r="H292" s="16">
        <f t="shared" si="74"/>
        <v>1041182.1000000001</v>
      </c>
      <c r="I292" s="53">
        <f t="shared" si="75"/>
        <v>0.3243194918266018</v>
      </c>
      <c r="J292" s="174"/>
      <c r="K292" s="256">
        <v>4218793.93</v>
      </c>
      <c r="L292" s="16">
        <f t="shared" si="76"/>
        <v>32747.480000000447</v>
      </c>
      <c r="M292" s="53" t="str">
        <f t="shared" si="77"/>
        <v>N.M.</v>
      </c>
      <c r="N292" s="174"/>
      <c r="O292" s="256">
        <v>4186406.25</v>
      </c>
      <c r="P292" s="16">
        <f t="shared" si="78"/>
        <v>65135.16000000015</v>
      </c>
      <c r="Q292" s="53">
        <f t="shared" si="79"/>
        <v>0.015558728921733324</v>
      </c>
    </row>
    <row r="293" spans="1:17" ht="12.75" collapsed="1">
      <c r="A293" s="11" t="s">
        <v>253</v>
      </c>
      <c r="C293" s="121" t="s">
        <v>185</v>
      </c>
      <c r="D293" s="103"/>
      <c r="E293" s="104"/>
      <c r="F293" s="234">
        <v>50092912.714</v>
      </c>
      <c r="G293" s="234">
        <v>51161088.63000001</v>
      </c>
      <c r="H293" s="197">
        <f>+F293-G293</f>
        <v>-1068175.9160000086</v>
      </c>
      <c r="I293" s="138">
        <f>IF(G293&lt;0,IF(H293=0,0,IF(OR(G293=0,F293=0),"N.M.",IF(ABS(H293/G293)&gt;=10,"N.M.",H293/(-G293)))),IF(H293=0,0,IF(OR(G293=0,F293=0),"N.M.",IF(ABS(H293/G293)&gt;=10,"N.M.",H293/G293))))</f>
        <v>-0.02087867839805207</v>
      </c>
      <c r="J293" s="166"/>
      <c r="K293" s="234">
        <v>50822339.944</v>
      </c>
      <c r="L293" s="197">
        <f>+F293-K293</f>
        <v>-729427.2299999967</v>
      </c>
      <c r="M293" s="138" t="str">
        <f>IF(K293&lt;0,IF(L293=0,0,IF(OR(K293=0,N293=0),"N.M.",IF(ABS(L293/K293)&gt;=10,"N.M.",L293/(-K293)))),IF(L293=0,0,IF(OR(K293=0,N293=0),"N.M.",IF(ABS(L293/K293)&gt;=10,"N.M.",L293/K293))))</f>
        <v>N.M.</v>
      </c>
      <c r="N293" s="166"/>
      <c r="O293" s="234">
        <v>52012131.95</v>
      </c>
      <c r="P293" s="197">
        <f>+F293-O293</f>
        <v>-1919219.2360000014</v>
      </c>
      <c r="Q293" s="138">
        <f>IF(O293&lt;0,IF(P293=0,0,IF(OR(O293=0,F293=0),"N.M.",IF(ABS(P293/O293)&gt;=10,"N.M.",P293/(-O293)))),IF(P293=0,0,IF(OR(O293=0,F293=0),"N.M.",IF(ABS(P293/O293)&gt;=10,"N.M.",P293/O293))))</f>
        <v>-0.03689945333994334</v>
      </c>
    </row>
    <row r="294" spans="1:17" s="13" customFormat="1" ht="12.75">
      <c r="A294" s="13" t="s">
        <v>254</v>
      </c>
      <c r="C294" s="110" t="s">
        <v>182</v>
      </c>
      <c r="D294" s="33"/>
      <c r="F294" s="33">
        <v>53207966.454</v>
      </c>
      <c r="G294" s="33">
        <v>54491820.86</v>
      </c>
      <c r="H294" s="74">
        <f>+F294-G294</f>
        <v>-1283854.4059999958</v>
      </c>
      <c r="I294" s="137">
        <f>IF(G294&lt;0,IF(H294=0,0,IF(OR(G294=0,F294=0),"N.M.",IF(ABS(H294/G294)&gt;=10,"N.M.",H294/(-G294)))),IF(H294=0,0,IF(OR(G294=0,F294=0),"N.M.",IF(ABS(H294/G294)&gt;=10,"N.M.",H294/G294))))</f>
        <v>-0.023560497442331123</v>
      </c>
      <c r="J294" s="168"/>
      <c r="K294" s="33">
        <v>54032084.434</v>
      </c>
      <c r="L294" s="74">
        <f>+F294-K294</f>
        <v>-824117.9799999967</v>
      </c>
      <c r="M294" s="137" t="str">
        <f>IF(K294&lt;0,IF(L294=0,0,IF(OR(K294=0,N294=0),"N.M.",IF(ABS(L294/K294)&gt;=10,"N.M.",L294/(-K294)))),IF(L294=0,0,IF(OR(K294=0,N294=0),"N.M.",IF(ABS(L294/K294)&gt;=10,"N.M.",L294/K294))))</f>
        <v>N.M.</v>
      </c>
      <c r="N294" s="168"/>
      <c r="O294" s="33">
        <v>55580916</v>
      </c>
      <c r="P294" s="74">
        <f>+F294-O294</f>
        <v>-2372949.5459999964</v>
      </c>
      <c r="Q294" s="137">
        <f>IF(O294&lt;0,IF(P294=0,0,IF(OR(O294=0,F294=0),"N.M.",IF(ABS(P294/O294)&gt;=10,"N.M.",P294/(-O294)))),IF(P294=0,0,IF(OR(O294=0,F294=0),"N.M.",IF(ABS(P294/O294)&gt;=10,"N.M.",P294/O294))))</f>
        <v>-0.04269360271068574</v>
      </c>
    </row>
    <row r="295" spans="3:17" ht="12.75">
      <c r="C295" s="122"/>
      <c r="D295" s="106"/>
      <c r="E295" s="11"/>
      <c r="F295" s="233" t="str">
        <f>IF(ABS(+F276+F278+F293-F294)&gt;$C$576,$J$178," ")</f>
        <v> </v>
      </c>
      <c r="G295" s="233" t="str">
        <f>IF(ABS(+G276+G278+G293-G294)&gt;$C$576,$J$178," ")</f>
        <v> </v>
      </c>
      <c r="H295" s="233" t="str">
        <f>IF(ABS(+H276+H278+H293-H294)&gt;$C$576,$J$178," ")</f>
        <v> </v>
      </c>
      <c r="I295" s="141"/>
      <c r="J295" s="166"/>
      <c r="K295" s="233" t="str">
        <f>IF(ABS(+K276+K278+K293-K294)&gt;$C$576,$J$178," ")</f>
        <v> </v>
      </c>
      <c r="L295" s="233" t="str">
        <f>IF(ABS(+L276+L278+L293-L294)&gt;$C$576,$J$178," ")</f>
        <v> </v>
      </c>
      <c r="M295" s="141"/>
      <c r="N295" s="166"/>
      <c r="O295" s="233" t="str">
        <f>IF(ABS(+O276+O278+O293-O294)&gt;$C$576,$J$178," ")</f>
        <v> </v>
      </c>
      <c r="P295" s="233" t="str">
        <f>IF(ABS(+P276+P278+P293-P294)&gt;$C$576,$J$178," ")</f>
        <v> </v>
      </c>
      <c r="Q295" s="141"/>
    </row>
    <row r="296" spans="3:17" ht="0.75" customHeight="1" hidden="1" outlineLevel="1">
      <c r="C296" s="122"/>
      <c r="D296" s="106"/>
      <c r="E296" s="11"/>
      <c r="F296" s="106"/>
      <c r="G296" s="106"/>
      <c r="H296" s="106"/>
      <c r="I296" s="141"/>
      <c r="J296" s="166"/>
      <c r="K296" s="106"/>
      <c r="L296" s="106"/>
      <c r="M296" s="141"/>
      <c r="N296" s="166"/>
      <c r="O296" s="106"/>
      <c r="P296" s="106"/>
      <c r="Q296" s="141"/>
    </row>
    <row r="297" spans="1:17" s="227" customFormat="1" ht="12.75" collapsed="1">
      <c r="A297" s="227" t="s">
        <v>255</v>
      </c>
      <c r="C297" s="228" t="s">
        <v>186</v>
      </c>
      <c r="D297" s="18"/>
      <c r="E297" s="11"/>
      <c r="F297" s="18">
        <v>0</v>
      </c>
      <c r="G297" s="18">
        <v>0</v>
      </c>
      <c r="H297" s="51">
        <f>+F297-G297</f>
        <v>0</v>
      </c>
      <c r="I297" s="136">
        <f>IF(G297&lt;0,IF(H297=0,0,IF(OR(G297=0,F297=0),"N.M.",IF(ABS(H297/G297)&gt;=10,"N.M.",H297/(-G297)))),IF(H297=0,0,IF(OR(G297=0,F297=0),"N.M.",IF(ABS(H297/G297)&gt;=10,"N.M.",H297/G297))))</f>
        <v>0</v>
      </c>
      <c r="J297" s="229"/>
      <c r="K297" s="18">
        <v>0</v>
      </c>
      <c r="L297" s="51">
        <f>+F297-K297</f>
        <v>0</v>
      </c>
      <c r="M297" s="136">
        <f>IF(K297&lt;0,IF(L297=0,0,IF(OR(K297=0,N297=0),"N.M.",IF(ABS(L297/K297)&gt;=10,"N.M.",L297/(-K297)))),IF(L297=0,0,IF(OR(K297=0,N297=0),"N.M.",IF(ABS(L297/K297)&gt;=10,"N.M.",L297/K297))))</f>
        <v>0</v>
      </c>
      <c r="N297" s="229"/>
      <c r="O297" s="18">
        <v>0</v>
      </c>
      <c r="P297" s="51">
        <f>+F297-O297</f>
        <v>0</v>
      </c>
      <c r="Q297" s="136">
        <f>IF(O297&lt;0,IF(P297=0,0,IF(OR(O297=0,F297=0),"N.M.",IF(ABS(P297/O297)&gt;=10,"N.M.",P297/(-O297)))),IF(P297=0,0,IF(OR(O297=0,F297=0),"N.M.",IF(ABS(P297/O297)&gt;=10,"N.M.",P297/O297))))</f>
        <v>0</v>
      </c>
    </row>
    <row r="298" spans="3:17" s="227" customFormat="1" ht="0.75" customHeight="1" hidden="1" outlineLevel="1">
      <c r="C298" s="228"/>
      <c r="D298" s="18"/>
      <c r="E298" s="11"/>
      <c r="F298" s="18"/>
      <c r="G298" s="18"/>
      <c r="H298" s="51"/>
      <c r="I298" s="136"/>
      <c r="J298" s="229"/>
      <c r="K298" s="18"/>
      <c r="L298" s="51"/>
      <c r="M298" s="136"/>
      <c r="N298" s="229"/>
      <c r="O298" s="18"/>
      <c r="P298" s="51"/>
      <c r="Q298" s="136"/>
    </row>
    <row r="299" spans="1:17" ht="12.75" collapsed="1">
      <c r="A299" s="11" t="s">
        <v>256</v>
      </c>
      <c r="C299" s="228" t="s">
        <v>187</v>
      </c>
      <c r="E299" s="11"/>
      <c r="F299" s="18">
        <v>0</v>
      </c>
      <c r="G299" s="18">
        <v>0</v>
      </c>
      <c r="H299" s="51">
        <f>+F299-G299</f>
        <v>0</v>
      </c>
      <c r="I299" s="136">
        <f>IF(G299&lt;0,IF(H299=0,0,IF(OR(G299=0,F299=0),"N.M.",IF(ABS(H299/G299)&gt;=10,"N.M.",H299/(-G299)))),IF(H299=0,0,IF(OR(G299=0,F299=0),"N.M.",IF(ABS(H299/G299)&gt;=10,"N.M.",H299/G299))))</f>
        <v>0</v>
      </c>
      <c r="J299" s="166"/>
      <c r="K299" s="18">
        <v>0</v>
      </c>
      <c r="L299" s="51">
        <f>+F299-K299</f>
        <v>0</v>
      </c>
      <c r="M299" s="136">
        <f>IF(K299&lt;0,IF(L299=0,0,IF(OR(K299=0,N299=0),"N.M.",IF(ABS(L299/K299)&gt;=10,"N.M.",L299/(-K299)))),IF(L299=0,0,IF(OR(K299=0,N299=0),"N.M.",IF(ABS(L299/K299)&gt;=10,"N.M.",L299/K299))))</f>
        <v>0</v>
      </c>
      <c r="N299" s="166"/>
      <c r="O299" s="18">
        <v>0</v>
      </c>
      <c r="P299" s="51">
        <f>+F299-O299</f>
        <v>0</v>
      </c>
      <c r="Q299" s="136">
        <f>IF(O299&lt;0,IF(P299=0,0,IF(OR(O299=0,F299=0),"N.M.",IF(ABS(P299/O299)&gt;=10,"N.M.",P299/(-O299)))),IF(P299=0,0,IF(OR(O299=0,F299=0),"N.M.",IF(ABS(P299/O299)&gt;=10,"N.M.",P299/O299))))</f>
        <v>0</v>
      </c>
    </row>
    <row r="300" spans="3:17" ht="0.75" customHeight="1" hidden="1" outlineLevel="1">
      <c r="C300" s="228"/>
      <c r="E300" s="11"/>
      <c r="H300" s="51"/>
      <c r="I300" s="136"/>
      <c r="J300" s="166"/>
      <c r="K300" s="18"/>
      <c r="L300" s="51"/>
      <c r="M300" s="136"/>
      <c r="N300" s="166"/>
      <c r="O300" s="18"/>
      <c r="P300" s="51"/>
      <c r="Q300" s="136"/>
    </row>
    <row r="301" spans="1:17" ht="12.75" collapsed="1">
      <c r="A301" s="11" t="s">
        <v>257</v>
      </c>
      <c r="C301" s="228" t="s">
        <v>188</v>
      </c>
      <c r="E301" s="11"/>
      <c r="F301" s="18">
        <v>0</v>
      </c>
      <c r="G301" s="18">
        <v>0</v>
      </c>
      <c r="H301" s="51">
        <f>+F301-G301</f>
        <v>0</v>
      </c>
      <c r="I301" s="136">
        <f>IF(G301&lt;0,IF(H301=0,0,IF(OR(G301=0,F301=0),"N.M.",IF(ABS(H301/G301)&gt;=10,"N.M.",H301/(-G301)))),IF(H301=0,0,IF(OR(G301=0,F301=0),"N.M.",IF(ABS(H301/G301)&gt;=10,"N.M.",H301/G301))))</f>
        <v>0</v>
      </c>
      <c r="J301" s="166"/>
      <c r="K301" s="18">
        <v>0</v>
      </c>
      <c r="L301" s="51">
        <f>+F301-K301</f>
        <v>0</v>
      </c>
      <c r="M301" s="136">
        <f>IF(K301&lt;0,IF(L301=0,0,IF(OR(K301=0,N301=0),"N.M.",IF(ABS(L301/K301)&gt;=10,"N.M.",L301/(-K301)))),IF(L301=0,0,IF(OR(K301=0,N301=0),"N.M.",IF(ABS(L301/K301)&gt;=10,"N.M.",L301/K301))))</f>
        <v>0</v>
      </c>
      <c r="N301" s="166"/>
      <c r="O301" s="18">
        <v>0</v>
      </c>
      <c r="P301" s="51">
        <f>+F301-O301</f>
        <v>0</v>
      </c>
      <c r="Q301" s="136">
        <f>IF(O301&lt;0,IF(P301=0,0,IF(OR(O301=0,F301=0),"N.M.",IF(ABS(P301/O301)&gt;=10,"N.M.",P301/(-O301)))),IF(P301=0,0,IF(OR(O301=0,F301=0),"N.M.",IF(ABS(P301/O301)&gt;=10,"N.M.",P301/O301))))</f>
        <v>0</v>
      </c>
    </row>
    <row r="302" spans="3:17" ht="0.75" customHeight="1" hidden="1" outlineLevel="1">
      <c r="C302" s="228"/>
      <c r="E302" s="11"/>
      <c r="H302" s="51"/>
      <c r="I302" s="136"/>
      <c r="J302" s="166"/>
      <c r="K302" s="18"/>
      <c r="L302" s="51"/>
      <c r="M302" s="136"/>
      <c r="N302" s="166"/>
      <c r="O302" s="18"/>
      <c r="P302" s="51"/>
      <c r="Q302" s="136"/>
    </row>
    <row r="303" spans="1:17" ht="12.75" collapsed="1">
      <c r="A303" s="11" t="s">
        <v>258</v>
      </c>
      <c r="C303" s="228" t="s">
        <v>189</v>
      </c>
      <c r="E303" s="11"/>
      <c r="F303" s="18">
        <v>0</v>
      </c>
      <c r="G303" s="18">
        <v>0</v>
      </c>
      <c r="H303" s="51">
        <f>+F303-G303</f>
        <v>0</v>
      </c>
      <c r="I303" s="136">
        <f>IF(G303&lt;0,IF(H303=0,0,IF(OR(G303=0,F303=0),"N.M.",IF(ABS(H303/G303)&gt;=10,"N.M.",H303/(-G303)))),IF(H303=0,0,IF(OR(G303=0,F303=0),"N.M.",IF(ABS(H303/G303)&gt;=10,"N.M.",H303/G303))))</f>
        <v>0</v>
      </c>
      <c r="J303" s="166"/>
      <c r="K303" s="18">
        <v>0</v>
      </c>
      <c r="L303" s="51">
        <f>+F303-K303</f>
        <v>0</v>
      </c>
      <c r="M303" s="136">
        <f>IF(K303&lt;0,IF(L303=0,0,IF(OR(K303=0,N303=0),"N.M.",IF(ABS(L303/K303)&gt;=10,"N.M.",L303/(-K303)))),IF(L303=0,0,IF(OR(K303=0,N303=0),"N.M.",IF(ABS(L303/K303)&gt;=10,"N.M.",L303/K303))))</f>
        <v>0</v>
      </c>
      <c r="N303" s="166"/>
      <c r="O303" s="18">
        <v>0</v>
      </c>
      <c r="P303" s="51">
        <f>+F303-O303</f>
        <v>0</v>
      </c>
      <c r="Q303" s="136">
        <f>IF(O303&lt;0,IF(P303=0,0,IF(OR(O303=0,F303=0),"N.M.",IF(ABS(P303/O303)&gt;=10,"N.M.",P303/(-O303)))),IF(P303=0,0,IF(OR(O303=0,F303=0),"N.M.",IF(ABS(P303/O303)&gt;=10,"N.M.",P303/O303))))</f>
        <v>0</v>
      </c>
    </row>
    <row r="304" spans="3:17" ht="0.75" customHeight="1" hidden="1" outlineLevel="1">
      <c r="C304" s="228"/>
      <c r="E304" s="11"/>
      <c r="H304" s="51"/>
      <c r="I304" s="136"/>
      <c r="J304" s="166"/>
      <c r="K304" s="18"/>
      <c r="L304" s="51"/>
      <c r="M304" s="136"/>
      <c r="N304" s="166"/>
      <c r="O304" s="18"/>
      <c r="P304" s="51"/>
      <c r="Q304" s="136"/>
    </row>
    <row r="305" spans="1:17" s="15" customFormat="1" ht="12.75" hidden="1" outlineLevel="2">
      <c r="A305" s="15" t="s">
        <v>849</v>
      </c>
      <c r="B305" s="15" t="s">
        <v>850</v>
      </c>
      <c r="C305" s="134" t="s">
        <v>851</v>
      </c>
      <c r="D305" s="16"/>
      <c r="E305" s="16"/>
      <c r="F305" s="16">
        <v>0</v>
      </c>
      <c r="G305" s="16">
        <v>6714455.19</v>
      </c>
      <c r="H305" s="16">
        <f>+F305-G305</f>
        <v>-6714455.19</v>
      </c>
      <c r="I305" s="53" t="str">
        <f>IF(G305&lt;0,IF(H305=0,0,IF(OR(G305=0,F305=0),"N.M.",IF(ABS(H305/G305)&gt;=10,"N.M.",H305/(-G305)))),IF(H305=0,0,IF(OR(G305=0,F305=0),"N.M.",IF(ABS(H305/G305)&gt;=10,"N.M.",H305/G305))))</f>
        <v>N.M.</v>
      </c>
      <c r="J305" s="174"/>
      <c r="K305" s="256">
        <v>0</v>
      </c>
      <c r="L305" s="16">
        <f>+F305-K305</f>
        <v>0</v>
      </c>
      <c r="M305" s="53">
        <f>IF(K305&lt;0,IF(L305=0,0,IF(OR(K305=0,N305=0),"N.M.",IF(ABS(L305/K305)&gt;=10,"N.M.",L305/(-K305)))),IF(L305=0,0,IF(OR(K305=0,N305=0),"N.M.",IF(ABS(L305/K305)&gt;=10,"N.M.",L305/K305))))</f>
        <v>0</v>
      </c>
      <c r="N305" s="174"/>
      <c r="O305" s="256">
        <v>0</v>
      </c>
      <c r="P305" s="16">
        <f>+F305-O305</f>
        <v>0</v>
      </c>
      <c r="Q305" s="53">
        <f>IF(O305&lt;0,IF(P305=0,0,IF(OR(O305=0,F305=0),"N.M.",IF(ABS(P305/O305)&gt;=10,"N.M.",P305/(-O305)))),IF(P305=0,0,IF(OR(O305=0,F305=0),"N.M.",IF(ABS(P305/O305)&gt;=10,"N.M.",P305/O305))))</f>
        <v>0</v>
      </c>
    </row>
    <row r="306" spans="1:17" ht="12.75" collapsed="1">
      <c r="A306" s="11" t="s">
        <v>259</v>
      </c>
      <c r="C306" s="228" t="s">
        <v>190</v>
      </c>
      <c r="E306" s="11"/>
      <c r="F306" s="18">
        <v>0</v>
      </c>
      <c r="G306" s="18">
        <v>6714455.19</v>
      </c>
      <c r="H306" s="51">
        <f>+F306-G306</f>
        <v>-6714455.19</v>
      </c>
      <c r="I306" s="136" t="str">
        <f>IF(G306&lt;0,IF(H306=0,0,IF(OR(G306=0,F306=0),"N.M.",IF(ABS(H306/G306)&gt;=10,"N.M.",H306/(-G306)))),IF(H306=0,0,IF(OR(G306=0,F306=0),"N.M.",IF(ABS(H306/G306)&gt;=10,"N.M.",H306/G306))))</f>
        <v>N.M.</v>
      </c>
      <c r="J306" s="166"/>
      <c r="K306" s="18">
        <v>0</v>
      </c>
      <c r="L306" s="51">
        <f>+F306-K306</f>
        <v>0</v>
      </c>
      <c r="M306" s="136">
        <f>IF(K306&lt;0,IF(L306=0,0,IF(OR(K306=0,N306=0),"N.M.",IF(ABS(L306/K306)&gt;=10,"N.M.",L306/(-K306)))),IF(L306=0,0,IF(OR(K306=0,N306=0),"N.M.",IF(ABS(L306/K306)&gt;=10,"N.M.",L306/K306))))</f>
        <v>0</v>
      </c>
      <c r="N306" s="166"/>
      <c r="O306" s="18">
        <v>0</v>
      </c>
      <c r="P306" s="51">
        <f>+F306-O306</f>
        <v>0</v>
      </c>
      <c r="Q306" s="136">
        <f>IF(O306&lt;0,IF(P306=0,0,IF(OR(O306=0,F306=0),"N.M.",IF(ABS(P306/O306)&gt;=10,"N.M.",P306/(-O306)))),IF(P306=0,0,IF(OR(O306=0,F306=0),"N.M.",IF(ABS(P306/O306)&gt;=10,"N.M.",P306/O306))))</f>
        <v>0</v>
      </c>
    </row>
    <row r="307" spans="3:17" ht="0.75" customHeight="1" hidden="1" outlineLevel="1">
      <c r="C307" s="228"/>
      <c r="E307" s="11"/>
      <c r="H307" s="51"/>
      <c r="I307" s="136"/>
      <c r="J307" s="166"/>
      <c r="K307" s="18"/>
      <c r="L307" s="51"/>
      <c r="M307" s="136"/>
      <c r="N307" s="166"/>
      <c r="O307" s="18"/>
      <c r="P307" s="51"/>
      <c r="Q307" s="136"/>
    </row>
    <row r="308" spans="1:17" s="15" customFormat="1" ht="12.75" hidden="1" outlineLevel="2">
      <c r="A308" s="15" t="s">
        <v>852</v>
      </c>
      <c r="B308" s="15" t="s">
        <v>853</v>
      </c>
      <c r="C308" s="134" t="s">
        <v>854</v>
      </c>
      <c r="D308" s="16"/>
      <c r="E308" s="16"/>
      <c r="F308" s="16">
        <v>2134923.942</v>
      </c>
      <c r="G308" s="16">
        <v>2950287.932</v>
      </c>
      <c r="H308" s="16">
        <f aca="true" t="shared" si="80" ref="H308:H328">+F308-G308</f>
        <v>-815363.9900000002</v>
      </c>
      <c r="I308" s="53">
        <f aca="true" t="shared" si="81" ref="I308:I328">IF(G308&lt;0,IF(H308=0,0,IF(OR(G308=0,F308=0),"N.M.",IF(ABS(H308/G308)&gt;=10,"N.M.",H308/(-G308)))),IF(H308=0,0,IF(OR(G308=0,F308=0),"N.M.",IF(ABS(H308/G308)&gt;=10,"N.M.",H308/G308))))</f>
        <v>-0.27636759827955676</v>
      </c>
      <c r="J308" s="174"/>
      <c r="K308" s="256">
        <v>6721409.112</v>
      </c>
      <c r="L308" s="16">
        <f aca="true" t="shared" si="82" ref="L308:L328">+F308-K308</f>
        <v>-4586485.17</v>
      </c>
      <c r="M308" s="53" t="str">
        <f aca="true" t="shared" si="83" ref="M308:M328">IF(K308&lt;0,IF(L308=0,0,IF(OR(K308=0,N308=0),"N.M.",IF(ABS(L308/K308)&gt;=10,"N.M.",L308/(-K308)))),IF(L308=0,0,IF(OR(K308=0,N308=0),"N.M.",IF(ABS(L308/K308)&gt;=10,"N.M.",L308/K308))))</f>
        <v>N.M.</v>
      </c>
      <c r="N308" s="174"/>
      <c r="O308" s="256">
        <v>3331658.662</v>
      </c>
      <c r="P308" s="16">
        <f aca="true" t="shared" si="84" ref="P308:P328">+F308-O308</f>
        <v>-1196734.7200000002</v>
      </c>
      <c r="Q308" s="53">
        <f aca="true" t="shared" si="85" ref="Q308:Q328">IF(O308&lt;0,IF(P308=0,0,IF(OR(O308=0,F308=0),"N.M.",IF(ABS(P308/O308)&gt;=10,"N.M.",P308/(-O308)))),IF(P308=0,0,IF(OR(O308=0,F308=0),"N.M.",IF(ABS(P308/O308)&gt;=10,"N.M.",P308/O308))))</f>
        <v>-0.3592008790245032</v>
      </c>
    </row>
    <row r="309" spans="1:17" s="15" customFormat="1" ht="12.75" hidden="1" outlineLevel="2">
      <c r="A309" s="15" t="s">
        <v>855</v>
      </c>
      <c r="B309" s="15" t="s">
        <v>856</v>
      </c>
      <c r="C309" s="134" t="s">
        <v>857</v>
      </c>
      <c r="D309" s="16"/>
      <c r="E309" s="16"/>
      <c r="F309" s="16">
        <v>6849079.14</v>
      </c>
      <c r="G309" s="16">
        <v>4904625.51</v>
      </c>
      <c r="H309" s="16">
        <f t="shared" si="80"/>
        <v>1944453.63</v>
      </c>
      <c r="I309" s="53">
        <f t="shared" si="81"/>
        <v>0.39645302705282387</v>
      </c>
      <c r="J309" s="174"/>
      <c r="K309" s="256">
        <v>4388242.5</v>
      </c>
      <c r="L309" s="16">
        <f t="shared" si="82"/>
        <v>2460836.6399999997</v>
      </c>
      <c r="M309" s="53" t="str">
        <f t="shared" si="83"/>
        <v>N.M.</v>
      </c>
      <c r="N309" s="174"/>
      <c r="O309" s="256">
        <v>7882515.02</v>
      </c>
      <c r="P309" s="16">
        <f t="shared" si="84"/>
        <v>-1033435.8799999999</v>
      </c>
      <c r="Q309" s="53">
        <f t="shared" si="85"/>
        <v>-0.13110484120587187</v>
      </c>
    </row>
    <row r="310" spans="1:17" s="15" customFormat="1" ht="12.75" hidden="1" outlineLevel="2">
      <c r="A310" s="15" t="s">
        <v>858</v>
      </c>
      <c r="B310" s="15" t="s">
        <v>859</v>
      </c>
      <c r="C310" s="134" t="s">
        <v>860</v>
      </c>
      <c r="D310" s="16"/>
      <c r="E310" s="16"/>
      <c r="F310" s="16">
        <v>245067.31</v>
      </c>
      <c r="G310" s="16">
        <v>103981.1</v>
      </c>
      <c r="H310" s="16">
        <f t="shared" si="80"/>
        <v>141086.21</v>
      </c>
      <c r="I310" s="53">
        <f t="shared" si="81"/>
        <v>1.3568447535177064</v>
      </c>
      <c r="J310" s="174"/>
      <c r="K310" s="256">
        <v>200977.26</v>
      </c>
      <c r="L310" s="16">
        <f t="shared" si="82"/>
        <v>44090.04999999999</v>
      </c>
      <c r="M310" s="53" t="str">
        <f t="shared" si="83"/>
        <v>N.M.</v>
      </c>
      <c r="N310" s="174"/>
      <c r="O310" s="256">
        <v>172765.66</v>
      </c>
      <c r="P310" s="16">
        <f t="shared" si="84"/>
        <v>72301.65</v>
      </c>
      <c r="Q310" s="53">
        <f t="shared" si="85"/>
        <v>0.41849549268066344</v>
      </c>
    </row>
    <row r="311" spans="1:17" s="15" customFormat="1" ht="12.75" hidden="1" outlineLevel="2">
      <c r="A311" s="15" t="s">
        <v>861</v>
      </c>
      <c r="B311" s="15" t="s">
        <v>862</v>
      </c>
      <c r="C311" s="134" t="s">
        <v>863</v>
      </c>
      <c r="D311" s="16"/>
      <c r="E311" s="16"/>
      <c r="F311" s="16">
        <v>-3</v>
      </c>
      <c r="G311" s="16">
        <v>0</v>
      </c>
      <c r="H311" s="16">
        <f t="shared" si="80"/>
        <v>-3</v>
      </c>
      <c r="I311" s="53" t="str">
        <f t="shared" si="81"/>
        <v>N.M.</v>
      </c>
      <c r="J311" s="174"/>
      <c r="K311" s="256">
        <v>-3</v>
      </c>
      <c r="L311" s="16">
        <f t="shared" si="82"/>
        <v>0</v>
      </c>
      <c r="M311" s="53">
        <f t="shared" si="83"/>
        <v>0</v>
      </c>
      <c r="N311" s="174"/>
      <c r="O311" s="256">
        <v>486000</v>
      </c>
      <c r="P311" s="16">
        <f t="shared" si="84"/>
        <v>-486003</v>
      </c>
      <c r="Q311" s="53">
        <f t="shared" si="85"/>
        <v>-1.0000061728395062</v>
      </c>
    </row>
    <row r="312" spans="1:17" s="15" customFormat="1" ht="12.75" hidden="1" outlineLevel="2">
      <c r="A312" s="15" t="s">
        <v>864</v>
      </c>
      <c r="B312" s="15" t="s">
        <v>865</v>
      </c>
      <c r="C312" s="134" t="s">
        <v>866</v>
      </c>
      <c r="D312" s="16"/>
      <c r="E312" s="16"/>
      <c r="F312" s="16">
        <v>17257639.87</v>
      </c>
      <c r="G312" s="16">
        <v>10558278.46</v>
      </c>
      <c r="H312" s="16">
        <f t="shared" si="80"/>
        <v>6699361.41</v>
      </c>
      <c r="I312" s="53">
        <f t="shared" si="81"/>
        <v>0.6345126656187849</v>
      </c>
      <c r="J312" s="174"/>
      <c r="K312" s="256">
        <v>17538807.21</v>
      </c>
      <c r="L312" s="16">
        <f t="shared" si="82"/>
        <v>-281167.33999999985</v>
      </c>
      <c r="M312" s="53" t="str">
        <f t="shared" si="83"/>
        <v>N.M.</v>
      </c>
      <c r="N312" s="174"/>
      <c r="O312" s="256">
        <v>14034985.82</v>
      </c>
      <c r="P312" s="16">
        <f t="shared" si="84"/>
        <v>3222654.0500000007</v>
      </c>
      <c r="Q312" s="53">
        <f t="shared" si="85"/>
        <v>0.22961576814760193</v>
      </c>
    </row>
    <row r="313" spans="1:17" s="15" customFormat="1" ht="12.75" hidden="1" outlineLevel="2">
      <c r="A313" s="15" t="s">
        <v>867</v>
      </c>
      <c r="B313" s="15" t="s">
        <v>868</v>
      </c>
      <c r="C313" s="134" t="s">
        <v>869</v>
      </c>
      <c r="D313" s="16"/>
      <c r="E313" s="16"/>
      <c r="F313" s="16">
        <v>146033.43</v>
      </c>
      <c r="G313" s="16">
        <v>350611.25</v>
      </c>
      <c r="H313" s="16">
        <f t="shared" si="80"/>
        <v>-204577.82</v>
      </c>
      <c r="I313" s="53">
        <f t="shared" si="81"/>
        <v>-0.5834890352206326</v>
      </c>
      <c r="J313" s="174"/>
      <c r="K313" s="256">
        <v>157954.08000000002</v>
      </c>
      <c r="L313" s="16">
        <f t="shared" si="82"/>
        <v>-11920.650000000023</v>
      </c>
      <c r="M313" s="53" t="str">
        <f t="shared" si="83"/>
        <v>N.M.</v>
      </c>
      <c r="N313" s="174"/>
      <c r="O313" s="256">
        <v>170374.74</v>
      </c>
      <c r="P313" s="16">
        <f t="shared" si="84"/>
        <v>-24341.309999999998</v>
      </c>
      <c r="Q313" s="53">
        <f t="shared" si="85"/>
        <v>-0.14286924223626107</v>
      </c>
    </row>
    <row r="314" spans="1:17" s="15" customFormat="1" ht="12.75" hidden="1" outlineLevel="2">
      <c r="A314" s="15" t="s">
        <v>870</v>
      </c>
      <c r="B314" s="15" t="s">
        <v>871</v>
      </c>
      <c r="C314" s="134" t="s">
        <v>872</v>
      </c>
      <c r="D314" s="16"/>
      <c r="E314" s="16"/>
      <c r="F314" s="16">
        <v>1364298.809</v>
      </c>
      <c r="G314" s="16">
        <v>3246204.339</v>
      </c>
      <c r="H314" s="16">
        <f t="shared" si="80"/>
        <v>-1881905.5300000003</v>
      </c>
      <c r="I314" s="53">
        <f t="shared" si="81"/>
        <v>-0.5797249136139486</v>
      </c>
      <c r="J314" s="174"/>
      <c r="K314" s="256">
        <v>1065731.699</v>
      </c>
      <c r="L314" s="16">
        <f t="shared" si="82"/>
        <v>298567.10999999987</v>
      </c>
      <c r="M314" s="53" t="str">
        <f t="shared" si="83"/>
        <v>N.M.</v>
      </c>
      <c r="N314" s="174"/>
      <c r="O314" s="256">
        <v>2340114.009</v>
      </c>
      <c r="P314" s="16">
        <f t="shared" si="84"/>
        <v>-975815.2000000002</v>
      </c>
      <c r="Q314" s="53">
        <f t="shared" si="85"/>
        <v>-0.4169947260035398</v>
      </c>
    </row>
    <row r="315" spans="1:17" s="15" customFormat="1" ht="12.75" hidden="1" outlineLevel="2">
      <c r="A315" s="15" t="s">
        <v>873</v>
      </c>
      <c r="B315" s="15" t="s">
        <v>874</v>
      </c>
      <c r="C315" s="134" t="s">
        <v>875</v>
      </c>
      <c r="D315" s="16"/>
      <c r="E315" s="16"/>
      <c r="F315" s="16">
        <v>485614.29000000004</v>
      </c>
      <c r="G315" s="16">
        <v>832974.37</v>
      </c>
      <c r="H315" s="16">
        <f t="shared" si="80"/>
        <v>-347360.07999999996</v>
      </c>
      <c r="I315" s="53">
        <f t="shared" si="81"/>
        <v>-0.4170117263031754</v>
      </c>
      <c r="J315" s="174"/>
      <c r="K315" s="256">
        <v>612393.51</v>
      </c>
      <c r="L315" s="16">
        <f t="shared" si="82"/>
        <v>-126779.21999999997</v>
      </c>
      <c r="M315" s="53" t="str">
        <f t="shared" si="83"/>
        <v>N.M.</v>
      </c>
      <c r="N315" s="174"/>
      <c r="O315" s="256">
        <v>570063.39</v>
      </c>
      <c r="P315" s="16">
        <f t="shared" si="84"/>
        <v>-84449.09999999998</v>
      </c>
      <c r="Q315" s="53">
        <f t="shared" si="85"/>
        <v>-0.14813984107977882</v>
      </c>
    </row>
    <row r="316" spans="1:17" s="15" customFormat="1" ht="12.75" hidden="1" outlineLevel="2">
      <c r="A316" s="15" t="s">
        <v>876</v>
      </c>
      <c r="B316" s="15" t="s">
        <v>877</v>
      </c>
      <c r="C316" s="134" t="s">
        <v>878</v>
      </c>
      <c r="D316" s="16"/>
      <c r="E316" s="16"/>
      <c r="F316" s="16">
        <v>0</v>
      </c>
      <c r="G316" s="16">
        <v>-173.6</v>
      </c>
      <c r="H316" s="16">
        <f t="shared" si="80"/>
        <v>173.6</v>
      </c>
      <c r="I316" s="53" t="str">
        <f t="shared" si="81"/>
        <v>N.M.</v>
      </c>
      <c r="J316" s="174"/>
      <c r="K316" s="256">
        <v>0</v>
      </c>
      <c r="L316" s="16">
        <f t="shared" si="82"/>
        <v>0</v>
      </c>
      <c r="M316" s="53">
        <f t="shared" si="83"/>
        <v>0</v>
      </c>
      <c r="N316" s="174"/>
      <c r="O316" s="256">
        <v>0</v>
      </c>
      <c r="P316" s="16">
        <f t="shared" si="84"/>
        <v>0</v>
      </c>
      <c r="Q316" s="53">
        <f t="shared" si="85"/>
        <v>0</v>
      </c>
    </row>
    <row r="317" spans="1:17" s="15" customFormat="1" ht="12.75" hidden="1" outlineLevel="2">
      <c r="A317" s="15" t="s">
        <v>879</v>
      </c>
      <c r="B317" s="15" t="s">
        <v>880</v>
      </c>
      <c r="C317" s="134" t="s">
        <v>881</v>
      </c>
      <c r="D317" s="16"/>
      <c r="E317" s="16"/>
      <c r="F317" s="16">
        <v>0.002</v>
      </c>
      <c r="G317" s="16">
        <v>0.002</v>
      </c>
      <c r="H317" s="16">
        <f t="shared" si="80"/>
        <v>0</v>
      </c>
      <c r="I317" s="53">
        <f t="shared" si="81"/>
        <v>0</v>
      </c>
      <c r="J317" s="174"/>
      <c r="K317" s="256">
        <v>0.002</v>
      </c>
      <c r="L317" s="16">
        <f t="shared" si="82"/>
        <v>0</v>
      </c>
      <c r="M317" s="53">
        <f t="shared" si="83"/>
        <v>0</v>
      </c>
      <c r="N317" s="174"/>
      <c r="O317" s="256">
        <v>448.16200000000003</v>
      </c>
      <c r="P317" s="16">
        <f t="shared" si="84"/>
        <v>-448.16</v>
      </c>
      <c r="Q317" s="53">
        <f t="shared" si="85"/>
        <v>-0.9999955373280197</v>
      </c>
    </row>
    <row r="318" spans="1:17" s="15" customFormat="1" ht="12.75" hidden="1" outlineLevel="2">
      <c r="A318" s="15" t="s">
        <v>882</v>
      </c>
      <c r="B318" s="15" t="s">
        <v>883</v>
      </c>
      <c r="C318" s="134" t="s">
        <v>884</v>
      </c>
      <c r="D318" s="16"/>
      <c r="E318" s="16"/>
      <c r="F318" s="16">
        <v>10621.321</v>
      </c>
      <c r="G318" s="16">
        <v>13697.951000000001</v>
      </c>
      <c r="H318" s="16">
        <f t="shared" si="80"/>
        <v>-3076.630000000001</v>
      </c>
      <c r="I318" s="53">
        <f t="shared" si="81"/>
        <v>-0.22460512524829448</v>
      </c>
      <c r="J318" s="174"/>
      <c r="K318" s="256">
        <v>20462.431</v>
      </c>
      <c r="L318" s="16">
        <f t="shared" si="82"/>
        <v>-9841.11</v>
      </c>
      <c r="M318" s="53" t="str">
        <f t="shared" si="83"/>
        <v>N.M.</v>
      </c>
      <c r="N318" s="174"/>
      <c r="O318" s="256">
        <v>10813.181</v>
      </c>
      <c r="P318" s="16">
        <f t="shared" si="84"/>
        <v>-191.86000000000058</v>
      </c>
      <c r="Q318" s="53">
        <f t="shared" si="85"/>
        <v>-0.017743159945255757</v>
      </c>
    </row>
    <row r="319" spans="1:17" s="15" customFormat="1" ht="12.75" hidden="1" outlineLevel="2">
      <c r="A319" s="15" t="s">
        <v>885</v>
      </c>
      <c r="B319" s="15" t="s">
        <v>886</v>
      </c>
      <c r="C319" s="134" t="s">
        <v>887</v>
      </c>
      <c r="D319" s="16"/>
      <c r="E319" s="16"/>
      <c r="F319" s="16">
        <v>0</v>
      </c>
      <c r="G319" s="16">
        <v>2082</v>
      </c>
      <c r="H319" s="16">
        <f t="shared" si="80"/>
        <v>-2082</v>
      </c>
      <c r="I319" s="53" t="str">
        <f t="shared" si="81"/>
        <v>N.M.</v>
      </c>
      <c r="J319" s="174"/>
      <c r="K319" s="256">
        <v>0</v>
      </c>
      <c r="L319" s="16">
        <f t="shared" si="82"/>
        <v>0</v>
      </c>
      <c r="M319" s="53">
        <f t="shared" si="83"/>
        <v>0</v>
      </c>
      <c r="N319" s="174"/>
      <c r="O319" s="256">
        <v>2939.39</v>
      </c>
      <c r="P319" s="16">
        <f t="shared" si="84"/>
        <v>-2939.39</v>
      </c>
      <c r="Q319" s="53" t="str">
        <f t="shared" si="85"/>
        <v>N.M.</v>
      </c>
    </row>
    <row r="320" spans="1:17" s="15" customFormat="1" ht="12.75" hidden="1" outlineLevel="2">
      <c r="A320" s="15" t="s">
        <v>888</v>
      </c>
      <c r="B320" s="15" t="s">
        <v>889</v>
      </c>
      <c r="C320" s="134" t="s">
        <v>890</v>
      </c>
      <c r="D320" s="16"/>
      <c r="E320" s="16"/>
      <c r="F320" s="16">
        <v>24412.5</v>
      </c>
      <c r="G320" s="16">
        <v>7734</v>
      </c>
      <c r="H320" s="16">
        <f t="shared" si="80"/>
        <v>16678.5</v>
      </c>
      <c r="I320" s="53">
        <f t="shared" si="81"/>
        <v>2.1565166795965864</v>
      </c>
      <c r="J320" s="174"/>
      <c r="K320" s="256">
        <v>20275.5</v>
      </c>
      <c r="L320" s="16">
        <f t="shared" si="82"/>
        <v>4137</v>
      </c>
      <c r="M320" s="53" t="str">
        <f t="shared" si="83"/>
        <v>N.M.</v>
      </c>
      <c r="N320" s="174"/>
      <c r="O320" s="256">
        <v>12831</v>
      </c>
      <c r="P320" s="16">
        <f t="shared" si="84"/>
        <v>11581.5</v>
      </c>
      <c r="Q320" s="53">
        <f t="shared" si="85"/>
        <v>0.9026186579378068</v>
      </c>
    </row>
    <row r="321" spans="1:17" s="15" customFormat="1" ht="12.75" hidden="1" outlineLevel="2">
      <c r="A321" s="15" t="s">
        <v>891</v>
      </c>
      <c r="B321" s="15" t="s">
        <v>892</v>
      </c>
      <c r="C321" s="134" t="s">
        <v>893</v>
      </c>
      <c r="D321" s="16"/>
      <c r="E321" s="16"/>
      <c r="F321" s="16">
        <v>176917.45</v>
      </c>
      <c r="G321" s="16">
        <v>125899.78</v>
      </c>
      <c r="H321" s="16">
        <f t="shared" si="80"/>
        <v>51017.67000000001</v>
      </c>
      <c r="I321" s="53">
        <f t="shared" si="81"/>
        <v>0.40522445710389654</v>
      </c>
      <c r="J321" s="174"/>
      <c r="K321" s="256">
        <v>154215.65</v>
      </c>
      <c r="L321" s="16">
        <f t="shared" si="82"/>
        <v>22701.800000000017</v>
      </c>
      <c r="M321" s="53" t="str">
        <f t="shared" si="83"/>
        <v>N.M.</v>
      </c>
      <c r="N321" s="174"/>
      <c r="O321" s="256">
        <v>133012.89</v>
      </c>
      <c r="P321" s="16">
        <f t="shared" si="84"/>
        <v>43904.56</v>
      </c>
      <c r="Q321" s="53">
        <f t="shared" si="85"/>
        <v>0.33007748346795557</v>
      </c>
    </row>
    <row r="322" spans="1:17" s="15" customFormat="1" ht="12.75" hidden="1" outlineLevel="2">
      <c r="A322" s="15" t="s">
        <v>894</v>
      </c>
      <c r="B322" s="15" t="s">
        <v>895</v>
      </c>
      <c r="C322" s="134" t="s">
        <v>896</v>
      </c>
      <c r="D322" s="16"/>
      <c r="E322" s="16"/>
      <c r="F322" s="16">
        <v>433859.754</v>
      </c>
      <c r="G322" s="16">
        <v>550042.634</v>
      </c>
      <c r="H322" s="16">
        <f t="shared" si="80"/>
        <v>-116182.87999999995</v>
      </c>
      <c r="I322" s="53">
        <f t="shared" si="81"/>
        <v>-0.21122522658852652</v>
      </c>
      <c r="J322" s="174"/>
      <c r="K322" s="256">
        <v>680415.674</v>
      </c>
      <c r="L322" s="16">
        <f t="shared" si="82"/>
        <v>-246555.91999999998</v>
      </c>
      <c r="M322" s="53" t="str">
        <f t="shared" si="83"/>
        <v>N.M.</v>
      </c>
      <c r="N322" s="174"/>
      <c r="O322" s="256">
        <v>1362905.884</v>
      </c>
      <c r="P322" s="16">
        <f t="shared" si="84"/>
        <v>-929046.1300000001</v>
      </c>
      <c r="Q322" s="53">
        <f t="shared" si="85"/>
        <v>-0.681665653444343</v>
      </c>
    </row>
    <row r="323" spans="1:17" s="15" customFormat="1" ht="12.75" hidden="1" outlineLevel="2">
      <c r="A323" s="15" t="s">
        <v>897</v>
      </c>
      <c r="B323" s="15" t="s">
        <v>898</v>
      </c>
      <c r="C323" s="134" t="s">
        <v>899</v>
      </c>
      <c r="D323" s="16"/>
      <c r="E323" s="16"/>
      <c r="F323" s="16">
        <v>8.877</v>
      </c>
      <c r="G323" s="16">
        <v>23.698</v>
      </c>
      <c r="H323" s="16">
        <f t="shared" si="80"/>
        <v>-14.821</v>
      </c>
      <c r="I323" s="53">
        <f t="shared" si="81"/>
        <v>-0.6254114271246518</v>
      </c>
      <c r="J323" s="174"/>
      <c r="K323" s="256">
        <v>-0.002</v>
      </c>
      <c r="L323" s="16">
        <f t="shared" si="82"/>
        <v>8.879000000000001</v>
      </c>
      <c r="M323" s="53" t="str">
        <f t="shared" si="83"/>
        <v>N.M.</v>
      </c>
      <c r="N323" s="174"/>
      <c r="O323" s="256">
        <v>0.998</v>
      </c>
      <c r="P323" s="16">
        <f t="shared" si="84"/>
        <v>7.8790000000000004</v>
      </c>
      <c r="Q323" s="53">
        <f t="shared" si="85"/>
        <v>7.894789579158317</v>
      </c>
    </row>
    <row r="324" spans="1:17" s="15" customFormat="1" ht="12.75" hidden="1" outlineLevel="2">
      <c r="A324" s="15" t="s">
        <v>900</v>
      </c>
      <c r="B324" s="15" t="s">
        <v>901</v>
      </c>
      <c r="C324" s="134" t="s">
        <v>902</v>
      </c>
      <c r="D324" s="16"/>
      <c r="E324" s="16"/>
      <c r="F324" s="16">
        <v>100.71000000000001</v>
      </c>
      <c r="G324" s="16">
        <v>0</v>
      </c>
      <c r="H324" s="16">
        <f t="shared" si="80"/>
        <v>100.71000000000001</v>
      </c>
      <c r="I324" s="53" t="str">
        <f t="shared" si="81"/>
        <v>N.M.</v>
      </c>
      <c r="J324" s="174"/>
      <c r="K324" s="256">
        <v>0</v>
      </c>
      <c r="L324" s="16">
        <f t="shared" si="82"/>
        <v>100.71000000000001</v>
      </c>
      <c r="M324" s="53" t="str">
        <f t="shared" si="83"/>
        <v>N.M.</v>
      </c>
      <c r="N324" s="174"/>
      <c r="O324" s="256">
        <v>0</v>
      </c>
      <c r="P324" s="16">
        <f t="shared" si="84"/>
        <v>100.71000000000001</v>
      </c>
      <c r="Q324" s="53" t="str">
        <f t="shared" si="85"/>
        <v>N.M.</v>
      </c>
    </row>
    <row r="325" spans="1:17" s="15" customFormat="1" ht="12.75" hidden="1" outlineLevel="2">
      <c r="A325" s="15" t="s">
        <v>903</v>
      </c>
      <c r="B325" s="15" t="s">
        <v>904</v>
      </c>
      <c r="C325" s="134" t="s">
        <v>905</v>
      </c>
      <c r="D325" s="16"/>
      <c r="E325" s="16"/>
      <c r="F325" s="16">
        <v>1846948.78</v>
      </c>
      <c r="G325" s="16">
        <v>975247.96</v>
      </c>
      <c r="H325" s="16">
        <f t="shared" si="80"/>
        <v>871700.8200000001</v>
      </c>
      <c r="I325" s="53">
        <f t="shared" si="81"/>
        <v>0.8938248073853957</v>
      </c>
      <c r="J325" s="174"/>
      <c r="K325" s="256">
        <v>0</v>
      </c>
      <c r="L325" s="16">
        <f t="shared" si="82"/>
        <v>1846948.78</v>
      </c>
      <c r="M325" s="53" t="str">
        <f t="shared" si="83"/>
        <v>N.M.</v>
      </c>
      <c r="N325" s="174"/>
      <c r="O325" s="256">
        <v>1746196.9100000001</v>
      </c>
      <c r="P325" s="16">
        <f t="shared" si="84"/>
        <v>100751.86999999988</v>
      </c>
      <c r="Q325" s="53">
        <f t="shared" si="85"/>
        <v>0.057697885858702995</v>
      </c>
    </row>
    <row r="326" spans="1:17" s="15" customFormat="1" ht="12.75" hidden="1" outlineLevel="2">
      <c r="A326" s="15" t="s">
        <v>906</v>
      </c>
      <c r="B326" s="15" t="s">
        <v>907</v>
      </c>
      <c r="C326" s="134" t="s">
        <v>908</v>
      </c>
      <c r="D326" s="16"/>
      <c r="E326" s="16"/>
      <c r="F326" s="16">
        <v>383779.508</v>
      </c>
      <c r="G326" s="16">
        <v>181923.66</v>
      </c>
      <c r="H326" s="16">
        <f t="shared" si="80"/>
        <v>201855.84799999997</v>
      </c>
      <c r="I326" s="53">
        <f t="shared" si="81"/>
        <v>1.1095634729424417</v>
      </c>
      <c r="J326" s="174"/>
      <c r="K326" s="256">
        <v>423569.36</v>
      </c>
      <c r="L326" s="16">
        <f t="shared" si="82"/>
        <v>-39789.85200000001</v>
      </c>
      <c r="M326" s="53" t="str">
        <f t="shared" si="83"/>
        <v>N.M.</v>
      </c>
      <c r="N326" s="174"/>
      <c r="O326" s="256">
        <v>0</v>
      </c>
      <c r="P326" s="16">
        <f t="shared" si="84"/>
        <v>383779.508</v>
      </c>
      <c r="Q326" s="53" t="str">
        <f t="shared" si="85"/>
        <v>N.M.</v>
      </c>
    </row>
    <row r="327" spans="1:17" s="15" customFormat="1" ht="12.75" hidden="1" outlineLevel="2">
      <c r="A327" s="15" t="s">
        <v>909</v>
      </c>
      <c r="B327" s="15" t="s">
        <v>910</v>
      </c>
      <c r="C327" s="134" t="s">
        <v>911</v>
      </c>
      <c r="D327" s="16"/>
      <c r="E327" s="16"/>
      <c r="F327" s="16">
        <v>365494.2</v>
      </c>
      <c r="G327" s="16">
        <v>445945.55</v>
      </c>
      <c r="H327" s="16">
        <f t="shared" si="80"/>
        <v>-80451.34999999998</v>
      </c>
      <c r="I327" s="53">
        <f t="shared" si="81"/>
        <v>-0.18040621775461146</v>
      </c>
      <c r="J327" s="174"/>
      <c r="K327" s="256">
        <v>230839.4</v>
      </c>
      <c r="L327" s="16">
        <f t="shared" si="82"/>
        <v>134654.80000000002</v>
      </c>
      <c r="M327" s="53" t="str">
        <f t="shared" si="83"/>
        <v>N.M.</v>
      </c>
      <c r="N327" s="174"/>
      <c r="O327" s="256">
        <v>540256.06</v>
      </c>
      <c r="P327" s="16">
        <f t="shared" si="84"/>
        <v>-174761.86000000004</v>
      </c>
      <c r="Q327" s="53">
        <f t="shared" si="85"/>
        <v>-0.3234796847998337</v>
      </c>
    </row>
    <row r="328" spans="1:17" s="15" customFormat="1" ht="12.75" hidden="1" outlineLevel="2">
      <c r="A328" s="15" t="s">
        <v>912</v>
      </c>
      <c r="B328" s="15" t="s">
        <v>913</v>
      </c>
      <c r="C328" s="134" t="s">
        <v>914</v>
      </c>
      <c r="D328" s="16"/>
      <c r="E328" s="16"/>
      <c r="F328" s="16">
        <v>720793.77</v>
      </c>
      <c r="G328" s="16">
        <v>304986.05</v>
      </c>
      <c r="H328" s="16">
        <f t="shared" si="80"/>
        <v>415807.72000000003</v>
      </c>
      <c r="I328" s="53">
        <f t="shared" si="81"/>
        <v>1.3633663572481431</v>
      </c>
      <c r="J328" s="174"/>
      <c r="K328" s="256">
        <v>1030685.97</v>
      </c>
      <c r="L328" s="16">
        <f t="shared" si="82"/>
        <v>-309892.19999999995</v>
      </c>
      <c r="M328" s="53" t="str">
        <f t="shared" si="83"/>
        <v>N.M.</v>
      </c>
      <c r="N328" s="174"/>
      <c r="O328" s="256">
        <v>535782.76</v>
      </c>
      <c r="P328" s="16">
        <f t="shared" si="84"/>
        <v>185011.01</v>
      </c>
      <c r="Q328" s="53">
        <f t="shared" si="85"/>
        <v>0.3453097483017184</v>
      </c>
    </row>
    <row r="329" spans="1:17" ht="12.75" collapsed="1">
      <c r="A329" s="11" t="s">
        <v>260</v>
      </c>
      <c r="C329" s="228" t="s">
        <v>191</v>
      </c>
      <c r="E329" s="11"/>
      <c r="F329" s="18">
        <v>32445590.663000003</v>
      </c>
      <c r="G329" s="18">
        <v>25554372.646000005</v>
      </c>
      <c r="H329" s="51">
        <f>+F329-G329</f>
        <v>6891218.016999997</v>
      </c>
      <c r="I329" s="136">
        <f>IF(G329&lt;0,IF(H329=0,0,IF(OR(G329=0,F329=0),"N.M.",IF(ABS(H329/G329)&gt;=10,"N.M.",H329/(-G329)))),IF(H329=0,0,IF(OR(G329=0,F329=0),"N.M.",IF(ABS(H329/G329)&gt;=10,"N.M.",H329/G329))))</f>
        <v>0.26966883955488813</v>
      </c>
      <c r="J329" s="166"/>
      <c r="K329" s="18">
        <v>33245976.356</v>
      </c>
      <c r="L329" s="51">
        <f>+F329-K329</f>
        <v>-800385.6929999962</v>
      </c>
      <c r="M329" s="136" t="str">
        <f>IF(K329&lt;0,IF(L329=0,0,IF(OR(K329=0,N329=0),"N.M.",IF(ABS(L329/K329)&gt;=10,"N.M.",L329/(-K329)))),IF(L329=0,0,IF(OR(K329=0,N329=0),"N.M.",IF(ABS(L329/K329)&gt;=10,"N.M.",L329/K329))))</f>
        <v>N.M.</v>
      </c>
      <c r="N329" s="166"/>
      <c r="O329" s="18">
        <v>33333664.536000002</v>
      </c>
      <c r="P329" s="51">
        <f>+F329-O329</f>
        <v>-888073.8729999997</v>
      </c>
      <c r="Q329" s="136">
        <f>IF(O329&lt;0,IF(P329=0,0,IF(OR(O329=0,F329=0),"N.M.",IF(ABS(P329/O329)&gt;=10,"N.M.",P329/(-O329)))),IF(P329=0,0,IF(OR(O329=0,F329=0),"N.M.",IF(ABS(P329/O329)&gt;=10,"N.M.",P329/O329))))</f>
        <v>-0.026641951473438792</v>
      </c>
    </row>
    <row r="330" spans="3:17" ht="0.75" customHeight="1" hidden="1" outlineLevel="1">
      <c r="C330" s="228"/>
      <c r="E330" s="11"/>
      <c r="H330" s="51"/>
      <c r="I330" s="136"/>
      <c r="J330" s="166"/>
      <c r="K330" s="18"/>
      <c r="L330" s="51"/>
      <c r="M330" s="136"/>
      <c r="N330" s="166"/>
      <c r="O330" s="18"/>
      <c r="P330" s="51"/>
      <c r="Q330" s="136"/>
    </row>
    <row r="331" spans="1:17" s="15" customFormat="1" ht="12.75" hidden="1" outlineLevel="2">
      <c r="A331" s="15" t="s">
        <v>915</v>
      </c>
      <c r="B331" s="15" t="s">
        <v>916</v>
      </c>
      <c r="C331" s="134" t="s">
        <v>917</v>
      </c>
      <c r="D331" s="16"/>
      <c r="E331" s="16"/>
      <c r="F331" s="16">
        <v>29945866.117</v>
      </c>
      <c r="G331" s="16">
        <v>8992109.46</v>
      </c>
      <c r="H331" s="16">
        <f aca="true" t="shared" si="86" ref="H331:H342">+F331-G331</f>
        <v>20953756.656999998</v>
      </c>
      <c r="I331" s="53">
        <f aca="true" t="shared" si="87" ref="I331:I342">IF(G331&lt;0,IF(H331=0,0,IF(OR(G331=0,F331=0),"N.M.",IF(ABS(H331/G331)&gt;=10,"N.M.",H331/(-G331)))),IF(H331=0,0,IF(OR(G331=0,F331=0),"N.M.",IF(ABS(H331/G331)&gt;=10,"N.M.",H331/G331))))</f>
        <v>2.330238166050972</v>
      </c>
      <c r="J331" s="174"/>
      <c r="K331" s="256">
        <v>15866789.87</v>
      </c>
      <c r="L331" s="16">
        <f aca="true" t="shared" si="88" ref="L331:L342">+F331-K331</f>
        <v>14079076.247</v>
      </c>
      <c r="M331" s="53" t="str">
        <f aca="true" t="shared" si="89" ref="M331:M342">IF(K331&lt;0,IF(L331=0,0,IF(OR(K331=0,N331=0),"N.M.",IF(ABS(L331/K331)&gt;=10,"N.M.",L331/(-K331)))),IF(L331=0,0,IF(OR(K331=0,N331=0),"N.M.",IF(ABS(L331/K331)&gt;=10,"N.M.",L331/K331))))</f>
        <v>N.M.</v>
      </c>
      <c r="N331" s="174"/>
      <c r="O331" s="256">
        <v>23739034.464</v>
      </c>
      <c r="P331" s="16">
        <f aca="true" t="shared" si="90" ref="P331:P342">+F331-O331</f>
        <v>6206831.652999997</v>
      </c>
      <c r="Q331" s="53">
        <f aca="true" t="shared" si="91" ref="Q331:Q342">IF(O331&lt;0,IF(P331=0,0,IF(OR(O331=0,F331=0),"N.M.",IF(ABS(P331/O331)&gt;=10,"N.M.",P331/(-O331)))),IF(P331=0,0,IF(OR(O331=0,F331=0),"N.M.",IF(ABS(P331/O331)&gt;=10,"N.M.",P331/O331))))</f>
        <v>0.26146099844172654</v>
      </c>
    </row>
    <row r="332" spans="1:17" s="15" customFormat="1" ht="12.75" hidden="1" outlineLevel="2">
      <c r="A332" s="15" t="s">
        <v>918</v>
      </c>
      <c r="B332" s="15" t="s">
        <v>919</v>
      </c>
      <c r="C332" s="134" t="s">
        <v>920</v>
      </c>
      <c r="D332" s="16"/>
      <c r="E332" s="16"/>
      <c r="F332" s="16">
        <v>0</v>
      </c>
      <c r="G332" s="16">
        <v>0</v>
      </c>
      <c r="H332" s="16">
        <f t="shared" si="86"/>
        <v>0</v>
      </c>
      <c r="I332" s="53">
        <f t="shared" si="87"/>
        <v>0</v>
      </c>
      <c r="J332" s="174"/>
      <c r="K332" s="256">
        <v>0</v>
      </c>
      <c r="L332" s="16">
        <f t="shared" si="88"/>
        <v>0</v>
      </c>
      <c r="M332" s="53">
        <f t="shared" si="89"/>
        <v>0</v>
      </c>
      <c r="N332" s="174"/>
      <c r="O332" s="256">
        <v>11503060.96</v>
      </c>
      <c r="P332" s="16">
        <f t="shared" si="90"/>
        <v>-11503060.96</v>
      </c>
      <c r="Q332" s="53" t="str">
        <f t="shared" si="91"/>
        <v>N.M.</v>
      </c>
    </row>
    <row r="333" spans="1:17" s="15" customFormat="1" ht="12.75" hidden="1" outlineLevel="2">
      <c r="A333" s="15" t="s">
        <v>921</v>
      </c>
      <c r="B333" s="15" t="s">
        <v>922</v>
      </c>
      <c r="C333" s="134" t="s">
        <v>923</v>
      </c>
      <c r="D333" s="16"/>
      <c r="E333" s="16"/>
      <c r="F333" s="16">
        <v>2883578</v>
      </c>
      <c r="G333" s="16">
        <v>11107131</v>
      </c>
      <c r="H333" s="16">
        <f t="shared" si="86"/>
        <v>-8223553</v>
      </c>
      <c r="I333" s="53">
        <f t="shared" si="87"/>
        <v>-0.7403849833048697</v>
      </c>
      <c r="J333" s="174"/>
      <c r="K333" s="256">
        <v>7163898</v>
      </c>
      <c r="L333" s="16">
        <f t="shared" si="88"/>
        <v>-4280320</v>
      </c>
      <c r="M333" s="53" t="str">
        <f t="shared" si="89"/>
        <v>N.M.</v>
      </c>
      <c r="N333" s="174"/>
      <c r="O333" s="256">
        <v>7048455</v>
      </c>
      <c r="P333" s="16">
        <f t="shared" si="90"/>
        <v>-4164877</v>
      </c>
      <c r="Q333" s="53">
        <f t="shared" si="91"/>
        <v>-0.5908921884299467</v>
      </c>
    </row>
    <row r="334" spans="1:17" s="15" customFormat="1" ht="12.75" hidden="1" outlineLevel="2">
      <c r="A334" s="15" t="s">
        <v>924</v>
      </c>
      <c r="B334" s="15" t="s">
        <v>925</v>
      </c>
      <c r="C334" s="134" t="s">
        <v>926</v>
      </c>
      <c r="D334" s="16"/>
      <c r="E334" s="16"/>
      <c r="F334" s="16">
        <v>12037.24</v>
      </c>
      <c r="G334" s="16">
        <v>26136.37</v>
      </c>
      <c r="H334" s="16">
        <f t="shared" si="86"/>
        <v>-14099.13</v>
      </c>
      <c r="I334" s="53">
        <f t="shared" si="87"/>
        <v>-0.5394448425699514</v>
      </c>
      <c r="J334" s="174"/>
      <c r="K334" s="256">
        <v>22964.920000000002</v>
      </c>
      <c r="L334" s="16">
        <f t="shared" si="88"/>
        <v>-10927.680000000002</v>
      </c>
      <c r="M334" s="53" t="str">
        <f t="shared" si="89"/>
        <v>N.M.</v>
      </c>
      <c r="N334" s="174"/>
      <c r="O334" s="256">
        <v>35368.17</v>
      </c>
      <c r="P334" s="16">
        <f t="shared" si="90"/>
        <v>-23330.93</v>
      </c>
      <c r="Q334" s="53">
        <f t="shared" si="91"/>
        <v>-0.659658953233939</v>
      </c>
    </row>
    <row r="335" spans="1:17" s="15" customFormat="1" ht="12.75" hidden="1" outlineLevel="2">
      <c r="A335" s="15" t="s">
        <v>927</v>
      </c>
      <c r="B335" s="15" t="s">
        <v>928</v>
      </c>
      <c r="C335" s="134" t="s">
        <v>929</v>
      </c>
      <c r="D335" s="16"/>
      <c r="E335" s="16"/>
      <c r="F335" s="16">
        <v>342165.82</v>
      </c>
      <c r="G335" s="16">
        <v>114739.90000000001</v>
      </c>
      <c r="H335" s="16">
        <f t="shared" si="86"/>
        <v>227425.91999999998</v>
      </c>
      <c r="I335" s="53">
        <f t="shared" si="87"/>
        <v>1.9820996880771202</v>
      </c>
      <c r="J335" s="174"/>
      <c r="K335" s="256">
        <v>415533.96</v>
      </c>
      <c r="L335" s="16">
        <f t="shared" si="88"/>
        <v>-73368.14000000001</v>
      </c>
      <c r="M335" s="53" t="str">
        <f t="shared" si="89"/>
        <v>N.M.</v>
      </c>
      <c r="N335" s="174"/>
      <c r="O335" s="256">
        <v>195155.55000000002</v>
      </c>
      <c r="P335" s="16">
        <f t="shared" si="90"/>
        <v>147010.27</v>
      </c>
      <c r="Q335" s="53">
        <f t="shared" si="91"/>
        <v>0.7532979205561922</v>
      </c>
    </row>
    <row r="336" spans="1:17" s="15" customFormat="1" ht="12.75" hidden="1" outlineLevel="2">
      <c r="A336" s="15" t="s">
        <v>930</v>
      </c>
      <c r="B336" s="15" t="s">
        <v>931</v>
      </c>
      <c r="C336" s="134" t="s">
        <v>932</v>
      </c>
      <c r="D336" s="16"/>
      <c r="E336" s="16"/>
      <c r="F336" s="16">
        <v>2469545.37</v>
      </c>
      <c r="G336" s="16">
        <v>2838523.51</v>
      </c>
      <c r="H336" s="16">
        <f t="shared" si="86"/>
        <v>-368978.13999999966</v>
      </c>
      <c r="I336" s="53">
        <f t="shared" si="87"/>
        <v>-0.12998946061221797</v>
      </c>
      <c r="J336" s="174"/>
      <c r="K336" s="256">
        <v>2751533.16</v>
      </c>
      <c r="L336" s="16">
        <f t="shared" si="88"/>
        <v>-281987.79000000004</v>
      </c>
      <c r="M336" s="53" t="str">
        <f t="shared" si="89"/>
        <v>N.M.</v>
      </c>
      <c r="N336" s="174"/>
      <c r="O336" s="256">
        <v>3073686.353</v>
      </c>
      <c r="P336" s="16">
        <f t="shared" si="90"/>
        <v>-604140.983</v>
      </c>
      <c r="Q336" s="53">
        <f t="shared" si="91"/>
        <v>-0.19655258006736512</v>
      </c>
    </row>
    <row r="337" spans="1:17" s="15" customFormat="1" ht="12.75" hidden="1" outlineLevel="2">
      <c r="A337" s="15" t="s">
        <v>933</v>
      </c>
      <c r="B337" s="15" t="s">
        <v>934</v>
      </c>
      <c r="C337" s="134" t="s">
        <v>935</v>
      </c>
      <c r="D337" s="16"/>
      <c r="E337" s="16"/>
      <c r="F337" s="16">
        <v>33933.74</v>
      </c>
      <c r="G337" s="16">
        <v>389906.52</v>
      </c>
      <c r="H337" s="16">
        <f t="shared" si="86"/>
        <v>-355972.78</v>
      </c>
      <c r="I337" s="53">
        <f t="shared" si="87"/>
        <v>-0.9129695497269449</v>
      </c>
      <c r="J337" s="174"/>
      <c r="K337" s="256">
        <v>126875.53</v>
      </c>
      <c r="L337" s="16">
        <f t="shared" si="88"/>
        <v>-92941.79000000001</v>
      </c>
      <c r="M337" s="53" t="str">
        <f t="shared" si="89"/>
        <v>N.M.</v>
      </c>
      <c r="N337" s="174"/>
      <c r="O337" s="256">
        <v>170474.55000000002</v>
      </c>
      <c r="P337" s="16">
        <f t="shared" si="90"/>
        <v>-136540.81000000003</v>
      </c>
      <c r="Q337" s="53">
        <f t="shared" si="91"/>
        <v>-0.8009454197122093</v>
      </c>
    </row>
    <row r="338" spans="1:17" s="15" customFormat="1" ht="12.75" hidden="1" outlineLevel="2">
      <c r="A338" s="15" t="s">
        <v>936</v>
      </c>
      <c r="B338" s="15" t="s">
        <v>937</v>
      </c>
      <c r="C338" s="134" t="s">
        <v>938</v>
      </c>
      <c r="D338" s="16"/>
      <c r="E338" s="16"/>
      <c r="F338" s="16">
        <v>379.98</v>
      </c>
      <c r="G338" s="16">
        <v>18658.28</v>
      </c>
      <c r="H338" s="16">
        <f t="shared" si="86"/>
        <v>-18278.3</v>
      </c>
      <c r="I338" s="53">
        <f t="shared" si="87"/>
        <v>-0.979634778768461</v>
      </c>
      <c r="J338" s="174"/>
      <c r="K338" s="256">
        <v>600.91</v>
      </c>
      <c r="L338" s="16">
        <f t="shared" si="88"/>
        <v>-220.92999999999995</v>
      </c>
      <c r="M338" s="53" t="str">
        <f t="shared" si="89"/>
        <v>N.M.</v>
      </c>
      <c r="N338" s="174"/>
      <c r="O338" s="256">
        <v>13.98</v>
      </c>
      <c r="P338" s="16">
        <f t="shared" si="90"/>
        <v>366</v>
      </c>
      <c r="Q338" s="53" t="str">
        <f t="shared" si="91"/>
        <v>N.M.</v>
      </c>
    </row>
    <row r="339" spans="1:17" s="15" customFormat="1" ht="12.75" hidden="1" outlineLevel="2">
      <c r="A339" s="15" t="s">
        <v>939</v>
      </c>
      <c r="B339" s="15" t="s">
        <v>940</v>
      </c>
      <c r="C339" s="134" t="s">
        <v>941</v>
      </c>
      <c r="D339" s="16"/>
      <c r="E339" s="16"/>
      <c r="F339" s="16">
        <v>3140.52</v>
      </c>
      <c r="G339" s="16">
        <v>28807.97</v>
      </c>
      <c r="H339" s="16">
        <f t="shared" si="86"/>
        <v>-25667.45</v>
      </c>
      <c r="I339" s="53">
        <f t="shared" si="87"/>
        <v>-0.8909843352377832</v>
      </c>
      <c r="J339" s="174"/>
      <c r="K339" s="256">
        <v>2242.46</v>
      </c>
      <c r="L339" s="16">
        <f t="shared" si="88"/>
        <v>898.06</v>
      </c>
      <c r="M339" s="53" t="str">
        <f t="shared" si="89"/>
        <v>N.M.</v>
      </c>
      <c r="N339" s="174"/>
      <c r="O339" s="256">
        <v>17859.600000000002</v>
      </c>
      <c r="P339" s="16">
        <f t="shared" si="90"/>
        <v>-14719.080000000002</v>
      </c>
      <c r="Q339" s="53">
        <f t="shared" si="91"/>
        <v>-0.8241550762615064</v>
      </c>
    </row>
    <row r="340" spans="1:17" s="15" customFormat="1" ht="12.75" hidden="1" outlineLevel="2">
      <c r="A340" s="15" t="s">
        <v>942</v>
      </c>
      <c r="B340" s="15" t="s">
        <v>943</v>
      </c>
      <c r="C340" s="134" t="s">
        <v>944</v>
      </c>
      <c r="D340" s="16"/>
      <c r="E340" s="16"/>
      <c r="F340" s="16">
        <v>11289.37</v>
      </c>
      <c r="G340" s="16">
        <v>7954.81</v>
      </c>
      <c r="H340" s="16">
        <f t="shared" si="86"/>
        <v>3334.5600000000004</v>
      </c>
      <c r="I340" s="53">
        <f t="shared" si="87"/>
        <v>0.4191878875799674</v>
      </c>
      <c r="J340" s="174"/>
      <c r="K340" s="256">
        <v>7589.1900000000005</v>
      </c>
      <c r="L340" s="16">
        <f t="shared" si="88"/>
        <v>3700.1800000000003</v>
      </c>
      <c r="M340" s="53" t="str">
        <f t="shared" si="89"/>
        <v>N.M.</v>
      </c>
      <c r="N340" s="174"/>
      <c r="O340" s="256">
        <v>5942.24</v>
      </c>
      <c r="P340" s="16">
        <f t="shared" si="90"/>
        <v>5347.130000000001</v>
      </c>
      <c r="Q340" s="53">
        <f t="shared" si="91"/>
        <v>0.8998508979778671</v>
      </c>
    </row>
    <row r="341" spans="1:17" s="15" customFormat="1" ht="12.75" hidden="1" outlineLevel="2">
      <c r="A341" s="15" t="s">
        <v>945</v>
      </c>
      <c r="B341" s="15" t="s">
        <v>946</v>
      </c>
      <c r="C341" s="134" t="s">
        <v>947</v>
      </c>
      <c r="D341" s="16"/>
      <c r="E341" s="16"/>
      <c r="F341" s="16">
        <v>525000</v>
      </c>
      <c r="G341" s="16">
        <v>525000</v>
      </c>
      <c r="H341" s="16">
        <f t="shared" si="86"/>
        <v>0</v>
      </c>
      <c r="I341" s="53">
        <f t="shared" si="87"/>
        <v>0</v>
      </c>
      <c r="J341" s="174"/>
      <c r="K341" s="256">
        <v>437500</v>
      </c>
      <c r="L341" s="16">
        <f t="shared" si="88"/>
        <v>87500</v>
      </c>
      <c r="M341" s="53" t="str">
        <f t="shared" si="89"/>
        <v>N.M.</v>
      </c>
      <c r="N341" s="174"/>
      <c r="O341" s="256">
        <v>87500</v>
      </c>
      <c r="P341" s="16">
        <f t="shared" si="90"/>
        <v>437500</v>
      </c>
      <c r="Q341" s="53">
        <f t="shared" si="91"/>
        <v>5</v>
      </c>
    </row>
    <row r="342" spans="1:17" s="15" customFormat="1" ht="12.75" hidden="1" outlineLevel="2">
      <c r="A342" s="15" t="s">
        <v>948</v>
      </c>
      <c r="B342" s="15" t="s">
        <v>949</v>
      </c>
      <c r="C342" s="134" t="s">
        <v>950</v>
      </c>
      <c r="D342" s="16"/>
      <c r="E342" s="16"/>
      <c r="F342" s="16">
        <v>0</v>
      </c>
      <c r="G342" s="16">
        <v>1296</v>
      </c>
      <c r="H342" s="16">
        <f t="shared" si="86"/>
        <v>-1296</v>
      </c>
      <c r="I342" s="53" t="str">
        <f t="shared" si="87"/>
        <v>N.M.</v>
      </c>
      <c r="J342" s="174"/>
      <c r="K342" s="256">
        <v>0</v>
      </c>
      <c r="L342" s="16">
        <f t="shared" si="88"/>
        <v>0</v>
      </c>
      <c r="M342" s="53">
        <f t="shared" si="89"/>
        <v>0</v>
      </c>
      <c r="N342" s="174"/>
      <c r="O342" s="256">
        <v>1051</v>
      </c>
      <c r="P342" s="16">
        <f t="shared" si="90"/>
        <v>-1051</v>
      </c>
      <c r="Q342" s="53" t="str">
        <f t="shared" si="91"/>
        <v>N.M.</v>
      </c>
    </row>
    <row r="343" spans="1:17" ht="12.75" collapsed="1">
      <c r="A343" s="11" t="s">
        <v>261</v>
      </c>
      <c r="C343" s="228" t="s">
        <v>192</v>
      </c>
      <c r="E343" s="11"/>
      <c r="F343" s="18">
        <v>36226936.157</v>
      </c>
      <c r="G343" s="18">
        <v>24050263.82</v>
      </c>
      <c r="H343" s="51">
        <f>+F343-G343</f>
        <v>12176672.336999997</v>
      </c>
      <c r="I343" s="136">
        <f>IF(G343&lt;0,IF(H343=0,0,IF(OR(G343=0,F343=0),"N.M.",IF(ABS(H343/G343)&gt;=10,"N.M.",H343/(-G343)))),IF(H343=0,0,IF(OR(G343=0,F343=0),"N.M.",IF(ABS(H343/G343)&gt;=10,"N.M.",H343/G343))))</f>
        <v>0.5063009881361042</v>
      </c>
      <c r="J343" s="166"/>
      <c r="K343" s="18">
        <v>26795528.000000004</v>
      </c>
      <c r="L343" s="51">
        <f>+F343-K343</f>
        <v>9431408.156999994</v>
      </c>
      <c r="M343" s="136" t="str">
        <f>IF(K343&lt;0,IF(L343=0,0,IF(OR(K343=0,N343=0),"N.M.",IF(ABS(L343/K343)&gt;=10,"N.M.",L343/(-K343)))),IF(L343=0,0,IF(OR(K343=0,N343=0),"N.M.",IF(ABS(L343/K343)&gt;=10,"N.M.",L343/K343))))</f>
        <v>N.M.</v>
      </c>
      <c r="N343" s="166"/>
      <c r="O343" s="18">
        <v>45877601.867</v>
      </c>
      <c r="P343" s="51">
        <f>+F343-O343</f>
        <v>-9650665.71</v>
      </c>
      <c r="Q343" s="136">
        <f>IF(O343&lt;0,IF(P343=0,0,IF(OR(O343=0,F343=0),"N.M.",IF(ABS(P343/O343)&gt;=10,"N.M.",P343/(-O343)))),IF(P343=0,0,IF(OR(O343=0,F343=0),"N.M.",IF(ABS(P343/O343)&gt;=10,"N.M.",P343/O343))))</f>
        <v>-0.21035680413238372</v>
      </c>
    </row>
    <row r="344" spans="3:17" ht="0.75" customHeight="1" hidden="1" outlineLevel="1">
      <c r="C344" s="228"/>
      <c r="E344" s="11"/>
      <c r="H344" s="51"/>
      <c r="I344" s="136"/>
      <c r="J344" s="166"/>
      <c r="K344" s="18"/>
      <c r="L344" s="51"/>
      <c r="M344" s="136"/>
      <c r="N344" s="166"/>
      <c r="O344" s="18"/>
      <c r="P344" s="51"/>
      <c r="Q344" s="136"/>
    </row>
    <row r="345" spans="1:17" s="15" customFormat="1" ht="12.75" hidden="1" outlineLevel="2">
      <c r="A345" s="15" t="s">
        <v>951</v>
      </c>
      <c r="B345" s="15" t="s">
        <v>952</v>
      </c>
      <c r="C345" s="134" t="s">
        <v>953</v>
      </c>
      <c r="D345" s="16"/>
      <c r="E345" s="16"/>
      <c r="F345" s="16">
        <v>20378082.81</v>
      </c>
      <c r="G345" s="16">
        <v>18482167.09</v>
      </c>
      <c r="H345" s="16">
        <f>+F345-G345</f>
        <v>1895915.7199999988</v>
      </c>
      <c r="I345" s="53">
        <f>IF(G345&lt;0,IF(H345=0,0,IF(OR(G345=0,F345=0),"N.M.",IF(ABS(H345/G345)&gt;=10,"N.M.",H345/(-G345)))),IF(H345=0,0,IF(OR(G345=0,F345=0),"N.M.",IF(ABS(H345/G345)&gt;=10,"N.M.",H345/G345))))</f>
        <v>0.1025808126702743</v>
      </c>
      <c r="J345" s="174"/>
      <c r="K345" s="256">
        <v>20056216.96</v>
      </c>
      <c r="L345" s="16">
        <f>+F345-K345</f>
        <v>321865.84999999776</v>
      </c>
      <c r="M345" s="53" t="str">
        <f>IF(K345&lt;0,IF(L345=0,0,IF(OR(K345=0,N345=0),"N.M.",IF(ABS(L345/K345)&gt;=10,"N.M.",L345/(-K345)))),IF(L345=0,0,IF(OR(K345=0,N345=0),"N.M.",IF(ABS(L345/K345)&gt;=10,"N.M.",L345/K345))))</f>
        <v>N.M.</v>
      </c>
      <c r="N345" s="174"/>
      <c r="O345" s="256">
        <v>19370357.42</v>
      </c>
      <c r="P345" s="16">
        <f>+F345-O345</f>
        <v>1007725.3899999969</v>
      </c>
      <c r="Q345" s="53">
        <f>IF(O345&lt;0,IF(P345=0,0,IF(OR(O345=0,F345=0),"N.M.",IF(ABS(P345/O345)&gt;=10,"N.M.",P345/(-O345)))),IF(P345=0,0,IF(OR(O345=0,F345=0),"N.M.",IF(ABS(P345/O345)&gt;=10,"N.M.",P345/O345))))</f>
        <v>0.052024098892440404</v>
      </c>
    </row>
    <row r="346" spans="1:17" s="15" customFormat="1" ht="12.75" hidden="1" outlineLevel="2">
      <c r="A346" s="15" t="s">
        <v>954</v>
      </c>
      <c r="B346" s="15" t="s">
        <v>955</v>
      </c>
      <c r="C346" s="134" t="s">
        <v>956</v>
      </c>
      <c r="D346" s="16"/>
      <c r="E346" s="16"/>
      <c r="F346" s="16">
        <v>369249.55</v>
      </c>
      <c r="G346" s="16">
        <v>1226699.23</v>
      </c>
      <c r="H346" s="16">
        <f>+F346-G346</f>
        <v>-857449.6799999999</v>
      </c>
      <c r="I346" s="53">
        <f>IF(G346&lt;0,IF(H346=0,0,IF(OR(G346=0,F346=0),"N.M.",IF(ABS(H346/G346)&gt;=10,"N.M.",H346/(-G346)))),IF(H346=0,0,IF(OR(G346=0,F346=0),"N.M.",IF(ABS(H346/G346)&gt;=10,"N.M.",H346/G346))))</f>
        <v>-0.698989335796681</v>
      </c>
      <c r="J346" s="174"/>
      <c r="K346" s="256">
        <v>357886.12</v>
      </c>
      <c r="L346" s="16">
        <f>+F346-K346</f>
        <v>11363.429999999993</v>
      </c>
      <c r="M346" s="53" t="str">
        <f>IF(K346&lt;0,IF(L346=0,0,IF(OR(K346=0,N346=0),"N.M.",IF(ABS(L346/K346)&gt;=10,"N.M.",L346/(-K346)))),IF(L346=0,0,IF(OR(K346=0,N346=0),"N.M.",IF(ABS(L346/K346)&gt;=10,"N.M.",L346/K346))))</f>
        <v>N.M.</v>
      </c>
      <c r="N346" s="174"/>
      <c r="O346" s="256">
        <v>697186.54</v>
      </c>
      <c r="P346" s="16">
        <f>+F346-O346</f>
        <v>-327936.99000000005</v>
      </c>
      <c r="Q346" s="53">
        <f>IF(O346&lt;0,IF(P346=0,0,IF(OR(O346=0,F346=0),"N.M.",IF(ABS(P346/O346)&gt;=10,"N.M.",P346/(-O346)))),IF(P346=0,0,IF(OR(O346=0,F346=0),"N.M.",IF(ABS(P346/O346)&gt;=10,"N.M.",P346/O346))))</f>
        <v>-0.47037194665290016</v>
      </c>
    </row>
    <row r="347" spans="1:17" s="15" customFormat="1" ht="12.75" hidden="1" outlineLevel="2">
      <c r="A347" s="15" t="s">
        <v>957</v>
      </c>
      <c r="B347" s="15" t="s">
        <v>958</v>
      </c>
      <c r="C347" s="134" t="s">
        <v>959</v>
      </c>
      <c r="D347" s="16"/>
      <c r="E347" s="16"/>
      <c r="F347" s="16">
        <v>-190012</v>
      </c>
      <c r="G347" s="16">
        <v>-877979</v>
      </c>
      <c r="H347" s="16">
        <f>+F347-G347</f>
        <v>687967</v>
      </c>
      <c r="I347" s="53">
        <f>IF(G347&lt;0,IF(H347=0,0,IF(OR(G347=0,F347=0),"N.M.",IF(ABS(H347/G347)&gt;=10,"N.M.",H347/(-G347)))),IF(H347=0,0,IF(OR(G347=0,F347=0),"N.M.",IF(ABS(H347/G347)&gt;=10,"N.M.",H347/G347))))</f>
        <v>0.7835802450855887</v>
      </c>
      <c r="J347" s="174"/>
      <c r="K347" s="256">
        <v>-201649</v>
      </c>
      <c r="L347" s="16">
        <f>+F347-K347</f>
        <v>11637</v>
      </c>
      <c r="M347" s="53" t="str">
        <f>IF(K347&lt;0,IF(L347=0,0,IF(OR(K347=0,N347=0),"N.M.",IF(ABS(L347/K347)&gt;=10,"N.M.",L347/(-K347)))),IF(L347=0,0,IF(OR(K347=0,N347=0),"N.M.",IF(ABS(L347/K347)&gt;=10,"N.M.",L347/K347))))</f>
        <v>N.M.</v>
      </c>
      <c r="N347" s="174"/>
      <c r="O347" s="256">
        <v>-375017</v>
      </c>
      <c r="P347" s="16">
        <f>+F347-O347</f>
        <v>185005</v>
      </c>
      <c r="Q347" s="53">
        <f>IF(O347&lt;0,IF(P347=0,0,IF(OR(O347=0,F347=0),"N.M.",IF(ABS(P347/O347)&gt;=10,"N.M.",P347/(-O347)))),IF(P347=0,0,IF(OR(O347=0,F347=0),"N.M.",IF(ABS(P347/O347)&gt;=10,"N.M.",P347/O347))))</f>
        <v>0.49332430263161403</v>
      </c>
    </row>
    <row r="348" spans="1:17" ht="12.75" collapsed="1">
      <c r="A348" s="11" t="s">
        <v>262</v>
      </c>
      <c r="C348" s="228" t="s">
        <v>193</v>
      </c>
      <c r="E348" s="11"/>
      <c r="F348" s="18">
        <v>20557320.36</v>
      </c>
      <c r="G348" s="18">
        <v>18830887.32</v>
      </c>
      <c r="H348" s="51">
        <f>+F348-G348</f>
        <v>1726433.039999999</v>
      </c>
      <c r="I348" s="136">
        <f>IF(G348&lt;0,IF(H348=0,0,IF(OR(G348=0,F348=0),"N.M.",IF(ABS(H348/G348)&gt;=10,"N.M.",H348/(-G348)))),IF(H348=0,0,IF(OR(G348=0,F348=0),"N.M.",IF(ABS(H348/G348)&gt;=10,"N.M.",H348/G348))))</f>
        <v>0.09168091819902617</v>
      </c>
      <c r="J348" s="166"/>
      <c r="K348" s="18">
        <v>20212454.080000002</v>
      </c>
      <c r="L348" s="51">
        <f>+F348-K348</f>
        <v>344866.27999999747</v>
      </c>
      <c r="M348" s="136" t="str">
        <f>IF(K348&lt;0,IF(L348=0,0,IF(OR(K348=0,N348=0),"N.M.",IF(ABS(L348/K348)&gt;=10,"N.M.",L348/(-K348)))),IF(L348=0,0,IF(OR(K348=0,N348=0),"N.M.",IF(ABS(L348/K348)&gt;=10,"N.M.",L348/K348))))</f>
        <v>N.M.</v>
      </c>
      <c r="N348" s="166"/>
      <c r="O348" s="18">
        <v>19692526.96</v>
      </c>
      <c r="P348" s="51">
        <f>+F348-O348</f>
        <v>864793.3999999985</v>
      </c>
      <c r="Q348" s="136">
        <f>IF(O348&lt;0,IF(P348=0,0,IF(OR(O348=0,F348=0),"N.M.",IF(ABS(P348/O348)&gt;=10,"N.M.",P348/(-O348)))),IF(P348=0,0,IF(OR(O348=0,F348=0),"N.M.",IF(ABS(P348/O348)&gt;=10,"N.M.",P348/O348))))</f>
        <v>0.04391480086616565</v>
      </c>
    </row>
    <row r="349" spans="3:17" ht="0.75" customHeight="1" hidden="1" outlineLevel="1">
      <c r="C349" s="228"/>
      <c r="E349" s="11"/>
      <c r="H349" s="51"/>
      <c r="I349" s="136"/>
      <c r="J349" s="166"/>
      <c r="K349" s="18"/>
      <c r="L349" s="51"/>
      <c r="M349" s="136"/>
      <c r="N349" s="166"/>
      <c r="O349" s="18"/>
      <c r="P349" s="51"/>
      <c r="Q349" s="136"/>
    </row>
    <row r="350" spans="1:17" s="15" customFormat="1" ht="12.75" hidden="1" outlineLevel="2">
      <c r="A350" s="15" t="s">
        <v>960</v>
      </c>
      <c r="B350" s="15" t="s">
        <v>961</v>
      </c>
      <c r="C350" s="134" t="s">
        <v>962</v>
      </c>
      <c r="D350" s="16"/>
      <c r="E350" s="16"/>
      <c r="F350" s="16">
        <v>11920879.55</v>
      </c>
      <c r="G350" s="16">
        <v>-24038964.29</v>
      </c>
      <c r="H350" s="16">
        <f aca="true" t="shared" si="92" ref="H350:H383">+F350-G350</f>
        <v>35959843.84</v>
      </c>
      <c r="I350" s="53">
        <f aca="true" t="shared" si="93" ref="I350:I383">IF(G350&lt;0,IF(H350=0,0,IF(OR(G350=0,F350=0),"N.M.",IF(ABS(H350/G350)&gt;=10,"N.M.",H350/(-G350)))),IF(H350=0,0,IF(OR(G350=0,F350=0),"N.M.",IF(ABS(H350/G350)&gt;=10,"N.M.",H350/G350))))</f>
        <v>1.4958982178345757</v>
      </c>
      <c r="J350" s="174"/>
      <c r="K350" s="256">
        <v>12772230.24</v>
      </c>
      <c r="L350" s="16">
        <f aca="true" t="shared" si="94" ref="L350:L383">+F350-K350</f>
        <v>-851350.6899999995</v>
      </c>
      <c r="M350" s="53" t="str">
        <f aca="true" t="shared" si="95" ref="M350:M383">IF(K350&lt;0,IF(L350=0,0,IF(OR(K350=0,N350=0),"N.M.",IF(ABS(L350/K350)&gt;=10,"N.M.",L350/(-K350)))),IF(L350=0,0,IF(OR(K350=0,N350=0),"N.M.",IF(ABS(L350/K350)&gt;=10,"N.M.",L350/K350))))</f>
        <v>N.M.</v>
      </c>
      <c r="N350" s="174"/>
      <c r="O350" s="256">
        <v>6894905.85</v>
      </c>
      <c r="P350" s="16">
        <f aca="true" t="shared" si="96" ref="P350:P383">+F350-O350</f>
        <v>5025973.700000001</v>
      </c>
      <c r="Q350" s="53">
        <f aca="true" t="shared" si="97" ref="Q350:Q383">IF(O350&lt;0,IF(P350=0,0,IF(OR(O350=0,F350=0),"N.M.",IF(ABS(P350/O350)&gt;=10,"N.M.",P350/(-O350)))),IF(P350=0,0,IF(OR(O350=0,F350=0),"N.M.",IF(ABS(P350/O350)&gt;=10,"N.M.",P350/O350))))</f>
        <v>0.728940149342286</v>
      </c>
    </row>
    <row r="351" spans="1:17" s="15" customFormat="1" ht="12.75" hidden="1" outlineLevel="2">
      <c r="A351" s="15" t="s">
        <v>963</v>
      </c>
      <c r="B351" s="15" t="s">
        <v>964</v>
      </c>
      <c r="C351" s="134" t="s">
        <v>965</v>
      </c>
      <c r="D351" s="16"/>
      <c r="E351" s="16"/>
      <c r="F351" s="16">
        <v>0</v>
      </c>
      <c r="G351" s="16">
        <v>-4725396.5600000005</v>
      </c>
      <c r="H351" s="16">
        <f t="shared" si="92"/>
        <v>4725396.5600000005</v>
      </c>
      <c r="I351" s="53" t="str">
        <f t="shared" si="93"/>
        <v>N.M.</v>
      </c>
      <c r="J351" s="174"/>
      <c r="K351" s="256">
        <v>0</v>
      </c>
      <c r="L351" s="16">
        <f t="shared" si="94"/>
        <v>0</v>
      </c>
      <c r="M351" s="53">
        <f t="shared" si="95"/>
        <v>0</v>
      </c>
      <c r="N351" s="174"/>
      <c r="O351" s="256">
        <v>0</v>
      </c>
      <c r="P351" s="16">
        <f t="shared" si="96"/>
        <v>0</v>
      </c>
      <c r="Q351" s="53">
        <f t="shared" si="97"/>
        <v>0</v>
      </c>
    </row>
    <row r="352" spans="1:17" s="15" customFormat="1" ht="12.75" hidden="1" outlineLevel="2">
      <c r="A352" s="15" t="s">
        <v>966</v>
      </c>
      <c r="B352" s="15" t="s">
        <v>967</v>
      </c>
      <c r="C352" s="134" t="s">
        <v>965</v>
      </c>
      <c r="D352" s="16"/>
      <c r="E352" s="16"/>
      <c r="F352" s="16">
        <v>-1397402.7</v>
      </c>
      <c r="G352" s="16">
        <v>319841.39</v>
      </c>
      <c r="H352" s="16">
        <f t="shared" si="92"/>
        <v>-1717244.0899999999</v>
      </c>
      <c r="I352" s="53">
        <f t="shared" si="93"/>
        <v>-5.369048983935443</v>
      </c>
      <c r="J352" s="174"/>
      <c r="K352" s="256">
        <v>-1397402.7</v>
      </c>
      <c r="L352" s="16">
        <f t="shared" si="94"/>
        <v>0</v>
      </c>
      <c r="M352" s="53">
        <f t="shared" si="95"/>
        <v>0</v>
      </c>
      <c r="N352" s="174"/>
      <c r="O352" s="256">
        <v>-1419402.7</v>
      </c>
      <c r="P352" s="16">
        <f t="shared" si="96"/>
        <v>22000</v>
      </c>
      <c r="Q352" s="53">
        <f t="shared" si="97"/>
        <v>0.015499477350578522</v>
      </c>
    </row>
    <row r="353" spans="1:17" s="15" customFormat="1" ht="12.75" hidden="1" outlineLevel="2">
      <c r="A353" s="15" t="s">
        <v>968</v>
      </c>
      <c r="B353" s="15" t="s">
        <v>969</v>
      </c>
      <c r="C353" s="134" t="s">
        <v>965</v>
      </c>
      <c r="D353" s="16"/>
      <c r="E353" s="16"/>
      <c r="F353" s="16">
        <v>2003327.26</v>
      </c>
      <c r="G353" s="16">
        <v>0</v>
      </c>
      <c r="H353" s="16">
        <f t="shared" si="92"/>
        <v>2003327.26</v>
      </c>
      <c r="I353" s="53" t="str">
        <f t="shared" si="93"/>
        <v>N.M.</v>
      </c>
      <c r="J353" s="174"/>
      <c r="K353" s="256">
        <v>1892828.73</v>
      </c>
      <c r="L353" s="16">
        <f t="shared" si="94"/>
        <v>110498.53000000003</v>
      </c>
      <c r="M353" s="53" t="str">
        <f t="shared" si="95"/>
        <v>N.M.</v>
      </c>
      <c r="N353" s="174"/>
      <c r="O353" s="256">
        <v>0</v>
      </c>
      <c r="P353" s="16">
        <f t="shared" si="96"/>
        <v>2003327.26</v>
      </c>
      <c r="Q353" s="53" t="str">
        <f t="shared" si="97"/>
        <v>N.M.</v>
      </c>
    </row>
    <row r="354" spans="1:17" s="15" customFormat="1" ht="12.75" hidden="1" outlineLevel="2">
      <c r="A354" s="15" t="s">
        <v>970</v>
      </c>
      <c r="B354" s="15" t="s">
        <v>971</v>
      </c>
      <c r="C354" s="134" t="s">
        <v>972</v>
      </c>
      <c r="D354" s="16"/>
      <c r="E354" s="16"/>
      <c r="F354" s="16">
        <v>122091.65000000001</v>
      </c>
      <c r="G354" s="16">
        <v>110542.45</v>
      </c>
      <c r="H354" s="16">
        <f t="shared" si="92"/>
        <v>11549.200000000012</v>
      </c>
      <c r="I354" s="53">
        <f t="shared" si="93"/>
        <v>0.10447751067576314</v>
      </c>
      <c r="J354" s="174"/>
      <c r="K354" s="256">
        <v>101742.39</v>
      </c>
      <c r="L354" s="16">
        <f t="shared" si="94"/>
        <v>20349.26000000001</v>
      </c>
      <c r="M354" s="53" t="str">
        <f t="shared" si="95"/>
        <v>N.M.</v>
      </c>
      <c r="N354" s="174"/>
      <c r="O354" s="256">
        <v>168874.31</v>
      </c>
      <c r="P354" s="16">
        <f t="shared" si="96"/>
        <v>-46782.65999999999</v>
      </c>
      <c r="Q354" s="53">
        <f t="shared" si="97"/>
        <v>-0.2770265056893496</v>
      </c>
    </row>
    <row r="355" spans="1:17" s="15" customFormat="1" ht="12.75" hidden="1" outlineLevel="2">
      <c r="A355" s="15" t="s">
        <v>973</v>
      </c>
      <c r="B355" s="15" t="s">
        <v>974</v>
      </c>
      <c r="C355" s="134" t="s">
        <v>975</v>
      </c>
      <c r="D355" s="16"/>
      <c r="E355" s="16"/>
      <c r="F355" s="16">
        <v>239.23000000000002</v>
      </c>
      <c r="G355" s="16">
        <v>240.6</v>
      </c>
      <c r="H355" s="16">
        <f t="shared" si="92"/>
        <v>-1.3699999999999761</v>
      </c>
      <c r="I355" s="53">
        <f t="shared" si="93"/>
        <v>-0.005694098088112952</v>
      </c>
      <c r="J355" s="174"/>
      <c r="K355" s="256">
        <v>131.82</v>
      </c>
      <c r="L355" s="16">
        <f t="shared" si="94"/>
        <v>107.41000000000003</v>
      </c>
      <c r="M355" s="53" t="str">
        <f t="shared" si="95"/>
        <v>N.M.</v>
      </c>
      <c r="N355" s="174"/>
      <c r="O355" s="256">
        <v>7203.53</v>
      </c>
      <c r="P355" s="16">
        <f t="shared" si="96"/>
        <v>-6964.299999999999</v>
      </c>
      <c r="Q355" s="53">
        <f t="shared" si="97"/>
        <v>-0.9667898932884293</v>
      </c>
    </row>
    <row r="356" spans="1:17" s="15" customFormat="1" ht="12.75" hidden="1" outlineLevel="2">
      <c r="A356" s="15" t="s">
        <v>976</v>
      </c>
      <c r="B356" s="15" t="s">
        <v>977</v>
      </c>
      <c r="C356" s="134" t="s">
        <v>978</v>
      </c>
      <c r="D356" s="16"/>
      <c r="E356" s="16"/>
      <c r="F356" s="16">
        <v>400.3</v>
      </c>
      <c r="G356" s="16">
        <v>363.85</v>
      </c>
      <c r="H356" s="16">
        <f t="shared" si="92"/>
        <v>36.44999999999999</v>
      </c>
      <c r="I356" s="53">
        <f t="shared" si="93"/>
        <v>0.10017864504603542</v>
      </c>
      <c r="J356" s="174"/>
      <c r="K356" s="256">
        <v>187.22</v>
      </c>
      <c r="L356" s="16">
        <f t="shared" si="94"/>
        <v>213.08</v>
      </c>
      <c r="M356" s="53" t="str">
        <f t="shared" si="95"/>
        <v>N.M.</v>
      </c>
      <c r="N356" s="174"/>
      <c r="O356" s="256">
        <v>9585.49</v>
      </c>
      <c r="P356" s="16">
        <f t="shared" si="96"/>
        <v>-9185.19</v>
      </c>
      <c r="Q356" s="53">
        <f t="shared" si="97"/>
        <v>-0.9582389632663537</v>
      </c>
    </row>
    <row r="357" spans="1:17" s="15" customFormat="1" ht="12.75" hidden="1" outlineLevel="2">
      <c r="A357" s="15" t="s">
        <v>979</v>
      </c>
      <c r="B357" s="15" t="s">
        <v>980</v>
      </c>
      <c r="C357" s="134" t="s">
        <v>981</v>
      </c>
      <c r="D357" s="16"/>
      <c r="E357" s="16"/>
      <c r="F357" s="16">
        <v>0</v>
      </c>
      <c r="G357" s="16">
        <v>52294.880000000005</v>
      </c>
      <c r="H357" s="16">
        <f t="shared" si="92"/>
        <v>-52294.880000000005</v>
      </c>
      <c r="I357" s="53" t="str">
        <f t="shared" si="93"/>
        <v>N.M.</v>
      </c>
      <c r="J357" s="174"/>
      <c r="K357" s="256">
        <v>0</v>
      </c>
      <c r="L357" s="16">
        <f t="shared" si="94"/>
        <v>0</v>
      </c>
      <c r="M357" s="53">
        <f t="shared" si="95"/>
        <v>0</v>
      </c>
      <c r="N357" s="174"/>
      <c r="O357" s="256">
        <v>65517.1</v>
      </c>
      <c r="P357" s="16">
        <f t="shared" si="96"/>
        <v>-65517.1</v>
      </c>
      <c r="Q357" s="53" t="str">
        <f t="shared" si="97"/>
        <v>N.M.</v>
      </c>
    </row>
    <row r="358" spans="1:17" s="15" customFormat="1" ht="12.75" hidden="1" outlineLevel="2">
      <c r="A358" s="15" t="s">
        <v>982</v>
      </c>
      <c r="B358" s="15" t="s">
        <v>983</v>
      </c>
      <c r="C358" s="134" t="s">
        <v>981</v>
      </c>
      <c r="D358" s="16"/>
      <c r="E358" s="16"/>
      <c r="F358" s="16">
        <v>37257.3</v>
      </c>
      <c r="G358" s="16">
        <v>0</v>
      </c>
      <c r="H358" s="16">
        <f t="shared" si="92"/>
        <v>37257.3</v>
      </c>
      <c r="I358" s="53" t="str">
        <f t="shared" si="93"/>
        <v>N.M.</v>
      </c>
      <c r="J358" s="174"/>
      <c r="K358" s="256">
        <v>17419.53</v>
      </c>
      <c r="L358" s="16">
        <f t="shared" si="94"/>
        <v>19837.770000000004</v>
      </c>
      <c r="M358" s="53" t="str">
        <f t="shared" si="95"/>
        <v>N.M.</v>
      </c>
      <c r="N358" s="174"/>
      <c r="O358" s="256">
        <v>0</v>
      </c>
      <c r="P358" s="16">
        <f t="shared" si="96"/>
        <v>37257.3</v>
      </c>
      <c r="Q358" s="53" t="str">
        <f t="shared" si="97"/>
        <v>N.M.</v>
      </c>
    </row>
    <row r="359" spans="1:17" s="15" customFormat="1" ht="12.75" hidden="1" outlineLevel="2">
      <c r="A359" s="15" t="s">
        <v>984</v>
      </c>
      <c r="B359" s="15" t="s">
        <v>985</v>
      </c>
      <c r="C359" s="134" t="s">
        <v>986</v>
      </c>
      <c r="D359" s="16"/>
      <c r="E359" s="16"/>
      <c r="F359" s="16">
        <v>109692.74</v>
      </c>
      <c r="G359" s="16">
        <v>1832823.4300000002</v>
      </c>
      <c r="H359" s="16">
        <f t="shared" si="92"/>
        <v>-1723130.6900000002</v>
      </c>
      <c r="I359" s="53">
        <f t="shared" si="93"/>
        <v>-0.9401509506019355</v>
      </c>
      <c r="J359" s="174"/>
      <c r="K359" s="256">
        <v>112891.45</v>
      </c>
      <c r="L359" s="16">
        <f t="shared" si="94"/>
        <v>-3198.709999999992</v>
      </c>
      <c r="M359" s="53" t="str">
        <f t="shared" si="95"/>
        <v>N.M.</v>
      </c>
      <c r="N359" s="174"/>
      <c r="O359" s="256">
        <v>136260.95</v>
      </c>
      <c r="P359" s="16">
        <f t="shared" si="96"/>
        <v>-26568.210000000006</v>
      </c>
      <c r="Q359" s="53">
        <f t="shared" si="97"/>
        <v>-0.19498036671548236</v>
      </c>
    </row>
    <row r="360" spans="1:17" s="15" customFormat="1" ht="12.75" hidden="1" outlineLevel="2">
      <c r="A360" s="15" t="s">
        <v>987</v>
      </c>
      <c r="B360" s="15" t="s">
        <v>988</v>
      </c>
      <c r="C360" s="134" t="s">
        <v>986</v>
      </c>
      <c r="D360" s="16"/>
      <c r="E360" s="16"/>
      <c r="F360" s="16">
        <v>251740.71</v>
      </c>
      <c r="G360" s="16">
        <v>9323500</v>
      </c>
      <c r="H360" s="16">
        <f t="shared" si="92"/>
        <v>-9071759.29</v>
      </c>
      <c r="I360" s="53">
        <f t="shared" si="93"/>
        <v>-0.9729993339411165</v>
      </c>
      <c r="J360" s="174"/>
      <c r="K360" s="256">
        <v>268835.98</v>
      </c>
      <c r="L360" s="16">
        <f t="shared" si="94"/>
        <v>-17095.26999999999</v>
      </c>
      <c r="M360" s="53" t="str">
        <f t="shared" si="95"/>
        <v>N.M.</v>
      </c>
      <c r="N360" s="174"/>
      <c r="O360" s="256">
        <v>6047621.56</v>
      </c>
      <c r="P360" s="16">
        <f t="shared" si="96"/>
        <v>-5795880.85</v>
      </c>
      <c r="Q360" s="53">
        <f t="shared" si="97"/>
        <v>-0.9583736006788097</v>
      </c>
    </row>
    <row r="361" spans="1:17" s="15" customFormat="1" ht="12.75" hidden="1" outlineLevel="2">
      <c r="A361" s="15" t="s">
        <v>989</v>
      </c>
      <c r="B361" s="15" t="s">
        <v>990</v>
      </c>
      <c r="C361" s="134" t="s">
        <v>991</v>
      </c>
      <c r="D361" s="16"/>
      <c r="E361" s="16"/>
      <c r="F361" s="16">
        <v>8691548</v>
      </c>
      <c r="G361" s="16">
        <v>0</v>
      </c>
      <c r="H361" s="16">
        <f t="shared" si="92"/>
        <v>8691548</v>
      </c>
      <c r="I361" s="53" t="str">
        <f t="shared" si="93"/>
        <v>N.M.</v>
      </c>
      <c r="J361" s="174"/>
      <c r="K361" s="256">
        <v>8691548</v>
      </c>
      <c r="L361" s="16">
        <f t="shared" si="94"/>
        <v>0</v>
      </c>
      <c r="M361" s="53">
        <f t="shared" si="95"/>
        <v>0</v>
      </c>
      <c r="N361" s="174"/>
      <c r="O361" s="256">
        <v>7970436</v>
      </c>
      <c r="P361" s="16">
        <f t="shared" si="96"/>
        <v>721112</v>
      </c>
      <c r="Q361" s="53">
        <f t="shared" si="97"/>
        <v>0.09047334424365241</v>
      </c>
    </row>
    <row r="362" spans="1:17" s="15" customFormat="1" ht="12.75" hidden="1" outlineLevel="2">
      <c r="A362" s="15" t="s">
        <v>992</v>
      </c>
      <c r="B362" s="15" t="s">
        <v>993</v>
      </c>
      <c r="C362" s="134" t="s">
        <v>994</v>
      </c>
      <c r="D362" s="16"/>
      <c r="E362" s="16"/>
      <c r="F362" s="16">
        <v>0</v>
      </c>
      <c r="G362" s="16">
        <v>0</v>
      </c>
      <c r="H362" s="16">
        <f t="shared" si="92"/>
        <v>0</v>
      </c>
      <c r="I362" s="53">
        <f t="shared" si="93"/>
        <v>0</v>
      </c>
      <c r="J362" s="174"/>
      <c r="K362" s="256">
        <v>15</v>
      </c>
      <c r="L362" s="16">
        <f t="shared" si="94"/>
        <v>-15</v>
      </c>
      <c r="M362" s="53" t="str">
        <f t="shared" si="95"/>
        <v>N.M.</v>
      </c>
      <c r="N362" s="174"/>
      <c r="O362" s="256">
        <v>0</v>
      </c>
      <c r="P362" s="16">
        <f t="shared" si="96"/>
        <v>0</v>
      </c>
      <c r="Q362" s="53">
        <f t="shared" si="97"/>
        <v>0</v>
      </c>
    </row>
    <row r="363" spans="1:17" s="15" customFormat="1" ht="12.75" hidden="1" outlineLevel="2">
      <c r="A363" s="15" t="s">
        <v>995</v>
      </c>
      <c r="B363" s="15" t="s">
        <v>996</v>
      </c>
      <c r="C363" s="134" t="s">
        <v>997</v>
      </c>
      <c r="D363" s="16"/>
      <c r="E363" s="16"/>
      <c r="F363" s="16">
        <v>0</v>
      </c>
      <c r="G363" s="16">
        <v>-25500</v>
      </c>
      <c r="H363" s="16">
        <f t="shared" si="92"/>
        <v>25500</v>
      </c>
      <c r="I363" s="53" t="str">
        <f t="shared" si="93"/>
        <v>N.M.</v>
      </c>
      <c r="J363" s="174"/>
      <c r="K363" s="256">
        <v>0</v>
      </c>
      <c r="L363" s="16">
        <f t="shared" si="94"/>
        <v>0</v>
      </c>
      <c r="M363" s="53">
        <f t="shared" si="95"/>
        <v>0</v>
      </c>
      <c r="N363" s="174"/>
      <c r="O363" s="256">
        <v>0</v>
      </c>
      <c r="P363" s="16">
        <f t="shared" si="96"/>
        <v>0</v>
      </c>
      <c r="Q363" s="53">
        <f t="shared" si="97"/>
        <v>0</v>
      </c>
    </row>
    <row r="364" spans="1:17" s="15" customFormat="1" ht="12.75" hidden="1" outlineLevel="2">
      <c r="A364" s="15" t="s">
        <v>998</v>
      </c>
      <c r="B364" s="15" t="s">
        <v>999</v>
      </c>
      <c r="C364" s="134" t="s">
        <v>997</v>
      </c>
      <c r="D364" s="16"/>
      <c r="E364" s="16"/>
      <c r="F364" s="16">
        <v>0</v>
      </c>
      <c r="G364" s="16">
        <v>80100</v>
      </c>
      <c r="H364" s="16">
        <f t="shared" si="92"/>
        <v>-80100</v>
      </c>
      <c r="I364" s="53" t="str">
        <f t="shared" si="93"/>
        <v>N.M.</v>
      </c>
      <c r="J364" s="174"/>
      <c r="K364" s="256">
        <v>0</v>
      </c>
      <c r="L364" s="16">
        <f t="shared" si="94"/>
        <v>0</v>
      </c>
      <c r="M364" s="53">
        <f t="shared" si="95"/>
        <v>0</v>
      </c>
      <c r="N364" s="174"/>
      <c r="O364" s="256">
        <v>0</v>
      </c>
      <c r="P364" s="16">
        <f t="shared" si="96"/>
        <v>0</v>
      </c>
      <c r="Q364" s="53">
        <f t="shared" si="97"/>
        <v>0</v>
      </c>
    </row>
    <row r="365" spans="1:17" s="15" customFormat="1" ht="12.75" hidden="1" outlineLevel="2">
      <c r="A365" s="15" t="s">
        <v>1000</v>
      </c>
      <c r="B365" s="15" t="s">
        <v>1001</v>
      </c>
      <c r="C365" s="134" t="s">
        <v>997</v>
      </c>
      <c r="D365" s="16"/>
      <c r="E365" s="16"/>
      <c r="F365" s="16">
        <v>29392</v>
      </c>
      <c r="G365" s="16">
        <v>0</v>
      </c>
      <c r="H365" s="16">
        <f t="shared" si="92"/>
        <v>29392</v>
      </c>
      <c r="I365" s="53" t="str">
        <f t="shared" si="93"/>
        <v>N.M.</v>
      </c>
      <c r="J365" s="174"/>
      <c r="K365" s="256">
        <v>38153</v>
      </c>
      <c r="L365" s="16">
        <f t="shared" si="94"/>
        <v>-8761</v>
      </c>
      <c r="M365" s="53" t="str">
        <f t="shared" si="95"/>
        <v>N.M.</v>
      </c>
      <c r="N365" s="174"/>
      <c r="O365" s="256">
        <v>0</v>
      </c>
      <c r="P365" s="16">
        <f t="shared" si="96"/>
        <v>29392</v>
      </c>
      <c r="Q365" s="53" t="str">
        <f t="shared" si="97"/>
        <v>N.M.</v>
      </c>
    </row>
    <row r="366" spans="1:17" s="15" customFormat="1" ht="12.75" hidden="1" outlineLevel="2">
      <c r="A366" s="15" t="s">
        <v>1002</v>
      </c>
      <c r="B366" s="15" t="s">
        <v>1003</v>
      </c>
      <c r="C366" s="134" t="s">
        <v>1004</v>
      </c>
      <c r="D366" s="16"/>
      <c r="E366" s="16"/>
      <c r="F366" s="16">
        <v>0</v>
      </c>
      <c r="G366" s="16">
        <v>43144</v>
      </c>
      <c r="H366" s="16">
        <f t="shared" si="92"/>
        <v>-43144</v>
      </c>
      <c r="I366" s="53" t="str">
        <f t="shared" si="93"/>
        <v>N.M.</v>
      </c>
      <c r="J366" s="174"/>
      <c r="K366" s="256">
        <v>0</v>
      </c>
      <c r="L366" s="16">
        <f t="shared" si="94"/>
        <v>0</v>
      </c>
      <c r="M366" s="53">
        <f t="shared" si="95"/>
        <v>0</v>
      </c>
      <c r="N366" s="174"/>
      <c r="O366" s="256">
        <v>64716</v>
      </c>
      <c r="P366" s="16">
        <f t="shared" si="96"/>
        <v>-64716</v>
      </c>
      <c r="Q366" s="53" t="str">
        <f t="shared" si="97"/>
        <v>N.M.</v>
      </c>
    </row>
    <row r="367" spans="1:17" s="15" customFormat="1" ht="12.75" hidden="1" outlineLevel="2">
      <c r="A367" s="15" t="s">
        <v>1005</v>
      </c>
      <c r="B367" s="15" t="s">
        <v>1006</v>
      </c>
      <c r="C367" s="134" t="s">
        <v>1004</v>
      </c>
      <c r="D367" s="16"/>
      <c r="E367" s="16"/>
      <c r="F367" s="16">
        <v>32000</v>
      </c>
      <c r="G367" s="16">
        <v>0</v>
      </c>
      <c r="H367" s="16">
        <f t="shared" si="92"/>
        <v>32000</v>
      </c>
      <c r="I367" s="53" t="str">
        <f t="shared" si="93"/>
        <v>N.M.</v>
      </c>
      <c r="J367" s="174"/>
      <c r="K367" s="256">
        <v>64000</v>
      </c>
      <c r="L367" s="16">
        <f t="shared" si="94"/>
        <v>-32000</v>
      </c>
      <c r="M367" s="53" t="str">
        <f t="shared" si="95"/>
        <v>N.M.</v>
      </c>
      <c r="N367" s="174"/>
      <c r="O367" s="256">
        <v>0</v>
      </c>
      <c r="P367" s="16">
        <f t="shared" si="96"/>
        <v>32000</v>
      </c>
      <c r="Q367" s="53" t="str">
        <f t="shared" si="97"/>
        <v>N.M.</v>
      </c>
    </row>
    <row r="368" spans="1:17" s="15" customFormat="1" ht="12.75" hidden="1" outlineLevel="2">
      <c r="A368" s="15" t="s">
        <v>1007</v>
      </c>
      <c r="B368" s="15" t="s">
        <v>1008</v>
      </c>
      <c r="C368" s="134" t="s">
        <v>1009</v>
      </c>
      <c r="D368" s="16"/>
      <c r="E368" s="16"/>
      <c r="F368" s="16">
        <v>0</v>
      </c>
      <c r="G368" s="16">
        <v>-100</v>
      </c>
      <c r="H368" s="16">
        <f t="shared" si="92"/>
        <v>100</v>
      </c>
      <c r="I368" s="53" t="str">
        <f t="shared" si="93"/>
        <v>N.M.</v>
      </c>
      <c r="J368" s="174"/>
      <c r="K368" s="256">
        <v>0</v>
      </c>
      <c r="L368" s="16">
        <f t="shared" si="94"/>
        <v>0</v>
      </c>
      <c r="M368" s="53">
        <f t="shared" si="95"/>
        <v>0</v>
      </c>
      <c r="N368" s="174"/>
      <c r="O368" s="256">
        <v>0</v>
      </c>
      <c r="P368" s="16">
        <f t="shared" si="96"/>
        <v>0</v>
      </c>
      <c r="Q368" s="53">
        <f t="shared" si="97"/>
        <v>0</v>
      </c>
    </row>
    <row r="369" spans="1:17" s="15" customFormat="1" ht="12.75" hidden="1" outlineLevel="2">
      <c r="A369" s="15" t="s">
        <v>1010</v>
      </c>
      <c r="B369" s="15" t="s">
        <v>1011</v>
      </c>
      <c r="C369" s="134" t="s">
        <v>1012</v>
      </c>
      <c r="D369" s="16"/>
      <c r="E369" s="16"/>
      <c r="F369" s="16">
        <v>0</v>
      </c>
      <c r="G369" s="16">
        <v>100</v>
      </c>
      <c r="H369" s="16">
        <f t="shared" si="92"/>
        <v>-100</v>
      </c>
      <c r="I369" s="53" t="str">
        <f t="shared" si="93"/>
        <v>N.M.</v>
      </c>
      <c r="J369" s="174"/>
      <c r="K369" s="256">
        <v>0</v>
      </c>
      <c r="L369" s="16">
        <f t="shared" si="94"/>
        <v>0</v>
      </c>
      <c r="M369" s="53">
        <f t="shared" si="95"/>
        <v>0</v>
      </c>
      <c r="N369" s="174"/>
      <c r="O369" s="256">
        <v>0</v>
      </c>
      <c r="P369" s="16">
        <f t="shared" si="96"/>
        <v>0</v>
      </c>
      <c r="Q369" s="53">
        <f t="shared" si="97"/>
        <v>0</v>
      </c>
    </row>
    <row r="370" spans="1:17" s="15" customFormat="1" ht="12.75" hidden="1" outlineLevel="2">
      <c r="A370" s="15" t="s">
        <v>1013</v>
      </c>
      <c r="B370" s="15" t="s">
        <v>1014</v>
      </c>
      <c r="C370" s="134" t="s">
        <v>1015</v>
      </c>
      <c r="D370" s="16"/>
      <c r="E370" s="16"/>
      <c r="F370" s="16">
        <v>-15.790000000000001</v>
      </c>
      <c r="G370" s="16">
        <v>-3218.78</v>
      </c>
      <c r="H370" s="16">
        <f t="shared" si="92"/>
        <v>3202.9900000000002</v>
      </c>
      <c r="I370" s="53">
        <f t="shared" si="93"/>
        <v>0.9950944146539994</v>
      </c>
      <c r="J370" s="174"/>
      <c r="K370" s="256">
        <v>0</v>
      </c>
      <c r="L370" s="16">
        <f t="shared" si="94"/>
        <v>-15.790000000000001</v>
      </c>
      <c r="M370" s="53" t="str">
        <f t="shared" si="95"/>
        <v>N.M.</v>
      </c>
      <c r="N370" s="174"/>
      <c r="O370" s="256">
        <v>-3341.63</v>
      </c>
      <c r="P370" s="16">
        <f t="shared" si="96"/>
        <v>3325.84</v>
      </c>
      <c r="Q370" s="53">
        <f t="shared" si="97"/>
        <v>0.9952747611195734</v>
      </c>
    </row>
    <row r="371" spans="1:17" s="15" customFormat="1" ht="12.75" hidden="1" outlineLevel="2">
      <c r="A371" s="15" t="s">
        <v>1016</v>
      </c>
      <c r="B371" s="15" t="s">
        <v>1017</v>
      </c>
      <c r="C371" s="134" t="s">
        <v>1015</v>
      </c>
      <c r="D371" s="16"/>
      <c r="E371" s="16"/>
      <c r="F371" s="16">
        <v>104276.31</v>
      </c>
      <c r="G371" s="16">
        <v>106300</v>
      </c>
      <c r="H371" s="16">
        <f t="shared" si="92"/>
        <v>-2023.6900000000023</v>
      </c>
      <c r="I371" s="53">
        <f t="shared" si="93"/>
        <v>-0.019037535277516483</v>
      </c>
      <c r="J371" s="174"/>
      <c r="K371" s="256">
        <v>104286.83</v>
      </c>
      <c r="L371" s="16">
        <f t="shared" si="94"/>
        <v>-10.520000000004075</v>
      </c>
      <c r="M371" s="53" t="str">
        <f t="shared" si="95"/>
        <v>N.M.</v>
      </c>
      <c r="N371" s="174"/>
      <c r="O371" s="256">
        <v>106300</v>
      </c>
      <c r="P371" s="16">
        <f t="shared" si="96"/>
        <v>-2023.6900000000023</v>
      </c>
      <c r="Q371" s="53">
        <f t="shared" si="97"/>
        <v>-0.019037535277516483</v>
      </c>
    </row>
    <row r="372" spans="1:17" s="15" customFormat="1" ht="12.75" hidden="1" outlineLevel="2">
      <c r="A372" s="15" t="s">
        <v>1018</v>
      </c>
      <c r="B372" s="15" t="s">
        <v>1019</v>
      </c>
      <c r="C372" s="134" t="s">
        <v>1015</v>
      </c>
      <c r="D372" s="16"/>
      <c r="E372" s="16"/>
      <c r="F372" s="16">
        <v>79000</v>
      </c>
      <c r="G372" s="16">
        <v>0</v>
      </c>
      <c r="H372" s="16">
        <f t="shared" si="92"/>
        <v>79000</v>
      </c>
      <c r="I372" s="53" t="str">
        <f t="shared" si="93"/>
        <v>N.M.</v>
      </c>
      <c r="J372" s="174"/>
      <c r="K372" s="256">
        <v>79000</v>
      </c>
      <c r="L372" s="16">
        <f t="shared" si="94"/>
        <v>0</v>
      </c>
      <c r="M372" s="53">
        <f t="shared" si="95"/>
        <v>0</v>
      </c>
      <c r="N372" s="174"/>
      <c r="O372" s="256">
        <v>0</v>
      </c>
      <c r="P372" s="16">
        <f t="shared" si="96"/>
        <v>79000</v>
      </c>
      <c r="Q372" s="53" t="str">
        <f t="shared" si="97"/>
        <v>N.M.</v>
      </c>
    </row>
    <row r="373" spans="1:17" s="15" customFormat="1" ht="12.75" hidden="1" outlineLevel="2">
      <c r="A373" s="15" t="s">
        <v>1020</v>
      </c>
      <c r="B373" s="15" t="s">
        <v>1021</v>
      </c>
      <c r="C373" s="134" t="s">
        <v>1022</v>
      </c>
      <c r="D373" s="16"/>
      <c r="E373" s="16"/>
      <c r="F373" s="16">
        <v>0</v>
      </c>
      <c r="G373" s="16">
        <v>-14660.81</v>
      </c>
      <c r="H373" s="16">
        <f t="shared" si="92"/>
        <v>14660.81</v>
      </c>
      <c r="I373" s="53" t="str">
        <f t="shared" si="93"/>
        <v>N.M.</v>
      </c>
      <c r="J373" s="174"/>
      <c r="K373" s="256">
        <v>0</v>
      </c>
      <c r="L373" s="16">
        <f t="shared" si="94"/>
        <v>0</v>
      </c>
      <c r="M373" s="53">
        <f t="shared" si="95"/>
        <v>0</v>
      </c>
      <c r="N373" s="174"/>
      <c r="O373" s="256">
        <v>-14699.81</v>
      </c>
      <c r="P373" s="16">
        <f t="shared" si="96"/>
        <v>14699.81</v>
      </c>
      <c r="Q373" s="53" t="str">
        <f t="shared" si="97"/>
        <v>N.M.</v>
      </c>
    </row>
    <row r="374" spans="1:17" s="15" customFormat="1" ht="12.75" hidden="1" outlineLevel="2">
      <c r="A374" s="15" t="s">
        <v>1023</v>
      </c>
      <c r="B374" s="15" t="s">
        <v>1024</v>
      </c>
      <c r="C374" s="134" t="s">
        <v>1022</v>
      </c>
      <c r="D374" s="16"/>
      <c r="E374" s="16"/>
      <c r="F374" s="16">
        <v>6163.49</v>
      </c>
      <c r="G374" s="16">
        <v>11125</v>
      </c>
      <c r="H374" s="16">
        <f t="shared" si="92"/>
        <v>-4961.51</v>
      </c>
      <c r="I374" s="53">
        <f t="shared" si="93"/>
        <v>-0.44597842696629214</v>
      </c>
      <c r="J374" s="174"/>
      <c r="K374" s="256">
        <v>6163.49</v>
      </c>
      <c r="L374" s="16">
        <f t="shared" si="94"/>
        <v>0</v>
      </c>
      <c r="M374" s="53">
        <f t="shared" si="95"/>
        <v>0</v>
      </c>
      <c r="N374" s="174"/>
      <c r="O374" s="256">
        <v>13785.17</v>
      </c>
      <c r="P374" s="16">
        <f t="shared" si="96"/>
        <v>-7621.68</v>
      </c>
      <c r="Q374" s="53">
        <f t="shared" si="97"/>
        <v>-0.5528898083955439</v>
      </c>
    </row>
    <row r="375" spans="1:17" s="15" customFormat="1" ht="12.75" hidden="1" outlineLevel="2">
      <c r="A375" s="15" t="s">
        <v>1025</v>
      </c>
      <c r="B375" s="15" t="s">
        <v>1026</v>
      </c>
      <c r="C375" s="134" t="s">
        <v>1022</v>
      </c>
      <c r="D375" s="16"/>
      <c r="E375" s="16"/>
      <c r="F375" s="16">
        <v>10315</v>
      </c>
      <c r="G375" s="16">
        <v>0</v>
      </c>
      <c r="H375" s="16">
        <f t="shared" si="92"/>
        <v>10315</v>
      </c>
      <c r="I375" s="53" t="str">
        <f t="shared" si="93"/>
        <v>N.M.</v>
      </c>
      <c r="J375" s="174"/>
      <c r="K375" s="256">
        <v>8252</v>
      </c>
      <c r="L375" s="16">
        <f t="shared" si="94"/>
        <v>2063</v>
      </c>
      <c r="M375" s="53" t="str">
        <f t="shared" si="95"/>
        <v>N.M.</v>
      </c>
      <c r="N375" s="174"/>
      <c r="O375" s="256">
        <v>0</v>
      </c>
      <c r="P375" s="16">
        <f t="shared" si="96"/>
        <v>10315</v>
      </c>
      <c r="Q375" s="53" t="str">
        <f t="shared" si="97"/>
        <v>N.M.</v>
      </c>
    </row>
    <row r="376" spans="1:17" s="15" customFormat="1" ht="12.75" hidden="1" outlineLevel="2">
      <c r="A376" s="15" t="s">
        <v>1027</v>
      </c>
      <c r="B376" s="15" t="s">
        <v>1028</v>
      </c>
      <c r="C376" s="134" t="s">
        <v>1029</v>
      </c>
      <c r="D376" s="16"/>
      <c r="E376" s="16"/>
      <c r="F376" s="16">
        <v>65257.05</v>
      </c>
      <c r="G376" s="16">
        <v>0</v>
      </c>
      <c r="H376" s="16">
        <f t="shared" si="92"/>
        <v>65257.05</v>
      </c>
      <c r="I376" s="53" t="str">
        <f t="shared" si="93"/>
        <v>N.M.</v>
      </c>
      <c r="J376" s="174"/>
      <c r="K376" s="256">
        <v>48947.1</v>
      </c>
      <c r="L376" s="16">
        <f t="shared" si="94"/>
        <v>16309.950000000004</v>
      </c>
      <c r="M376" s="53" t="str">
        <f t="shared" si="95"/>
        <v>N.M.</v>
      </c>
      <c r="N376" s="174"/>
      <c r="O376" s="256">
        <v>215138.525</v>
      </c>
      <c r="P376" s="16">
        <f t="shared" si="96"/>
        <v>-149881.47499999998</v>
      </c>
      <c r="Q376" s="53">
        <f t="shared" si="97"/>
        <v>-0.6966742706821104</v>
      </c>
    </row>
    <row r="377" spans="1:17" s="15" customFormat="1" ht="12.75" hidden="1" outlineLevel="2">
      <c r="A377" s="15" t="s">
        <v>1030</v>
      </c>
      <c r="B377" s="15" t="s">
        <v>1031</v>
      </c>
      <c r="C377" s="134" t="s">
        <v>1032</v>
      </c>
      <c r="D377" s="16"/>
      <c r="E377" s="16"/>
      <c r="F377" s="16">
        <v>37146.466</v>
      </c>
      <c r="G377" s="16">
        <v>0</v>
      </c>
      <c r="H377" s="16">
        <f t="shared" si="92"/>
        <v>37146.466</v>
      </c>
      <c r="I377" s="53" t="str">
        <f t="shared" si="93"/>
        <v>N.M.</v>
      </c>
      <c r="J377" s="174"/>
      <c r="K377" s="256">
        <v>43648.966</v>
      </c>
      <c r="L377" s="16">
        <f t="shared" si="94"/>
        <v>-6502.5</v>
      </c>
      <c r="M377" s="53" t="str">
        <f t="shared" si="95"/>
        <v>N.M.</v>
      </c>
      <c r="N377" s="174"/>
      <c r="O377" s="256">
        <v>46661.645000000004</v>
      </c>
      <c r="P377" s="16">
        <f t="shared" si="96"/>
        <v>-9515.179000000004</v>
      </c>
      <c r="Q377" s="53">
        <f t="shared" si="97"/>
        <v>-0.20391863595893378</v>
      </c>
    </row>
    <row r="378" spans="1:17" s="15" customFormat="1" ht="12.75" hidden="1" outlineLevel="2">
      <c r="A378" s="15" t="s">
        <v>1033</v>
      </c>
      <c r="B378" s="15" t="s">
        <v>1034</v>
      </c>
      <c r="C378" s="134" t="s">
        <v>1035</v>
      </c>
      <c r="D378" s="16"/>
      <c r="E378" s="16"/>
      <c r="F378" s="16">
        <v>1580224</v>
      </c>
      <c r="G378" s="16">
        <v>495839</v>
      </c>
      <c r="H378" s="16">
        <f t="shared" si="92"/>
        <v>1084385</v>
      </c>
      <c r="I378" s="53">
        <f t="shared" si="93"/>
        <v>2.186969964040747</v>
      </c>
      <c r="J378" s="174"/>
      <c r="K378" s="256">
        <v>1580224</v>
      </c>
      <c r="L378" s="16">
        <f t="shared" si="94"/>
        <v>0</v>
      </c>
      <c r="M378" s="53">
        <f t="shared" si="95"/>
        <v>0</v>
      </c>
      <c r="N378" s="174"/>
      <c r="O378" s="256">
        <v>1580224</v>
      </c>
      <c r="P378" s="16">
        <f t="shared" si="96"/>
        <v>0</v>
      </c>
      <c r="Q378" s="53">
        <f t="shared" si="97"/>
        <v>0</v>
      </c>
    </row>
    <row r="379" spans="1:17" s="15" customFormat="1" ht="12.75" hidden="1" outlineLevel="2">
      <c r="A379" s="15" t="s">
        <v>1036</v>
      </c>
      <c r="B379" s="15" t="s">
        <v>1037</v>
      </c>
      <c r="C379" s="134" t="s">
        <v>1038</v>
      </c>
      <c r="D379" s="16"/>
      <c r="E379" s="16"/>
      <c r="F379" s="16">
        <v>436870</v>
      </c>
      <c r="G379" s="16">
        <v>211473</v>
      </c>
      <c r="H379" s="16">
        <f t="shared" si="92"/>
        <v>225397</v>
      </c>
      <c r="I379" s="53">
        <f t="shared" si="93"/>
        <v>1.0658429208456872</v>
      </c>
      <c r="J379" s="174"/>
      <c r="K379" s="256">
        <v>431674</v>
      </c>
      <c r="L379" s="16">
        <f t="shared" si="94"/>
        <v>5196</v>
      </c>
      <c r="M379" s="53" t="str">
        <f t="shared" si="95"/>
        <v>N.M.</v>
      </c>
      <c r="N379" s="174"/>
      <c r="O379" s="256">
        <v>431674</v>
      </c>
      <c r="P379" s="16">
        <f t="shared" si="96"/>
        <v>5196</v>
      </c>
      <c r="Q379" s="53">
        <f t="shared" si="97"/>
        <v>0.012036861149849191</v>
      </c>
    </row>
    <row r="380" spans="1:17" s="15" customFormat="1" ht="12.75" hidden="1" outlineLevel="2">
      <c r="A380" s="15" t="s">
        <v>1039</v>
      </c>
      <c r="B380" s="15" t="s">
        <v>1040</v>
      </c>
      <c r="C380" s="134" t="s">
        <v>1041</v>
      </c>
      <c r="D380" s="16"/>
      <c r="E380" s="16"/>
      <c r="F380" s="16">
        <v>871957.06</v>
      </c>
      <c r="G380" s="16">
        <v>1242187.06</v>
      </c>
      <c r="H380" s="16">
        <f t="shared" si="92"/>
        <v>-370230</v>
      </c>
      <c r="I380" s="53">
        <f t="shared" si="93"/>
        <v>-0.2980468980251654</v>
      </c>
      <c r="J380" s="174"/>
      <c r="K380" s="256">
        <v>871957.06</v>
      </c>
      <c r="L380" s="16">
        <f t="shared" si="94"/>
        <v>0</v>
      </c>
      <c r="M380" s="53">
        <f t="shared" si="95"/>
        <v>0</v>
      </c>
      <c r="N380" s="174"/>
      <c r="O380" s="256">
        <v>737946.06</v>
      </c>
      <c r="P380" s="16">
        <f t="shared" si="96"/>
        <v>134011</v>
      </c>
      <c r="Q380" s="53">
        <f t="shared" si="97"/>
        <v>0.18159999390741377</v>
      </c>
    </row>
    <row r="381" spans="1:17" s="15" customFormat="1" ht="12.75" hidden="1" outlineLevel="2">
      <c r="A381" s="15" t="s">
        <v>1042</v>
      </c>
      <c r="B381" s="15" t="s">
        <v>1043</v>
      </c>
      <c r="C381" s="134" t="s">
        <v>1044</v>
      </c>
      <c r="D381" s="16"/>
      <c r="E381" s="16"/>
      <c r="F381" s="16">
        <v>132068</v>
      </c>
      <c r="G381" s="16">
        <v>749937</v>
      </c>
      <c r="H381" s="16">
        <f t="shared" si="92"/>
        <v>-617869</v>
      </c>
      <c r="I381" s="53">
        <f t="shared" si="93"/>
        <v>-0.8238945404747332</v>
      </c>
      <c r="J381" s="174"/>
      <c r="K381" s="256">
        <v>132068</v>
      </c>
      <c r="L381" s="16">
        <f t="shared" si="94"/>
        <v>0</v>
      </c>
      <c r="M381" s="53">
        <f t="shared" si="95"/>
        <v>0</v>
      </c>
      <c r="N381" s="174"/>
      <c r="O381" s="256">
        <v>111626</v>
      </c>
      <c r="P381" s="16">
        <f t="shared" si="96"/>
        <v>20442</v>
      </c>
      <c r="Q381" s="53">
        <f t="shared" si="97"/>
        <v>0.18312937846021538</v>
      </c>
    </row>
    <row r="382" spans="1:17" s="15" customFormat="1" ht="12.75" hidden="1" outlineLevel="2">
      <c r="A382" s="15" t="s">
        <v>1045</v>
      </c>
      <c r="B382" s="15" t="s">
        <v>1046</v>
      </c>
      <c r="C382" s="134" t="s">
        <v>1047</v>
      </c>
      <c r="D382" s="16"/>
      <c r="E382" s="16"/>
      <c r="F382" s="16">
        <v>-2523501</v>
      </c>
      <c r="G382" s="16">
        <v>-1809347</v>
      </c>
      <c r="H382" s="16">
        <f t="shared" si="92"/>
        <v>-714154</v>
      </c>
      <c r="I382" s="53">
        <f t="shared" si="93"/>
        <v>-0.39470261923224237</v>
      </c>
      <c r="J382" s="174"/>
      <c r="K382" s="256">
        <v>-2523501</v>
      </c>
      <c r="L382" s="16">
        <f t="shared" si="94"/>
        <v>0</v>
      </c>
      <c r="M382" s="53">
        <f t="shared" si="95"/>
        <v>0</v>
      </c>
      <c r="N382" s="174"/>
      <c r="O382" s="256">
        <v>-2389490</v>
      </c>
      <c r="P382" s="16">
        <f t="shared" si="96"/>
        <v>-134011</v>
      </c>
      <c r="Q382" s="53">
        <f t="shared" si="97"/>
        <v>-0.056083515729297886</v>
      </c>
    </row>
    <row r="383" spans="1:17" s="15" customFormat="1" ht="12.75" hidden="1" outlineLevel="2">
      <c r="A383" s="15" t="s">
        <v>1048</v>
      </c>
      <c r="B383" s="15" t="s">
        <v>1049</v>
      </c>
      <c r="C383" s="134" t="s">
        <v>1050</v>
      </c>
      <c r="D383" s="16"/>
      <c r="E383" s="16"/>
      <c r="F383" s="16">
        <v>-399969</v>
      </c>
      <c r="G383" s="16">
        <v>-256032</v>
      </c>
      <c r="H383" s="16">
        <f t="shared" si="92"/>
        <v>-143937</v>
      </c>
      <c r="I383" s="53">
        <f t="shared" si="93"/>
        <v>-0.562183633295838</v>
      </c>
      <c r="J383" s="174"/>
      <c r="K383" s="256">
        <v>-399969</v>
      </c>
      <c r="L383" s="16">
        <f t="shared" si="94"/>
        <v>0</v>
      </c>
      <c r="M383" s="53">
        <f t="shared" si="95"/>
        <v>0</v>
      </c>
      <c r="N383" s="174"/>
      <c r="O383" s="256">
        <v>-377056</v>
      </c>
      <c r="P383" s="16">
        <f t="shared" si="96"/>
        <v>-22913</v>
      </c>
      <c r="Q383" s="53">
        <f t="shared" si="97"/>
        <v>-0.06076816175846558</v>
      </c>
    </row>
    <row r="384" spans="1:17" ht="12.75" collapsed="1">
      <c r="A384" s="11" t="s">
        <v>263</v>
      </c>
      <c r="C384" s="228" t="s">
        <v>194</v>
      </c>
      <c r="E384" s="11"/>
      <c r="F384" s="18">
        <v>22200957.626000002</v>
      </c>
      <c r="G384" s="18">
        <v>-16293407.78</v>
      </c>
      <c r="H384" s="51">
        <f>+F384-G384</f>
        <v>38494365.406</v>
      </c>
      <c r="I384" s="136">
        <f>IF(G384&lt;0,IF(H384=0,0,IF(OR(G384=0,F384=0),"N.M.",IF(ABS(H384/G384)&gt;=10,"N.M.",H384/(-G384)))),IF(H384=0,0,IF(OR(G384=0,F384=0),"N.M.",IF(ABS(H384/G384)&gt;=10,"N.M.",H384/G384))))</f>
        <v>2.3625730065659725</v>
      </c>
      <c r="J384" s="166"/>
      <c r="K384" s="18">
        <v>22945332.106</v>
      </c>
      <c r="L384" s="51">
        <f>+F384-K384</f>
        <v>-744374.4799999967</v>
      </c>
      <c r="M384" s="136" t="str">
        <f>IF(K384&lt;0,IF(L384=0,0,IF(OR(K384=0,N384=0),"N.M.",IF(ABS(L384/K384)&gt;=10,"N.M.",L384/(-K384)))),IF(L384=0,0,IF(OR(K384=0,N384=0),"N.M.",IF(ABS(L384/K384)&gt;=10,"N.M.",L384/K384))))</f>
        <v>N.M.</v>
      </c>
      <c r="N384" s="166"/>
      <c r="O384" s="18">
        <v>20404486.05</v>
      </c>
      <c r="P384" s="51">
        <f>+F384-O384</f>
        <v>1796471.5760000013</v>
      </c>
      <c r="Q384" s="136">
        <f>IF(O384&lt;0,IF(P384=0,0,IF(OR(O384=0,F384=0),"N.M.",IF(ABS(P384/O384)&gt;=10,"N.M.",P384/(-O384)))),IF(P384=0,0,IF(OR(O384=0,F384=0),"N.M.",IF(ABS(P384/O384)&gt;=10,"N.M.",P384/O384))))</f>
        <v>0.08804297111908885</v>
      </c>
    </row>
    <row r="385" spans="3:17" ht="0.75" customHeight="1" hidden="1" outlineLevel="1">
      <c r="C385" s="228"/>
      <c r="E385" s="11"/>
      <c r="H385" s="51"/>
      <c r="I385" s="136"/>
      <c r="J385" s="166"/>
      <c r="K385" s="18"/>
      <c r="L385" s="51"/>
      <c r="M385" s="136"/>
      <c r="N385" s="166"/>
      <c r="O385" s="18"/>
      <c r="P385" s="51"/>
      <c r="Q385" s="136"/>
    </row>
    <row r="386" spans="1:17" s="15" customFormat="1" ht="12.75" hidden="1" outlineLevel="2">
      <c r="A386" s="15" t="s">
        <v>1051</v>
      </c>
      <c r="B386" s="15" t="s">
        <v>1052</v>
      </c>
      <c r="C386" s="134" t="s">
        <v>1053</v>
      </c>
      <c r="D386" s="16"/>
      <c r="E386" s="16"/>
      <c r="F386" s="16">
        <v>10838488.95</v>
      </c>
      <c r="G386" s="16">
        <v>10838488.91</v>
      </c>
      <c r="H386" s="16">
        <f aca="true" t="shared" si="98" ref="H386:H391">+F386-G386</f>
        <v>0.03999999910593033</v>
      </c>
      <c r="I386" s="53">
        <f aca="true" t="shared" si="99" ref="I386:I391">IF(G386&lt;0,IF(H386=0,0,IF(OR(G386=0,F386=0),"N.M.",IF(ABS(H386/G386)&gt;=10,"N.M.",H386/(-G386)))),IF(H386=0,0,IF(OR(G386=0,F386=0),"N.M.",IF(ABS(H386/G386)&gt;=10,"N.M.",H386/G386))))</f>
        <v>3.6905512786957613E-09</v>
      </c>
      <c r="J386" s="174"/>
      <c r="K386" s="256">
        <v>8013009.78</v>
      </c>
      <c r="L386" s="16">
        <f aca="true" t="shared" si="100" ref="L386:L391">+F386-K386</f>
        <v>2825479.169999999</v>
      </c>
      <c r="M386" s="53" t="str">
        <f aca="true" t="shared" si="101" ref="M386:M391">IF(K386&lt;0,IF(L386=0,0,IF(OR(K386=0,N386=0),"N.M.",IF(ABS(L386/K386)&gt;=10,"N.M.",L386/(-K386)))),IF(L386=0,0,IF(OR(K386=0,N386=0),"N.M.",IF(ABS(L386/K386)&gt;=10,"N.M.",L386/K386))))</f>
        <v>N.M.</v>
      </c>
      <c r="N386" s="174"/>
      <c r="O386" s="256">
        <v>6461093.1</v>
      </c>
      <c r="P386" s="16">
        <f aca="true" t="shared" si="102" ref="P386:P391">+F386-O386</f>
        <v>4377395.85</v>
      </c>
      <c r="Q386" s="53">
        <f aca="true" t="shared" si="103" ref="Q386:Q391">IF(O386&lt;0,IF(P386=0,0,IF(OR(O386=0,F386=0),"N.M.",IF(ABS(P386/O386)&gt;=10,"N.M.",P386/(-O386)))),IF(P386=0,0,IF(OR(O386=0,F386=0),"N.M.",IF(ABS(P386/O386)&gt;=10,"N.M.",P386/O386))))</f>
        <v>0.6775008163866266</v>
      </c>
    </row>
    <row r="387" spans="1:17" s="15" customFormat="1" ht="12.75" hidden="1" outlineLevel="2">
      <c r="A387" s="15" t="s">
        <v>1054</v>
      </c>
      <c r="B387" s="15" t="s">
        <v>1055</v>
      </c>
      <c r="C387" s="134" t="s">
        <v>1056</v>
      </c>
      <c r="D387" s="16"/>
      <c r="E387" s="16"/>
      <c r="F387" s="16">
        <v>461089.45</v>
      </c>
      <c r="G387" s="16">
        <v>422358.45</v>
      </c>
      <c r="H387" s="16">
        <f t="shared" si="98"/>
        <v>38731</v>
      </c>
      <c r="I387" s="53">
        <f t="shared" si="99"/>
        <v>0.09170172870934629</v>
      </c>
      <c r="J387" s="174"/>
      <c r="K387" s="256">
        <v>366018.93</v>
      </c>
      <c r="L387" s="16">
        <f t="shared" si="100"/>
        <v>95070.52000000002</v>
      </c>
      <c r="M387" s="53" t="str">
        <f t="shared" si="101"/>
        <v>N.M.</v>
      </c>
      <c r="N387" s="174"/>
      <c r="O387" s="256">
        <v>1018537.94</v>
      </c>
      <c r="P387" s="16">
        <f t="shared" si="102"/>
        <v>-557448.49</v>
      </c>
      <c r="Q387" s="53">
        <f t="shared" si="103"/>
        <v>-0.5473026267435851</v>
      </c>
    </row>
    <row r="388" spans="1:17" s="15" customFormat="1" ht="12.75" hidden="1" outlineLevel="2">
      <c r="A388" s="15" t="s">
        <v>1057</v>
      </c>
      <c r="B388" s="15" t="s">
        <v>1058</v>
      </c>
      <c r="C388" s="134" t="s">
        <v>1059</v>
      </c>
      <c r="D388" s="16"/>
      <c r="E388" s="16"/>
      <c r="F388" s="16">
        <v>2743.684</v>
      </c>
      <c r="G388" s="16">
        <v>2444.254</v>
      </c>
      <c r="H388" s="16">
        <f t="shared" si="98"/>
        <v>299.4300000000003</v>
      </c>
      <c r="I388" s="53">
        <f t="shared" si="99"/>
        <v>0.1225036350559313</v>
      </c>
      <c r="J388" s="174"/>
      <c r="K388" s="256">
        <v>2742.844</v>
      </c>
      <c r="L388" s="16">
        <f t="shared" si="100"/>
        <v>0.8400000000001455</v>
      </c>
      <c r="M388" s="53" t="str">
        <f t="shared" si="101"/>
        <v>N.M.</v>
      </c>
      <c r="N388" s="174"/>
      <c r="O388" s="256">
        <v>3012.134</v>
      </c>
      <c r="P388" s="16">
        <f t="shared" si="102"/>
        <v>-268.4499999999998</v>
      </c>
      <c r="Q388" s="53">
        <f t="shared" si="103"/>
        <v>-0.08912286106793384</v>
      </c>
    </row>
    <row r="389" spans="1:17" s="15" customFormat="1" ht="12.75" hidden="1" outlineLevel="2">
      <c r="A389" s="15" t="s">
        <v>1060</v>
      </c>
      <c r="B389" s="15" t="s">
        <v>1061</v>
      </c>
      <c r="C389" s="134" t="s">
        <v>1062</v>
      </c>
      <c r="D389" s="16"/>
      <c r="E389" s="16"/>
      <c r="F389" s="16">
        <v>542562</v>
      </c>
      <c r="G389" s="16">
        <v>727519</v>
      </c>
      <c r="H389" s="16">
        <f t="shared" si="98"/>
        <v>-184957</v>
      </c>
      <c r="I389" s="53">
        <f t="shared" si="99"/>
        <v>-0.25422978643856725</v>
      </c>
      <c r="J389" s="174"/>
      <c r="K389" s="256">
        <v>542562</v>
      </c>
      <c r="L389" s="16">
        <f t="shared" si="100"/>
        <v>0</v>
      </c>
      <c r="M389" s="53">
        <f t="shared" si="101"/>
        <v>0</v>
      </c>
      <c r="N389" s="174"/>
      <c r="O389" s="256">
        <v>547119</v>
      </c>
      <c r="P389" s="16">
        <f t="shared" si="102"/>
        <v>-4557</v>
      </c>
      <c r="Q389" s="53">
        <f t="shared" si="103"/>
        <v>-0.008329083800781914</v>
      </c>
    </row>
    <row r="390" spans="1:17" s="15" customFormat="1" ht="12.75" hidden="1" outlineLevel="2">
      <c r="A390" s="15" t="s">
        <v>1063</v>
      </c>
      <c r="B390" s="15" t="s">
        <v>1064</v>
      </c>
      <c r="C390" s="134" t="s">
        <v>1065</v>
      </c>
      <c r="D390" s="16"/>
      <c r="E390" s="16"/>
      <c r="F390" s="16">
        <v>18390</v>
      </c>
      <c r="G390" s="16">
        <v>433934</v>
      </c>
      <c r="H390" s="16">
        <f t="shared" si="98"/>
        <v>-415544</v>
      </c>
      <c r="I390" s="53">
        <f t="shared" si="99"/>
        <v>-0.9576202832688842</v>
      </c>
      <c r="J390" s="174"/>
      <c r="K390" s="256">
        <v>18390</v>
      </c>
      <c r="L390" s="16">
        <f t="shared" si="100"/>
        <v>0</v>
      </c>
      <c r="M390" s="53">
        <f t="shared" si="101"/>
        <v>0</v>
      </c>
      <c r="N390" s="174"/>
      <c r="O390" s="256">
        <v>18390</v>
      </c>
      <c r="P390" s="16">
        <f t="shared" si="102"/>
        <v>0</v>
      </c>
      <c r="Q390" s="53">
        <f t="shared" si="103"/>
        <v>0</v>
      </c>
    </row>
    <row r="391" spans="1:17" s="15" customFormat="1" ht="12.75" hidden="1" outlineLevel="2">
      <c r="A391" s="15" t="s">
        <v>1066</v>
      </c>
      <c r="B391" s="15" t="s">
        <v>1067</v>
      </c>
      <c r="C391" s="134" t="s">
        <v>1068</v>
      </c>
      <c r="D391" s="16"/>
      <c r="E391" s="16"/>
      <c r="F391" s="16">
        <v>6402</v>
      </c>
      <c r="G391" s="16">
        <v>0</v>
      </c>
      <c r="H391" s="16">
        <f t="shared" si="98"/>
        <v>6402</v>
      </c>
      <c r="I391" s="53" t="str">
        <f t="shared" si="99"/>
        <v>N.M.</v>
      </c>
      <c r="J391" s="174"/>
      <c r="K391" s="256">
        <v>6402</v>
      </c>
      <c r="L391" s="16">
        <f t="shared" si="100"/>
        <v>0</v>
      </c>
      <c r="M391" s="53">
        <f t="shared" si="101"/>
        <v>0</v>
      </c>
      <c r="N391" s="174"/>
      <c r="O391" s="256">
        <v>0</v>
      </c>
      <c r="P391" s="16">
        <f t="shared" si="102"/>
        <v>6402</v>
      </c>
      <c r="Q391" s="53" t="str">
        <f t="shared" si="103"/>
        <v>N.M.</v>
      </c>
    </row>
    <row r="392" spans="1:17" ht="12.75" collapsed="1">
      <c r="A392" s="11" t="s">
        <v>264</v>
      </c>
      <c r="C392" s="228" t="s">
        <v>195</v>
      </c>
      <c r="E392" s="11"/>
      <c r="F392" s="18">
        <v>11869676.083999999</v>
      </c>
      <c r="G392" s="18">
        <v>12424744.614</v>
      </c>
      <c r="H392" s="51">
        <f>+F392-G392</f>
        <v>-555068.5300000012</v>
      </c>
      <c r="I392" s="136">
        <f>IF(G392&lt;0,IF(H392=0,0,IF(OR(G392=0,F392=0),"N.M.",IF(ABS(H392/G392)&gt;=10,"N.M.",H392/(-G392)))),IF(H392=0,0,IF(OR(G392=0,F392=0),"N.M.",IF(ABS(H392/G392)&gt;=10,"N.M.",H392/G392))))</f>
        <v>-0.04467444178889271</v>
      </c>
      <c r="J392" s="166"/>
      <c r="K392" s="18">
        <v>8949125.554</v>
      </c>
      <c r="L392" s="51">
        <f>+F392-K392</f>
        <v>2920550.5299999993</v>
      </c>
      <c r="M392" s="136" t="str">
        <f>IF(K392&lt;0,IF(L392=0,0,IF(OR(K392=0,N392=0),"N.M.",IF(ABS(L392/K392)&gt;=10,"N.M.",L392/(-K392)))),IF(L392=0,0,IF(OR(K392=0,N392=0),"N.M.",IF(ABS(L392/K392)&gt;=10,"N.M.",L392/K392))))</f>
        <v>N.M.</v>
      </c>
      <c r="N392" s="166"/>
      <c r="O392" s="18">
        <v>8048152.173999999</v>
      </c>
      <c r="P392" s="51">
        <f>+F392-O392</f>
        <v>3821523.91</v>
      </c>
      <c r="Q392" s="136">
        <f>IF(O392&lt;0,IF(P392=0,0,IF(OR(O392=0,F392=0),"N.M.",IF(ABS(P392/O392)&gt;=10,"N.M.",P392/(-O392)))),IF(P392=0,0,IF(OR(O392=0,F392=0),"N.M.",IF(ABS(P392/O392)&gt;=10,"N.M.",P392/O392))))</f>
        <v>0.47483246183461153</v>
      </c>
    </row>
    <row r="393" spans="3:17" ht="0.75" customHeight="1" hidden="1" outlineLevel="1">
      <c r="C393" s="228"/>
      <c r="E393" s="11"/>
      <c r="H393" s="51"/>
      <c r="I393" s="136"/>
      <c r="J393" s="166"/>
      <c r="K393" s="18"/>
      <c r="L393" s="51"/>
      <c r="M393" s="136"/>
      <c r="N393" s="166"/>
      <c r="O393" s="18"/>
      <c r="P393" s="51"/>
      <c r="Q393" s="136"/>
    </row>
    <row r="394" spans="1:17" ht="12.75" collapsed="1">
      <c r="A394" s="11" t="s">
        <v>265</v>
      </c>
      <c r="C394" s="228" t="s">
        <v>196</v>
      </c>
      <c r="E394" s="11"/>
      <c r="F394" s="18">
        <v>0</v>
      </c>
      <c r="G394" s="18">
        <v>0</v>
      </c>
      <c r="H394" s="51">
        <f>+F394-G394</f>
        <v>0</v>
      </c>
      <c r="I394" s="136">
        <f>IF(G394&lt;0,IF(H394=0,0,IF(OR(G394=0,F394=0),"N.M.",IF(ABS(H394/G394)&gt;=10,"N.M.",H394/(-G394)))),IF(H394=0,0,IF(OR(G394=0,F394=0),"N.M.",IF(ABS(H394/G394)&gt;=10,"N.M.",H394/G394))))</f>
        <v>0</v>
      </c>
      <c r="J394" s="166"/>
      <c r="K394" s="18">
        <v>0</v>
      </c>
      <c r="L394" s="51">
        <f>+F394-K394</f>
        <v>0</v>
      </c>
      <c r="M394" s="136">
        <f>IF(K394&lt;0,IF(L394=0,0,IF(OR(K394=0,N394=0),"N.M.",IF(ABS(L394/K394)&gt;=10,"N.M.",L394/(-K394)))),IF(L394=0,0,IF(OR(K394=0,N394=0),"N.M.",IF(ABS(L394/K394)&gt;=10,"N.M.",L394/K394))))</f>
        <v>0</v>
      </c>
      <c r="N394" s="166"/>
      <c r="O394" s="18">
        <v>0</v>
      </c>
      <c r="P394" s="51">
        <f>+F394-O394</f>
        <v>0</v>
      </c>
      <c r="Q394" s="136">
        <f>IF(O394&lt;0,IF(P394=0,0,IF(OR(O394=0,F394=0),"N.M.",IF(ABS(P394/O394)&gt;=10,"N.M.",P394/(-O394)))),IF(P394=0,0,IF(OR(O394=0,F394=0),"N.M.",IF(ABS(P394/O394)&gt;=10,"N.M.",P394/O394))))</f>
        <v>0</v>
      </c>
    </row>
    <row r="395" spans="3:17" ht="0.75" customHeight="1" hidden="1" outlineLevel="1">
      <c r="C395" s="228"/>
      <c r="E395" s="11"/>
      <c r="H395" s="51"/>
      <c r="I395" s="136"/>
      <c r="J395" s="166"/>
      <c r="K395" s="18"/>
      <c r="L395" s="51"/>
      <c r="M395" s="136"/>
      <c r="N395" s="166"/>
      <c r="O395" s="18"/>
      <c r="P395" s="51"/>
      <c r="Q395" s="136"/>
    </row>
    <row r="396" spans="1:17" s="15" customFormat="1" ht="12.75" hidden="1" outlineLevel="2">
      <c r="A396" s="15" t="s">
        <v>1069</v>
      </c>
      <c r="B396" s="15" t="s">
        <v>1070</v>
      </c>
      <c r="C396" s="134" t="s">
        <v>1071</v>
      </c>
      <c r="D396" s="16"/>
      <c r="E396" s="16"/>
      <c r="F396" s="16">
        <v>1524066.49</v>
      </c>
      <c r="G396" s="16">
        <v>1833941.8</v>
      </c>
      <c r="H396" s="16">
        <f>+F396-G396</f>
        <v>-309875.31000000006</v>
      </c>
      <c r="I396" s="53">
        <f>IF(G396&lt;0,IF(H396=0,0,IF(OR(G396=0,F396=0),"N.M.",IF(ABS(H396/G396)&gt;=10,"N.M.",H396/(-G396)))),IF(H396=0,0,IF(OR(G396=0,F396=0),"N.M.",IF(ABS(H396/G396)&gt;=10,"N.M.",H396/G396))))</f>
        <v>-0.1689668178128663</v>
      </c>
      <c r="J396" s="174"/>
      <c r="K396" s="256">
        <v>1554956.6099999999</v>
      </c>
      <c r="L396" s="16">
        <f>+F396-K396</f>
        <v>-30890.11999999988</v>
      </c>
      <c r="M396" s="53" t="str">
        <f>IF(K396&lt;0,IF(L396=0,0,IF(OR(K396=0,N396=0),"N.M.",IF(ABS(L396/K396)&gt;=10,"N.M.",L396/(-K396)))),IF(L396=0,0,IF(OR(K396=0,N396=0),"N.M.",IF(ABS(L396/K396)&gt;=10,"N.M.",L396/K396))))</f>
        <v>N.M.</v>
      </c>
      <c r="N396" s="174"/>
      <c r="O396" s="256">
        <v>1843550.42</v>
      </c>
      <c r="P396" s="16">
        <f>+F396-O396</f>
        <v>-319483.92999999993</v>
      </c>
      <c r="Q396" s="53">
        <f>IF(O396&lt;0,IF(P396=0,0,IF(OR(O396=0,F396=0),"N.M.",IF(ABS(P396/O396)&gt;=10,"N.M.",P396/(-O396)))),IF(P396=0,0,IF(OR(O396=0,F396=0),"N.M.",IF(ABS(P396/O396)&gt;=10,"N.M.",P396/O396))))</f>
        <v>-0.17329817863077482</v>
      </c>
    </row>
    <row r="397" spans="1:17" s="15" customFormat="1" ht="12.75" hidden="1" outlineLevel="2">
      <c r="A397" s="15" t="s">
        <v>1072</v>
      </c>
      <c r="B397" s="15" t="s">
        <v>1073</v>
      </c>
      <c r="C397" s="134" t="s">
        <v>1074</v>
      </c>
      <c r="D397" s="16"/>
      <c r="E397" s="16"/>
      <c r="F397" s="16">
        <v>600.33</v>
      </c>
      <c r="G397" s="16">
        <v>18515.13</v>
      </c>
      <c r="H397" s="16">
        <f>+F397-G397</f>
        <v>-17914.8</v>
      </c>
      <c r="I397" s="53">
        <f>IF(G397&lt;0,IF(H397=0,0,IF(OR(G397=0,F397=0),"N.M.",IF(ABS(H397/G397)&gt;=10,"N.M.",H397/(-G397)))),IF(H397=0,0,IF(OR(G397=0,F397=0),"N.M.",IF(ABS(H397/G397)&gt;=10,"N.M.",H397/G397))))</f>
        <v>-0.9675762471016945</v>
      </c>
      <c r="J397" s="174"/>
      <c r="K397" s="256">
        <v>1001.7900000000001</v>
      </c>
      <c r="L397" s="16">
        <f>+F397-K397</f>
        <v>-401.46000000000004</v>
      </c>
      <c r="M397" s="53" t="str">
        <f>IF(K397&lt;0,IF(L397=0,0,IF(OR(K397=0,N397=0),"N.M.",IF(ABS(L397/K397)&gt;=10,"N.M.",L397/(-K397)))),IF(L397=0,0,IF(OR(K397=0,N397=0),"N.M.",IF(ABS(L397/K397)&gt;=10,"N.M.",L397/K397))))</f>
        <v>N.M.</v>
      </c>
      <c r="N397" s="174"/>
      <c r="O397" s="256">
        <v>277.83</v>
      </c>
      <c r="P397" s="16">
        <f>+F397-O397</f>
        <v>322.50000000000006</v>
      </c>
      <c r="Q397" s="53">
        <f>IF(O397&lt;0,IF(P397=0,0,IF(OR(O397=0,F397=0),"N.M.",IF(ABS(P397/O397)&gt;=10,"N.M.",P397/(-O397)))),IF(P397=0,0,IF(OR(O397=0,F397=0),"N.M.",IF(ABS(P397/O397)&gt;=10,"N.M.",P397/O397))))</f>
        <v>1.1607817730266712</v>
      </c>
    </row>
    <row r="398" spans="1:17" ht="12.75" collapsed="1">
      <c r="A398" s="11" t="s">
        <v>266</v>
      </c>
      <c r="C398" s="228" t="s">
        <v>197</v>
      </c>
      <c r="E398" s="11"/>
      <c r="F398" s="18">
        <v>1524666.82</v>
      </c>
      <c r="G398" s="18">
        <v>1852456.93</v>
      </c>
      <c r="H398" s="51">
        <f>+F398-G398</f>
        <v>-327790.10999999987</v>
      </c>
      <c r="I398" s="136">
        <f>IF(G398&lt;0,IF(H398=0,0,IF(OR(G398=0,F398=0),"N.M.",IF(ABS(H398/G398)&gt;=10,"N.M.",H398/(-G398)))),IF(H398=0,0,IF(OR(G398=0,F398=0),"N.M.",IF(ABS(H398/G398)&gt;=10,"N.M.",H398/G398))))</f>
        <v>-0.1769488427458337</v>
      </c>
      <c r="J398" s="166"/>
      <c r="K398" s="18">
        <v>1555958.4</v>
      </c>
      <c r="L398" s="51">
        <f>+F398-K398</f>
        <v>-31291.57999999984</v>
      </c>
      <c r="M398" s="136" t="str">
        <f>IF(K398&lt;0,IF(L398=0,0,IF(OR(K398=0,N398=0),"N.M.",IF(ABS(L398/K398)&gt;=10,"N.M.",L398/(-K398)))),IF(L398=0,0,IF(OR(K398=0,N398=0),"N.M.",IF(ABS(L398/K398)&gt;=10,"N.M.",L398/K398))))</f>
        <v>N.M.</v>
      </c>
      <c r="N398" s="166"/>
      <c r="O398" s="18">
        <v>1843828.25</v>
      </c>
      <c r="P398" s="51">
        <f>+F398-O398</f>
        <v>-319161.42999999993</v>
      </c>
      <c r="Q398" s="136">
        <f>IF(O398&lt;0,IF(P398=0,0,IF(OR(O398=0,F398=0),"N.M.",IF(ABS(P398/O398)&gt;=10,"N.M.",P398/(-O398)))),IF(P398=0,0,IF(OR(O398=0,F398=0),"N.M.",IF(ABS(P398/O398)&gt;=10,"N.M.",P398/O398))))</f>
        <v>-0.17309715804603815</v>
      </c>
    </row>
    <row r="399" spans="3:17" ht="0.75" customHeight="1" hidden="1" outlineLevel="1">
      <c r="C399" s="228"/>
      <c r="E399" s="11"/>
      <c r="H399" s="51"/>
      <c r="I399" s="136"/>
      <c r="J399" s="166"/>
      <c r="K399" s="18"/>
      <c r="L399" s="51"/>
      <c r="M399" s="136"/>
      <c r="N399" s="166"/>
      <c r="O399" s="18"/>
      <c r="P399" s="51"/>
      <c r="Q399" s="136"/>
    </row>
    <row r="400" spans="1:17" s="15" customFormat="1" ht="12.75" hidden="1" outlineLevel="2">
      <c r="A400" s="15" t="s">
        <v>1075</v>
      </c>
      <c r="B400" s="15" t="s">
        <v>1076</v>
      </c>
      <c r="C400" s="134" t="s">
        <v>1077</v>
      </c>
      <c r="D400" s="16"/>
      <c r="E400" s="16"/>
      <c r="F400" s="16">
        <v>3642749.46</v>
      </c>
      <c r="G400" s="16">
        <v>8093495.61</v>
      </c>
      <c r="H400" s="16">
        <f aca="true" t="shared" si="104" ref="H400:H405">+F400-G400</f>
        <v>-4450746.15</v>
      </c>
      <c r="I400" s="53">
        <f aca="true" t="shared" si="105" ref="I400:I405">IF(G400&lt;0,IF(H400=0,0,IF(OR(G400=0,F400=0),"N.M.",IF(ABS(H400/G400)&gt;=10,"N.M.",H400/(-G400)))),IF(H400=0,0,IF(OR(G400=0,F400=0),"N.M.",IF(ABS(H400/G400)&gt;=10,"N.M.",H400/G400))))</f>
        <v>-0.5499164223306473</v>
      </c>
      <c r="J400" s="174"/>
      <c r="K400" s="256">
        <v>5204642.53</v>
      </c>
      <c r="L400" s="16">
        <f aca="true" t="shared" si="106" ref="L400:L405">+F400-K400</f>
        <v>-1561893.0700000003</v>
      </c>
      <c r="M400" s="53" t="str">
        <f aca="true" t="shared" si="107" ref="M400:M405">IF(K400&lt;0,IF(L400=0,0,IF(OR(K400=0,N400=0),"N.M.",IF(ABS(L400/K400)&gt;=10,"N.M.",L400/(-K400)))),IF(L400=0,0,IF(OR(K400=0,N400=0),"N.M.",IF(ABS(L400/K400)&gt;=10,"N.M.",L400/K400))))</f>
        <v>N.M.</v>
      </c>
      <c r="N400" s="174"/>
      <c r="O400" s="256">
        <v>7337232.24</v>
      </c>
      <c r="P400" s="16">
        <f aca="true" t="shared" si="108" ref="P400:P405">+F400-O400</f>
        <v>-3694482.7800000003</v>
      </c>
      <c r="Q400" s="53">
        <f aca="true" t="shared" si="109" ref="Q400:Q405">IF(O400&lt;0,IF(P400=0,0,IF(OR(O400=0,F400=0),"N.M.",IF(ABS(P400/O400)&gt;=10,"N.M.",P400/(-O400)))),IF(P400=0,0,IF(OR(O400=0,F400=0),"N.M.",IF(ABS(P400/O400)&gt;=10,"N.M.",P400/O400))))</f>
        <v>-0.5035253974733122</v>
      </c>
    </row>
    <row r="401" spans="1:17" s="15" customFormat="1" ht="12.75" hidden="1" outlineLevel="2">
      <c r="A401" s="15" t="s">
        <v>1078</v>
      </c>
      <c r="B401" s="15" t="s">
        <v>1079</v>
      </c>
      <c r="C401" s="134" t="s">
        <v>1080</v>
      </c>
      <c r="D401" s="16"/>
      <c r="E401" s="16"/>
      <c r="F401" s="16">
        <v>61802</v>
      </c>
      <c r="G401" s="16">
        <v>185664.56</v>
      </c>
      <c r="H401" s="16">
        <f t="shared" si="104"/>
        <v>-123862.56</v>
      </c>
      <c r="I401" s="53">
        <f t="shared" si="105"/>
        <v>-0.6671308730109828</v>
      </c>
      <c r="J401" s="174"/>
      <c r="K401" s="256">
        <v>71633</v>
      </c>
      <c r="L401" s="16">
        <f t="shared" si="106"/>
        <v>-9831</v>
      </c>
      <c r="M401" s="53" t="str">
        <f t="shared" si="107"/>
        <v>N.M.</v>
      </c>
      <c r="N401" s="174"/>
      <c r="O401" s="256">
        <v>72544</v>
      </c>
      <c r="P401" s="16">
        <f t="shared" si="108"/>
        <v>-10742</v>
      </c>
      <c r="Q401" s="53">
        <f t="shared" si="109"/>
        <v>-0.1480756506396118</v>
      </c>
    </row>
    <row r="402" spans="1:17" s="15" customFormat="1" ht="12.75" hidden="1" outlineLevel="2">
      <c r="A402" s="15" t="s">
        <v>1081</v>
      </c>
      <c r="B402" s="15" t="s">
        <v>1082</v>
      </c>
      <c r="C402" s="134" t="s">
        <v>1083</v>
      </c>
      <c r="D402" s="16"/>
      <c r="E402" s="16"/>
      <c r="F402" s="16">
        <v>52517.4</v>
      </c>
      <c r="G402" s="16">
        <v>50977.65</v>
      </c>
      <c r="H402" s="16">
        <f t="shared" si="104"/>
        <v>1539.75</v>
      </c>
      <c r="I402" s="53">
        <f t="shared" si="105"/>
        <v>0.030204413110451345</v>
      </c>
      <c r="J402" s="174"/>
      <c r="K402" s="256">
        <v>54624.49</v>
      </c>
      <c r="L402" s="16">
        <f t="shared" si="106"/>
        <v>-2107.0899999999965</v>
      </c>
      <c r="M402" s="53" t="str">
        <f t="shared" si="107"/>
        <v>N.M.</v>
      </c>
      <c r="N402" s="174"/>
      <c r="O402" s="256">
        <v>55869.04</v>
      </c>
      <c r="P402" s="16">
        <f t="shared" si="108"/>
        <v>-3351.6399999999994</v>
      </c>
      <c r="Q402" s="53">
        <f t="shared" si="109"/>
        <v>-0.059991007541923026</v>
      </c>
    </row>
    <row r="403" spans="1:17" s="15" customFormat="1" ht="12.75" hidden="1" outlineLevel="2">
      <c r="A403" s="15" t="s">
        <v>1084</v>
      </c>
      <c r="B403" s="15" t="s">
        <v>1085</v>
      </c>
      <c r="C403" s="134" t="s">
        <v>1086</v>
      </c>
      <c r="D403" s="16"/>
      <c r="E403" s="16"/>
      <c r="F403" s="16">
        <v>-265384</v>
      </c>
      <c r="G403" s="16">
        <v>-3841002</v>
      </c>
      <c r="H403" s="16">
        <f t="shared" si="104"/>
        <v>3575618</v>
      </c>
      <c r="I403" s="53">
        <f t="shared" si="105"/>
        <v>0.9309076121282936</v>
      </c>
      <c r="J403" s="174"/>
      <c r="K403" s="256">
        <v>-1039383</v>
      </c>
      <c r="L403" s="16">
        <f t="shared" si="106"/>
        <v>773999</v>
      </c>
      <c r="M403" s="53" t="str">
        <f t="shared" si="107"/>
        <v>N.M.</v>
      </c>
      <c r="N403" s="174"/>
      <c r="O403" s="256">
        <v>-1657390</v>
      </c>
      <c r="P403" s="16">
        <f t="shared" si="108"/>
        <v>1392006</v>
      </c>
      <c r="Q403" s="53">
        <f t="shared" si="109"/>
        <v>0.8398783629682814</v>
      </c>
    </row>
    <row r="404" spans="1:17" s="15" customFormat="1" ht="12.75" hidden="1" outlineLevel="2">
      <c r="A404" s="15" t="s">
        <v>1087</v>
      </c>
      <c r="B404" s="15" t="s">
        <v>1088</v>
      </c>
      <c r="C404" s="134" t="s">
        <v>1089</v>
      </c>
      <c r="D404" s="16"/>
      <c r="E404" s="16"/>
      <c r="F404" s="16">
        <v>331775</v>
      </c>
      <c r="G404" s="16">
        <v>518097</v>
      </c>
      <c r="H404" s="16">
        <f t="shared" si="104"/>
        <v>-186322</v>
      </c>
      <c r="I404" s="53">
        <f t="shared" si="105"/>
        <v>-0.3596276372957188</v>
      </c>
      <c r="J404" s="174"/>
      <c r="K404" s="256">
        <v>112186</v>
      </c>
      <c r="L404" s="16">
        <f t="shared" si="106"/>
        <v>219589</v>
      </c>
      <c r="M404" s="53" t="str">
        <f t="shared" si="107"/>
        <v>N.M.</v>
      </c>
      <c r="N404" s="174"/>
      <c r="O404" s="256">
        <v>150677</v>
      </c>
      <c r="P404" s="16">
        <f t="shared" si="108"/>
        <v>181098</v>
      </c>
      <c r="Q404" s="53">
        <f t="shared" si="109"/>
        <v>1.2018954452238895</v>
      </c>
    </row>
    <row r="405" spans="1:17" ht="12.75" collapsed="1">
      <c r="A405" s="11" t="s">
        <v>267</v>
      </c>
      <c r="C405" s="228" t="s">
        <v>198</v>
      </c>
      <c r="E405" s="11"/>
      <c r="F405" s="18">
        <v>3823459.86</v>
      </c>
      <c r="G405" s="18">
        <v>5007232.82</v>
      </c>
      <c r="H405" s="51">
        <f t="shared" si="104"/>
        <v>-1183772.9600000004</v>
      </c>
      <c r="I405" s="136">
        <f t="shared" si="105"/>
        <v>-0.23641260603496372</v>
      </c>
      <c r="J405" s="166"/>
      <c r="K405" s="18">
        <v>4403703.0200000005</v>
      </c>
      <c r="L405" s="51">
        <f t="shared" si="106"/>
        <v>-580243.1600000006</v>
      </c>
      <c r="M405" s="136" t="str">
        <f t="shared" si="107"/>
        <v>N.M.</v>
      </c>
      <c r="N405" s="166"/>
      <c r="O405" s="18">
        <v>5958932.28</v>
      </c>
      <c r="P405" s="51">
        <f t="shared" si="108"/>
        <v>-2135472.4200000004</v>
      </c>
      <c r="Q405" s="136">
        <f t="shared" si="109"/>
        <v>-0.35836494184827355</v>
      </c>
    </row>
    <row r="406" spans="3:17" ht="0.75" customHeight="1" hidden="1" outlineLevel="1">
      <c r="C406" s="228"/>
      <c r="E406" s="11"/>
      <c r="H406" s="18"/>
      <c r="I406" s="141"/>
      <c r="J406" s="166"/>
      <c r="K406" s="18"/>
      <c r="L406" s="18"/>
      <c r="M406" s="141"/>
      <c r="N406" s="166"/>
      <c r="O406" s="18"/>
      <c r="P406" s="18"/>
      <c r="Q406" s="141"/>
    </row>
    <row r="407" spans="1:17" s="15" customFormat="1" ht="12.75" hidden="1" outlineLevel="2">
      <c r="A407" s="15" t="s">
        <v>1090</v>
      </c>
      <c r="B407" s="15" t="s">
        <v>1091</v>
      </c>
      <c r="C407" s="134" t="s">
        <v>1092</v>
      </c>
      <c r="D407" s="16"/>
      <c r="E407" s="16"/>
      <c r="F407" s="16">
        <v>0</v>
      </c>
      <c r="G407" s="16">
        <v>0</v>
      </c>
      <c r="H407" s="16">
        <f aca="true" t="shared" si="110" ref="H407:H413">+F407-G407</f>
        <v>0</v>
      </c>
      <c r="I407" s="53">
        <f aca="true" t="shared" si="111" ref="I407:I413">IF(G407&lt;0,IF(H407=0,0,IF(OR(G407=0,F407=0),"N.M.",IF(ABS(H407/G407)&gt;=10,"N.M.",H407/(-G407)))),IF(H407=0,0,IF(OR(G407=0,F407=0),"N.M.",IF(ABS(H407/G407)&gt;=10,"N.M.",H407/G407))))</f>
        <v>0</v>
      </c>
      <c r="J407" s="174"/>
      <c r="K407" s="256">
        <v>0</v>
      </c>
      <c r="L407" s="16">
        <f aca="true" t="shared" si="112" ref="L407:L413">+F407-K407</f>
        <v>0</v>
      </c>
      <c r="M407" s="53">
        <f aca="true" t="shared" si="113" ref="M407:M413">IF(K407&lt;0,IF(L407=0,0,IF(OR(K407=0,N407=0),"N.M.",IF(ABS(L407/K407)&gt;=10,"N.M.",L407/(-K407)))),IF(L407=0,0,IF(OR(K407=0,N407=0),"N.M.",IF(ABS(L407/K407)&gt;=10,"N.M.",L407/K407))))</f>
        <v>0</v>
      </c>
      <c r="N407" s="174"/>
      <c r="O407" s="256">
        <v>214417.08000000002</v>
      </c>
      <c r="P407" s="16">
        <f aca="true" t="shared" si="114" ref="P407:P413">+F407-O407</f>
        <v>-214417.08000000002</v>
      </c>
      <c r="Q407" s="53" t="str">
        <f aca="true" t="shared" si="115" ref="Q407:Q413">IF(O407&lt;0,IF(P407=0,0,IF(OR(O407=0,F407=0),"N.M.",IF(ABS(P407/O407)&gt;=10,"N.M.",P407/(-O407)))),IF(P407=0,0,IF(OR(O407=0,F407=0),"N.M.",IF(ABS(P407/O407)&gt;=10,"N.M.",P407/O407))))</f>
        <v>N.M.</v>
      </c>
    </row>
    <row r="408" spans="1:17" s="15" customFormat="1" ht="12.75" hidden="1" outlineLevel="2">
      <c r="A408" s="15" t="s">
        <v>1093</v>
      </c>
      <c r="B408" s="15" t="s">
        <v>1094</v>
      </c>
      <c r="C408" s="134" t="s">
        <v>1095</v>
      </c>
      <c r="D408" s="16"/>
      <c r="E408" s="16"/>
      <c r="F408" s="16">
        <v>76966.81</v>
      </c>
      <c r="G408" s="16">
        <v>79110.68000000001</v>
      </c>
      <c r="H408" s="16">
        <f t="shared" si="110"/>
        <v>-2143.87000000001</v>
      </c>
      <c r="I408" s="53">
        <f t="shared" si="111"/>
        <v>-0.027099628014826946</v>
      </c>
      <c r="J408" s="174"/>
      <c r="K408" s="256">
        <v>79598.15000000001</v>
      </c>
      <c r="L408" s="16">
        <f t="shared" si="112"/>
        <v>-2631.340000000011</v>
      </c>
      <c r="M408" s="53" t="str">
        <f t="shared" si="113"/>
        <v>N.M.</v>
      </c>
      <c r="N408" s="174"/>
      <c r="O408" s="256">
        <v>146019.05000000002</v>
      </c>
      <c r="P408" s="16">
        <f t="shared" si="114"/>
        <v>-69052.24000000002</v>
      </c>
      <c r="Q408" s="53">
        <f t="shared" si="115"/>
        <v>-0.4728988443631157</v>
      </c>
    </row>
    <row r="409" spans="1:17" s="15" customFormat="1" ht="12.75" hidden="1" outlineLevel="2">
      <c r="A409" s="15" t="s">
        <v>1096</v>
      </c>
      <c r="B409" s="15" t="s">
        <v>1097</v>
      </c>
      <c r="C409" s="134" t="s">
        <v>1098</v>
      </c>
      <c r="D409" s="16"/>
      <c r="E409" s="16"/>
      <c r="F409" s="16">
        <v>12712.85</v>
      </c>
      <c r="G409" s="16">
        <v>13537.380000000001</v>
      </c>
      <c r="H409" s="16">
        <f t="shared" si="110"/>
        <v>-824.5300000000007</v>
      </c>
      <c r="I409" s="53">
        <f t="shared" si="111"/>
        <v>-0.06090764978156782</v>
      </c>
      <c r="J409" s="174"/>
      <c r="K409" s="256">
        <v>6173.35</v>
      </c>
      <c r="L409" s="16">
        <f t="shared" si="112"/>
        <v>6539.5</v>
      </c>
      <c r="M409" s="53" t="str">
        <f t="shared" si="113"/>
        <v>N.M.</v>
      </c>
      <c r="N409" s="174"/>
      <c r="O409" s="256">
        <v>20115.52</v>
      </c>
      <c r="P409" s="16">
        <f t="shared" si="114"/>
        <v>-7402.67</v>
      </c>
      <c r="Q409" s="53">
        <f t="shared" si="115"/>
        <v>-0.3680078864478771</v>
      </c>
    </row>
    <row r="410" spans="1:17" s="15" customFormat="1" ht="12.75" hidden="1" outlineLevel="2">
      <c r="A410" s="15" t="s">
        <v>1099</v>
      </c>
      <c r="B410" s="15" t="s">
        <v>1100</v>
      </c>
      <c r="C410" s="134" t="s">
        <v>1101</v>
      </c>
      <c r="D410" s="16"/>
      <c r="E410" s="16"/>
      <c r="F410" s="16">
        <v>737649.49</v>
      </c>
      <c r="G410" s="16">
        <v>575405.51</v>
      </c>
      <c r="H410" s="16">
        <f t="shared" si="110"/>
        <v>162243.97999999998</v>
      </c>
      <c r="I410" s="53">
        <f t="shared" si="111"/>
        <v>0.28196459224034887</v>
      </c>
      <c r="J410" s="174"/>
      <c r="K410" s="256">
        <v>726320.5</v>
      </c>
      <c r="L410" s="16">
        <f t="shared" si="112"/>
        <v>11328.98999999999</v>
      </c>
      <c r="M410" s="53" t="str">
        <f t="shared" si="113"/>
        <v>N.M.</v>
      </c>
      <c r="N410" s="174"/>
      <c r="O410" s="256">
        <v>766911.75</v>
      </c>
      <c r="P410" s="16">
        <f t="shared" si="114"/>
        <v>-29262.26000000001</v>
      </c>
      <c r="Q410" s="53">
        <f t="shared" si="115"/>
        <v>-0.03815596774987475</v>
      </c>
    </row>
    <row r="411" spans="1:17" s="15" customFormat="1" ht="12.75" hidden="1" outlineLevel="2">
      <c r="A411" s="15" t="s">
        <v>1102</v>
      </c>
      <c r="B411" s="15" t="s">
        <v>1103</v>
      </c>
      <c r="C411" s="134" t="s">
        <v>1104</v>
      </c>
      <c r="D411" s="16"/>
      <c r="E411" s="16"/>
      <c r="F411" s="16">
        <v>0</v>
      </c>
      <c r="G411" s="16">
        <v>0</v>
      </c>
      <c r="H411" s="16">
        <f t="shared" si="110"/>
        <v>0</v>
      </c>
      <c r="I411" s="53">
        <f t="shared" si="111"/>
        <v>0</v>
      </c>
      <c r="J411" s="174"/>
      <c r="K411" s="256">
        <v>0</v>
      </c>
      <c r="L411" s="16">
        <f t="shared" si="112"/>
        <v>0</v>
      </c>
      <c r="M411" s="53">
        <f t="shared" si="113"/>
        <v>0</v>
      </c>
      <c r="N411" s="174"/>
      <c r="O411" s="256">
        <v>104159.95</v>
      </c>
      <c r="P411" s="16">
        <f t="shared" si="114"/>
        <v>-104159.95</v>
      </c>
      <c r="Q411" s="53" t="str">
        <f t="shared" si="115"/>
        <v>N.M.</v>
      </c>
    </row>
    <row r="412" spans="1:17" s="15" customFormat="1" ht="12.75" hidden="1" outlineLevel="2">
      <c r="A412" s="15" t="s">
        <v>1105</v>
      </c>
      <c r="B412" s="15" t="s">
        <v>1106</v>
      </c>
      <c r="C412" s="134" t="s">
        <v>1107</v>
      </c>
      <c r="D412" s="16"/>
      <c r="E412" s="16"/>
      <c r="F412" s="16">
        <v>118805.62</v>
      </c>
      <c r="G412" s="16">
        <v>93781.29000000001</v>
      </c>
      <c r="H412" s="16">
        <f t="shared" si="110"/>
        <v>25024.329999999987</v>
      </c>
      <c r="I412" s="53">
        <f t="shared" si="111"/>
        <v>0.2668371271071232</v>
      </c>
      <c r="J412" s="174"/>
      <c r="K412" s="256">
        <v>75014.87</v>
      </c>
      <c r="L412" s="16">
        <f t="shared" si="112"/>
        <v>43790.75</v>
      </c>
      <c r="M412" s="53" t="str">
        <f t="shared" si="113"/>
        <v>N.M.</v>
      </c>
      <c r="N412" s="174"/>
      <c r="O412" s="256">
        <v>185402.13</v>
      </c>
      <c r="P412" s="16">
        <f t="shared" si="114"/>
        <v>-66596.51000000001</v>
      </c>
      <c r="Q412" s="53">
        <f t="shared" si="115"/>
        <v>-0.3592003500714906</v>
      </c>
    </row>
    <row r="413" spans="1:17" s="15" customFormat="1" ht="12.75" hidden="1" outlineLevel="2">
      <c r="A413" s="15" t="s">
        <v>1108</v>
      </c>
      <c r="B413" s="15" t="s">
        <v>1109</v>
      </c>
      <c r="C413" s="134" t="s">
        <v>1110</v>
      </c>
      <c r="D413" s="16"/>
      <c r="E413" s="16"/>
      <c r="F413" s="16">
        <v>831246.98</v>
      </c>
      <c r="G413" s="16">
        <v>702101.48</v>
      </c>
      <c r="H413" s="16">
        <f t="shared" si="110"/>
        <v>129145.5</v>
      </c>
      <c r="I413" s="53">
        <f t="shared" si="111"/>
        <v>0.18394135844863907</v>
      </c>
      <c r="J413" s="174"/>
      <c r="K413" s="256">
        <v>902308.36</v>
      </c>
      <c r="L413" s="16">
        <f t="shared" si="112"/>
        <v>-71061.38</v>
      </c>
      <c r="M413" s="53" t="str">
        <f t="shared" si="113"/>
        <v>N.M.</v>
      </c>
      <c r="N413" s="174"/>
      <c r="O413" s="256">
        <v>1239874.24</v>
      </c>
      <c r="P413" s="16">
        <f t="shared" si="114"/>
        <v>-408627.26</v>
      </c>
      <c r="Q413" s="53">
        <f t="shared" si="115"/>
        <v>-0.3295715378359663</v>
      </c>
    </row>
    <row r="414" spans="1:17" s="1" customFormat="1" ht="12.75" hidden="1" outlineLevel="1">
      <c r="A414" s="1" t="s">
        <v>268</v>
      </c>
      <c r="C414" s="114" t="s">
        <v>200</v>
      </c>
      <c r="D414" s="34"/>
      <c r="F414" s="34">
        <v>1777381.75</v>
      </c>
      <c r="G414" s="34">
        <v>1463936.34</v>
      </c>
      <c r="H414" s="51">
        <f aca="true" t="shared" si="116" ref="H414:H433">+F414-G414</f>
        <v>313445.4099999999</v>
      </c>
      <c r="I414" s="136">
        <f aca="true" t="shared" si="117" ref="I414:I433">IF(G414&lt;0,IF(H414=0,0,IF(OR(G414=0,F414=0),"N.M.",IF(ABS(H414/G414)&gt;=10,"N.M.",H414/(-G414)))),IF(H414=0,0,IF(OR(G414=0,F414=0),"N.M.",IF(ABS(H414/G414)&gt;=10,"N.M.",H414/G414))))</f>
        <v>0.2141113663453425</v>
      </c>
      <c r="J414" s="167"/>
      <c r="K414" s="34">
        <v>1789415.23</v>
      </c>
      <c r="L414" s="51">
        <f aca="true" t="shared" si="118" ref="L414:L433">+F414-K414</f>
        <v>-12033.479999999981</v>
      </c>
      <c r="M414" s="136" t="str">
        <f aca="true" t="shared" si="119" ref="M414:M433">IF(K414&lt;0,IF(L414=0,0,IF(OR(K414=0,N414=0),"N.M.",IF(ABS(L414/K414)&gt;=10,"N.M.",L414/(-K414)))),IF(L414=0,0,IF(OR(K414=0,N414=0),"N.M.",IF(ABS(L414/K414)&gt;=10,"N.M.",L414/K414))))</f>
        <v>N.M.</v>
      </c>
      <c r="N414" s="167"/>
      <c r="O414" s="34">
        <v>2676899.7199999997</v>
      </c>
      <c r="P414" s="51">
        <f aca="true" t="shared" si="120" ref="P414:P433">+F414-O414</f>
        <v>-899517.9699999997</v>
      </c>
      <c r="Q414" s="136">
        <f aca="true" t="shared" si="121" ref="Q414:Q433">IF(O414&lt;0,IF(P414=0,0,IF(OR(O414=0,F414=0),"N.M.",IF(ABS(P414/O414)&gt;=10,"N.M.",P414/(-O414)))),IF(P414=0,0,IF(OR(O414=0,F414=0),"N.M.",IF(ABS(P414/O414)&gt;=10,"N.M.",P414/O414))))</f>
        <v>-0.33602975982977795</v>
      </c>
    </row>
    <row r="415" spans="1:17" s="15" customFormat="1" ht="12.75" hidden="1" outlineLevel="2">
      <c r="A415" s="15" t="s">
        <v>1111</v>
      </c>
      <c r="B415" s="15" t="s">
        <v>1112</v>
      </c>
      <c r="C415" s="134" t="s">
        <v>1113</v>
      </c>
      <c r="D415" s="16"/>
      <c r="E415" s="16"/>
      <c r="F415" s="16">
        <v>1799612.46</v>
      </c>
      <c r="G415" s="16">
        <v>1951573.63</v>
      </c>
      <c r="H415" s="16">
        <f t="shared" si="116"/>
        <v>-151961.16999999993</v>
      </c>
      <c r="I415" s="53">
        <f t="shared" si="117"/>
        <v>-0.07786596809058131</v>
      </c>
      <c r="J415" s="174"/>
      <c r="K415" s="256">
        <v>1834515.6400000001</v>
      </c>
      <c r="L415" s="16">
        <f t="shared" si="118"/>
        <v>-34903.18000000017</v>
      </c>
      <c r="M415" s="53" t="str">
        <f t="shared" si="119"/>
        <v>N.M.</v>
      </c>
      <c r="N415" s="174"/>
      <c r="O415" s="256">
        <v>1974128.3</v>
      </c>
      <c r="P415" s="16">
        <f t="shared" si="120"/>
        <v>-174515.84000000008</v>
      </c>
      <c r="Q415" s="53">
        <f t="shared" si="121"/>
        <v>-0.08840146813152928</v>
      </c>
    </row>
    <row r="416" spans="1:17" s="1" customFormat="1" ht="12.75" hidden="1" outlineLevel="1">
      <c r="A416" s="1" t="s">
        <v>269</v>
      </c>
      <c r="C416" s="114" t="s">
        <v>201</v>
      </c>
      <c r="D416" s="34"/>
      <c r="F416" s="34">
        <v>1799612.46</v>
      </c>
      <c r="G416" s="34">
        <v>1951573.63</v>
      </c>
      <c r="H416" s="51">
        <f t="shared" si="116"/>
        <v>-151961.16999999993</v>
      </c>
      <c r="I416" s="136">
        <f t="shared" si="117"/>
        <v>-0.07786596809058131</v>
      </c>
      <c r="J416" s="167"/>
      <c r="K416" s="34">
        <v>1834515.6400000001</v>
      </c>
      <c r="L416" s="51">
        <f t="shared" si="118"/>
        <v>-34903.18000000017</v>
      </c>
      <c r="M416" s="136" t="str">
        <f t="shared" si="119"/>
        <v>N.M.</v>
      </c>
      <c r="N416" s="167"/>
      <c r="O416" s="34">
        <v>1974128.3</v>
      </c>
      <c r="P416" s="51">
        <f t="shared" si="120"/>
        <v>-174515.84000000008</v>
      </c>
      <c r="Q416" s="136">
        <f t="shared" si="121"/>
        <v>-0.08840146813152928</v>
      </c>
    </row>
    <row r="417" spans="1:17" s="1" customFormat="1" ht="12.75" hidden="1" outlineLevel="1">
      <c r="A417" s="1" t="s">
        <v>270</v>
      </c>
      <c r="C417" s="124" t="s">
        <v>202</v>
      </c>
      <c r="D417" s="34"/>
      <c r="F417" s="34">
        <v>0</v>
      </c>
      <c r="G417" s="34">
        <v>0</v>
      </c>
      <c r="H417" s="51">
        <f t="shared" si="116"/>
        <v>0</v>
      </c>
      <c r="I417" s="136">
        <f t="shared" si="117"/>
        <v>0</v>
      </c>
      <c r="J417" s="167"/>
      <c r="K417" s="34">
        <v>0</v>
      </c>
      <c r="L417" s="51">
        <f t="shared" si="118"/>
        <v>0</v>
      </c>
      <c r="M417" s="136">
        <f t="shared" si="119"/>
        <v>0</v>
      </c>
      <c r="N417" s="167"/>
      <c r="O417" s="34">
        <v>0</v>
      </c>
      <c r="P417" s="51">
        <f t="shared" si="120"/>
        <v>0</v>
      </c>
      <c r="Q417" s="136">
        <f t="shared" si="121"/>
        <v>0</v>
      </c>
    </row>
    <row r="418" spans="1:17" s="15" customFormat="1" ht="12.75" hidden="1" outlineLevel="2">
      <c r="A418" s="15" t="s">
        <v>1114</v>
      </c>
      <c r="B418" s="15" t="s">
        <v>1115</v>
      </c>
      <c r="C418" s="134" t="s">
        <v>1116</v>
      </c>
      <c r="D418" s="16"/>
      <c r="E418" s="16"/>
      <c r="F418" s="16">
        <v>866.19</v>
      </c>
      <c r="G418" s="16">
        <v>6099.4800000000005</v>
      </c>
      <c r="H418" s="16">
        <f t="shared" si="116"/>
        <v>-5233.290000000001</v>
      </c>
      <c r="I418" s="53">
        <f t="shared" si="117"/>
        <v>-0.8579895335340062</v>
      </c>
      <c r="J418" s="174"/>
      <c r="K418" s="256">
        <v>73026.47</v>
      </c>
      <c r="L418" s="16">
        <f t="shared" si="118"/>
        <v>-72160.28</v>
      </c>
      <c r="M418" s="53" t="str">
        <f t="shared" si="119"/>
        <v>N.M.</v>
      </c>
      <c r="N418" s="174"/>
      <c r="O418" s="256">
        <v>0</v>
      </c>
      <c r="P418" s="16">
        <f t="shared" si="120"/>
        <v>866.19</v>
      </c>
      <c r="Q418" s="53" t="str">
        <f t="shared" si="121"/>
        <v>N.M.</v>
      </c>
    </row>
    <row r="419" spans="1:17" s="1" customFormat="1" ht="12.75" hidden="1" outlineLevel="1">
      <c r="A419" s="1" t="s">
        <v>271</v>
      </c>
      <c r="B419" s="86"/>
      <c r="C419" s="125" t="s">
        <v>203</v>
      </c>
      <c r="D419" s="34"/>
      <c r="F419" s="197">
        <v>866.19</v>
      </c>
      <c r="G419" s="197">
        <v>6099.4800000000005</v>
      </c>
      <c r="H419" s="197">
        <f t="shared" si="116"/>
        <v>-5233.290000000001</v>
      </c>
      <c r="I419" s="138">
        <f t="shared" si="117"/>
        <v>-0.8579895335340062</v>
      </c>
      <c r="J419" s="167"/>
      <c r="K419" s="197">
        <v>73026.47</v>
      </c>
      <c r="L419" s="197">
        <f t="shared" si="118"/>
        <v>-72160.28</v>
      </c>
      <c r="M419" s="138" t="str">
        <f t="shared" si="119"/>
        <v>N.M.</v>
      </c>
      <c r="N419" s="167"/>
      <c r="O419" s="197">
        <v>0</v>
      </c>
      <c r="P419" s="197">
        <f t="shared" si="120"/>
        <v>866.19</v>
      </c>
      <c r="Q419" s="138" t="str">
        <f t="shared" si="121"/>
        <v>N.M.</v>
      </c>
    </row>
    <row r="420" spans="1:17" s="1" customFormat="1" ht="12.75" hidden="1" outlineLevel="1">
      <c r="A420" s="1" t="s">
        <v>272</v>
      </c>
      <c r="B420" s="86"/>
      <c r="C420" s="114" t="s">
        <v>204</v>
      </c>
      <c r="D420" s="34"/>
      <c r="F420" s="34">
        <v>866.19</v>
      </c>
      <c r="G420" s="34">
        <v>6099.4800000000005</v>
      </c>
      <c r="H420" s="51">
        <f t="shared" si="116"/>
        <v>-5233.290000000001</v>
      </c>
      <c r="I420" s="136">
        <f t="shared" si="117"/>
        <v>-0.8579895335340062</v>
      </c>
      <c r="J420" s="167"/>
      <c r="K420" s="34">
        <v>73026.47</v>
      </c>
      <c r="L420" s="51">
        <f t="shared" si="118"/>
        <v>-72160.28</v>
      </c>
      <c r="M420" s="136" t="str">
        <f t="shared" si="119"/>
        <v>N.M.</v>
      </c>
      <c r="N420" s="167"/>
      <c r="O420" s="34">
        <v>0</v>
      </c>
      <c r="P420" s="51">
        <f t="shared" si="120"/>
        <v>866.19</v>
      </c>
      <c r="Q420" s="136" t="str">
        <f t="shared" si="121"/>
        <v>N.M.</v>
      </c>
    </row>
    <row r="421" spans="1:17" s="15" customFormat="1" ht="12.75" hidden="1" outlineLevel="2">
      <c r="A421" s="15" t="s">
        <v>1117</v>
      </c>
      <c r="B421" s="15" t="s">
        <v>1118</v>
      </c>
      <c r="C421" s="134" t="s">
        <v>1119</v>
      </c>
      <c r="D421" s="16"/>
      <c r="E421" s="16"/>
      <c r="F421" s="16">
        <v>2415341.69</v>
      </c>
      <c r="G421" s="16">
        <v>2655023.0700000003</v>
      </c>
      <c r="H421" s="16">
        <f t="shared" si="116"/>
        <v>-239681.38000000035</v>
      </c>
      <c r="I421" s="53">
        <f t="shared" si="117"/>
        <v>-0.0902746882722945</v>
      </c>
      <c r="J421" s="174"/>
      <c r="K421" s="256">
        <v>2569350.16</v>
      </c>
      <c r="L421" s="16">
        <f t="shared" si="118"/>
        <v>-154008.4700000002</v>
      </c>
      <c r="M421" s="53" t="str">
        <f t="shared" si="119"/>
        <v>N.M.</v>
      </c>
      <c r="N421" s="174"/>
      <c r="O421" s="256">
        <v>0</v>
      </c>
      <c r="P421" s="16">
        <f t="shared" si="120"/>
        <v>2415341.69</v>
      </c>
      <c r="Q421" s="53" t="str">
        <f t="shared" si="121"/>
        <v>N.M.</v>
      </c>
    </row>
    <row r="422" spans="1:17" s="15" customFormat="1" ht="12.75" hidden="1" outlineLevel="2">
      <c r="A422" s="15" t="s">
        <v>1120</v>
      </c>
      <c r="B422" s="15" t="s">
        <v>1121</v>
      </c>
      <c r="C422" s="134" t="s">
        <v>1122</v>
      </c>
      <c r="D422" s="16"/>
      <c r="E422" s="16"/>
      <c r="F422" s="16">
        <v>980287.081</v>
      </c>
      <c r="G422" s="16">
        <v>1127539.011</v>
      </c>
      <c r="H422" s="16">
        <f t="shared" si="116"/>
        <v>-147251.92999999993</v>
      </c>
      <c r="I422" s="53">
        <f t="shared" si="117"/>
        <v>-0.13059586281578328</v>
      </c>
      <c r="J422" s="174"/>
      <c r="K422" s="256">
        <v>782202.431</v>
      </c>
      <c r="L422" s="16">
        <f t="shared" si="118"/>
        <v>198084.65000000002</v>
      </c>
      <c r="M422" s="53" t="str">
        <f t="shared" si="119"/>
        <v>N.M.</v>
      </c>
      <c r="N422" s="174"/>
      <c r="O422" s="256">
        <v>2954346.062</v>
      </c>
      <c r="P422" s="16">
        <f t="shared" si="120"/>
        <v>-1974058.981</v>
      </c>
      <c r="Q422" s="53">
        <f t="shared" si="121"/>
        <v>-0.6681881335403286</v>
      </c>
    </row>
    <row r="423" spans="1:17" s="1" customFormat="1" ht="12.75" hidden="1" outlineLevel="1">
      <c r="A423" s="1" t="s">
        <v>273</v>
      </c>
      <c r="C423" s="124" t="s">
        <v>205</v>
      </c>
      <c r="D423" s="34"/>
      <c r="F423" s="34">
        <v>3395628.7709999997</v>
      </c>
      <c r="G423" s="34">
        <v>3782562.0810000002</v>
      </c>
      <c r="H423" s="51">
        <f t="shared" si="116"/>
        <v>-386933.3100000005</v>
      </c>
      <c r="I423" s="136">
        <f t="shared" si="117"/>
        <v>-0.10229397474891054</v>
      </c>
      <c r="J423" s="167"/>
      <c r="K423" s="34">
        <v>3351552.591</v>
      </c>
      <c r="L423" s="51">
        <f t="shared" si="118"/>
        <v>44076.1799999997</v>
      </c>
      <c r="M423" s="136" t="str">
        <f t="shared" si="119"/>
        <v>N.M.</v>
      </c>
      <c r="N423" s="167"/>
      <c r="O423" s="34">
        <v>2954346.062</v>
      </c>
      <c r="P423" s="51">
        <f t="shared" si="120"/>
        <v>441282.7089999998</v>
      </c>
      <c r="Q423" s="136">
        <f t="shared" si="121"/>
        <v>0.14936730489225938</v>
      </c>
    </row>
    <row r="424" spans="1:17" s="15" customFormat="1" ht="12.75" hidden="1" outlineLevel="2">
      <c r="A424" s="15" t="s">
        <v>1123</v>
      </c>
      <c r="B424" s="15" t="s">
        <v>1124</v>
      </c>
      <c r="C424" s="134" t="s">
        <v>1125</v>
      </c>
      <c r="D424" s="16"/>
      <c r="E424" s="16"/>
      <c r="F424" s="16">
        <v>78908.156</v>
      </c>
      <c r="G424" s="16">
        <v>35641.456</v>
      </c>
      <c r="H424" s="16">
        <f t="shared" si="116"/>
        <v>43266.700000000004</v>
      </c>
      <c r="I424" s="53">
        <f t="shared" si="117"/>
        <v>1.2139431116394348</v>
      </c>
      <c r="J424" s="174"/>
      <c r="K424" s="256">
        <v>120200.076</v>
      </c>
      <c r="L424" s="16">
        <f t="shared" si="118"/>
        <v>-41291.92</v>
      </c>
      <c r="M424" s="53" t="str">
        <f t="shared" si="119"/>
        <v>N.M.</v>
      </c>
      <c r="N424" s="174"/>
      <c r="O424" s="256">
        <v>37619.395000000004</v>
      </c>
      <c r="P424" s="16">
        <f t="shared" si="120"/>
        <v>41288.761</v>
      </c>
      <c r="Q424" s="53">
        <f t="shared" si="121"/>
        <v>1.0975392081664257</v>
      </c>
    </row>
    <row r="425" spans="1:17" s="15" customFormat="1" ht="12.75" hidden="1" outlineLevel="2">
      <c r="A425" s="15" t="s">
        <v>1126</v>
      </c>
      <c r="B425" s="15" t="s">
        <v>1127</v>
      </c>
      <c r="C425" s="134" t="s">
        <v>830</v>
      </c>
      <c r="D425" s="16"/>
      <c r="E425" s="16"/>
      <c r="F425" s="16">
        <v>0</v>
      </c>
      <c r="G425" s="16">
        <v>0</v>
      </c>
      <c r="H425" s="16">
        <f t="shared" si="116"/>
        <v>0</v>
      </c>
      <c r="I425" s="53">
        <f t="shared" si="117"/>
        <v>0</v>
      </c>
      <c r="J425" s="174"/>
      <c r="K425" s="256">
        <v>0</v>
      </c>
      <c r="L425" s="16">
        <f t="shared" si="118"/>
        <v>0</v>
      </c>
      <c r="M425" s="53">
        <f t="shared" si="119"/>
        <v>0</v>
      </c>
      <c r="N425" s="174"/>
      <c r="O425" s="256">
        <v>111258.19</v>
      </c>
      <c r="P425" s="16">
        <f t="shared" si="120"/>
        <v>-111258.19</v>
      </c>
      <c r="Q425" s="53" t="str">
        <f t="shared" si="121"/>
        <v>N.M.</v>
      </c>
    </row>
    <row r="426" spans="1:17" s="1" customFormat="1" ht="12.75" hidden="1" outlineLevel="1">
      <c r="A426" s="1" t="s">
        <v>274</v>
      </c>
      <c r="C426" s="125" t="s">
        <v>206</v>
      </c>
      <c r="D426" s="34"/>
      <c r="F426" s="197">
        <v>78908.156</v>
      </c>
      <c r="G426" s="197">
        <v>35641.456</v>
      </c>
      <c r="H426" s="197">
        <f t="shared" si="116"/>
        <v>43266.700000000004</v>
      </c>
      <c r="I426" s="138">
        <f t="shared" si="117"/>
        <v>1.2139431116394348</v>
      </c>
      <c r="J426" s="167"/>
      <c r="K426" s="197">
        <v>120200.076</v>
      </c>
      <c r="L426" s="197">
        <f t="shared" si="118"/>
        <v>-41291.92</v>
      </c>
      <c r="M426" s="138" t="str">
        <f t="shared" si="119"/>
        <v>N.M.</v>
      </c>
      <c r="N426" s="167"/>
      <c r="O426" s="197">
        <v>148877.58500000002</v>
      </c>
      <c r="P426" s="197">
        <f t="shared" si="120"/>
        <v>-69969.42900000002</v>
      </c>
      <c r="Q426" s="138">
        <f t="shared" si="121"/>
        <v>-0.4699796077428312</v>
      </c>
    </row>
    <row r="427" spans="1:17" s="1" customFormat="1" ht="12.75" hidden="1" outlineLevel="1">
      <c r="A427" s="1" t="s">
        <v>275</v>
      </c>
      <c r="C427" s="114" t="s">
        <v>207</v>
      </c>
      <c r="D427" s="34"/>
      <c r="F427" s="34">
        <v>3474536.927</v>
      </c>
      <c r="G427" s="34">
        <v>3818203.5369999995</v>
      </c>
      <c r="H427" s="51">
        <f t="shared" si="116"/>
        <v>-343666.6099999994</v>
      </c>
      <c r="I427" s="136">
        <f t="shared" si="117"/>
        <v>-0.09000740968094689</v>
      </c>
      <c r="J427" s="167"/>
      <c r="K427" s="34">
        <v>3471752.667</v>
      </c>
      <c r="L427" s="51">
        <f t="shared" si="118"/>
        <v>2784.260000000242</v>
      </c>
      <c r="M427" s="136" t="str">
        <f t="shared" si="119"/>
        <v>N.M.</v>
      </c>
      <c r="N427" s="167"/>
      <c r="O427" s="34">
        <v>3103223.647</v>
      </c>
      <c r="P427" s="51">
        <f t="shared" si="120"/>
        <v>371313.28000000026</v>
      </c>
      <c r="Q427" s="136">
        <f t="shared" si="121"/>
        <v>0.11965405083161261</v>
      </c>
    </row>
    <row r="428" spans="1:17" s="15" customFormat="1" ht="12.75" hidden="1" outlineLevel="2">
      <c r="A428" s="15" t="s">
        <v>1128</v>
      </c>
      <c r="B428" s="15" t="s">
        <v>1129</v>
      </c>
      <c r="C428" s="134" t="s">
        <v>1130</v>
      </c>
      <c r="D428" s="16"/>
      <c r="E428" s="16"/>
      <c r="F428" s="16">
        <v>98039.35</v>
      </c>
      <c r="G428" s="16">
        <v>98096.94</v>
      </c>
      <c r="H428" s="16">
        <f t="shared" si="116"/>
        <v>-57.58999999999651</v>
      </c>
      <c r="I428" s="53">
        <f t="shared" si="117"/>
        <v>-0.0005870723388517165</v>
      </c>
      <c r="J428" s="174"/>
      <c r="K428" s="256">
        <v>97934.12</v>
      </c>
      <c r="L428" s="16">
        <f t="shared" si="118"/>
        <v>105.23000000001048</v>
      </c>
      <c r="M428" s="53" t="str">
        <f t="shared" si="119"/>
        <v>N.M.</v>
      </c>
      <c r="N428" s="174"/>
      <c r="O428" s="256">
        <v>85310.28</v>
      </c>
      <c r="P428" s="16">
        <f t="shared" si="120"/>
        <v>12729.070000000007</v>
      </c>
      <c r="Q428" s="53">
        <f t="shared" si="121"/>
        <v>0.1492090988331067</v>
      </c>
    </row>
    <row r="429" spans="1:17" s="15" customFormat="1" ht="12.75" hidden="1" outlineLevel="2">
      <c r="A429" s="15" t="s">
        <v>1131</v>
      </c>
      <c r="B429" s="15" t="s">
        <v>1132</v>
      </c>
      <c r="C429" s="134" t="s">
        <v>1133</v>
      </c>
      <c r="D429" s="16"/>
      <c r="E429" s="16"/>
      <c r="F429" s="16">
        <v>7978.35</v>
      </c>
      <c r="G429" s="16">
        <v>8418.31</v>
      </c>
      <c r="H429" s="16">
        <f t="shared" si="116"/>
        <v>-439.9599999999991</v>
      </c>
      <c r="I429" s="53">
        <f t="shared" si="117"/>
        <v>-0.05226227116844107</v>
      </c>
      <c r="J429" s="174"/>
      <c r="K429" s="256">
        <v>7974.75</v>
      </c>
      <c r="L429" s="16">
        <f t="shared" si="118"/>
        <v>3.600000000000364</v>
      </c>
      <c r="M429" s="53" t="str">
        <f t="shared" si="119"/>
        <v>N.M.</v>
      </c>
      <c r="N429" s="174"/>
      <c r="O429" s="256">
        <v>7423.92</v>
      </c>
      <c r="P429" s="16">
        <f t="shared" si="120"/>
        <v>554.4300000000003</v>
      </c>
      <c r="Q429" s="53">
        <f t="shared" si="121"/>
        <v>0.07468156984450268</v>
      </c>
    </row>
    <row r="430" spans="1:17" s="15" customFormat="1" ht="12.75" hidden="1" outlineLevel="2">
      <c r="A430" s="15" t="s">
        <v>1134</v>
      </c>
      <c r="B430" s="15" t="s">
        <v>1135</v>
      </c>
      <c r="C430" s="134" t="s">
        <v>1136</v>
      </c>
      <c r="D430" s="16"/>
      <c r="E430" s="16"/>
      <c r="F430" s="16">
        <v>46215.41</v>
      </c>
      <c r="G430" s="16">
        <v>30991.74</v>
      </c>
      <c r="H430" s="16">
        <f t="shared" si="116"/>
        <v>15223.670000000002</v>
      </c>
      <c r="I430" s="53">
        <f t="shared" si="117"/>
        <v>0.49121701459808326</v>
      </c>
      <c r="J430" s="174"/>
      <c r="K430" s="256">
        <v>44071.520000000004</v>
      </c>
      <c r="L430" s="16">
        <f t="shared" si="118"/>
        <v>2143.8899999999994</v>
      </c>
      <c r="M430" s="53" t="str">
        <f t="shared" si="119"/>
        <v>N.M.</v>
      </c>
      <c r="N430" s="174"/>
      <c r="O430" s="256">
        <v>48388.99</v>
      </c>
      <c r="P430" s="16">
        <f t="shared" si="120"/>
        <v>-2173.5799999999945</v>
      </c>
      <c r="Q430" s="53">
        <f t="shared" si="121"/>
        <v>-0.04491889580666996</v>
      </c>
    </row>
    <row r="431" spans="1:17" s="1" customFormat="1" ht="12.75" hidden="1" outlineLevel="1">
      <c r="A431" s="1" t="s">
        <v>276</v>
      </c>
      <c r="C431" s="114" t="s">
        <v>208</v>
      </c>
      <c r="D431" s="34"/>
      <c r="F431" s="34">
        <v>152233.11000000002</v>
      </c>
      <c r="G431" s="34">
        <v>137506.99</v>
      </c>
      <c r="H431" s="51">
        <f t="shared" si="116"/>
        <v>14726.120000000024</v>
      </c>
      <c r="I431" s="136">
        <f t="shared" si="117"/>
        <v>0.1070936102957386</v>
      </c>
      <c r="J431" s="167"/>
      <c r="K431" s="34">
        <v>149980.39</v>
      </c>
      <c r="L431" s="51">
        <f t="shared" si="118"/>
        <v>2252.720000000001</v>
      </c>
      <c r="M431" s="136" t="str">
        <f t="shared" si="119"/>
        <v>N.M.</v>
      </c>
      <c r="N431" s="167"/>
      <c r="O431" s="34">
        <v>141123.19</v>
      </c>
      <c r="P431" s="51">
        <f t="shared" si="120"/>
        <v>11109.920000000013</v>
      </c>
      <c r="Q431" s="136">
        <f t="shared" si="121"/>
        <v>0.07872497780130971</v>
      </c>
    </row>
    <row r="432" spans="1:17" s="15" customFormat="1" ht="12.75" hidden="1" outlineLevel="2">
      <c r="A432" s="15" t="s">
        <v>1137</v>
      </c>
      <c r="B432" s="15" t="s">
        <v>1138</v>
      </c>
      <c r="C432" s="134" t="s">
        <v>1139</v>
      </c>
      <c r="D432" s="16"/>
      <c r="E432" s="16"/>
      <c r="F432" s="16">
        <v>480128.25</v>
      </c>
      <c r="G432" s="16">
        <v>611509.29</v>
      </c>
      <c r="H432" s="16">
        <f t="shared" si="116"/>
        <v>-131381.04000000004</v>
      </c>
      <c r="I432" s="53">
        <f t="shared" si="117"/>
        <v>-0.214847169370068</v>
      </c>
      <c r="J432" s="174"/>
      <c r="K432" s="256">
        <v>583697.76</v>
      </c>
      <c r="L432" s="16">
        <f t="shared" si="118"/>
        <v>-103569.51000000001</v>
      </c>
      <c r="M432" s="53" t="str">
        <f t="shared" si="119"/>
        <v>N.M.</v>
      </c>
      <c r="N432" s="174"/>
      <c r="O432" s="256">
        <v>608966.01</v>
      </c>
      <c r="P432" s="16">
        <f t="shared" si="120"/>
        <v>-128837.76000000001</v>
      </c>
      <c r="Q432" s="53">
        <f t="shared" si="121"/>
        <v>-0.21156806436536582</v>
      </c>
    </row>
    <row r="433" spans="1:17" s="1" customFormat="1" ht="12.75" hidden="1" outlineLevel="1">
      <c r="A433" s="1" t="s">
        <v>277</v>
      </c>
      <c r="C433" s="114" t="s">
        <v>209</v>
      </c>
      <c r="D433" s="34"/>
      <c r="F433" s="34">
        <v>480128.25</v>
      </c>
      <c r="G433" s="34">
        <v>611509.29</v>
      </c>
      <c r="H433" s="51">
        <f t="shared" si="116"/>
        <v>-131381.04000000004</v>
      </c>
      <c r="I433" s="136">
        <f t="shared" si="117"/>
        <v>-0.214847169370068</v>
      </c>
      <c r="J433" s="167"/>
      <c r="K433" s="34">
        <v>583697.76</v>
      </c>
      <c r="L433" s="51">
        <f t="shared" si="118"/>
        <v>-103569.51000000001</v>
      </c>
      <c r="M433" s="136" t="str">
        <f t="shared" si="119"/>
        <v>N.M.</v>
      </c>
      <c r="N433" s="167"/>
      <c r="O433" s="34">
        <v>608966.01</v>
      </c>
      <c r="P433" s="51">
        <f t="shared" si="120"/>
        <v>-128837.76000000001</v>
      </c>
      <c r="Q433" s="136">
        <f t="shared" si="121"/>
        <v>-0.21156806436536582</v>
      </c>
    </row>
    <row r="434" spans="1:17" s="15" customFormat="1" ht="12.75" hidden="1" outlineLevel="2">
      <c r="A434" s="15" t="s">
        <v>1140</v>
      </c>
      <c r="B434" s="15" t="s">
        <v>1141</v>
      </c>
      <c r="C434" s="134" t="s">
        <v>1142</v>
      </c>
      <c r="D434" s="16"/>
      <c r="E434" s="16"/>
      <c r="F434" s="16">
        <v>883521.64</v>
      </c>
      <c r="G434" s="16">
        <v>1273428</v>
      </c>
      <c r="H434" s="16">
        <f aca="true" t="shared" si="122" ref="H434:H457">+F434-G434</f>
        <v>-389906.36</v>
      </c>
      <c r="I434" s="53">
        <f aca="true" t="shared" si="123" ref="I434:I457">IF(G434&lt;0,IF(H434=0,0,IF(OR(G434=0,F434=0),"N.M.",IF(ABS(H434/G434)&gt;=10,"N.M.",H434/(-G434)))),IF(H434=0,0,IF(OR(G434=0,F434=0),"N.M.",IF(ABS(H434/G434)&gt;=10,"N.M.",H434/G434))))</f>
        <v>-0.30618641964838217</v>
      </c>
      <c r="J434" s="174"/>
      <c r="K434" s="256">
        <v>883521.64</v>
      </c>
      <c r="L434" s="16">
        <f aca="true" t="shared" si="124" ref="L434:L457">+F434-K434</f>
        <v>0</v>
      </c>
      <c r="M434" s="53">
        <f aca="true" t="shared" si="125" ref="M434:M457">IF(K434&lt;0,IF(L434=0,0,IF(OR(K434=0,N434=0),"N.M.",IF(ABS(L434/K434)&gt;=10,"N.M.",L434/(-K434)))),IF(L434=0,0,IF(OR(K434=0,N434=0),"N.M.",IF(ABS(L434/K434)&gt;=10,"N.M.",L434/K434))))</f>
        <v>0</v>
      </c>
      <c r="N434" s="174"/>
      <c r="O434" s="256">
        <v>1273428</v>
      </c>
      <c r="P434" s="16">
        <f aca="true" t="shared" si="126" ref="P434:P457">+F434-O434</f>
        <v>-389906.36</v>
      </c>
      <c r="Q434" s="53">
        <f aca="true" t="shared" si="127" ref="Q434:Q457">IF(O434&lt;0,IF(P434=0,0,IF(OR(O434=0,F434=0),"N.M.",IF(ABS(P434/O434)&gt;=10,"N.M.",P434/(-O434)))),IF(P434=0,0,IF(OR(O434=0,F434=0),"N.M.",IF(ABS(P434/O434)&gt;=10,"N.M.",P434/O434))))</f>
        <v>-0.30618641964838217</v>
      </c>
    </row>
    <row r="435" spans="1:17" s="15" customFormat="1" ht="12.75" hidden="1" outlineLevel="2">
      <c r="A435" s="15" t="s">
        <v>1143</v>
      </c>
      <c r="B435" s="15" t="s">
        <v>1144</v>
      </c>
      <c r="C435" s="134" t="s">
        <v>1145</v>
      </c>
      <c r="D435" s="16"/>
      <c r="E435" s="16"/>
      <c r="F435" s="16">
        <v>0</v>
      </c>
      <c r="G435" s="16">
        <v>194</v>
      </c>
      <c r="H435" s="16">
        <f t="shared" si="122"/>
        <v>-194</v>
      </c>
      <c r="I435" s="53" t="str">
        <f t="shared" si="123"/>
        <v>N.M.</v>
      </c>
      <c r="J435" s="174"/>
      <c r="K435" s="256">
        <v>0</v>
      </c>
      <c r="L435" s="16">
        <f t="shared" si="124"/>
        <v>0</v>
      </c>
      <c r="M435" s="53">
        <f t="shared" si="125"/>
        <v>0</v>
      </c>
      <c r="N435" s="174"/>
      <c r="O435" s="256">
        <v>0</v>
      </c>
      <c r="P435" s="16">
        <f t="shared" si="126"/>
        <v>0</v>
      </c>
      <c r="Q435" s="53">
        <f t="shared" si="127"/>
        <v>0</v>
      </c>
    </row>
    <row r="436" spans="1:17" s="15" customFormat="1" ht="12.75" hidden="1" outlineLevel="2">
      <c r="A436" s="15" t="s">
        <v>1146</v>
      </c>
      <c r="B436" s="15" t="s">
        <v>1147</v>
      </c>
      <c r="C436" s="134" t="s">
        <v>1148</v>
      </c>
      <c r="D436" s="16"/>
      <c r="E436" s="16"/>
      <c r="F436" s="16">
        <v>3669.15</v>
      </c>
      <c r="G436" s="16">
        <v>4085.2000000000003</v>
      </c>
      <c r="H436" s="16">
        <f t="shared" si="122"/>
        <v>-416.0500000000002</v>
      </c>
      <c r="I436" s="53">
        <f t="shared" si="123"/>
        <v>-0.10184323900910608</v>
      </c>
      <c r="J436" s="174"/>
      <c r="K436" s="256">
        <v>3653.1800000000003</v>
      </c>
      <c r="L436" s="16">
        <f t="shared" si="124"/>
        <v>15.9699999999998</v>
      </c>
      <c r="M436" s="53" t="str">
        <f t="shared" si="125"/>
        <v>N.M.</v>
      </c>
      <c r="N436" s="174"/>
      <c r="O436" s="256">
        <v>3615.98</v>
      </c>
      <c r="P436" s="16">
        <f t="shared" si="126"/>
        <v>53.17000000000007</v>
      </c>
      <c r="Q436" s="53">
        <f t="shared" si="127"/>
        <v>0.014704174248751397</v>
      </c>
    </row>
    <row r="437" spans="1:17" s="15" customFormat="1" ht="12.75" hidden="1" outlineLevel="2">
      <c r="A437" s="15" t="s">
        <v>1149</v>
      </c>
      <c r="B437" s="15" t="s">
        <v>1150</v>
      </c>
      <c r="C437" s="134" t="s">
        <v>1151</v>
      </c>
      <c r="D437" s="16"/>
      <c r="E437" s="16"/>
      <c r="F437" s="16">
        <v>3927.2400000000002</v>
      </c>
      <c r="G437" s="16">
        <v>2241.07</v>
      </c>
      <c r="H437" s="16">
        <f t="shared" si="122"/>
        <v>1686.17</v>
      </c>
      <c r="I437" s="53">
        <f t="shared" si="123"/>
        <v>0.7523950612876884</v>
      </c>
      <c r="J437" s="174"/>
      <c r="K437" s="256">
        <v>3927.2400000000002</v>
      </c>
      <c r="L437" s="16">
        <f t="shared" si="124"/>
        <v>0</v>
      </c>
      <c r="M437" s="53">
        <f t="shared" si="125"/>
        <v>0</v>
      </c>
      <c r="N437" s="174"/>
      <c r="O437" s="256">
        <v>0</v>
      </c>
      <c r="P437" s="16">
        <f t="shared" si="126"/>
        <v>3927.2400000000002</v>
      </c>
      <c r="Q437" s="53" t="str">
        <f t="shared" si="127"/>
        <v>N.M.</v>
      </c>
    </row>
    <row r="438" spans="1:17" s="15" customFormat="1" ht="12.75" hidden="1" outlineLevel="2">
      <c r="A438" s="15" t="s">
        <v>1152</v>
      </c>
      <c r="B438" s="15" t="s">
        <v>1153</v>
      </c>
      <c r="C438" s="134" t="s">
        <v>1154</v>
      </c>
      <c r="D438" s="16"/>
      <c r="E438" s="16"/>
      <c r="F438" s="16">
        <v>34245.24</v>
      </c>
      <c r="G438" s="16">
        <v>0</v>
      </c>
      <c r="H438" s="16">
        <f t="shared" si="122"/>
        <v>34245.24</v>
      </c>
      <c r="I438" s="53" t="str">
        <f t="shared" si="123"/>
        <v>N.M.</v>
      </c>
      <c r="J438" s="174"/>
      <c r="K438" s="256">
        <v>25896.72</v>
      </c>
      <c r="L438" s="16">
        <f t="shared" si="124"/>
        <v>8348.519999999997</v>
      </c>
      <c r="M438" s="53" t="str">
        <f t="shared" si="125"/>
        <v>N.M.</v>
      </c>
      <c r="N438" s="174"/>
      <c r="O438" s="256">
        <v>115556.515</v>
      </c>
      <c r="P438" s="16">
        <f t="shared" si="126"/>
        <v>-81311.275</v>
      </c>
      <c r="Q438" s="53">
        <f t="shared" si="127"/>
        <v>-0.7036494221031154</v>
      </c>
    </row>
    <row r="439" spans="1:17" s="15" customFormat="1" ht="12.75" hidden="1" outlineLevel="2">
      <c r="A439" s="15" t="s">
        <v>1155</v>
      </c>
      <c r="B439" s="15" t="s">
        <v>1156</v>
      </c>
      <c r="C439" s="134" t="s">
        <v>1157</v>
      </c>
      <c r="D439" s="16"/>
      <c r="E439" s="16"/>
      <c r="F439" s="16">
        <v>0</v>
      </c>
      <c r="G439" s="16">
        <v>351374</v>
      </c>
      <c r="H439" s="16">
        <f t="shared" si="122"/>
        <v>-351374</v>
      </c>
      <c r="I439" s="53" t="str">
        <f t="shared" si="123"/>
        <v>N.M.</v>
      </c>
      <c r="J439" s="174"/>
      <c r="K439" s="256">
        <v>0</v>
      </c>
      <c r="L439" s="16">
        <f t="shared" si="124"/>
        <v>0</v>
      </c>
      <c r="M439" s="53">
        <f t="shared" si="125"/>
        <v>0</v>
      </c>
      <c r="N439" s="174"/>
      <c r="O439" s="256">
        <v>0</v>
      </c>
      <c r="P439" s="16">
        <f t="shared" si="126"/>
        <v>0</v>
      </c>
      <c r="Q439" s="53">
        <f t="shared" si="127"/>
        <v>0</v>
      </c>
    </row>
    <row r="440" spans="1:17" s="15" customFormat="1" ht="12.75" hidden="1" outlineLevel="2">
      <c r="A440" s="15" t="s">
        <v>1158</v>
      </c>
      <c r="B440" s="15" t="s">
        <v>1159</v>
      </c>
      <c r="C440" s="134" t="s">
        <v>1160</v>
      </c>
      <c r="D440" s="16"/>
      <c r="E440" s="16"/>
      <c r="F440" s="16">
        <v>685253.462</v>
      </c>
      <c r="G440" s="16">
        <v>1455381.882</v>
      </c>
      <c r="H440" s="16">
        <f t="shared" si="122"/>
        <v>-770128.4199999999</v>
      </c>
      <c r="I440" s="53">
        <f t="shared" si="123"/>
        <v>-0.5291589991086614</v>
      </c>
      <c r="J440" s="174"/>
      <c r="K440" s="256">
        <v>611090.372</v>
      </c>
      <c r="L440" s="16">
        <f t="shared" si="124"/>
        <v>74163.09000000008</v>
      </c>
      <c r="M440" s="53" t="str">
        <f t="shared" si="125"/>
        <v>N.M.</v>
      </c>
      <c r="N440" s="174"/>
      <c r="O440" s="256">
        <v>621992.832</v>
      </c>
      <c r="P440" s="16">
        <f t="shared" si="126"/>
        <v>63260.630000000005</v>
      </c>
      <c r="Q440" s="53">
        <f t="shared" si="127"/>
        <v>0.10170636500196838</v>
      </c>
    </row>
    <row r="441" spans="1:17" s="15" customFormat="1" ht="12.75" hidden="1" outlineLevel="2">
      <c r="A441" s="15" t="s">
        <v>1161</v>
      </c>
      <c r="B441" s="15" t="s">
        <v>1162</v>
      </c>
      <c r="C441" s="134" t="s">
        <v>1163</v>
      </c>
      <c r="D441" s="16"/>
      <c r="E441" s="16"/>
      <c r="F441" s="16">
        <v>735.3140000000001</v>
      </c>
      <c r="G441" s="16">
        <v>513.544</v>
      </c>
      <c r="H441" s="16">
        <f t="shared" si="122"/>
        <v>221.7700000000001</v>
      </c>
      <c r="I441" s="53">
        <f t="shared" si="123"/>
        <v>0.43184225694390377</v>
      </c>
      <c r="J441" s="174"/>
      <c r="K441" s="256">
        <v>745.4240000000001</v>
      </c>
      <c r="L441" s="16">
        <f t="shared" si="124"/>
        <v>-10.110000000000014</v>
      </c>
      <c r="M441" s="53" t="str">
        <f t="shared" si="125"/>
        <v>N.M.</v>
      </c>
      <c r="N441" s="174"/>
      <c r="O441" s="256">
        <v>745.4240000000001</v>
      </c>
      <c r="P441" s="16">
        <f t="shared" si="126"/>
        <v>-10.110000000000014</v>
      </c>
      <c r="Q441" s="53">
        <f t="shared" si="127"/>
        <v>-0.013562750863937855</v>
      </c>
    </row>
    <row r="442" spans="1:17" s="15" customFormat="1" ht="12.75" hidden="1" outlineLevel="2">
      <c r="A442" s="15" t="s">
        <v>1164</v>
      </c>
      <c r="B442" s="15" t="s">
        <v>1165</v>
      </c>
      <c r="C442" s="134" t="s">
        <v>1166</v>
      </c>
      <c r="D442" s="16"/>
      <c r="E442" s="16"/>
      <c r="F442" s="16">
        <v>106819.28</v>
      </c>
      <c r="G442" s="16">
        <v>86907.75</v>
      </c>
      <c r="H442" s="16">
        <f t="shared" si="122"/>
        <v>19911.53</v>
      </c>
      <c r="I442" s="53">
        <f t="shared" si="123"/>
        <v>0.22911109768691512</v>
      </c>
      <c r="J442" s="174"/>
      <c r="K442" s="256">
        <v>100387.33</v>
      </c>
      <c r="L442" s="16">
        <f t="shared" si="124"/>
        <v>6431.949999999997</v>
      </c>
      <c r="M442" s="53" t="str">
        <f t="shared" si="125"/>
        <v>N.M.</v>
      </c>
      <c r="N442" s="174"/>
      <c r="O442" s="256">
        <v>97874.7</v>
      </c>
      <c r="P442" s="16">
        <f t="shared" si="126"/>
        <v>8944.580000000002</v>
      </c>
      <c r="Q442" s="53">
        <f t="shared" si="127"/>
        <v>0.09138807066586158</v>
      </c>
    </row>
    <row r="443" spans="1:17" s="15" customFormat="1" ht="12.75" hidden="1" outlineLevel="2">
      <c r="A443" s="15" t="s">
        <v>1167</v>
      </c>
      <c r="B443" s="15" t="s">
        <v>1168</v>
      </c>
      <c r="C443" s="134" t="s">
        <v>1169</v>
      </c>
      <c r="D443" s="16"/>
      <c r="E443" s="16"/>
      <c r="F443" s="16">
        <v>1213449.24</v>
      </c>
      <c r="G443" s="16">
        <v>1608832.4</v>
      </c>
      <c r="H443" s="16">
        <f t="shared" si="122"/>
        <v>-395383.1599999999</v>
      </c>
      <c r="I443" s="53">
        <f t="shared" si="123"/>
        <v>-0.24575783033708168</v>
      </c>
      <c r="J443" s="174"/>
      <c r="K443" s="256">
        <v>1495415.98</v>
      </c>
      <c r="L443" s="16">
        <f t="shared" si="124"/>
        <v>-281966.74</v>
      </c>
      <c r="M443" s="53" t="str">
        <f t="shared" si="125"/>
        <v>N.M.</v>
      </c>
      <c r="N443" s="174"/>
      <c r="O443" s="256">
        <v>1471859.92</v>
      </c>
      <c r="P443" s="16">
        <f t="shared" si="126"/>
        <v>-258410.67999999993</v>
      </c>
      <c r="Q443" s="53">
        <f t="shared" si="127"/>
        <v>-0.17556744122769505</v>
      </c>
    </row>
    <row r="444" spans="1:17" s="15" customFormat="1" ht="12.75" hidden="1" outlineLevel="2">
      <c r="A444" s="15" t="s">
        <v>1170</v>
      </c>
      <c r="B444" s="15" t="s">
        <v>1171</v>
      </c>
      <c r="C444" s="134" t="s">
        <v>1172</v>
      </c>
      <c r="D444" s="16"/>
      <c r="E444" s="16"/>
      <c r="F444" s="16">
        <v>0</v>
      </c>
      <c r="G444" s="16">
        <v>6239.09</v>
      </c>
      <c r="H444" s="16">
        <f t="shared" si="122"/>
        <v>-6239.09</v>
      </c>
      <c r="I444" s="53" t="str">
        <f t="shared" si="123"/>
        <v>N.M.</v>
      </c>
      <c r="J444" s="174"/>
      <c r="K444" s="256">
        <v>0</v>
      </c>
      <c r="L444" s="16">
        <f t="shared" si="124"/>
        <v>0</v>
      </c>
      <c r="M444" s="53">
        <f t="shared" si="125"/>
        <v>0</v>
      </c>
      <c r="N444" s="174"/>
      <c r="O444" s="256">
        <v>75772.66</v>
      </c>
      <c r="P444" s="16">
        <f t="shared" si="126"/>
        <v>-75772.66</v>
      </c>
      <c r="Q444" s="53" t="str">
        <f t="shared" si="127"/>
        <v>N.M.</v>
      </c>
    </row>
    <row r="445" spans="1:17" s="15" customFormat="1" ht="12.75" hidden="1" outlineLevel="2">
      <c r="A445" s="15" t="s">
        <v>1173</v>
      </c>
      <c r="B445" s="15" t="s">
        <v>1174</v>
      </c>
      <c r="C445" s="134" t="s">
        <v>1172</v>
      </c>
      <c r="D445" s="16"/>
      <c r="E445" s="16"/>
      <c r="F445" s="16">
        <v>404.64</v>
      </c>
      <c r="G445" s="16">
        <v>0</v>
      </c>
      <c r="H445" s="16">
        <f t="shared" si="122"/>
        <v>404.64</v>
      </c>
      <c r="I445" s="53" t="str">
        <f t="shared" si="123"/>
        <v>N.M.</v>
      </c>
      <c r="J445" s="174"/>
      <c r="K445" s="256">
        <v>68.24</v>
      </c>
      <c r="L445" s="16">
        <f t="shared" si="124"/>
        <v>336.4</v>
      </c>
      <c r="M445" s="53" t="str">
        <f t="shared" si="125"/>
        <v>N.M.</v>
      </c>
      <c r="N445" s="174"/>
      <c r="O445" s="256">
        <v>0</v>
      </c>
      <c r="P445" s="16">
        <f t="shared" si="126"/>
        <v>404.64</v>
      </c>
      <c r="Q445" s="53" t="str">
        <f t="shared" si="127"/>
        <v>N.M.</v>
      </c>
    </row>
    <row r="446" spans="1:17" s="15" customFormat="1" ht="12.75" hidden="1" outlineLevel="2">
      <c r="A446" s="15" t="s">
        <v>1175</v>
      </c>
      <c r="B446" s="15" t="s">
        <v>1176</v>
      </c>
      <c r="C446" s="134" t="s">
        <v>1177</v>
      </c>
      <c r="D446" s="16"/>
      <c r="E446" s="16"/>
      <c r="F446" s="16">
        <v>1230009.24</v>
      </c>
      <c r="G446" s="16">
        <v>1299457.79</v>
      </c>
      <c r="H446" s="16">
        <f t="shared" si="122"/>
        <v>-69448.55000000005</v>
      </c>
      <c r="I446" s="53">
        <f t="shared" si="123"/>
        <v>-0.053444252313882425</v>
      </c>
      <c r="J446" s="174"/>
      <c r="K446" s="256">
        <v>1040482.35</v>
      </c>
      <c r="L446" s="16">
        <f t="shared" si="124"/>
        <v>189526.89</v>
      </c>
      <c r="M446" s="53" t="str">
        <f t="shared" si="125"/>
        <v>N.M.</v>
      </c>
      <c r="N446" s="174"/>
      <c r="O446" s="256">
        <v>519009.25</v>
      </c>
      <c r="P446" s="16">
        <f t="shared" si="126"/>
        <v>710999.99</v>
      </c>
      <c r="Q446" s="53">
        <f t="shared" si="127"/>
        <v>1.3699177615813205</v>
      </c>
    </row>
    <row r="447" spans="1:17" s="15" customFormat="1" ht="12.75" hidden="1" outlineLevel="2">
      <c r="A447" s="15" t="s">
        <v>1178</v>
      </c>
      <c r="B447" s="15" t="s">
        <v>1179</v>
      </c>
      <c r="C447" s="134" t="s">
        <v>1180</v>
      </c>
      <c r="D447" s="16"/>
      <c r="E447" s="16"/>
      <c r="F447" s="16">
        <v>516742.98000000004</v>
      </c>
      <c r="G447" s="16">
        <v>0.01</v>
      </c>
      <c r="H447" s="16">
        <f t="shared" si="122"/>
        <v>516742.97000000003</v>
      </c>
      <c r="I447" s="53" t="str">
        <f t="shared" si="123"/>
        <v>N.M.</v>
      </c>
      <c r="J447" s="174"/>
      <c r="K447" s="256">
        <v>404840.93</v>
      </c>
      <c r="L447" s="16">
        <f t="shared" si="124"/>
        <v>111902.05000000005</v>
      </c>
      <c r="M447" s="53" t="str">
        <f t="shared" si="125"/>
        <v>N.M.</v>
      </c>
      <c r="N447" s="174"/>
      <c r="O447" s="256">
        <v>1550590.4100000001</v>
      </c>
      <c r="P447" s="16">
        <f t="shared" si="126"/>
        <v>-1033847.4300000002</v>
      </c>
      <c r="Q447" s="53">
        <f t="shared" si="127"/>
        <v>-0.6667443725516141</v>
      </c>
    </row>
    <row r="448" spans="1:17" s="15" customFormat="1" ht="12.75" hidden="1" outlineLevel="2">
      <c r="A448" s="15" t="s">
        <v>1181</v>
      </c>
      <c r="B448" s="15" t="s">
        <v>1182</v>
      </c>
      <c r="C448" s="134" t="s">
        <v>1183</v>
      </c>
      <c r="D448" s="16"/>
      <c r="E448" s="16"/>
      <c r="F448" s="16">
        <v>67529.18000000001</v>
      </c>
      <c r="G448" s="16">
        <v>0</v>
      </c>
      <c r="H448" s="16">
        <f t="shared" si="122"/>
        <v>67529.18000000001</v>
      </c>
      <c r="I448" s="53" t="str">
        <f t="shared" si="123"/>
        <v>N.M.</v>
      </c>
      <c r="J448" s="174"/>
      <c r="K448" s="256">
        <v>52965.18</v>
      </c>
      <c r="L448" s="16">
        <f t="shared" si="124"/>
        <v>14564.000000000007</v>
      </c>
      <c r="M448" s="53" t="str">
        <f t="shared" si="125"/>
        <v>N.M.</v>
      </c>
      <c r="N448" s="174"/>
      <c r="O448" s="256">
        <v>187360</v>
      </c>
      <c r="P448" s="16">
        <f t="shared" si="126"/>
        <v>-119830.81999999999</v>
      </c>
      <c r="Q448" s="53">
        <f t="shared" si="127"/>
        <v>-0.6395752561912894</v>
      </c>
    </row>
    <row r="449" spans="1:17" s="15" customFormat="1" ht="12.75" hidden="1" outlineLevel="2">
      <c r="A449" s="15" t="s">
        <v>1184</v>
      </c>
      <c r="B449" s="15" t="s">
        <v>1185</v>
      </c>
      <c r="C449" s="134" t="s">
        <v>1186</v>
      </c>
      <c r="D449" s="16"/>
      <c r="E449" s="16"/>
      <c r="F449" s="16">
        <v>317056.68</v>
      </c>
      <c r="G449" s="16">
        <v>0</v>
      </c>
      <c r="H449" s="16">
        <f t="shared" si="122"/>
        <v>317056.68</v>
      </c>
      <c r="I449" s="53" t="str">
        <f t="shared" si="123"/>
        <v>N.M.</v>
      </c>
      <c r="J449" s="174"/>
      <c r="K449" s="256">
        <v>248669.68</v>
      </c>
      <c r="L449" s="16">
        <f t="shared" si="124"/>
        <v>68387</v>
      </c>
      <c r="M449" s="53" t="str">
        <f t="shared" si="125"/>
        <v>N.M.</v>
      </c>
      <c r="N449" s="174"/>
      <c r="O449" s="256">
        <v>869620</v>
      </c>
      <c r="P449" s="16">
        <f t="shared" si="126"/>
        <v>-552563.3200000001</v>
      </c>
      <c r="Q449" s="53">
        <f t="shared" si="127"/>
        <v>-0.6354077873093996</v>
      </c>
    </row>
    <row r="450" spans="1:17" s="15" customFormat="1" ht="12.75" hidden="1" outlineLevel="2">
      <c r="A450" s="15" t="s">
        <v>1187</v>
      </c>
      <c r="B450" s="15" t="s">
        <v>1188</v>
      </c>
      <c r="C450" s="134" t="s">
        <v>1189</v>
      </c>
      <c r="D450" s="16"/>
      <c r="E450" s="16"/>
      <c r="F450" s="16">
        <v>164356.307</v>
      </c>
      <c r="G450" s="16">
        <v>-6653.25</v>
      </c>
      <c r="H450" s="16">
        <f t="shared" si="122"/>
        <v>171009.557</v>
      </c>
      <c r="I450" s="53" t="str">
        <f t="shared" si="123"/>
        <v>N.M.</v>
      </c>
      <c r="J450" s="174"/>
      <c r="K450" s="256">
        <v>133805.707</v>
      </c>
      <c r="L450" s="16">
        <f t="shared" si="124"/>
        <v>30550.600000000006</v>
      </c>
      <c r="M450" s="53" t="str">
        <f t="shared" si="125"/>
        <v>N.M.</v>
      </c>
      <c r="N450" s="174"/>
      <c r="O450" s="256">
        <v>12961.75</v>
      </c>
      <c r="P450" s="16">
        <f t="shared" si="126"/>
        <v>151394.557</v>
      </c>
      <c r="Q450" s="53" t="str">
        <f t="shared" si="127"/>
        <v>N.M.</v>
      </c>
    </row>
    <row r="451" spans="1:17" s="15" customFormat="1" ht="12.75" hidden="1" outlineLevel="2">
      <c r="A451" s="15" t="s">
        <v>1190</v>
      </c>
      <c r="B451" s="15" t="s">
        <v>1191</v>
      </c>
      <c r="C451" s="134" t="s">
        <v>1192</v>
      </c>
      <c r="D451" s="16"/>
      <c r="E451" s="16"/>
      <c r="F451" s="16">
        <v>0</v>
      </c>
      <c r="G451" s="16">
        <v>0</v>
      </c>
      <c r="H451" s="16">
        <f t="shared" si="122"/>
        <v>0</v>
      </c>
      <c r="I451" s="53">
        <f t="shared" si="123"/>
        <v>0</v>
      </c>
      <c r="J451" s="174"/>
      <c r="K451" s="256">
        <v>0</v>
      </c>
      <c r="L451" s="16">
        <f t="shared" si="124"/>
        <v>0</v>
      </c>
      <c r="M451" s="53">
        <f t="shared" si="125"/>
        <v>0</v>
      </c>
      <c r="N451" s="174"/>
      <c r="O451" s="256">
        <v>20006.4</v>
      </c>
      <c r="P451" s="16">
        <f t="shared" si="126"/>
        <v>-20006.4</v>
      </c>
      <c r="Q451" s="53" t="str">
        <f t="shared" si="127"/>
        <v>N.M.</v>
      </c>
    </row>
    <row r="452" spans="1:17" s="15" customFormat="1" ht="12.75" hidden="1" outlineLevel="2">
      <c r="A452" s="15" t="s">
        <v>1193</v>
      </c>
      <c r="B452" s="15" t="s">
        <v>1194</v>
      </c>
      <c r="C452" s="134" t="s">
        <v>1195</v>
      </c>
      <c r="D452" s="16"/>
      <c r="E452" s="16"/>
      <c r="F452" s="16">
        <v>543631.58</v>
      </c>
      <c r="G452" s="16">
        <v>0</v>
      </c>
      <c r="H452" s="16">
        <f t="shared" si="122"/>
        <v>543631.58</v>
      </c>
      <c r="I452" s="53" t="str">
        <f t="shared" si="123"/>
        <v>N.M.</v>
      </c>
      <c r="J452" s="174"/>
      <c r="K452" s="256">
        <v>636925.41</v>
      </c>
      <c r="L452" s="16">
        <f t="shared" si="124"/>
        <v>-93293.83000000007</v>
      </c>
      <c r="M452" s="53" t="str">
        <f t="shared" si="125"/>
        <v>N.M.</v>
      </c>
      <c r="N452" s="174"/>
      <c r="O452" s="256">
        <v>690526.02</v>
      </c>
      <c r="P452" s="16">
        <f t="shared" si="126"/>
        <v>-146894.44000000006</v>
      </c>
      <c r="Q452" s="53">
        <f t="shared" si="127"/>
        <v>-0.21272831978149073</v>
      </c>
    </row>
    <row r="453" spans="1:17" s="15" customFormat="1" ht="12.75" hidden="1" outlineLevel="2">
      <c r="A453" s="15" t="s">
        <v>1196</v>
      </c>
      <c r="B453" s="15" t="s">
        <v>1197</v>
      </c>
      <c r="C453" s="134" t="s">
        <v>1198</v>
      </c>
      <c r="D453" s="16"/>
      <c r="E453" s="16"/>
      <c r="F453" s="16">
        <v>164308.57</v>
      </c>
      <c r="G453" s="16">
        <v>297469.9</v>
      </c>
      <c r="H453" s="16">
        <f t="shared" si="122"/>
        <v>-133161.33000000002</v>
      </c>
      <c r="I453" s="53">
        <f t="shared" si="123"/>
        <v>-0.4476464005265743</v>
      </c>
      <c r="J453" s="174"/>
      <c r="K453" s="256">
        <v>164308.57</v>
      </c>
      <c r="L453" s="16">
        <f t="shared" si="124"/>
        <v>0</v>
      </c>
      <c r="M453" s="53">
        <f t="shared" si="125"/>
        <v>0</v>
      </c>
      <c r="N453" s="174"/>
      <c r="O453" s="256">
        <v>164299.79</v>
      </c>
      <c r="P453" s="16">
        <f t="shared" si="126"/>
        <v>8.779999999998836</v>
      </c>
      <c r="Q453" s="53">
        <f t="shared" si="127"/>
        <v>5.3438899708872636E-05</v>
      </c>
    </row>
    <row r="454" spans="1:17" s="15" customFormat="1" ht="12.75" hidden="1" outlineLevel="2">
      <c r="A454" s="15" t="s">
        <v>1199</v>
      </c>
      <c r="B454" s="15" t="s">
        <v>1200</v>
      </c>
      <c r="C454" s="134" t="s">
        <v>1201</v>
      </c>
      <c r="D454" s="16"/>
      <c r="E454" s="16"/>
      <c r="F454" s="16">
        <v>42482</v>
      </c>
      <c r="G454" s="16">
        <v>42482</v>
      </c>
      <c r="H454" s="16">
        <f t="shared" si="122"/>
        <v>0</v>
      </c>
      <c r="I454" s="53">
        <f t="shared" si="123"/>
        <v>0</v>
      </c>
      <c r="J454" s="174"/>
      <c r="K454" s="256">
        <v>42482</v>
      </c>
      <c r="L454" s="16">
        <f t="shared" si="124"/>
        <v>0</v>
      </c>
      <c r="M454" s="53">
        <f t="shared" si="125"/>
        <v>0</v>
      </c>
      <c r="N454" s="174"/>
      <c r="O454" s="256">
        <v>42482</v>
      </c>
      <c r="P454" s="16">
        <f t="shared" si="126"/>
        <v>0</v>
      </c>
      <c r="Q454" s="53">
        <f t="shared" si="127"/>
        <v>0</v>
      </c>
    </row>
    <row r="455" spans="1:17" s="15" customFormat="1" ht="12.75" hidden="1" outlineLevel="2">
      <c r="A455" s="15" t="s">
        <v>1202</v>
      </c>
      <c r="B455" s="15" t="s">
        <v>1203</v>
      </c>
      <c r="C455" s="134" t="s">
        <v>1204</v>
      </c>
      <c r="D455" s="16"/>
      <c r="E455" s="16"/>
      <c r="F455" s="16">
        <v>85048.34</v>
      </c>
      <c r="G455" s="16">
        <v>0</v>
      </c>
      <c r="H455" s="16">
        <f t="shared" si="122"/>
        <v>85048.34</v>
      </c>
      <c r="I455" s="53" t="str">
        <f t="shared" si="123"/>
        <v>N.M.</v>
      </c>
      <c r="J455" s="174"/>
      <c r="K455" s="256">
        <v>66700.34</v>
      </c>
      <c r="L455" s="16">
        <f t="shared" si="124"/>
        <v>18348</v>
      </c>
      <c r="M455" s="53" t="str">
        <f t="shared" si="125"/>
        <v>N.M.</v>
      </c>
      <c r="N455" s="174"/>
      <c r="O455" s="256">
        <v>240850</v>
      </c>
      <c r="P455" s="16">
        <f t="shared" si="126"/>
        <v>-155801.66</v>
      </c>
      <c r="Q455" s="53">
        <f t="shared" si="127"/>
        <v>-0.6468825410006228</v>
      </c>
    </row>
    <row r="456" spans="1:17" s="15" customFormat="1" ht="12.75" hidden="1" outlineLevel="2">
      <c r="A456" s="15" t="s">
        <v>1205</v>
      </c>
      <c r="B456" s="15" t="s">
        <v>1206</v>
      </c>
      <c r="C456" s="134" t="s">
        <v>1207</v>
      </c>
      <c r="D456" s="16"/>
      <c r="E456" s="16"/>
      <c r="F456" s="16">
        <v>0</v>
      </c>
      <c r="G456" s="16">
        <v>0</v>
      </c>
      <c r="H456" s="16">
        <f t="shared" si="122"/>
        <v>0</v>
      </c>
      <c r="I456" s="53">
        <f t="shared" si="123"/>
        <v>0</v>
      </c>
      <c r="J456" s="174"/>
      <c r="K456" s="256">
        <v>0</v>
      </c>
      <c r="L456" s="16">
        <f t="shared" si="124"/>
        <v>0</v>
      </c>
      <c r="M456" s="53">
        <f t="shared" si="125"/>
        <v>0</v>
      </c>
      <c r="N456" s="174"/>
      <c r="O456" s="256">
        <v>20560</v>
      </c>
      <c r="P456" s="16">
        <f t="shared" si="126"/>
        <v>-20560</v>
      </c>
      <c r="Q456" s="53" t="str">
        <f t="shared" si="127"/>
        <v>N.M.</v>
      </c>
    </row>
    <row r="457" spans="1:17" s="15" customFormat="1" ht="12.75" hidden="1" outlineLevel="2">
      <c r="A457" s="15" t="s">
        <v>1208</v>
      </c>
      <c r="B457" s="15" t="s">
        <v>1209</v>
      </c>
      <c r="C457" s="134" t="s">
        <v>1210</v>
      </c>
      <c r="D457" s="16"/>
      <c r="E457" s="16"/>
      <c r="F457" s="16">
        <v>391803.37</v>
      </c>
      <c r="G457" s="16">
        <v>337259.3</v>
      </c>
      <c r="H457" s="16">
        <f t="shared" si="122"/>
        <v>54544.07000000001</v>
      </c>
      <c r="I457" s="53">
        <f t="shared" si="123"/>
        <v>0.16172740084558085</v>
      </c>
      <c r="J457" s="174"/>
      <c r="K457" s="256">
        <v>391803.37</v>
      </c>
      <c r="L457" s="16">
        <f t="shared" si="124"/>
        <v>0</v>
      </c>
      <c r="M457" s="53">
        <f t="shared" si="125"/>
        <v>0</v>
      </c>
      <c r="N457" s="174"/>
      <c r="O457" s="256">
        <v>452183.31</v>
      </c>
      <c r="P457" s="16">
        <f t="shared" si="126"/>
        <v>-60379.94</v>
      </c>
      <c r="Q457" s="53">
        <f t="shared" si="127"/>
        <v>-0.13352978463535065</v>
      </c>
    </row>
    <row r="458" spans="1:17" s="1" customFormat="1" ht="12.75" hidden="1" outlineLevel="1">
      <c r="A458" s="1" t="s">
        <v>278</v>
      </c>
      <c r="C458" s="115" t="s">
        <v>210</v>
      </c>
      <c r="D458" s="34"/>
      <c r="F458" s="197">
        <v>6454993.453000001</v>
      </c>
      <c r="G458" s="197">
        <v>6759212.686</v>
      </c>
      <c r="H458" s="197">
        <f>+F458-G458</f>
        <v>-304219.2329999991</v>
      </c>
      <c r="I458" s="138">
        <f>IF(G458&lt;0,IF(H458=0,0,IF(OR(G458=0,F458=0),"N.M.",IF(ABS(H458/G458)&gt;=10,"N.M.",H458/(-G458)))),IF(H458=0,0,IF(OR(G458=0,F458=0),"N.M.",IF(ABS(H458/G458)&gt;=10,"N.M.",H458/G458))))</f>
        <v>-0.04500808705577682</v>
      </c>
      <c r="J458" s="167"/>
      <c r="K458" s="197">
        <v>6307689.663000001</v>
      </c>
      <c r="L458" s="197">
        <f>+F458-K458</f>
        <v>147303.79000000004</v>
      </c>
      <c r="M458" s="138" t="str">
        <f>IF(K458&lt;0,IF(L458=0,0,IF(OR(K458=0,N458=0),"N.M.",IF(ABS(L458/K458)&gt;=10,"N.M.",L458/(-K458)))),IF(L458=0,0,IF(OR(K458=0,N458=0),"N.M.",IF(ABS(L458/K458)&gt;=10,"N.M.",L458/K458))))</f>
        <v>N.M.</v>
      </c>
      <c r="N458" s="167"/>
      <c r="O458" s="197">
        <v>8431294.961000001</v>
      </c>
      <c r="P458" s="197">
        <f>+F458-O458</f>
        <v>-1976301.5080000004</v>
      </c>
      <c r="Q458" s="138">
        <f>IF(O458&lt;0,IF(P458=0,0,IF(OR(O458=0,F458=0),"N.M.",IF(ABS(P458/O458)&gt;=10,"N.M.",P458/(-O458)))),IF(P458=0,0,IF(OR(O458=0,F458=0),"N.M.",IF(ABS(P458/O458)&gt;=10,"N.M.",P458/O458))))</f>
        <v>-0.2344007079744722</v>
      </c>
    </row>
    <row r="459" spans="1:17" ht="12.75" collapsed="1">
      <c r="A459" s="11" t="s">
        <v>338</v>
      </c>
      <c r="C459" s="230" t="s">
        <v>199</v>
      </c>
      <c r="D459" s="117"/>
      <c r="E459" s="118"/>
      <c r="F459" s="235">
        <v>14139752.14</v>
      </c>
      <c r="G459" s="235">
        <v>14748041.953</v>
      </c>
      <c r="H459" s="197">
        <f>+F459-G459</f>
        <v>-608289.8129999992</v>
      </c>
      <c r="I459" s="138">
        <f>IF(G459&lt;0,IF(H459=0,0,IF(OR(G459=0,F459=0),"N.M.",IF(ABS(H459/G459)&gt;=10,"N.M.",H459/(-G459)))),IF(H459=0,0,IF(OR(G459=0,F459=0),"N.M.",IF(ABS(H459/G459)&gt;=10,"N.M.",H459/G459))))</f>
        <v>-0.04124546261385314</v>
      </c>
      <c r="J459" s="166"/>
      <c r="K459" s="235">
        <v>14210077.819999998</v>
      </c>
      <c r="L459" s="197">
        <f>+F459-K459</f>
        <v>-70325.67999999784</v>
      </c>
      <c r="M459" s="138" t="str">
        <f>IF(K459&lt;0,IF(L459=0,0,IF(OR(K459=0,N459=0),"N.M.",IF(ABS(L459/K459)&gt;=10,"N.M.",L459/(-K459)))),IF(L459=0,0,IF(OR(K459=0,N459=0),"N.M.",IF(ABS(L459/K459)&gt;=10,"N.M.",L459/K459))))</f>
        <v>N.M.</v>
      </c>
      <c r="N459" s="166"/>
      <c r="O459" s="235">
        <v>16935635.828</v>
      </c>
      <c r="P459" s="197">
        <f>+F459-O459</f>
        <v>-2795883.688000001</v>
      </c>
      <c r="Q459" s="138">
        <f>IF(O459&lt;0,IF(P459=0,0,IF(OR(O459=0,F459=0),"N.M.",IF(ABS(P459/O459)&gt;=10,"N.M.",P459/(-O459)))),IF(P459=0,0,IF(OR(O459=0,F459=0),"N.M.",IF(ABS(P459/O459)&gt;=10,"N.M.",P459/O459))))</f>
        <v>-0.1650887936181005</v>
      </c>
    </row>
    <row r="460" spans="1:17" s="13" customFormat="1" ht="12.75">
      <c r="A460" s="13" t="s">
        <v>279</v>
      </c>
      <c r="C460" s="110" t="s">
        <v>220</v>
      </c>
      <c r="D460" s="33"/>
      <c r="F460" s="33">
        <v>142788359.71</v>
      </c>
      <c r="G460" s="33">
        <v>92889047.51300001</v>
      </c>
      <c r="H460" s="74">
        <f>+F460-G460</f>
        <v>49899312.197</v>
      </c>
      <c r="I460" s="137">
        <f>IF(G460&lt;0,IF(H460=0,0,IF(OR(G460=0,F460=0),"N.M.",IF(ABS(H460/G460)&gt;=10,"N.M.",H460/(-G460)))),IF(H460=0,0,IF(OR(G460=0,F460=0),"N.M.",IF(ABS(H460/G460)&gt;=10,"N.M.",H460/G460))))</f>
        <v>0.5371926350091649</v>
      </c>
      <c r="J460" s="168"/>
      <c r="K460" s="33">
        <v>132318155.33600003</v>
      </c>
      <c r="L460" s="74">
        <f>+F460-K460</f>
        <v>10470204.373999983</v>
      </c>
      <c r="M460" s="137" t="str">
        <f>IF(K460&lt;0,IF(L460=0,0,IF(OR(K460=0,N460=0),"N.M.",IF(ABS(L460/K460)&gt;=10,"N.M.",L460/(-K460)))),IF(L460=0,0,IF(OR(K460=0,N460=0),"N.M.",IF(ABS(L460/K460)&gt;=10,"N.M.",L460/K460))))</f>
        <v>N.M.</v>
      </c>
      <c r="N460" s="168"/>
      <c r="O460" s="33">
        <v>152094827.945</v>
      </c>
      <c r="P460" s="74">
        <f>+F460-O460</f>
        <v>-9306468.234999985</v>
      </c>
      <c r="Q460" s="137">
        <f>IF(O460&lt;0,IF(P460=0,0,IF(OR(O460=0,F460=0),"N.M.",IF(ABS(P460/O460)&gt;=10,"N.M.",P460/(-O460)))),IF(P460=0,0,IF(OR(O460=0,F460=0),"N.M.",IF(ABS(P460/O460)&gt;=10,"N.M.",P460/O460))))</f>
        <v>-0.061188591096374145</v>
      </c>
    </row>
    <row r="461" spans="3:17" ht="12.75">
      <c r="C461" s="126"/>
      <c r="D461" s="106"/>
      <c r="E461" s="11"/>
      <c r="F461" s="233" t="str">
        <f>IF(ABS(+F297+F299+F301+F303+F329+F343+F306+F348+F384+F392+F394+F398+F405+F459-F460)&gt;$C$576,$J$178," ")</f>
        <v> </v>
      </c>
      <c r="G461" s="233" t="str">
        <f>IF(ABS(+G297+G299+G301+G303+G329+G343+G306+G348+G384+G392+G394+G398+G405+G459-G460)&gt;$C$576,$J$178," ")</f>
        <v> </v>
      </c>
      <c r="H461" s="233" t="str">
        <f>IF(ABS(+H297+H299+H301+H303+H329+H343+H306+H348+H384+H392+H394+H398+H405+H459-H460)&gt;$C$576,$J$178," ")</f>
        <v> </v>
      </c>
      <c r="I461" s="141"/>
      <c r="J461" s="166"/>
      <c r="K461" s="233" t="str">
        <f>IF(ABS(+K297+K299+K301+K303+K329+K343+K306+K348+K384+K392+K394+K398+K405+K459-K460)&gt;$C$576,$J$178," ")</f>
        <v> </v>
      </c>
      <c r="L461" s="233" t="str">
        <f>IF(ABS(+L297+L299+L301+L303+L329+L343+L306+L348+L384+L392+L394+L398+L405+L459-L460)&gt;$C$576,$J$178," ")</f>
        <v> </v>
      </c>
      <c r="M461" s="141"/>
      <c r="N461" s="166"/>
      <c r="O461" s="233" t="str">
        <f>IF(ABS(+O297+O299+O301+O303+O329+O343+O306+O348+O384+O392+O394+O398+O405+O459-O460)&gt;$C$576,$J$178," ")</f>
        <v> </v>
      </c>
      <c r="P461" s="233" t="str">
        <f>IF(ABS(+P297+P299+P301+P303+P329+P343+P306+P348+P384+P392+P394+P398+P405+P459-P460)&gt;$C$576,$J$178," ")</f>
        <v> </v>
      </c>
      <c r="Q461" s="141"/>
    </row>
    <row r="462" spans="3:17" ht="12.75">
      <c r="C462" s="127"/>
      <c r="D462" s="103"/>
      <c r="E462" s="104"/>
      <c r="F462" s="103"/>
      <c r="G462" s="103"/>
      <c r="H462" s="103"/>
      <c r="I462" s="141"/>
      <c r="J462" s="166"/>
      <c r="K462" s="103"/>
      <c r="L462" s="103"/>
      <c r="M462" s="141"/>
      <c r="N462" s="166"/>
      <c r="O462" s="103"/>
      <c r="P462" s="103"/>
      <c r="Q462" s="141"/>
    </row>
    <row r="463" spans="3:17" ht="0.75" customHeight="1" hidden="1" outlineLevel="1">
      <c r="C463" s="127"/>
      <c r="D463" s="103"/>
      <c r="E463" s="104"/>
      <c r="F463" s="103"/>
      <c r="G463" s="103"/>
      <c r="H463" s="103"/>
      <c r="I463" s="141"/>
      <c r="J463" s="166"/>
      <c r="K463" s="103"/>
      <c r="L463" s="103"/>
      <c r="M463" s="141"/>
      <c r="N463" s="166"/>
      <c r="O463" s="103"/>
      <c r="P463" s="103"/>
      <c r="Q463" s="141"/>
    </row>
    <row r="464" spans="1:17" s="15" customFormat="1" ht="12.75" hidden="1" outlineLevel="2">
      <c r="A464" s="15" t="s">
        <v>1211</v>
      </c>
      <c r="B464" s="15" t="s">
        <v>1212</v>
      </c>
      <c r="C464" s="134" t="s">
        <v>1213</v>
      </c>
      <c r="D464" s="16"/>
      <c r="E464" s="16"/>
      <c r="F464" s="16">
        <v>29151203.9</v>
      </c>
      <c r="G464" s="16">
        <v>30684938.9</v>
      </c>
      <c r="H464" s="16">
        <f aca="true" t="shared" si="128" ref="H464:H472">+F464-G464</f>
        <v>-1533735</v>
      </c>
      <c r="I464" s="53">
        <f aca="true" t="shared" si="129" ref="I464:I472">IF(G464&lt;0,IF(H464=0,0,IF(OR(G464=0,F464=0),"N.M.",IF(ABS(H464/G464)&gt;=10,"N.M.",H464/(-G464)))),IF(H464=0,0,IF(OR(G464=0,F464=0),"N.M.",IF(ABS(H464/G464)&gt;=10,"N.M.",H464/G464))))</f>
        <v>-0.049983316082144784</v>
      </c>
      <c r="J464" s="174"/>
      <c r="K464" s="256">
        <v>29281403.9</v>
      </c>
      <c r="L464" s="16">
        <f aca="true" t="shared" si="130" ref="L464:L472">+F464-K464</f>
        <v>-130200</v>
      </c>
      <c r="M464" s="53" t="str">
        <f aca="true" t="shared" si="131" ref="M464:M472">IF(K464&lt;0,IF(L464=0,0,IF(OR(K464=0,N464=0),"N.M.",IF(ABS(L464/K464)&gt;=10,"N.M.",L464/(-K464)))),IF(L464=0,0,IF(OR(K464=0,N464=0),"N.M.",IF(ABS(L464/K464)&gt;=10,"N.M.",L464/K464))))</f>
        <v>N.M.</v>
      </c>
      <c r="N464" s="174"/>
      <c r="O464" s="256">
        <v>29802203.9</v>
      </c>
      <c r="P464" s="16">
        <f aca="true" t="shared" si="132" ref="P464:P472">+F464-O464</f>
        <v>-651000</v>
      </c>
      <c r="Q464" s="53">
        <f aca="true" t="shared" si="133" ref="Q464:Q472">IF(O464&lt;0,IF(P464=0,0,IF(OR(O464=0,F464=0),"N.M.",IF(ABS(P464/O464)&gt;=10,"N.M.",P464/(-O464)))),IF(P464=0,0,IF(OR(O464=0,F464=0),"N.M.",IF(ABS(P464/O464)&gt;=10,"N.M.",P464/O464))))</f>
        <v>-0.021844022079185895</v>
      </c>
    </row>
    <row r="465" spans="1:17" s="15" customFormat="1" ht="12.75" hidden="1" outlineLevel="2">
      <c r="A465" s="15" t="s">
        <v>1214</v>
      </c>
      <c r="B465" s="15" t="s">
        <v>1215</v>
      </c>
      <c r="C465" s="134" t="s">
        <v>1216</v>
      </c>
      <c r="D465" s="16"/>
      <c r="E465" s="16"/>
      <c r="F465" s="16">
        <v>177237318.74</v>
      </c>
      <c r="G465" s="16">
        <v>165421225.4</v>
      </c>
      <c r="H465" s="16">
        <f t="shared" si="128"/>
        <v>11816093.340000004</v>
      </c>
      <c r="I465" s="53">
        <f t="shared" si="129"/>
        <v>0.0714303337520797</v>
      </c>
      <c r="J465" s="174"/>
      <c r="K465" s="256">
        <v>175474942.36</v>
      </c>
      <c r="L465" s="16">
        <f t="shared" si="130"/>
        <v>1762376.3799999952</v>
      </c>
      <c r="M465" s="53" t="str">
        <f t="shared" si="131"/>
        <v>N.M.</v>
      </c>
      <c r="N465" s="174"/>
      <c r="O465" s="256">
        <v>168448771.87</v>
      </c>
      <c r="P465" s="16">
        <f t="shared" si="132"/>
        <v>8788546.870000005</v>
      </c>
      <c r="Q465" s="53">
        <f t="shared" si="133"/>
        <v>0.05217341018539778</v>
      </c>
    </row>
    <row r="466" spans="1:17" s="15" customFormat="1" ht="12.75" hidden="1" outlineLevel="2">
      <c r="A466" s="15" t="s">
        <v>1217</v>
      </c>
      <c r="B466" s="15" t="s">
        <v>1218</v>
      </c>
      <c r="C466" s="134" t="s">
        <v>1219</v>
      </c>
      <c r="D466" s="16"/>
      <c r="E466" s="16"/>
      <c r="F466" s="16">
        <v>52524566.53</v>
      </c>
      <c r="G466" s="16">
        <v>50881711.03</v>
      </c>
      <c r="H466" s="16">
        <f t="shared" si="128"/>
        <v>1642855.5</v>
      </c>
      <c r="I466" s="53">
        <f t="shared" si="129"/>
        <v>0.03228774085508578</v>
      </c>
      <c r="J466" s="174"/>
      <c r="K466" s="256">
        <v>52490694.17</v>
      </c>
      <c r="L466" s="16">
        <f t="shared" si="130"/>
        <v>33872.359999999404</v>
      </c>
      <c r="M466" s="53" t="str">
        <f t="shared" si="131"/>
        <v>N.M.</v>
      </c>
      <c r="N466" s="174"/>
      <c r="O466" s="256">
        <v>52419036.93</v>
      </c>
      <c r="P466" s="16">
        <f t="shared" si="132"/>
        <v>105529.60000000149</v>
      </c>
      <c r="Q466" s="53">
        <f t="shared" si="133"/>
        <v>0.0020131922709859195</v>
      </c>
    </row>
    <row r="467" spans="1:17" s="15" customFormat="1" ht="12.75" hidden="1" outlineLevel="2">
      <c r="A467" s="15" t="s">
        <v>1220</v>
      </c>
      <c r="B467" s="15" t="s">
        <v>1221</v>
      </c>
      <c r="C467" s="134" t="s">
        <v>1222</v>
      </c>
      <c r="D467" s="16"/>
      <c r="E467" s="16"/>
      <c r="F467" s="16">
        <v>-998678</v>
      </c>
      <c r="G467" s="16">
        <v>-761539</v>
      </c>
      <c r="H467" s="16">
        <f t="shared" si="128"/>
        <v>-237139</v>
      </c>
      <c r="I467" s="53">
        <f t="shared" si="129"/>
        <v>-0.3113944262867693</v>
      </c>
      <c r="J467" s="174"/>
      <c r="K467" s="256">
        <v>-940770</v>
      </c>
      <c r="L467" s="16">
        <f t="shared" si="130"/>
        <v>-57908</v>
      </c>
      <c r="M467" s="53" t="str">
        <f t="shared" si="131"/>
        <v>N.M.</v>
      </c>
      <c r="N467" s="174"/>
      <c r="O467" s="256">
        <v>-709138</v>
      </c>
      <c r="P467" s="16">
        <f t="shared" si="132"/>
        <v>-289540</v>
      </c>
      <c r="Q467" s="53">
        <f t="shared" si="133"/>
        <v>-0.4082985258158497</v>
      </c>
    </row>
    <row r="468" spans="1:17" s="15" customFormat="1" ht="12.75" hidden="1" outlineLevel="2">
      <c r="A468" s="15" t="s">
        <v>1223</v>
      </c>
      <c r="B468" s="15" t="s">
        <v>1224</v>
      </c>
      <c r="C468" s="134" t="s">
        <v>768</v>
      </c>
      <c r="D468" s="16"/>
      <c r="E468" s="16"/>
      <c r="F468" s="16">
        <v>224534.72</v>
      </c>
      <c r="G468" s="16">
        <v>34623.89</v>
      </c>
      <c r="H468" s="16">
        <f t="shared" si="128"/>
        <v>189910.83000000002</v>
      </c>
      <c r="I468" s="53">
        <f t="shared" si="129"/>
        <v>5.484965149785308</v>
      </c>
      <c r="J468" s="174"/>
      <c r="K468" s="256">
        <v>179913.37</v>
      </c>
      <c r="L468" s="16">
        <f t="shared" si="130"/>
        <v>44621.350000000006</v>
      </c>
      <c r="M468" s="53" t="str">
        <f t="shared" si="131"/>
        <v>N.M.</v>
      </c>
      <c r="N468" s="174"/>
      <c r="O468" s="256">
        <v>28716.73</v>
      </c>
      <c r="P468" s="16">
        <f t="shared" si="132"/>
        <v>195817.99</v>
      </c>
      <c r="Q468" s="53">
        <f t="shared" si="133"/>
        <v>6.8189515310413125</v>
      </c>
    </row>
    <row r="469" spans="1:17" s="15" customFormat="1" ht="12.75" hidden="1" outlineLevel="2">
      <c r="A469" s="15" t="s">
        <v>1225</v>
      </c>
      <c r="B469" s="15" t="s">
        <v>1226</v>
      </c>
      <c r="C469" s="134" t="s">
        <v>774</v>
      </c>
      <c r="D469" s="16"/>
      <c r="E469" s="16"/>
      <c r="F469" s="16">
        <v>12566228.49</v>
      </c>
      <c r="G469" s="16">
        <v>19971620.63</v>
      </c>
      <c r="H469" s="16">
        <f t="shared" si="128"/>
        <v>-7405392.139999999</v>
      </c>
      <c r="I469" s="53">
        <f t="shared" si="129"/>
        <v>-0.3707957544955629</v>
      </c>
      <c r="J469" s="174"/>
      <c r="K469" s="256">
        <v>13804949.18</v>
      </c>
      <c r="L469" s="16">
        <f t="shared" si="130"/>
        <v>-1238720.6899999995</v>
      </c>
      <c r="M469" s="53" t="str">
        <f t="shared" si="131"/>
        <v>N.M.</v>
      </c>
      <c r="N469" s="174"/>
      <c r="O469" s="256">
        <v>18350250.05</v>
      </c>
      <c r="P469" s="16">
        <f t="shared" si="132"/>
        <v>-5784021.5600000005</v>
      </c>
      <c r="Q469" s="53">
        <f t="shared" si="133"/>
        <v>-0.3152012394512303</v>
      </c>
    </row>
    <row r="470" spans="1:17" s="15" customFormat="1" ht="12.75" hidden="1" outlineLevel="2">
      <c r="A470" s="15" t="s">
        <v>1227</v>
      </c>
      <c r="B470" s="15" t="s">
        <v>1228</v>
      </c>
      <c r="C470" s="134" t="s">
        <v>1229</v>
      </c>
      <c r="D470" s="16"/>
      <c r="E470" s="16"/>
      <c r="F470" s="16">
        <v>54237.44</v>
      </c>
      <c r="G470" s="16">
        <v>143483.24</v>
      </c>
      <c r="H470" s="16">
        <f t="shared" si="128"/>
        <v>-89245.79999999999</v>
      </c>
      <c r="I470" s="53">
        <f t="shared" si="129"/>
        <v>-0.6219945967208435</v>
      </c>
      <c r="J470" s="174"/>
      <c r="K470" s="256">
        <v>52673.99</v>
      </c>
      <c r="L470" s="16">
        <f t="shared" si="130"/>
        <v>1563.4500000000044</v>
      </c>
      <c r="M470" s="53" t="str">
        <f t="shared" si="131"/>
        <v>N.M.</v>
      </c>
      <c r="N470" s="174"/>
      <c r="O470" s="256">
        <v>34017.94</v>
      </c>
      <c r="P470" s="16">
        <f t="shared" si="132"/>
        <v>20219.5</v>
      </c>
      <c r="Q470" s="53">
        <f t="shared" si="133"/>
        <v>0.5943775549019135</v>
      </c>
    </row>
    <row r="471" spans="1:17" s="15" customFormat="1" ht="12.75" hidden="1" outlineLevel="2">
      <c r="A471" s="15" t="s">
        <v>1230</v>
      </c>
      <c r="B471" s="15" t="s">
        <v>1231</v>
      </c>
      <c r="C471" s="134" t="s">
        <v>1232</v>
      </c>
      <c r="D471" s="16"/>
      <c r="E471" s="16"/>
      <c r="F471" s="16">
        <v>43798934.52</v>
      </c>
      <c r="G471" s="16">
        <v>41218859.86</v>
      </c>
      <c r="H471" s="16">
        <f t="shared" si="128"/>
        <v>2580074.660000004</v>
      </c>
      <c r="I471" s="53">
        <f t="shared" si="129"/>
        <v>0.06259451786787011</v>
      </c>
      <c r="J471" s="174"/>
      <c r="K471" s="256">
        <v>43792426.14</v>
      </c>
      <c r="L471" s="16">
        <f t="shared" si="130"/>
        <v>6508.380000002682</v>
      </c>
      <c r="M471" s="53" t="str">
        <f t="shared" si="131"/>
        <v>N.M.</v>
      </c>
      <c r="N471" s="174"/>
      <c r="O471" s="256">
        <v>43895112.39</v>
      </c>
      <c r="P471" s="16">
        <f t="shared" si="132"/>
        <v>-96177.86999999732</v>
      </c>
      <c r="Q471" s="53">
        <f t="shared" si="133"/>
        <v>-0.0021910838078161104</v>
      </c>
    </row>
    <row r="472" spans="1:17" s="15" customFormat="1" ht="12.75" hidden="1" outlineLevel="2">
      <c r="A472" s="15" t="s">
        <v>1233</v>
      </c>
      <c r="B472" s="15" t="s">
        <v>1234</v>
      </c>
      <c r="C472" s="134" t="s">
        <v>1235</v>
      </c>
      <c r="D472" s="16"/>
      <c r="E472" s="16"/>
      <c r="F472" s="16">
        <v>41647036.07</v>
      </c>
      <c r="G472" s="16">
        <v>37430792</v>
      </c>
      <c r="H472" s="16">
        <f t="shared" si="128"/>
        <v>4216244.07</v>
      </c>
      <c r="I472" s="53">
        <f t="shared" si="129"/>
        <v>0.112641059531949</v>
      </c>
      <c r="J472" s="174"/>
      <c r="K472" s="256">
        <v>41710125.07</v>
      </c>
      <c r="L472" s="16">
        <f t="shared" si="130"/>
        <v>-63089</v>
      </c>
      <c r="M472" s="53" t="str">
        <f t="shared" si="131"/>
        <v>N.M.</v>
      </c>
      <c r="N472" s="174"/>
      <c r="O472" s="256">
        <v>42232048.27</v>
      </c>
      <c r="P472" s="16">
        <f t="shared" si="132"/>
        <v>-585012.200000003</v>
      </c>
      <c r="Q472" s="53">
        <f t="shared" si="133"/>
        <v>-0.013852328361150619</v>
      </c>
    </row>
    <row r="473" spans="1:17" s="13" customFormat="1" ht="12.75" collapsed="1">
      <c r="A473" s="13" t="s">
        <v>280</v>
      </c>
      <c r="C473" s="110" t="s">
        <v>211</v>
      </c>
      <c r="D473" s="33"/>
      <c r="F473" s="33">
        <v>356205382.40999997</v>
      </c>
      <c r="G473" s="33">
        <v>345025715.95</v>
      </c>
      <c r="H473" s="74">
        <f>+F473-G473</f>
        <v>11179666.459999979</v>
      </c>
      <c r="I473" s="137">
        <f>IF(G473&lt;0,IF(H473=0,0,IF(OR(G473=0,F473=0),"N.M.",IF(ABS(H473/G473)&gt;=10,"N.M.",H473/(-G473)))),IF(H473=0,0,IF(OR(G473=0,F473=0),"N.M.",IF(ABS(H473/G473)&gt;=10,"N.M.",H473/G473))))</f>
        <v>0.03240241507569279</v>
      </c>
      <c r="J473" s="168"/>
      <c r="K473" s="33">
        <v>355846358.18</v>
      </c>
      <c r="L473" s="74">
        <f>+F473-K473</f>
        <v>359024.22999995947</v>
      </c>
      <c r="M473" s="137" t="str">
        <f>IF(K473&lt;0,IF(L473=0,0,IF(OR(K473=0,N473=0),"N.M.",IF(ABS(L473/K473)&gt;=10,"N.M.",L473/(-K473)))),IF(L473=0,0,IF(OR(K473=0,N473=0),"N.M.",IF(ABS(L473/K473)&gt;=10,"N.M.",L473/K473))))</f>
        <v>N.M.</v>
      </c>
      <c r="N473" s="168"/>
      <c r="O473" s="33">
        <v>354501020.08</v>
      </c>
      <c r="P473" s="74">
        <f>+F473-O473</f>
        <v>1704362.3299999833</v>
      </c>
      <c r="Q473" s="137">
        <f>IF(O473&lt;0,IF(P473=0,0,IF(OR(O473=0,F473=0),"N.M.",IF(ABS(P473/O473)&gt;=10,"N.M.",P473/(-O473)))),IF(P473=0,0,IF(OR(O473=0,F473=0),"N.M.",IF(ABS(P473/O473)&gt;=10,"N.M.",P473/O473))))</f>
        <v>0.004807778351710697</v>
      </c>
    </row>
    <row r="474" spans="3:17" s="13" customFormat="1" ht="0.75" customHeight="1" hidden="1" outlineLevel="1">
      <c r="C474" s="110"/>
      <c r="D474" s="33"/>
      <c r="F474" s="33"/>
      <c r="G474" s="33"/>
      <c r="H474" s="74"/>
      <c r="I474" s="137"/>
      <c r="J474" s="168"/>
      <c r="K474" s="33"/>
      <c r="L474" s="74"/>
      <c r="M474" s="137"/>
      <c r="N474" s="168"/>
      <c r="O474" s="33"/>
      <c r="P474" s="74"/>
      <c r="Q474" s="137"/>
    </row>
    <row r="475" spans="1:17" s="15" customFormat="1" ht="12.75" hidden="1" outlineLevel="2">
      <c r="A475" s="15" t="s">
        <v>1236</v>
      </c>
      <c r="B475" s="15" t="s">
        <v>1237</v>
      </c>
      <c r="C475" s="134" t="s">
        <v>1238</v>
      </c>
      <c r="D475" s="16"/>
      <c r="E475" s="16"/>
      <c r="F475" s="16">
        <v>843401.8</v>
      </c>
      <c r="G475" s="16">
        <v>1403929</v>
      </c>
      <c r="H475" s="16">
        <f>+F475-G475</f>
        <v>-560527.2</v>
      </c>
      <c r="I475" s="53">
        <f>IF(G475&lt;0,IF(H475=0,0,IF(OR(G475=0,F475=0),"N.M.",IF(ABS(H475/G475)&gt;=10,"N.M.",H475/(-G475)))),IF(H475=0,0,IF(OR(G475=0,F475=0),"N.M.",IF(ABS(H475/G475)&gt;=10,"N.M.",H475/G475))))</f>
        <v>-0.3992560877366305</v>
      </c>
      <c r="J475" s="174"/>
      <c r="K475" s="256">
        <v>873349.64</v>
      </c>
      <c r="L475" s="16">
        <f>+F475-K475</f>
        <v>-29947.839999999967</v>
      </c>
      <c r="M475" s="53" t="str">
        <f>IF(K475&lt;0,IF(L475=0,0,IF(OR(K475=0,N475=0),"N.M.",IF(ABS(L475/K475)&gt;=10,"N.M.",L475/(-K475)))),IF(L475=0,0,IF(OR(K475=0,N475=0),"N.M.",IF(ABS(L475/K475)&gt;=10,"N.M.",L475/K475))))</f>
        <v>N.M.</v>
      </c>
      <c r="N475" s="174"/>
      <c r="O475" s="256">
        <v>993141</v>
      </c>
      <c r="P475" s="16">
        <f>+F475-O475</f>
        <v>-149739.19999999995</v>
      </c>
      <c r="Q475" s="53">
        <f>IF(O475&lt;0,IF(P475=0,0,IF(OR(O475=0,F475=0),"N.M.",IF(ABS(P475/O475)&gt;=10,"N.M.",P475/(-O475)))),IF(P475=0,0,IF(OR(O475=0,F475=0),"N.M.",IF(ABS(P475/O475)&gt;=10,"N.M.",P475/O475))))</f>
        <v>-0.1507733544380908</v>
      </c>
    </row>
    <row r="476" spans="1:17" s="13" customFormat="1" ht="12.75" collapsed="1">
      <c r="A476" s="13" t="s">
        <v>281</v>
      </c>
      <c r="C476" s="110" t="s">
        <v>212</v>
      </c>
      <c r="D476" s="33"/>
      <c r="F476" s="33">
        <v>843401.8</v>
      </c>
      <c r="G476" s="33">
        <v>1403929</v>
      </c>
      <c r="H476" s="74">
        <f>+F476-G476</f>
        <v>-560527.2</v>
      </c>
      <c r="I476" s="137">
        <f>IF(G476&lt;0,IF(H476=0,0,IF(OR(G476=0,F476=0),"N.M.",IF(ABS(H476/G476)&gt;=10,"N.M.",H476/(-G476)))),IF(H476=0,0,IF(OR(G476=0,F476=0),"N.M.",IF(ABS(H476/G476)&gt;=10,"N.M.",H476/G476))))</f>
        <v>-0.3992560877366305</v>
      </c>
      <c r="J476" s="168"/>
      <c r="K476" s="33">
        <v>873349.64</v>
      </c>
      <c r="L476" s="74">
        <f>+F476-K476</f>
        <v>-29947.839999999967</v>
      </c>
      <c r="M476" s="137" t="str">
        <f>IF(K476&lt;0,IF(L476=0,0,IF(OR(K476=0,N476=0),"N.M.",IF(ABS(L476/K476)&gt;=10,"N.M.",L476/(-K476)))),IF(L476=0,0,IF(OR(K476=0,N476=0),"N.M.",IF(ABS(L476/K476)&gt;=10,"N.M.",L476/K476))))</f>
        <v>N.M.</v>
      </c>
      <c r="N476" s="168"/>
      <c r="O476" s="33">
        <v>993141</v>
      </c>
      <c r="P476" s="74">
        <f>+F476-O476</f>
        <v>-149739.19999999995</v>
      </c>
      <c r="Q476" s="137">
        <f>IF(O476&lt;0,IF(P476=0,0,IF(OR(O476=0,F476=0),"N.M.",IF(ABS(P476/O476)&gt;=10,"N.M.",P476/(-O476)))),IF(P476=0,0,IF(OR(O476=0,F476=0),"N.M.",IF(ABS(P476/O476)&gt;=10,"N.M.",P476/O476))))</f>
        <v>-0.1507733544380908</v>
      </c>
    </row>
    <row r="477" spans="3:17" s="13" customFormat="1" ht="0.75" customHeight="1" hidden="1" outlineLevel="1">
      <c r="C477" s="110"/>
      <c r="D477" s="33"/>
      <c r="F477" s="33"/>
      <c r="G477" s="33"/>
      <c r="H477" s="74"/>
      <c r="I477" s="137"/>
      <c r="J477" s="168"/>
      <c r="K477" s="33"/>
      <c r="L477" s="74"/>
      <c r="M477" s="137"/>
      <c r="N477" s="168"/>
      <c r="O477" s="33"/>
      <c r="P477" s="74"/>
      <c r="Q477" s="137"/>
    </row>
    <row r="478" spans="1:17" s="15" customFormat="1" ht="12.75" hidden="1" outlineLevel="2">
      <c r="A478" s="15" t="s">
        <v>1239</v>
      </c>
      <c r="B478" s="15" t="s">
        <v>1240</v>
      </c>
      <c r="C478" s="134" t="s">
        <v>1241</v>
      </c>
      <c r="D478" s="16"/>
      <c r="E478" s="16"/>
      <c r="F478" s="16">
        <v>0</v>
      </c>
      <c r="G478" s="16">
        <v>1747063.88</v>
      </c>
      <c r="H478" s="16">
        <f aca="true" t="shared" si="134" ref="H478:H491">+F478-G478</f>
        <v>-1747063.88</v>
      </c>
      <c r="I478" s="53" t="str">
        <f aca="true" t="shared" si="135" ref="I478:I491">IF(G478&lt;0,IF(H478=0,0,IF(OR(G478=0,F478=0),"N.M.",IF(ABS(H478/G478)&gt;=10,"N.M.",H478/(-G478)))),IF(H478=0,0,IF(OR(G478=0,F478=0),"N.M.",IF(ABS(H478/G478)&gt;=10,"N.M.",H478/G478))))</f>
        <v>N.M.</v>
      </c>
      <c r="J478" s="174"/>
      <c r="K478" s="256">
        <v>395597.88</v>
      </c>
      <c r="L478" s="16">
        <f>+F478-K478</f>
        <v>-395597.88</v>
      </c>
      <c r="M478" s="53" t="str">
        <f>IF(K478&lt;0,IF(L478=0,0,IF(OR(K478=0,N478=0),"N.M.",IF(ABS(L478/K478)&gt;=10,"N.M.",L478/(-K478)))),IF(L478=0,0,IF(OR(K478=0,N478=0),"N.M.",IF(ABS(L478/K478)&gt;=10,"N.M.",L478/K478))))</f>
        <v>N.M.</v>
      </c>
      <c r="N478" s="174"/>
      <c r="O478" s="256">
        <v>863928.88</v>
      </c>
      <c r="P478" s="16">
        <f>+F478-O478</f>
        <v>-863928.88</v>
      </c>
      <c r="Q478" s="53" t="str">
        <f>IF(O478&lt;0,IF(P478=0,0,IF(OR(O478=0,F478=0),"N.M.",IF(ABS(P478/O478)&gt;=10,"N.M.",P478/(-O478)))),IF(P478=0,0,IF(OR(O478=0,F478=0),"N.M.",IF(ABS(P478/O478)&gt;=10,"N.M.",P478/O478))))</f>
        <v>N.M.</v>
      </c>
    </row>
    <row r="479" spans="1:17" s="13" customFormat="1" ht="12.75" hidden="1" outlineLevel="1">
      <c r="A479" s="11" t="s">
        <v>282</v>
      </c>
      <c r="B479" s="11"/>
      <c r="C479" s="123" t="s">
        <v>222</v>
      </c>
      <c r="D479" s="18"/>
      <c r="E479" s="11"/>
      <c r="F479" s="18">
        <v>0</v>
      </c>
      <c r="G479" s="18">
        <v>1747063.88</v>
      </c>
      <c r="H479" s="51">
        <f t="shared" si="134"/>
        <v>-1747063.88</v>
      </c>
      <c r="I479" s="136" t="str">
        <f t="shared" si="135"/>
        <v>N.M.</v>
      </c>
      <c r="J479" s="168"/>
      <c r="K479" s="18">
        <v>395597.88</v>
      </c>
      <c r="L479" s="51">
        <f aca="true" t="shared" si="136" ref="L479:L491">+F479-K479</f>
        <v>-395597.88</v>
      </c>
      <c r="M479" s="136" t="str">
        <f aca="true" t="shared" si="137" ref="M479:M491">IF(K479&lt;0,IF(L479=0,0,IF(OR(K479=0,N479=0),"N.M.",IF(ABS(L479/K479)&gt;=10,"N.M.",L479/(-K479)))),IF(L479=0,0,IF(OR(K479=0,N479=0),"N.M.",IF(ABS(L479/K479)&gt;=10,"N.M.",L479/K479))))</f>
        <v>N.M.</v>
      </c>
      <c r="N479" s="168"/>
      <c r="O479" s="18">
        <v>863928.88</v>
      </c>
      <c r="P479" s="51">
        <f aca="true" t="shared" si="138" ref="P479:P491">+F479-O479</f>
        <v>-863928.88</v>
      </c>
      <c r="Q479" s="136" t="str">
        <f aca="true" t="shared" si="139" ref="Q479:Q491">IF(O479&lt;0,IF(P479=0,0,IF(OR(O479=0,F479=0),"N.M.",IF(ABS(P479/O479)&gt;=10,"N.M.",P479/(-O479)))),IF(P479=0,0,IF(OR(O479=0,F479=0),"N.M.",IF(ABS(P479/O479)&gt;=10,"N.M.",P479/O479))))</f>
        <v>N.M.</v>
      </c>
    </row>
    <row r="480" spans="1:17" s="13" customFormat="1" ht="12.75" hidden="1" outlineLevel="1">
      <c r="A480" s="11" t="s">
        <v>283</v>
      </c>
      <c r="B480" s="11"/>
      <c r="C480" s="123" t="s">
        <v>223</v>
      </c>
      <c r="D480" s="18"/>
      <c r="E480" s="11"/>
      <c r="F480" s="18">
        <v>0</v>
      </c>
      <c r="G480" s="18">
        <v>0</v>
      </c>
      <c r="H480" s="51">
        <f t="shared" si="134"/>
        <v>0</v>
      </c>
      <c r="I480" s="136">
        <f t="shared" si="135"/>
        <v>0</v>
      </c>
      <c r="J480" s="168"/>
      <c r="K480" s="18">
        <v>0</v>
      </c>
      <c r="L480" s="51">
        <f t="shared" si="136"/>
        <v>0</v>
      </c>
      <c r="M480" s="136">
        <f t="shared" si="137"/>
        <v>0</v>
      </c>
      <c r="N480" s="168"/>
      <c r="O480" s="18">
        <v>0</v>
      </c>
      <c r="P480" s="51">
        <f t="shared" si="138"/>
        <v>0</v>
      </c>
      <c r="Q480" s="136">
        <f t="shared" si="139"/>
        <v>0</v>
      </c>
    </row>
    <row r="481" spans="1:17" s="13" customFormat="1" ht="12.75" hidden="1" outlineLevel="1">
      <c r="A481" s="11" t="s">
        <v>284</v>
      </c>
      <c r="B481" s="11"/>
      <c r="C481" s="123" t="s">
        <v>224</v>
      </c>
      <c r="D481" s="18"/>
      <c r="E481" s="11"/>
      <c r="F481" s="18">
        <v>0</v>
      </c>
      <c r="G481" s="18">
        <v>0</v>
      </c>
      <c r="H481" s="51">
        <f t="shared" si="134"/>
        <v>0</v>
      </c>
      <c r="I481" s="136">
        <f t="shared" si="135"/>
        <v>0</v>
      </c>
      <c r="J481" s="168"/>
      <c r="K481" s="18">
        <v>0</v>
      </c>
      <c r="L481" s="51">
        <f t="shared" si="136"/>
        <v>0</v>
      </c>
      <c r="M481" s="136">
        <f t="shared" si="137"/>
        <v>0</v>
      </c>
      <c r="N481" s="168"/>
      <c r="O481" s="18">
        <v>0</v>
      </c>
      <c r="P481" s="51">
        <f t="shared" si="138"/>
        <v>0</v>
      </c>
      <c r="Q481" s="136">
        <f t="shared" si="139"/>
        <v>0</v>
      </c>
    </row>
    <row r="482" spans="1:17" s="15" customFormat="1" ht="12.75" hidden="1" outlineLevel="2">
      <c r="A482" s="15" t="s">
        <v>1242</v>
      </c>
      <c r="B482" s="15" t="s">
        <v>1243</v>
      </c>
      <c r="C482" s="134" t="s">
        <v>1244</v>
      </c>
      <c r="D482" s="16"/>
      <c r="E482" s="16"/>
      <c r="F482" s="16">
        <v>6156170.93</v>
      </c>
      <c r="G482" s="16">
        <v>9413439.99</v>
      </c>
      <c r="H482" s="16">
        <f t="shared" si="134"/>
        <v>-3257269.0600000005</v>
      </c>
      <c r="I482" s="53">
        <f t="shared" si="135"/>
        <v>-0.3460232458548876</v>
      </c>
      <c r="J482" s="174"/>
      <c r="K482" s="256">
        <v>5881269.26</v>
      </c>
      <c r="L482" s="16">
        <f>+F482-K482</f>
        <v>274901.6699999999</v>
      </c>
      <c r="M482" s="53" t="str">
        <f>IF(K482&lt;0,IF(L482=0,0,IF(OR(K482=0,N482=0),"N.M.",IF(ABS(L482/K482)&gt;=10,"N.M.",L482/(-K482)))),IF(L482=0,0,IF(OR(K482=0,N482=0),"N.M.",IF(ABS(L482/K482)&gt;=10,"N.M.",L482/K482))))</f>
        <v>N.M.</v>
      </c>
      <c r="N482" s="174"/>
      <c r="O482" s="256">
        <v>5844355.89</v>
      </c>
      <c r="P482" s="16">
        <f>+F482-O482</f>
        <v>311815.04000000004</v>
      </c>
      <c r="Q482" s="53">
        <f>IF(O482&lt;0,IF(P482=0,0,IF(OR(O482=0,F482=0),"N.M.",IF(ABS(P482/O482)&gt;=10,"N.M.",P482/(-O482)))),IF(P482=0,0,IF(OR(O482=0,F482=0),"N.M.",IF(ABS(P482/O482)&gt;=10,"N.M.",P482/O482))))</f>
        <v>0.053353191672247745</v>
      </c>
    </row>
    <row r="483" spans="1:17" s="15" customFormat="1" ht="12.75" hidden="1" outlineLevel="2">
      <c r="A483" s="15" t="s">
        <v>1245</v>
      </c>
      <c r="B483" s="15" t="s">
        <v>1246</v>
      </c>
      <c r="C483" s="134" t="s">
        <v>1247</v>
      </c>
      <c r="D483" s="16"/>
      <c r="E483" s="16"/>
      <c r="F483" s="16">
        <v>1392742</v>
      </c>
      <c r="G483" s="16">
        <v>0</v>
      </c>
      <c r="H483" s="16">
        <f t="shared" si="134"/>
        <v>1392742</v>
      </c>
      <c r="I483" s="53" t="str">
        <f t="shared" si="135"/>
        <v>N.M.</v>
      </c>
      <c r="J483" s="174"/>
      <c r="K483" s="256">
        <v>880288</v>
      </c>
      <c r="L483" s="16">
        <f>+F483-K483</f>
        <v>512454</v>
      </c>
      <c r="M483" s="53" t="str">
        <f>IF(K483&lt;0,IF(L483=0,0,IF(OR(K483=0,N483=0),"N.M.",IF(ABS(L483/K483)&gt;=10,"N.M.",L483/(-K483)))),IF(L483=0,0,IF(OR(K483=0,N483=0),"N.M.",IF(ABS(L483/K483)&gt;=10,"N.M.",L483/K483))))</f>
        <v>N.M.</v>
      </c>
      <c r="N483" s="174"/>
      <c r="O483" s="256">
        <v>0</v>
      </c>
      <c r="P483" s="16">
        <f>+F483-O483</f>
        <v>1392742</v>
      </c>
      <c r="Q483" s="53" t="str">
        <f>IF(O483&lt;0,IF(P483=0,0,IF(OR(O483=0,F483=0),"N.M.",IF(ABS(P483/O483)&gt;=10,"N.M.",P483/(-O483)))),IF(P483=0,0,IF(OR(O483=0,F483=0),"N.M.",IF(ABS(P483/O483)&gt;=10,"N.M.",P483/O483))))</f>
        <v>N.M.</v>
      </c>
    </row>
    <row r="484" spans="1:17" s="15" customFormat="1" ht="12.75" hidden="1" outlineLevel="2">
      <c r="A484" s="15" t="s">
        <v>1248</v>
      </c>
      <c r="B484" s="15" t="s">
        <v>1249</v>
      </c>
      <c r="C484" s="134" t="s">
        <v>1250</v>
      </c>
      <c r="D484" s="16"/>
      <c r="E484" s="16"/>
      <c r="F484" s="16">
        <v>194699.87</v>
      </c>
      <c r="G484" s="16">
        <v>32802.92</v>
      </c>
      <c r="H484" s="16">
        <f t="shared" si="134"/>
        <v>161896.95</v>
      </c>
      <c r="I484" s="53">
        <f t="shared" si="135"/>
        <v>4.935443247125561</v>
      </c>
      <c r="J484" s="174"/>
      <c r="K484" s="256">
        <v>155523.35</v>
      </c>
      <c r="L484" s="16">
        <f>+F484-K484</f>
        <v>39176.51999999999</v>
      </c>
      <c r="M484" s="53" t="str">
        <f>IF(K484&lt;0,IF(L484=0,0,IF(OR(K484=0,N484=0),"N.M.",IF(ABS(L484/K484)&gt;=10,"N.M.",L484/(-K484)))),IF(L484=0,0,IF(OR(K484=0,N484=0),"N.M.",IF(ABS(L484/K484)&gt;=10,"N.M.",L484/K484))))</f>
        <v>N.M.</v>
      </c>
      <c r="N484" s="174"/>
      <c r="O484" s="256">
        <v>177765.21</v>
      </c>
      <c r="P484" s="16">
        <f>+F484-O484</f>
        <v>16934.660000000003</v>
      </c>
      <c r="Q484" s="53">
        <f>IF(O484&lt;0,IF(P484=0,0,IF(OR(O484=0,F484=0),"N.M.",IF(ABS(P484/O484)&gt;=10,"N.M.",P484/(-O484)))),IF(P484=0,0,IF(OR(O484=0,F484=0),"N.M.",IF(ABS(P484/O484)&gt;=10,"N.M.",P484/O484))))</f>
        <v>0.09526419708333259</v>
      </c>
    </row>
    <row r="485" spans="1:17" s="15" customFormat="1" ht="12.75" hidden="1" outlineLevel="2">
      <c r="A485" s="15" t="s">
        <v>1251</v>
      </c>
      <c r="B485" s="15" t="s">
        <v>1252</v>
      </c>
      <c r="C485" s="134" t="s">
        <v>1253</v>
      </c>
      <c r="D485" s="16"/>
      <c r="E485" s="16"/>
      <c r="F485" s="16">
        <v>584</v>
      </c>
      <c r="G485" s="16">
        <v>544</v>
      </c>
      <c r="H485" s="16">
        <f t="shared" si="134"/>
        <v>40</v>
      </c>
      <c r="I485" s="53">
        <f t="shared" si="135"/>
        <v>0.07352941176470588</v>
      </c>
      <c r="J485" s="174"/>
      <c r="K485" s="256">
        <v>584</v>
      </c>
      <c r="L485" s="16">
        <f>+F485-K485</f>
        <v>0</v>
      </c>
      <c r="M485" s="53">
        <f>IF(K485&lt;0,IF(L485=0,0,IF(OR(K485=0,N485=0),"N.M.",IF(ABS(L485/K485)&gt;=10,"N.M.",L485/(-K485)))),IF(L485=0,0,IF(OR(K485=0,N485=0),"N.M.",IF(ABS(L485/K485)&gt;=10,"N.M.",L485/K485))))</f>
        <v>0</v>
      </c>
      <c r="N485" s="174"/>
      <c r="O485" s="256">
        <v>584</v>
      </c>
      <c r="P485" s="16">
        <f>+F485-O485</f>
        <v>0</v>
      </c>
      <c r="Q485" s="53">
        <f>IF(O485&lt;0,IF(P485=0,0,IF(OR(O485=0,F485=0),"N.M.",IF(ABS(P485/O485)&gt;=10,"N.M.",P485/(-O485)))),IF(P485=0,0,IF(OR(O485=0,F485=0),"N.M.",IF(ABS(P485/O485)&gt;=10,"N.M.",P485/O485))))</f>
        <v>0</v>
      </c>
    </row>
    <row r="486" spans="1:17" s="13" customFormat="1" ht="12.75" hidden="1" outlineLevel="1">
      <c r="A486" s="11" t="s">
        <v>285</v>
      </c>
      <c r="B486" s="11"/>
      <c r="C486" s="123" t="s">
        <v>225</v>
      </c>
      <c r="D486" s="18"/>
      <c r="E486" s="11"/>
      <c r="F486" s="18">
        <v>7744196.8</v>
      </c>
      <c r="G486" s="18">
        <v>9446786.91</v>
      </c>
      <c r="H486" s="51">
        <f t="shared" si="134"/>
        <v>-1702590.1100000003</v>
      </c>
      <c r="I486" s="136">
        <f t="shared" si="135"/>
        <v>-0.18022954537036343</v>
      </c>
      <c r="J486" s="168"/>
      <c r="K486" s="18">
        <v>6917664.609999999</v>
      </c>
      <c r="L486" s="51">
        <f t="shared" si="136"/>
        <v>826532.1900000004</v>
      </c>
      <c r="M486" s="136" t="str">
        <f t="shared" si="137"/>
        <v>N.M.</v>
      </c>
      <c r="N486" s="168"/>
      <c r="O486" s="18">
        <v>6022705.1</v>
      </c>
      <c r="P486" s="51">
        <f t="shared" si="138"/>
        <v>1721491.7000000002</v>
      </c>
      <c r="Q486" s="136">
        <f t="shared" si="139"/>
        <v>0.28583363645017257</v>
      </c>
    </row>
    <row r="487" spans="1:17" s="15" customFormat="1" ht="12.75" hidden="1" outlineLevel="2">
      <c r="A487" s="15" t="s">
        <v>1254</v>
      </c>
      <c r="B487" s="15" t="s">
        <v>1255</v>
      </c>
      <c r="C487" s="134" t="s">
        <v>1256</v>
      </c>
      <c r="D487" s="16"/>
      <c r="E487" s="16"/>
      <c r="F487" s="16">
        <v>454139.44</v>
      </c>
      <c r="G487" s="16">
        <v>755961.77</v>
      </c>
      <c r="H487" s="16">
        <f t="shared" si="134"/>
        <v>-301822.33</v>
      </c>
      <c r="I487" s="53">
        <f t="shared" si="135"/>
        <v>-0.39925607613728936</v>
      </c>
      <c r="J487" s="174"/>
      <c r="K487" s="256">
        <v>470265.19</v>
      </c>
      <c r="L487" s="16">
        <f>+F487-K487</f>
        <v>-16125.75</v>
      </c>
      <c r="M487" s="53" t="str">
        <f>IF(K487&lt;0,IF(L487=0,0,IF(OR(K487=0,N487=0),"N.M.",IF(ABS(L487/K487)&gt;=10,"N.M.",L487/(-K487)))),IF(L487=0,0,IF(OR(K487=0,N487=0),"N.M.",IF(ABS(L487/K487)&gt;=10,"N.M.",L487/K487))))</f>
        <v>N.M.</v>
      </c>
      <c r="N487" s="174"/>
      <c r="O487" s="256">
        <v>534768.23</v>
      </c>
      <c r="P487" s="16">
        <f>+F487-O487</f>
        <v>-80628.78999999998</v>
      </c>
      <c r="Q487" s="53">
        <f>IF(O487&lt;0,IF(P487=0,0,IF(OR(O487=0,F487=0),"N.M.",IF(ABS(P487/O487)&gt;=10,"N.M.",P487/(-O487)))),IF(P487=0,0,IF(OR(O487=0,F487=0),"N.M.",IF(ABS(P487/O487)&gt;=10,"N.M.",P487/O487))))</f>
        <v>-0.15077333595527914</v>
      </c>
    </row>
    <row r="488" spans="1:17" s="15" customFormat="1" ht="12.75" hidden="1" outlineLevel="2">
      <c r="A488" s="15" t="s">
        <v>1257</v>
      </c>
      <c r="B488" s="15" t="s">
        <v>1258</v>
      </c>
      <c r="C488" s="134" t="s">
        <v>1259</v>
      </c>
      <c r="D488" s="16"/>
      <c r="E488" s="16"/>
      <c r="F488" s="16">
        <v>1536427.67</v>
      </c>
      <c r="G488" s="16">
        <v>1171598.46</v>
      </c>
      <c r="H488" s="16">
        <f t="shared" si="134"/>
        <v>364829.20999999996</v>
      </c>
      <c r="I488" s="53">
        <f t="shared" si="135"/>
        <v>0.31139440896841053</v>
      </c>
      <c r="J488" s="174"/>
      <c r="K488" s="256">
        <v>1447338.45</v>
      </c>
      <c r="L488" s="16">
        <f>+F488-K488</f>
        <v>89089.21999999997</v>
      </c>
      <c r="M488" s="53" t="str">
        <f>IF(K488&lt;0,IF(L488=0,0,IF(OR(K488=0,N488=0),"N.M.",IF(ABS(L488/K488)&gt;=10,"N.M.",L488/(-K488)))),IF(L488=0,0,IF(OR(K488=0,N488=0),"N.M.",IF(ABS(L488/K488)&gt;=10,"N.M.",L488/K488))))</f>
        <v>N.M.</v>
      </c>
      <c r="N488" s="174"/>
      <c r="O488" s="256">
        <v>1090981.53</v>
      </c>
      <c r="P488" s="16">
        <f>+F488-O488</f>
        <v>445446.1399999999</v>
      </c>
      <c r="Q488" s="53">
        <f>IF(O488&lt;0,IF(P488=0,0,IF(OR(O488=0,F488=0),"N.M.",IF(ABS(P488/O488)&gt;=10,"N.M.",P488/(-O488)))),IF(P488=0,0,IF(OR(O488=0,F488=0),"N.M.",IF(ABS(P488/O488)&gt;=10,"N.M.",P488/O488))))</f>
        <v>0.4082985162911052</v>
      </c>
    </row>
    <row r="489" spans="1:17" s="13" customFormat="1" ht="12.75" hidden="1" outlineLevel="1">
      <c r="A489" s="11" t="s">
        <v>286</v>
      </c>
      <c r="B489" s="11"/>
      <c r="C489" s="123" t="s">
        <v>226</v>
      </c>
      <c r="D489" s="18"/>
      <c r="E489" s="11"/>
      <c r="F489" s="18">
        <v>1990567.1099999999</v>
      </c>
      <c r="G489" s="18">
        <v>1927560.23</v>
      </c>
      <c r="H489" s="51">
        <f t="shared" si="134"/>
        <v>63006.87999999989</v>
      </c>
      <c r="I489" s="136">
        <f t="shared" si="135"/>
        <v>0.032687372886916165</v>
      </c>
      <c r="J489" s="168"/>
      <c r="K489" s="18">
        <v>1917603.64</v>
      </c>
      <c r="L489" s="51">
        <f t="shared" si="136"/>
        <v>72963.46999999997</v>
      </c>
      <c r="M489" s="136" t="str">
        <f t="shared" si="137"/>
        <v>N.M.</v>
      </c>
      <c r="N489" s="168"/>
      <c r="O489" s="18">
        <v>1625749.76</v>
      </c>
      <c r="P489" s="51">
        <f t="shared" si="138"/>
        <v>364817.34999999986</v>
      </c>
      <c r="Q489" s="136">
        <f t="shared" si="139"/>
        <v>0.22439944878109647</v>
      </c>
    </row>
    <row r="490" spans="1:17" s="13" customFormat="1" ht="12.75" hidden="1" outlineLevel="1">
      <c r="A490" s="11" t="s">
        <v>287</v>
      </c>
      <c r="B490" s="11"/>
      <c r="C490" s="123" t="s">
        <v>227</v>
      </c>
      <c r="D490" s="18"/>
      <c r="E490" s="11"/>
      <c r="F490" s="18">
        <v>0</v>
      </c>
      <c r="G490" s="18">
        <v>0</v>
      </c>
      <c r="H490" s="51">
        <f t="shared" si="134"/>
        <v>0</v>
      </c>
      <c r="I490" s="136">
        <f t="shared" si="135"/>
        <v>0</v>
      </c>
      <c r="J490" s="168"/>
      <c r="K490" s="18">
        <v>0</v>
      </c>
      <c r="L490" s="51">
        <f t="shared" si="136"/>
        <v>0</v>
      </c>
      <c r="M490" s="136">
        <f t="shared" si="137"/>
        <v>0</v>
      </c>
      <c r="N490" s="168"/>
      <c r="O490" s="18">
        <v>0</v>
      </c>
      <c r="P490" s="51">
        <f t="shared" si="138"/>
        <v>0</v>
      </c>
      <c r="Q490" s="136">
        <f t="shared" si="139"/>
        <v>0</v>
      </c>
    </row>
    <row r="491" spans="1:17" s="13" customFormat="1" ht="12.75" collapsed="1">
      <c r="A491" s="13" t="s">
        <v>339</v>
      </c>
      <c r="C491" s="110" t="s">
        <v>213</v>
      </c>
      <c r="D491" s="33"/>
      <c r="F491" s="33">
        <v>9734763.91</v>
      </c>
      <c r="G491" s="33">
        <v>13121411.02</v>
      </c>
      <c r="H491" s="74">
        <f t="shared" si="134"/>
        <v>-3386647.1099999994</v>
      </c>
      <c r="I491" s="137">
        <f t="shared" si="135"/>
        <v>-0.2581008326648699</v>
      </c>
      <c r="J491" s="168"/>
      <c r="K491" s="33">
        <v>9230866.13</v>
      </c>
      <c r="L491" s="74">
        <f t="shared" si="136"/>
        <v>503897.77999999933</v>
      </c>
      <c r="M491" s="137" t="str">
        <f t="shared" si="137"/>
        <v>N.M.</v>
      </c>
      <c r="N491" s="168"/>
      <c r="O491" s="33">
        <v>8512383.74</v>
      </c>
      <c r="P491" s="74">
        <f t="shared" si="138"/>
        <v>1222380.17</v>
      </c>
      <c r="Q491" s="137">
        <f t="shared" si="139"/>
        <v>0.14360021908504794</v>
      </c>
    </row>
    <row r="492" spans="3:17" ht="12.75">
      <c r="C492" s="126"/>
      <c r="E492" s="11"/>
      <c r="H492" s="18"/>
      <c r="I492" s="141"/>
      <c r="J492" s="166"/>
      <c r="K492" s="18"/>
      <c r="L492" s="18"/>
      <c r="M492" s="141"/>
      <c r="N492" s="166"/>
      <c r="O492" s="18"/>
      <c r="P492" s="18"/>
      <c r="Q492" s="141"/>
    </row>
    <row r="493" spans="3:17" ht="0.75" customHeight="1" hidden="1" outlineLevel="1">
      <c r="C493" s="126"/>
      <c r="E493" s="11"/>
      <c r="H493" s="18"/>
      <c r="I493" s="141"/>
      <c r="J493" s="166"/>
      <c r="K493" s="18"/>
      <c r="L493" s="18"/>
      <c r="M493" s="141"/>
      <c r="N493" s="166"/>
      <c r="O493" s="18"/>
      <c r="P493" s="18"/>
      <c r="Q493" s="141"/>
    </row>
    <row r="494" spans="1:17" s="15" customFormat="1" ht="12.75" hidden="1" outlineLevel="2">
      <c r="A494" s="15" t="s">
        <v>1260</v>
      </c>
      <c r="B494" s="15" t="s">
        <v>1261</v>
      </c>
      <c r="C494" s="134" t="s">
        <v>1262</v>
      </c>
      <c r="D494" s="16"/>
      <c r="E494" s="16"/>
      <c r="F494" s="16">
        <v>2195889.75</v>
      </c>
      <c r="G494" s="16">
        <v>7203159.94</v>
      </c>
      <c r="H494" s="16">
        <f aca="true" t="shared" si="140" ref="H494:H499">+F494-G494</f>
        <v>-5007270.19</v>
      </c>
      <c r="I494" s="53">
        <f aca="true" t="shared" si="141" ref="I494:I499">IF(G494&lt;0,IF(H494=0,0,IF(OR(G494=0,F494=0),"N.M.",IF(ABS(H494/G494)&gt;=10,"N.M.",H494/(-G494)))),IF(H494=0,0,IF(OR(G494=0,F494=0),"N.M.",IF(ABS(H494/G494)&gt;=10,"N.M.",H494/G494))))</f>
        <v>-0.6951491056298827</v>
      </c>
      <c r="J494" s="174"/>
      <c r="K494" s="256">
        <v>3124308.99</v>
      </c>
      <c r="L494" s="16">
        <f aca="true" t="shared" si="142" ref="L494:L499">+F494-K494</f>
        <v>-928419.2400000002</v>
      </c>
      <c r="M494" s="53" t="str">
        <f aca="true" t="shared" si="143" ref="M494:M499">IF(K494&lt;0,IF(L494=0,0,IF(OR(K494=0,N494=0),"N.M.",IF(ABS(L494/K494)&gt;=10,"N.M.",L494/(-K494)))),IF(L494=0,0,IF(OR(K494=0,N494=0),"N.M.",IF(ABS(L494/K494)&gt;=10,"N.M.",L494/K494))))</f>
        <v>N.M.</v>
      </c>
      <c r="N494" s="174"/>
      <c r="O494" s="256">
        <v>4013269.72</v>
      </c>
      <c r="P494" s="16">
        <f aca="true" t="shared" si="144" ref="P494:P499">+F494-O494</f>
        <v>-1817379.9700000002</v>
      </c>
      <c r="Q494" s="53">
        <f aca="true" t="shared" si="145" ref="Q494:Q499">IF(O494&lt;0,IF(P494=0,0,IF(OR(O494=0,F494=0),"N.M.",IF(ABS(P494/O494)&gt;=10,"N.M.",P494/(-O494)))),IF(P494=0,0,IF(OR(O494=0,F494=0),"N.M.",IF(ABS(P494/O494)&gt;=10,"N.M.",P494/O494))))</f>
        <v>-0.4528427184804315</v>
      </c>
    </row>
    <row r="495" spans="1:17" s="15" customFormat="1" ht="12.75" hidden="1" outlineLevel="2">
      <c r="A495" s="15" t="s">
        <v>1263</v>
      </c>
      <c r="B495" s="15" t="s">
        <v>1264</v>
      </c>
      <c r="C495" s="134" t="s">
        <v>1265</v>
      </c>
      <c r="D495" s="16"/>
      <c r="E495" s="16"/>
      <c r="F495" s="16">
        <v>0</v>
      </c>
      <c r="G495" s="16">
        <v>108922</v>
      </c>
      <c r="H495" s="16">
        <f t="shared" si="140"/>
        <v>-108922</v>
      </c>
      <c r="I495" s="53" t="str">
        <f t="shared" si="141"/>
        <v>N.M.</v>
      </c>
      <c r="J495" s="174"/>
      <c r="K495" s="256">
        <v>0</v>
      </c>
      <c r="L495" s="16">
        <f t="shared" si="142"/>
        <v>0</v>
      </c>
      <c r="M495" s="53">
        <f t="shared" si="143"/>
        <v>0</v>
      </c>
      <c r="N495" s="174"/>
      <c r="O495" s="256">
        <v>0</v>
      </c>
      <c r="P495" s="16">
        <f t="shared" si="144"/>
        <v>0</v>
      </c>
      <c r="Q495" s="53">
        <f t="shared" si="145"/>
        <v>0</v>
      </c>
    </row>
    <row r="496" spans="1:17" s="15" customFormat="1" ht="12.75" hidden="1" outlineLevel="2">
      <c r="A496" s="15" t="s">
        <v>1266</v>
      </c>
      <c r="B496" s="15" t="s">
        <v>1267</v>
      </c>
      <c r="C496" s="134" t="s">
        <v>1268</v>
      </c>
      <c r="D496" s="16"/>
      <c r="E496" s="16"/>
      <c r="F496" s="16">
        <v>0</v>
      </c>
      <c r="G496" s="16">
        <v>5896.67</v>
      </c>
      <c r="H496" s="16">
        <f t="shared" si="140"/>
        <v>-5896.67</v>
      </c>
      <c r="I496" s="53" t="str">
        <f t="shared" si="141"/>
        <v>N.M.</v>
      </c>
      <c r="J496" s="174"/>
      <c r="K496" s="256">
        <v>0</v>
      </c>
      <c r="L496" s="16">
        <f t="shared" si="142"/>
        <v>0</v>
      </c>
      <c r="M496" s="53">
        <f t="shared" si="143"/>
        <v>0</v>
      </c>
      <c r="N496" s="174"/>
      <c r="O496" s="256">
        <v>6526.89</v>
      </c>
      <c r="P496" s="16">
        <f t="shared" si="144"/>
        <v>-6526.89</v>
      </c>
      <c r="Q496" s="53" t="str">
        <f t="shared" si="145"/>
        <v>N.M.</v>
      </c>
    </row>
    <row r="497" spans="1:17" s="15" customFormat="1" ht="12.75" hidden="1" outlineLevel="2">
      <c r="A497" s="15" t="s">
        <v>1269</v>
      </c>
      <c r="B497" s="15" t="s">
        <v>1270</v>
      </c>
      <c r="C497" s="134" t="s">
        <v>1271</v>
      </c>
      <c r="D497" s="16"/>
      <c r="E497" s="16"/>
      <c r="F497" s="16">
        <v>-158215</v>
      </c>
      <c r="G497" s="16">
        <v>-3198519</v>
      </c>
      <c r="H497" s="16">
        <f t="shared" si="140"/>
        <v>3040304</v>
      </c>
      <c r="I497" s="53">
        <f t="shared" si="141"/>
        <v>0.9505349194424044</v>
      </c>
      <c r="J497" s="174"/>
      <c r="K497" s="256">
        <v>-716852</v>
      </c>
      <c r="L497" s="16">
        <f t="shared" si="142"/>
        <v>558637</v>
      </c>
      <c r="M497" s="53" t="str">
        <f t="shared" si="143"/>
        <v>N.M.</v>
      </c>
      <c r="N497" s="174"/>
      <c r="O497" s="256">
        <v>-1717192</v>
      </c>
      <c r="P497" s="16">
        <f t="shared" si="144"/>
        <v>1558977</v>
      </c>
      <c r="Q497" s="53">
        <f t="shared" si="145"/>
        <v>0.9078641176991274</v>
      </c>
    </row>
    <row r="498" spans="1:17" s="15" customFormat="1" ht="12.75" hidden="1" outlineLevel="2">
      <c r="A498" s="15" t="s">
        <v>1272</v>
      </c>
      <c r="B498" s="15" t="s">
        <v>1273</v>
      </c>
      <c r="C498" s="134" t="s">
        <v>1274</v>
      </c>
      <c r="D498" s="16"/>
      <c r="E498" s="16"/>
      <c r="F498" s="16">
        <v>12111</v>
      </c>
      <c r="G498" s="16">
        <v>55771</v>
      </c>
      <c r="H498" s="16">
        <f t="shared" si="140"/>
        <v>-43660</v>
      </c>
      <c r="I498" s="53">
        <f t="shared" si="141"/>
        <v>-0.7828441304620681</v>
      </c>
      <c r="J498" s="174"/>
      <c r="K498" s="256">
        <v>21847</v>
      </c>
      <c r="L498" s="16">
        <f t="shared" si="142"/>
        <v>-9736</v>
      </c>
      <c r="M498" s="53" t="str">
        <f t="shared" si="143"/>
        <v>N.M.</v>
      </c>
      <c r="N498" s="174"/>
      <c r="O498" s="256">
        <v>61</v>
      </c>
      <c r="P498" s="16">
        <f t="shared" si="144"/>
        <v>12050</v>
      </c>
      <c r="Q498" s="53" t="str">
        <f t="shared" si="145"/>
        <v>N.M.</v>
      </c>
    </row>
    <row r="499" spans="1:17" ht="12.75" collapsed="1">
      <c r="A499" s="11" t="s">
        <v>288</v>
      </c>
      <c r="C499" s="128" t="s">
        <v>214</v>
      </c>
      <c r="E499" s="11"/>
      <c r="F499" s="18">
        <v>2049785.75</v>
      </c>
      <c r="G499" s="18">
        <v>4175230.6100000003</v>
      </c>
      <c r="H499" s="51">
        <f t="shared" si="140"/>
        <v>-2125444.8600000003</v>
      </c>
      <c r="I499" s="136">
        <f t="shared" si="141"/>
        <v>-0.5090604707939713</v>
      </c>
      <c r="J499" s="166"/>
      <c r="K499" s="18">
        <v>2429303.99</v>
      </c>
      <c r="L499" s="51">
        <f t="shared" si="142"/>
        <v>-379518.2400000002</v>
      </c>
      <c r="M499" s="136" t="str">
        <f t="shared" si="143"/>
        <v>N.M.</v>
      </c>
      <c r="N499" s="166"/>
      <c r="O499" s="18">
        <v>2302665.6100000003</v>
      </c>
      <c r="P499" s="51">
        <f t="shared" si="144"/>
        <v>-252879.86000000034</v>
      </c>
      <c r="Q499" s="136">
        <f t="shared" si="145"/>
        <v>-0.10982048756962166</v>
      </c>
    </row>
    <row r="500" spans="3:17" ht="0.75" customHeight="1" hidden="1" outlineLevel="1">
      <c r="C500" s="128"/>
      <c r="E500" s="11"/>
      <c r="H500" s="51"/>
      <c r="I500" s="136"/>
      <c r="J500" s="166"/>
      <c r="K500" s="18"/>
      <c r="L500" s="51"/>
      <c r="M500" s="136"/>
      <c r="N500" s="166"/>
      <c r="O500" s="18"/>
      <c r="P500" s="51"/>
      <c r="Q500" s="136"/>
    </row>
    <row r="501" spans="1:17" s="15" customFormat="1" ht="12.75" hidden="1" outlineLevel="2">
      <c r="A501" s="15" t="s">
        <v>1275</v>
      </c>
      <c r="B501" s="15" t="s">
        <v>1276</v>
      </c>
      <c r="C501" s="134" t="s">
        <v>1277</v>
      </c>
      <c r="D501" s="16"/>
      <c r="E501" s="16"/>
      <c r="F501" s="16">
        <v>88159.62</v>
      </c>
      <c r="G501" s="16">
        <v>40443.24</v>
      </c>
      <c r="H501" s="16">
        <f>+F501-G501</f>
        <v>47716.38</v>
      </c>
      <c r="I501" s="53">
        <f>IF(G501&lt;0,IF(H501=0,0,IF(OR(G501=0,F501=0),"N.M.",IF(ABS(H501/G501)&gt;=10,"N.M.",H501/(-G501)))),IF(H501=0,0,IF(OR(G501=0,F501=0),"N.M.",IF(ABS(H501/G501)&gt;=10,"N.M.",H501/G501))))</f>
        <v>1.179835740163251</v>
      </c>
      <c r="J501" s="174"/>
      <c r="K501" s="256">
        <v>89366.58</v>
      </c>
      <c r="L501" s="16">
        <f>+F501-K501</f>
        <v>-1206.9600000000064</v>
      </c>
      <c r="M501" s="53" t="str">
        <f>IF(K501&lt;0,IF(L501=0,0,IF(OR(K501=0,N501=0),"N.M.",IF(ABS(L501/K501)&gt;=10,"N.M.",L501/(-K501)))),IF(L501=0,0,IF(OR(K501=0,N501=0),"N.M.",IF(ABS(L501/K501)&gt;=10,"N.M.",L501/K501))))</f>
        <v>N.M.</v>
      </c>
      <c r="N501" s="174"/>
      <c r="O501" s="256">
        <v>93401.81</v>
      </c>
      <c r="P501" s="16">
        <f>+F501-O501</f>
        <v>-5242.190000000002</v>
      </c>
      <c r="Q501" s="53">
        <f>IF(O501&lt;0,IF(P501=0,0,IF(OR(O501=0,F501=0),"N.M.",IF(ABS(P501/O501)&gt;=10,"N.M.",P501/(-O501)))),IF(P501=0,0,IF(OR(O501=0,F501=0),"N.M.",IF(ABS(P501/O501)&gt;=10,"N.M.",P501/O501))))</f>
        <v>-0.056125143613383964</v>
      </c>
    </row>
    <row r="502" spans="1:17" ht="12.75" collapsed="1">
      <c r="A502" s="11" t="s">
        <v>289</v>
      </c>
      <c r="C502" s="128" t="s">
        <v>215</v>
      </c>
      <c r="E502" s="11"/>
      <c r="F502" s="18">
        <v>88159.62</v>
      </c>
      <c r="G502" s="18">
        <v>40443.24</v>
      </c>
      <c r="H502" s="51">
        <f>+F502-G502</f>
        <v>47716.38</v>
      </c>
      <c r="I502" s="136">
        <f>IF(G502&lt;0,IF(H502=0,0,IF(OR(G502=0,F502=0),"N.M.",IF(ABS(H502/G502)&gt;=10,"N.M.",H502/(-G502)))),IF(H502=0,0,IF(OR(G502=0,F502=0),"N.M.",IF(ABS(H502/G502)&gt;=10,"N.M.",H502/G502))))</f>
        <v>1.179835740163251</v>
      </c>
      <c r="J502" s="166"/>
      <c r="K502" s="18">
        <v>89366.58</v>
      </c>
      <c r="L502" s="51">
        <f>+F502-K502</f>
        <v>-1206.9600000000064</v>
      </c>
      <c r="M502" s="136" t="str">
        <f>IF(K502&lt;0,IF(L502=0,0,IF(OR(K502=0,N502=0),"N.M.",IF(ABS(L502/K502)&gt;=10,"N.M.",L502/(-K502)))),IF(L502=0,0,IF(OR(K502=0,N502=0),"N.M.",IF(ABS(L502/K502)&gt;=10,"N.M.",L502/K502))))</f>
        <v>N.M.</v>
      </c>
      <c r="N502" s="166"/>
      <c r="O502" s="18">
        <v>93401.81</v>
      </c>
      <c r="P502" s="51">
        <f>+F502-O502</f>
        <v>-5242.190000000002</v>
      </c>
      <c r="Q502" s="136">
        <f>IF(O502&lt;0,IF(P502=0,0,IF(OR(O502=0,F502=0),"N.M.",IF(ABS(P502/O502)&gt;=10,"N.M.",P502/(-O502)))),IF(P502=0,0,IF(OR(O502=0,F502=0),"N.M.",IF(ABS(P502/O502)&gt;=10,"N.M.",P502/O502))))</f>
        <v>-0.056125143613383964</v>
      </c>
    </row>
    <row r="503" spans="3:17" ht="0.75" customHeight="1" hidden="1" outlineLevel="1">
      <c r="C503" s="128"/>
      <c r="E503" s="11"/>
      <c r="H503" s="51"/>
      <c r="I503" s="136"/>
      <c r="J503" s="166"/>
      <c r="K503" s="18"/>
      <c r="L503" s="51"/>
      <c r="M503" s="136"/>
      <c r="N503" s="166"/>
      <c r="O503" s="18"/>
      <c r="P503" s="51"/>
      <c r="Q503" s="136"/>
    </row>
    <row r="504" spans="1:17" ht="12.75" collapsed="1">
      <c r="A504" s="11" t="s">
        <v>290</v>
      </c>
      <c r="C504" s="128" t="s">
        <v>216</v>
      </c>
      <c r="E504" s="11"/>
      <c r="F504" s="18">
        <v>0</v>
      </c>
      <c r="G504" s="18">
        <v>0</v>
      </c>
      <c r="H504" s="51">
        <f>+F504-G504</f>
        <v>0</v>
      </c>
      <c r="I504" s="136">
        <f>IF(G504&lt;0,IF(H504=0,0,IF(OR(G504=0,F504=0),"N.M.",IF(ABS(H504/G504)&gt;=10,"N.M.",H504/(-G504)))),IF(H504=0,0,IF(OR(G504=0,F504=0),"N.M.",IF(ABS(H504/G504)&gt;=10,"N.M.",H504/G504))))</f>
        <v>0</v>
      </c>
      <c r="J504" s="166"/>
      <c r="K504" s="18">
        <v>0</v>
      </c>
      <c r="L504" s="51">
        <f>+F504-K504</f>
        <v>0</v>
      </c>
      <c r="M504" s="136">
        <f>IF(K504&lt;0,IF(L504=0,0,IF(OR(K504=0,N504=0),"N.M.",IF(ABS(L504/K504)&gt;=10,"N.M.",L504/(-K504)))),IF(L504=0,0,IF(OR(K504=0,N504=0),"N.M.",IF(ABS(L504/K504)&gt;=10,"N.M.",L504/K504))))</f>
        <v>0</v>
      </c>
      <c r="N504" s="166"/>
      <c r="O504" s="18">
        <v>0</v>
      </c>
      <c r="P504" s="51">
        <f>+F504-O504</f>
        <v>0</v>
      </c>
      <c r="Q504" s="136">
        <f>IF(O504&lt;0,IF(P504=0,0,IF(OR(O504=0,F504=0),"N.M.",IF(ABS(P504/O504)&gt;=10,"N.M.",P504/(-O504)))),IF(P504=0,0,IF(OR(O504=0,F504=0),"N.M.",IF(ABS(P504/O504)&gt;=10,"N.M.",P504/O504))))</f>
        <v>0</v>
      </c>
    </row>
    <row r="505" spans="3:17" ht="0.75" customHeight="1" hidden="1" outlineLevel="1">
      <c r="C505" s="128"/>
      <c r="E505" s="11"/>
      <c r="H505" s="51"/>
      <c r="I505" s="136"/>
      <c r="J505" s="166"/>
      <c r="K505" s="18"/>
      <c r="L505" s="51"/>
      <c r="M505" s="136"/>
      <c r="N505" s="166"/>
      <c r="O505" s="18"/>
      <c r="P505" s="51"/>
      <c r="Q505" s="136"/>
    </row>
    <row r="506" spans="1:17" ht="12.75" collapsed="1">
      <c r="A506" s="11" t="s">
        <v>291</v>
      </c>
      <c r="C506" s="128" t="s">
        <v>217</v>
      </c>
      <c r="E506" s="11"/>
      <c r="F506" s="18">
        <v>0</v>
      </c>
      <c r="G506" s="18">
        <v>0</v>
      </c>
      <c r="H506" s="51">
        <f>+F506-G506</f>
        <v>0</v>
      </c>
      <c r="I506" s="136">
        <f>IF(G506&lt;0,IF(H506=0,0,IF(OR(G506=0,F506=0),"N.M.",IF(ABS(H506/G506)&gt;=10,"N.M.",H506/(-G506)))),IF(H506=0,0,IF(OR(G506=0,F506=0),"N.M.",IF(ABS(H506/G506)&gt;=10,"N.M.",H506/G506))))</f>
        <v>0</v>
      </c>
      <c r="J506" s="166"/>
      <c r="K506" s="18">
        <v>0</v>
      </c>
      <c r="L506" s="51">
        <f>+F506-K506</f>
        <v>0</v>
      </c>
      <c r="M506" s="136">
        <f>IF(K506&lt;0,IF(L506=0,0,IF(OR(K506=0,N506=0),"N.M.",IF(ABS(L506/K506)&gt;=10,"N.M.",L506/(-K506)))),IF(L506=0,0,IF(OR(K506=0,N506=0),"N.M.",IF(ABS(L506/K506)&gt;=10,"N.M.",L506/K506))))</f>
        <v>0</v>
      </c>
      <c r="N506" s="166"/>
      <c r="O506" s="18">
        <v>0</v>
      </c>
      <c r="P506" s="51">
        <f>+F506-O506</f>
        <v>0</v>
      </c>
      <c r="Q506" s="136">
        <f>IF(O506&lt;0,IF(P506=0,0,IF(OR(O506=0,F506=0),"N.M.",IF(ABS(P506/O506)&gt;=10,"N.M.",P506/(-O506)))),IF(P506=0,0,IF(OR(O506=0,F506=0),"N.M.",IF(ABS(P506/O506)&gt;=10,"N.M.",P506/O506))))</f>
        <v>0</v>
      </c>
    </row>
    <row r="507" spans="3:17" ht="0.75" customHeight="1" hidden="1" outlineLevel="1">
      <c r="C507" s="128"/>
      <c r="E507" s="11"/>
      <c r="H507" s="51"/>
      <c r="I507" s="136"/>
      <c r="J507" s="166"/>
      <c r="K507" s="18"/>
      <c r="L507" s="51"/>
      <c r="M507" s="136"/>
      <c r="N507" s="166"/>
      <c r="O507" s="18"/>
      <c r="P507" s="51"/>
      <c r="Q507" s="136"/>
    </row>
    <row r="508" spans="1:17" s="15" customFormat="1" ht="12.75" hidden="1" outlineLevel="2">
      <c r="A508" s="15" t="s">
        <v>1278</v>
      </c>
      <c r="B508" s="15" t="s">
        <v>1279</v>
      </c>
      <c r="C508" s="134" t="s">
        <v>218</v>
      </c>
      <c r="D508" s="16"/>
      <c r="E508" s="16"/>
      <c r="F508" s="16">
        <v>14378.39</v>
      </c>
      <c r="G508" s="16">
        <v>295032.14</v>
      </c>
      <c r="H508" s="16">
        <f aca="true" t="shared" si="146" ref="H508:H517">+F508-G508</f>
        <v>-280653.75</v>
      </c>
      <c r="I508" s="53">
        <f aca="true" t="shared" si="147" ref="I508:I517">IF(G508&lt;0,IF(H508=0,0,IF(OR(G508=0,F508=0),"N.M.",IF(ABS(H508/G508)&gt;=10,"N.M.",H508/(-G508)))),IF(H508=0,0,IF(OR(G508=0,F508=0),"N.M.",IF(ABS(H508/G508)&gt;=10,"N.M.",H508/G508))))</f>
        <v>-0.9512650045517075</v>
      </c>
      <c r="J508" s="174"/>
      <c r="K508" s="256">
        <v>14378.39</v>
      </c>
      <c r="L508" s="16">
        <f aca="true" t="shared" si="148" ref="L508:L517">+F508-K508</f>
        <v>0</v>
      </c>
      <c r="M508" s="53">
        <f aca="true" t="shared" si="149" ref="M508:M517">IF(K508&lt;0,IF(L508=0,0,IF(OR(K508=0,N508=0),"N.M.",IF(ABS(L508/K508)&gt;=10,"N.M.",L508/(-K508)))),IF(L508=0,0,IF(OR(K508=0,N508=0),"N.M.",IF(ABS(L508/K508)&gt;=10,"N.M.",L508/K508))))</f>
        <v>0</v>
      </c>
      <c r="N508" s="174"/>
      <c r="O508" s="256">
        <v>14378.39</v>
      </c>
      <c r="P508" s="16">
        <f aca="true" t="shared" si="150" ref="P508:P517">+F508-O508</f>
        <v>0</v>
      </c>
      <c r="Q508" s="53">
        <f aca="true" t="shared" si="151" ref="Q508:Q517">IF(O508&lt;0,IF(P508=0,0,IF(OR(O508=0,F508=0),"N.M.",IF(ABS(P508/O508)&gt;=10,"N.M.",P508/(-O508)))),IF(P508=0,0,IF(OR(O508=0,F508=0),"N.M.",IF(ABS(P508/O508)&gt;=10,"N.M.",P508/O508))))</f>
        <v>0</v>
      </c>
    </row>
    <row r="509" spans="1:17" s="15" customFormat="1" ht="12.75" hidden="1" outlineLevel="2">
      <c r="A509" s="15" t="s">
        <v>1280</v>
      </c>
      <c r="B509" s="15" t="s">
        <v>1281</v>
      </c>
      <c r="C509" s="134" t="s">
        <v>1282</v>
      </c>
      <c r="D509" s="16"/>
      <c r="E509" s="16"/>
      <c r="F509" s="16">
        <v>857803.68</v>
      </c>
      <c r="G509" s="16">
        <v>1079952.42</v>
      </c>
      <c r="H509" s="16">
        <f t="shared" si="146"/>
        <v>-222148.73999999987</v>
      </c>
      <c r="I509" s="53">
        <f t="shared" si="147"/>
        <v>-0.20570234010865024</v>
      </c>
      <c r="J509" s="174"/>
      <c r="K509" s="256">
        <v>722942.56</v>
      </c>
      <c r="L509" s="16">
        <f t="shared" si="148"/>
        <v>134861.12</v>
      </c>
      <c r="M509" s="53" t="str">
        <f t="shared" si="149"/>
        <v>N.M.</v>
      </c>
      <c r="N509" s="174"/>
      <c r="O509" s="256">
        <v>827471.65</v>
      </c>
      <c r="P509" s="16">
        <f t="shared" si="150"/>
        <v>30332.030000000028</v>
      </c>
      <c r="Q509" s="53">
        <f t="shared" si="151"/>
        <v>0.03665627698544117</v>
      </c>
    </row>
    <row r="510" spans="1:17" s="15" customFormat="1" ht="12.75" hidden="1" outlineLevel="2">
      <c r="A510" s="15" t="s">
        <v>1283</v>
      </c>
      <c r="B510" s="15" t="s">
        <v>1284</v>
      </c>
      <c r="C510" s="134" t="s">
        <v>1285</v>
      </c>
      <c r="D510" s="16"/>
      <c r="E510" s="16"/>
      <c r="F510" s="16">
        <v>82212.52</v>
      </c>
      <c r="G510" s="16">
        <v>146461.17</v>
      </c>
      <c r="H510" s="16">
        <f t="shared" si="146"/>
        <v>-64248.65000000001</v>
      </c>
      <c r="I510" s="53">
        <f t="shared" si="147"/>
        <v>-0.43867360884799705</v>
      </c>
      <c r="J510" s="174"/>
      <c r="K510" s="256">
        <v>132101.54</v>
      </c>
      <c r="L510" s="16">
        <f t="shared" si="148"/>
        <v>-49889.020000000004</v>
      </c>
      <c r="M510" s="53" t="str">
        <f t="shared" si="149"/>
        <v>N.M.</v>
      </c>
      <c r="N510" s="174"/>
      <c r="O510" s="256">
        <v>97251.23</v>
      </c>
      <c r="P510" s="16">
        <f t="shared" si="150"/>
        <v>-15038.709999999992</v>
      </c>
      <c r="Q510" s="53">
        <f t="shared" si="151"/>
        <v>-0.15463773568725037</v>
      </c>
    </row>
    <row r="511" spans="1:17" s="15" customFormat="1" ht="12.75" hidden="1" outlineLevel="2">
      <c r="A511" s="15" t="s">
        <v>1286</v>
      </c>
      <c r="B511" s="15" t="s">
        <v>1287</v>
      </c>
      <c r="C511" s="134" t="s">
        <v>1288</v>
      </c>
      <c r="D511" s="16"/>
      <c r="E511" s="16"/>
      <c r="F511" s="16">
        <v>247273.19</v>
      </c>
      <c r="G511" s="16">
        <v>239397.42</v>
      </c>
      <c r="H511" s="16">
        <f t="shared" si="146"/>
        <v>7875.7699999999895</v>
      </c>
      <c r="I511" s="53">
        <f t="shared" si="147"/>
        <v>0.03289830775954056</v>
      </c>
      <c r="J511" s="174"/>
      <c r="K511" s="256">
        <v>246582.76</v>
      </c>
      <c r="L511" s="16">
        <f t="shared" si="148"/>
        <v>690.429999999993</v>
      </c>
      <c r="M511" s="53" t="str">
        <f t="shared" si="149"/>
        <v>N.M.</v>
      </c>
      <c r="N511" s="174"/>
      <c r="O511" s="256">
        <v>243963.72</v>
      </c>
      <c r="P511" s="16">
        <f t="shared" si="150"/>
        <v>3309.470000000001</v>
      </c>
      <c r="Q511" s="53">
        <f t="shared" si="151"/>
        <v>0.013565418661430483</v>
      </c>
    </row>
    <row r="512" spans="1:17" s="15" customFormat="1" ht="12.75" hidden="1" outlineLevel="2">
      <c r="A512" s="15" t="s">
        <v>1289</v>
      </c>
      <c r="B512" s="15" t="s">
        <v>1290</v>
      </c>
      <c r="C512" s="134" t="s">
        <v>1291</v>
      </c>
      <c r="D512" s="16"/>
      <c r="E512" s="16"/>
      <c r="F512" s="16">
        <v>170173</v>
      </c>
      <c r="G512" s="16">
        <v>175034.21</v>
      </c>
      <c r="H512" s="16">
        <f t="shared" si="146"/>
        <v>-4861.209999999992</v>
      </c>
      <c r="I512" s="53">
        <f t="shared" si="147"/>
        <v>-0.027772913649280286</v>
      </c>
      <c r="J512" s="174"/>
      <c r="K512" s="256">
        <v>170539</v>
      </c>
      <c r="L512" s="16">
        <f t="shared" si="148"/>
        <v>-366</v>
      </c>
      <c r="M512" s="53" t="str">
        <f t="shared" si="149"/>
        <v>N.M.</v>
      </c>
      <c r="N512" s="174"/>
      <c r="O512" s="256">
        <v>172006</v>
      </c>
      <c r="P512" s="16">
        <f t="shared" si="150"/>
        <v>-1833</v>
      </c>
      <c r="Q512" s="53">
        <f t="shared" si="151"/>
        <v>-0.010656605002151088</v>
      </c>
    </row>
    <row r="513" spans="1:17" s="15" customFormat="1" ht="12.75" hidden="1" outlineLevel="2">
      <c r="A513" s="15" t="s">
        <v>1292</v>
      </c>
      <c r="B513" s="15" t="s">
        <v>1293</v>
      </c>
      <c r="C513" s="134" t="s">
        <v>1294</v>
      </c>
      <c r="D513" s="16"/>
      <c r="E513" s="16"/>
      <c r="F513" s="16">
        <v>987972.74</v>
      </c>
      <c r="G513" s="16">
        <v>23592.27</v>
      </c>
      <c r="H513" s="16">
        <f t="shared" si="146"/>
        <v>964380.47</v>
      </c>
      <c r="I513" s="53" t="str">
        <f t="shared" si="147"/>
        <v>N.M.</v>
      </c>
      <c r="J513" s="174"/>
      <c r="K513" s="256">
        <v>987972.74</v>
      </c>
      <c r="L513" s="16">
        <f t="shared" si="148"/>
        <v>0</v>
      </c>
      <c r="M513" s="53">
        <f t="shared" si="149"/>
        <v>0</v>
      </c>
      <c r="N513" s="174"/>
      <c r="O513" s="256">
        <v>1031514.73</v>
      </c>
      <c r="P513" s="16">
        <f t="shared" si="150"/>
        <v>-43541.98999999999</v>
      </c>
      <c r="Q513" s="53">
        <f t="shared" si="151"/>
        <v>-0.04221169968169043</v>
      </c>
    </row>
    <row r="514" spans="1:17" s="15" customFormat="1" ht="12.75" hidden="1" outlineLevel="2">
      <c r="A514" s="15" t="s">
        <v>1295</v>
      </c>
      <c r="B514" s="15" t="s">
        <v>1296</v>
      </c>
      <c r="C514" s="134" t="s">
        <v>1297</v>
      </c>
      <c r="D514" s="16"/>
      <c r="E514" s="16"/>
      <c r="F514" s="16">
        <v>309624.02</v>
      </c>
      <c r="G514" s="16">
        <v>595622.15</v>
      </c>
      <c r="H514" s="16">
        <f t="shared" si="146"/>
        <v>-285998.13</v>
      </c>
      <c r="I514" s="53">
        <f t="shared" si="147"/>
        <v>-0.48016704885807215</v>
      </c>
      <c r="J514" s="174"/>
      <c r="K514" s="256">
        <v>309624.02</v>
      </c>
      <c r="L514" s="16">
        <f t="shared" si="148"/>
        <v>0</v>
      </c>
      <c r="M514" s="53">
        <f t="shared" si="149"/>
        <v>0</v>
      </c>
      <c r="N514" s="174"/>
      <c r="O514" s="256">
        <v>325920.02</v>
      </c>
      <c r="P514" s="16">
        <f t="shared" si="150"/>
        <v>-16296</v>
      </c>
      <c r="Q514" s="53">
        <f t="shared" si="151"/>
        <v>-0.04999999693176258</v>
      </c>
    </row>
    <row r="515" spans="1:17" s="15" customFormat="1" ht="12.75" hidden="1" outlineLevel="2">
      <c r="A515" s="15" t="s">
        <v>1298</v>
      </c>
      <c r="B515" s="15" t="s">
        <v>1299</v>
      </c>
      <c r="C515" s="134" t="s">
        <v>1300</v>
      </c>
      <c r="D515" s="16"/>
      <c r="E515" s="16"/>
      <c r="F515" s="16">
        <v>1274870.35</v>
      </c>
      <c r="G515" s="16">
        <v>1425492.6</v>
      </c>
      <c r="H515" s="16">
        <f t="shared" si="146"/>
        <v>-150622.25</v>
      </c>
      <c r="I515" s="53">
        <f t="shared" si="147"/>
        <v>-0.10566329842750498</v>
      </c>
      <c r="J515" s="174"/>
      <c r="K515" s="256">
        <v>1274870.35</v>
      </c>
      <c r="L515" s="16">
        <f t="shared" si="148"/>
        <v>0</v>
      </c>
      <c r="M515" s="53">
        <f t="shared" si="149"/>
        <v>0</v>
      </c>
      <c r="N515" s="174"/>
      <c r="O515" s="256">
        <v>1425492.6</v>
      </c>
      <c r="P515" s="16">
        <f t="shared" si="150"/>
        <v>-150622.25</v>
      </c>
      <c r="Q515" s="53">
        <f t="shared" si="151"/>
        <v>-0.10566329842750498</v>
      </c>
    </row>
    <row r="516" spans="1:17" s="15" customFormat="1" ht="12.75" hidden="1" outlineLevel="2">
      <c r="A516" s="15" t="s">
        <v>1301</v>
      </c>
      <c r="B516" s="15" t="s">
        <v>1302</v>
      </c>
      <c r="C516" s="134" t="s">
        <v>1303</v>
      </c>
      <c r="D516" s="16"/>
      <c r="E516" s="16"/>
      <c r="F516" s="16">
        <v>138192.77</v>
      </c>
      <c r="G516" s="16">
        <v>151748.57</v>
      </c>
      <c r="H516" s="16">
        <f t="shared" si="146"/>
        <v>-13555.800000000017</v>
      </c>
      <c r="I516" s="53">
        <f t="shared" si="147"/>
        <v>-0.0893306605788774</v>
      </c>
      <c r="J516" s="174"/>
      <c r="K516" s="256">
        <v>139322.42</v>
      </c>
      <c r="L516" s="16">
        <f t="shared" si="148"/>
        <v>-1129.6500000000233</v>
      </c>
      <c r="M516" s="53" t="str">
        <f t="shared" si="149"/>
        <v>N.M.</v>
      </c>
      <c r="N516" s="174"/>
      <c r="O516" s="256">
        <v>143841.02</v>
      </c>
      <c r="P516" s="16">
        <f t="shared" si="150"/>
        <v>-5648.25</v>
      </c>
      <c r="Q516" s="53">
        <f t="shared" si="151"/>
        <v>-0.039267310534922516</v>
      </c>
    </row>
    <row r="517" spans="1:17" s="15" customFormat="1" ht="12.75" hidden="1" outlineLevel="2">
      <c r="A517" s="15" t="s">
        <v>1304</v>
      </c>
      <c r="B517" s="15" t="s">
        <v>1305</v>
      </c>
      <c r="C517" s="134" t="s">
        <v>1306</v>
      </c>
      <c r="D517" s="16"/>
      <c r="E517" s="16"/>
      <c r="F517" s="16">
        <v>0</v>
      </c>
      <c r="G517" s="16">
        <v>333340</v>
      </c>
      <c r="H517" s="16">
        <f t="shared" si="146"/>
        <v>-333340</v>
      </c>
      <c r="I517" s="53" t="str">
        <f t="shared" si="147"/>
        <v>N.M.</v>
      </c>
      <c r="J517" s="174"/>
      <c r="K517" s="256">
        <v>0</v>
      </c>
      <c r="L517" s="16">
        <f t="shared" si="148"/>
        <v>0</v>
      </c>
      <c r="M517" s="53">
        <f t="shared" si="149"/>
        <v>0</v>
      </c>
      <c r="N517" s="174"/>
      <c r="O517" s="256">
        <v>0</v>
      </c>
      <c r="P517" s="16">
        <f t="shared" si="150"/>
        <v>0</v>
      </c>
      <c r="Q517" s="53">
        <f t="shared" si="151"/>
        <v>0</v>
      </c>
    </row>
    <row r="518" spans="1:17" ht="12.75" collapsed="1">
      <c r="A518" s="11" t="s">
        <v>292</v>
      </c>
      <c r="C518" s="129" t="s">
        <v>218</v>
      </c>
      <c r="E518" s="11"/>
      <c r="F518" s="235">
        <v>4082500.66</v>
      </c>
      <c r="G518" s="235">
        <v>4465672.949999999</v>
      </c>
      <c r="H518" s="197">
        <f>+F518-G518</f>
        <v>-383172.2899999991</v>
      </c>
      <c r="I518" s="138">
        <f>IF(G518&lt;0,IF(H518=0,0,IF(OR(G518=0,F518=0),"N.M.",IF(ABS(H518/G518)&gt;=10,"N.M.",H518/(-G518)))),IF(H518=0,0,IF(OR(G518=0,F518=0),"N.M.",IF(ABS(H518/G518)&gt;=10,"N.M.",H518/G518))))</f>
        <v>-0.08580393017809312</v>
      </c>
      <c r="J518" s="166"/>
      <c r="K518" s="235">
        <v>3998333.7800000003</v>
      </c>
      <c r="L518" s="197">
        <f>+F518-K518</f>
        <v>84166.87999999989</v>
      </c>
      <c r="M518" s="138" t="str">
        <f>IF(K518&lt;0,IF(L518=0,0,IF(OR(K518=0,N518=0),"N.M.",IF(ABS(L518/K518)&gt;=10,"N.M.",L518/(-K518)))),IF(L518=0,0,IF(OR(K518=0,N518=0),"N.M.",IF(ABS(L518/K518)&gt;=10,"N.M.",L518/K518))))</f>
        <v>N.M.</v>
      </c>
      <c r="N518" s="166"/>
      <c r="O518" s="235">
        <v>4281839.359999999</v>
      </c>
      <c r="P518" s="197">
        <f>+F518-O518</f>
        <v>-199338.69999999925</v>
      </c>
      <c r="Q518" s="138">
        <f>IF(O518&lt;0,IF(P518=0,0,IF(OR(O518=0,F518=0),"N.M.",IF(ABS(P518/O518)&gt;=10,"N.M.",P518/(-O518)))),IF(P518=0,0,IF(OR(O518=0,F518=0),"N.M.",IF(ABS(P518/O518)&gt;=10,"N.M.",P518/O518))))</f>
        <v>-0.04655445551324917</v>
      </c>
    </row>
    <row r="519" spans="1:17" s="13" customFormat="1" ht="12.75">
      <c r="A519" s="13" t="s">
        <v>293</v>
      </c>
      <c r="C519" s="130" t="s">
        <v>219</v>
      </c>
      <c r="D519" s="33"/>
      <c r="F519" s="236">
        <v>6220446.03</v>
      </c>
      <c r="G519" s="236">
        <v>8681346.8</v>
      </c>
      <c r="H519" s="245">
        <f>+F519-G519</f>
        <v>-2460900.7700000005</v>
      </c>
      <c r="I519" s="145">
        <f>IF(G519&lt;0,IF(H519=0,0,IF(OR(G519=0,F519=0),"N.M.",IF(ABS(H519/G519)&gt;=10,"N.M.",H519/(-G519)))),IF(H519=0,0,IF(OR(G519=0,F519=0),"N.M.",IF(ABS(H519/G519)&gt;=10,"N.M.",H519/G519))))</f>
        <v>-0.2834699300343583</v>
      </c>
      <c r="J519" s="168"/>
      <c r="K519" s="236">
        <v>6517004.350000001</v>
      </c>
      <c r="L519" s="245">
        <f>+F519-K519</f>
        <v>-296558.3200000003</v>
      </c>
      <c r="M519" s="145" t="str">
        <f>IF(K519&lt;0,IF(L519=0,0,IF(OR(K519=0,N519=0),"N.M.",IF(ABS(L519/K519)&gt;=10,"N.M.",L519/(-K519)))),IF(L519=0,0,IF(OR(K519=0,N519=0),"N.M.",IF(ABS(L519/K519)&gt;=10,"N.M.",L519/K519))))</f>
        <v>N.M.</v>
      </c>
      <c r="N519" s="168"/>
      <c r="O519" s="236">
        <v>6677906.78</v>
      </c>
      <c r="P519" s="245">
        <f>+F519-O519</f>
        <v>-457460.75</v>
      </c>
      <c r="Q519" s="145">
        <f>IF(O519&lt;0,IF(P519=0,0,IF(OR(O519=0,F519=0),"N.M.",IF(ABS(P519/O519)&gt;=10,"N.M.",P519/(-O519)))),IF(P519=0,0,IF(OR(O519=0,F519=0),"N.M.",IF(ABS(P519/O519)&gt;=10,"N.M.",P519/O519))))</f>
        <v>-0.06850361424182684</v>
      </c>
    </row>
    <row r="520" spans="1:17" s="107" customFormat="1" ht="12" customHeight="1">
      <c r="A520" s="107" t="s">
        <v>294</v>
      </c>
      <c r="C520" s="119" t="s">
        <v>344</v>
      </c>
      <c r="D520" s="108"/>
      <c r="F520" s="108">
        <v>373003994.1500001</v>
      </c>
      <c r="G520" s="108">
        <v>368232402.77000004</v>
      </c>
      <c r="H520" s="51">
        <f>+F520-G520</f>
        <v>4771591.380000055</v>
      </c>
      <c r="I520" s="136">
        <f>IF(G520&lt;0,IF(H520=0,0,IF(OR(G520=0,F520=0),"N.M.",IF(ABS(H520/G520)&gt;=10,"N.M.",H520/(-G520)))),IF(H520=0,0,IF(OR(G520=0,F520=0),"N.M.",IF(ABS(H520/G520)&gt;=10,"N.M.",H520/G520))))</f>
        <v>0.012958097506102462</v>
      </c>
      <c r="J520" s="171"/>
      <c r="K520" s="108">
        <v>372467578.29999995</v>
      </c>
      <c r="L520" s="51">
        <f>+F520-K520</f>
        <v>536415.850000143</v>
      </c>
      <c r="M520" s="136" t="str">
        <f>IF(K520&lt;0,IF(L520=0,0,IF(OR(K520=0,N520=0),"N.M.",IF(ABS(L520/K520)&gt;=10,"N.M.",L520/(-K520)))),IF(L520=0,0,IF(OR(K520=0,N520=0),"N.M.",IF(ABS(L520/K520)&gt;=10,"N.M.",L520/K520))))</f>
        <v>N.M.</v>
      </c>
      <c r="N520" s="171"/>
      <c r="O520" s="108">
        <v>370684451.6</v>
      </c>
      <c r="P520" s="51">
        <f>+F520-O520</f>
        <v>2319542.5500000715</v>
      </c>
      <c r="Q520" s="136">
        <f>IF(O520&lt;0,IF(P520=0,0,IF(OR(O520=0,F520=0),"N.M.",IF(ABS(P520/O520)&gt;=10,"N.M.",P520/(-O520)))),IF(P520=0,0,IF(OR(O520=0,F520=0),"N.M.",IF(ABS(P520/O520)&gt;=10,"N.M.",P520/O520))))</f>
        <v>0.006257458439349527</v>
      </c>
    </row>
    <row r="521" spans="3:17" ht="12" customHeight="1">
      <c r="C521" s="127"/>
      <c r="D521" s="106"/>
      <c r="E521" s="104"/>
      <c r="F521" s="233" t="str">
        <f>IF(ABS(+F473+F476+F491+F499+F502+F504+F506+F518-F520)&gt;$C$576,$J$178," ")</f>
        <v> </v>
      </c>
      <c r="G521" s="233" t="str">
        <f>IF(ABS(+G473+G476+G491+G499+G502+G504+G506+G518-G520)&gt;$C$576,$J$178," ")</f>
        <v> </v>
      </c>
      <c r="H521" s="233" t="str">
        <f>IF(ABS(+H473+H476+H491+H499+H502+H504+H506+H518-H520)&gt;$C$576,$J$178," ")</f>
        <v> </v>
      </c>
      <c r="I521" s="141"/>
      <c r="J521" s="166"/>
      <c r="K521" s="233" t="str">
        <f>IF(ABS(+K473+K476+K491+K499+K502+K504+K506+K518-K520)&gt;$C$576,$J$178," ")</f>
        <v> </v>
      </c>
      <c r="L521" s="233" t="str">
        <f>IF(ABS(+L473+L476+L491+L499+L502+L504+L506+L518-L520)&gt;$C$576,$J$178," ")</f>
        <v> </v>
      </c>
      <c r="M521" s="141"/>
      <c r="N521" s="166"/>
      <c r="O521" s="233" t="str">
        <f>IF(ABS(+O473+O476+O491+O499+O502+O504+O506+O518-O520)&gt;$C$576,$J$178," ")</f>
        <v> </v>
      </c>
      <c r="P521" s="233" t="str">
        <f>IF(ABS(+P473+P476+P491+P499+P502+P504+P506+P518-P520)&gt;$C$576,$J$178," ")</f>
        <v> </v>
      </c>
      <c r="Q521" s="141"/>
    </row>
    <row r="522" spans="1:17" s="107" customFormat="1" ht="13.5" thickBot="1">
      <c r="A522" s="107" t="s">
        <v>295</v>
      </c>
      <c r="C522" s="116" t="s">
        <v>221</v>
      </c>
      <c r="D522" s="108"/>
      <c r="F522" s="237">
        <v>1570993389.3089988</v>
      </c>
      <c r="G522" s="237">
        <v>1494474211.2210014</v>
      </c>
      <c r="H522" s="246">
        <f>+F522-G522</f>
        <v>76519178.08799744</v>
      </c>
      <c r="I522" s="146">
        <f>IF(G522&lt;0,IF(H522=0,0,IF(OR(G522=0,F522=0),"N.M.",IF(ABS(H522/G522)&gt;=10,"N.M.",H522/(-G522)))),IF(H522=0,0,IF(OR(G522=0,F522=0),"N.M.",IF(ABS(H522/G522)&gt;=10,"N.M.",H522/G522))))</f>
        <v>0.051201404155030855</v>
      </c>
      <c r="J522" s="171"/>
      <c r="K522" s="237">
        <v>1565283184.8660011</v>
      </c>
      <c r="L522" s="246">
        <f>+F522-K522</f>
        <v>5710204.442997694</v>
      </c>
      <c r="M522" s="146" t="str">
        <f>IF(K522&lt;0,IF(L522=0,0,IF(OR(K522=0,N522=0),"N.M.",IF(ABS(L522/K522)&gt;=10,"N.M.",L522/(-K522)))),IF(L522=0,0,IF(OR(K522=0,N522=0),"N.M.",IF(ABS(L522/K522)&gt;=10,"N.M.",L522/K522))))</f>
        <v>N.M.</v>
      </c>
      <c r="N522" s="171"/>
      <c r="O522" s="237">
        <v>1573464080.4779997</v>
      </c>
      <c r="P522" s="246">
        <f>+F522-O522</f>
        <v>-2470691.169000864</v>
      </c>
      <c r="Q522" s="146">
        <f>IF(O522&lt;0,IF(P522=0,0,IF(OR(O522=0,F522=0),"N.M.",IF(ABS(P522/O522)&gt;=10,"N.M.",P522/(-O522)))),IF(P522=0,0,IF(OR(O522=0,F522=0),"N.M.",IF(ABS(P522/O522)&gt;=10,"N.M.",P522/O522))))</f>
        <v>-0.001570224067809859</v>
      </c>
    </row>
    <row r="523" spans="4:17" ht="12" customHeight="1" thickTop="1">
      <c r="D523" s="106"/>
      <c r="E523" s="107"/>
      <c r="F523" s="233" t="str">
        <f>IF(ABS(+F271+F294+F460+F520-F522)&gt;$C$576,$J$178," ")</f>
        <v> </v>
      </c>
      <c r="G523" s="233" t="str">
        <f>IF(ABS(+G271+G294+G460+G520-G522)&gt;$C$576,$J$178," ")</f>
        <v> </v>
      </c>
      <c r="H523" s="233" t="str">
        <f>IF(ABS(+H271+H294+H460+H520-H522)&gt;$C$576,$J$178," ")</f>
        <v> </v>
      </c>
      <c r="I523" s="141"/>
      <c r="J523" s="175"/>
      <c r="K523" s="233" t="str">
        <f>IF(ABS(+K271+K294+K460+K520-K522)&gt;$C$576,$J$178," ")</f>
        <v> </v>
      </c>
      <c r="L523" s="233" t="str">
        <f>IF(ABS(+L271+L294+L460+L520-L522)&gt;$C$576,$J$178," ")</f>
        <v> </v>
      </c>
      <c r="M523" s="141"/>
      <c r="N523" s="175"/>
      <c r="O523" s="233" t="str">
        <f>IF(ABS(+O271+O294+O460+O520-O522)&gt;$C$576,$J$178," ")</f>
        <v> </v>
      </c>
      <c r="P523" s="233" t="str">
        <f>IF(ABS(+P271+P294+P460+P520-P522)&gt;$C$576,$J$178," ")</f>
        <v> </v>
      </c>
      <c r="Q523" s="141"/>
    </row>
    <row r="524" spans="4:17" ht="12" customHeight="1">
      <c r="D524" s="106"/>
      <c r="E524" s="107"/>
      <c r="F524" s="233"/>
      <c r="G524" s="233"/>
      <c r="H524" s="233"/>
      <c r="I524" s="141"/>
      <c r="J524" s="175"/>
      <c r="K524" s="233"/>
      <c r="L524" s="233"/>
      <c r="M524" s="141"/>
      <c r="N524" s="175"/>
      <c r="O524" s="233"/>
      <c r="P524" s="233"/>
      <c r="Q524" s="141"/>
    </row>
    <row r="525" spans="3:17" s="63" customFormat="1" ht="12.75">
      <c r="C525" s="62" t="s">
        <v>305</v>
      </c>
      <c r="D525" s="64"/>
      <c r="E525" s="64"/>
      <c r="F525" s="231"/>
      <c r="G525" s="231"/>
      <c r="H525" s="244"/>
      <c r="I525" s="65"/>
      <c r="J525" s="158"/>
      <c r="K525" s="231"/>
      <c r="L525" s="244"/>
      <c r="M525" s="65"/>
      <c r="N525" s="158"/>
      <c r="O525" s="231"/>
      <c r="P525" s="244"/>
      <c r="Q525" s="65"/>
    </row>
    <row r="526" spans="4:17" ht="12" customHeight="1">
      <c r="D526" s="106"/>
      <c r="E526" s="107"/>
      <c r="F526" s="233"/>
      <c r="G526" s="233"/>
      <c r="H526" s="233"/>
      <c r="I526" s="141"/>
      <c r="J526" s="175"/>
      <c r="K526" s="233"/>
      <c r="L526" s="233"/>
      <c r="M526" s="141"/>
      <c r="N526" s="175"/>
      <c r="O526" s="233"/>
      <c r="P526" s="233"/>
      <c r="Q526" s="141"/>
    </row>
    <row r="527" spans="1:17" s="15" customFormat="1" ht="12.75" hidden="1" outlineLevel="1">
      <c r="A527" s="15" t="s">
        <v>1307</v>
      </c>
      <c r="B527" s="15" t="s">
        <v>1308</v>
      </c>
      <c r="C527" s="134" t="s">
        <v>1309</v>
      </c>
      <c r="D527" s="16"/>
      <c r="E527" s="16"/>
      <c r="F527" s="16">
        <v>0</v>
      </c>
      <c r="G527" s="16">
        <v>0</v>
      </c>
      <c r="H527" s="16">
        <f>+F527-G527</f>
        <v>0</v>
      </c>
      <c r="I527" s="53"/>
      <c r="J527" s="174"/>
      <c r="K527" s="256">
        <v>157466514.063</v>
      </c>
      <c r="L527" s="16"/>
      <c r="M527" s="53"/>
      <c r="N527" s="174"/>
      <c r="O527" s="256">
        <v>0</v>
      </c>
      <c r="P527" s="16">
        <f>+F527-O527</f>
        <v>0</v>
      </c>
      <c r="Q527" s="53"/>
    </row>
    <row r="528" spans="1:17" s="15" customFormat="1" ht="12.75" hidden="1" outlineLevel="1">
      <c r="A528" s="15" t="s">
        <v>1310</v>
      </c>
      <c r="B528" s="15" t="s">
        <v>1311</v>
      </c>
      <c r="C528" s="134" t="s">
        <v>1312</v>
      </c>
      <c r="D528" s="16"/>
      <c r="E528" s="16"/>
      <c r="F528" s="16">
        <v>0</v>
      </c>
      <c r="G528" s="16">
        <v>0</v>
      </c>
      <c r="H528" s="16">
        <f>+F528-G528</f>
        <v>0</v>
      </c>
      <c r="I528" s="53"/>
      <c r="J528" s="174"/>
      <c r="K528" s="256">
        <v>-5000000</v>
      </c>
      <c r="L528" s="16"/>
      <c r="M528" s="53"/>
      <c r="N528" s="174"/>
      <c r="O528" s="256">
        <v>0</v>
      </c>
      <c r="P528" s="16">
        <f>+F528-O528</f>
        <v>0</v>
      </c>
      <c r="Q528" s="53"/>
    </row>
    <row r="529" spans="1:17" ht="12" customHeight="1" collapsed="1">
      <c r="A529" s="11" t="s">
        <v>340</v>
      </c>
      <c r="B529" s="178"/>
      <c r="C529" s="13" t="s">
        <v>296</v>
      </c>
      <c r="D529" s="11"/>
      <c r="E529" s="179"/>
      <c r="F529" s="179">
        <v>157466514.06299987</v>
      </c>
      <c r="G529" s="179">
        <v>143184638.962</v>
      </c>
      <c r="H529" s="247">
        <f>+F529-G529</f>
        <v>14281875.100999862</v>
      </c>
      <c r="I529" s="141"/>
      <c r="J529" s="175"/>
      <c r="K529" s="262">
        <v>152466514.063</v>
      </c>
      <c r="L529" s="263"/>
      <c r="M529" s="141"/>
      <c r="N529" s="175"/>
      <c r="O529" s="179">
        <v>143184638.962</v>
      </c>
      <c r="P529" s="247">
        <f>+F529-O529</f>
        <v>14281875.100999862</v>
      </c>
      <c r="Q529" s="141"/>
    </row>
    <row r="530" spans="1:17" ht="12" customHeight="1">
      <c r="A530" s="11" t="s">
        <v>319</v>
      </c>
      <c r="B530" s="178"/>
      <c r="C530" s="126" t="s">
        <v>308</v>
      </c>
      <c r="D530" s="11"/>
      <c r="E530" s="180"/>
      <c r="F530" s="18">
        <v>16601227.161999958</v>
      </c>
      <c r="G530" s="18">
        <v>8432342.555999931</v>
      </c>
      <c r="H530" s="51">
        <f>+F530-G530</f>
        <v>8168884.606000027</v>
      </c>
      <c r="I530" s="141"/>
      <c r="J530" s="175"/>
      <c r="K530" s="264">
        <v>16022594.033000037</v>
      </c>
      <c r="L530" s="265"/>
      <c r="M530" s="141"/>
      <c r="N530" s="175"/>
      <c r="O530" s="18">
        <v>35281875.101</v>
      </c>
      <c r="P530" s="51">
        <f>+F530-O530</f>
        <v>-18680647.939000048</v>
      </c>
      <c r="Q530" s="141"/>
    </row>
    <row r="531" spans="1:17" ht="12" customHeight="1">
      <c r="A531" s="107"/>
      <c r="B531" s="97"/>
      <c r="C531" s="107" t="s">
        <v>304</v>
      </c>
      <c r="D531" s="107"/>
      <c r="E531" s="179"/>
      <c r="F531" s="179">
        <f>SUM(F529:F530)</f>
        <v>174067741.22499985</v>
      </c>
      <c r="G531" s="179">
        <f>SUM(G529:G530)</f>
        <v>151616981.51799995</v>
      </c>
      <c r="H531" s="51">
        <f>+F531-G531</f>
        <v>22450759.706999898</v>
      </c>
      <c r="I531" s="141"/>
      <c r="J531" s="175"/>
      <c r="K531" s="262"/>
      <c r="L531" s="265"/>
      <c r="M531" s="141"/>
      <c r="N531" s="175"/>
      <c r="O531" s="179">
        <f>SUM(O526:O530)</f>
        <v>178466514.06300002</v>
      </c>
      <c r="P531" s="51">
        <f>+F531-O531</f>
        <v>-4398772.838000178</v>
      </c>
      <c r="Q531" s="141"/>
    </row>
    <row r="532" spans="2:17" ht="12" customHeight="1">
      <c r="B532" s="178"/>
      <c r="D532" s="11"/>
      <c r="E532" s="180"/>
      <c r="H532" s="233"/>
      <c r="I532" s="141"/>
      <c r="J532" s="175"/>
      <c r="K532" s="264"/>
      <c r="L532" s="266"/>
      <c r="M532" s="141"/>
      <c r="N532" s="175"/>
      <c r="O532" s="18"/>
      <c r="P532" s="233"/>
      <c r="Q532" s="141"/>
    </row>
    <row r="533" spans="2:17" ht="12" customHeight="1">
      <c r="B533" s="178"/>
      <c r="C533" s="187" t="s">
        <v>324</v>
      </c>
      <c r="D533" s="11"/>
      <c r="E533" s="180"/>
      <c r="H533" s="233"/>
      <c r="I533" s="141"/>
      <c r="J533" s="175"/>
      <c r="K533" s="264"/>
      <c r="L533" s="266"/>
      <c r="M533" s="141"/>
      <c r="N533" s="175"/>
      <c r="O533" s="18"/>
      <c r="P533" s="233"/>
      <c r="Q533" s="141"/>
    </row>
    <row r="534" spans="2:17" ht="1.5" customHeight="1" hidden="1" outlineLevel="1">
      <c r="B534" s="178"/>
      <c r="C534" s="187"/>
      <c r="D534" s="11"/>
      <c r="E534" s="180"/>
      <c r="H534" s="248"/>
      <c r="I534" s="199"/>
      <c r="J534" s="204"/>
      <c r="K534" s="264"/>
      <c r="L534" s="267"/>
      <c r="M534" s="199"/>
      <c r="N534" s="204"/>
      <c r="O534" s="18"/>
      <c r="P534" s="248"/>
      <c r="Q534" s="199"/>
    </row>
    <row r="535" spans="1:17" s="15" customFormat="1" ht="12.75" hidden="1" outlineLevel="2">
      <c r="A535" s="15" t="s">
        <v>1310</v>
      </c>
      <c r="B535" s="15" t="s">
        <v>1311</v>
      </c>
      <c r="C535" s="134" t="s">
        <v>1312</v>
      </c>
      <c r="D535" s="16"/>
      <c r="E535" s="16"/>
      <c r="F535" s="16">
        <v>-10000000</v>
      </c>
      <c r="G535" s="16">
        <v>0</v>
      </c>
      <c r="H535" s="16">
        <f>+F535-G535</f>
        <v>-10000000</v>
      </c>
      <c r="I535" s="53"/>
      <c r="J535" s="174"/>
      <c r="K535" s="256">
        <v>-5000000</v>
      </c>
      <c r="L535" s="16"/>
      <c r="M535" s="53"/>
      <c r="N535" s="174"/>
      <c r="O535" s="256">
        <v>0</v>
      </c>
      <c r="P535" s="16">
        <f>+F535-O535</f>
        <v>-10000000</v>
      </c>
      <c r="Q535" s="53"/>
    </row>
    <row r="536" spans="1:17" ht="12" customHeight="1" collapsed="1">
      <c r="A536" s="11" t="s">
        <v>320</v>
      </c>
      <c r="B536" s="178"/>
      <c r="C536" s="202" t="s">
        <v>307</v>
      </c>
      <c r="D536" s="11"/>
      <c r="E536" s="180"/>
      <c r="F536" s="18">
        <v>-10000000</v>
      </c>
      <c r="G536" s="18">
        <v>-10000000</v>
      </c>
      <c r="H536" s="247">
        <f>+F536-G536</f>
        <v>0</v>
      </c>
      <c r="I536" s="199"/>
      <c r="J536" s="200"/>
      <c r="K536" s="264">
        <v>-5000000</v>
      </c>
      <c r="L536" s="263"/>
      <c r="M536" s="199"/>
      <c r="N536" s="200"/>
      <c r="O536" s="118">
        <v>-21000000</v>
      </c>
      <c r="P536" s="247">
        <f>+F536-O536</f>
        <v>11000000</v>
      </c>
      <c r="Q536" s="199"/>
    </row>
    <row r="537" spans="2:17" ht="0.75" customHeight="1" hidden="1" outlineLevel="1">
      <c r="B537" s="178"/>
      <c r="C537" s="202"/>
      <c r="D537" s="11"/>
      <c r="E537" s="180"/>
      <c r="H537" s="247"/>
      <c r="I537" s="199"/>
      <c r="J537" s="200"/>
      <c r="K537" s="264"/>
      <c r="L537" s="263"/>
      <c r="M537" s="199"/>
      <c r="N537" s="200"/>
      <c r="O537" s="117"/>
      <c r="P537" s="247"/>
      <c r="Q537" s="199"/>
    </row>
    <row r="538" spans="1:17" ht="12" customHeight="1" collapsed="1">
      <c r="A538" s="11" t="s">
        <v>321</v>
      </c>
      <c r="B538" s="178"/>
      <c r="C538" s="202" t="s">
        <v>306</v>
      </c>
      <c r="D538" s="11"/>
      <c r="E538" s="180"/>
      <c r="F538" s="180">
        <v>0</v>
      </c>
      <c r="G538" s="18">
        <v>0</v>
      </c>
      <c r="H538" s="247">
        <f>+F538-G538</f>
        <v>0</v>
      </c>
      <c r="I538" s="199"/>
      <c r="J538" s="200"/>
      <c r="K538" s="268">
        <v>0</v>
      </c>
      <c r="L538" s="263"/>
      <c r="M538" s="199"/>
      <c r="N538" s="200"/>
      <c r="O538" s="118">
        <v>0</v>
      </c>
      <c r="P538" s="247">
        <f>+F538-O538</f>
        <v>0</v>
      </c>
      <c r="Q538" s="199"/>
    </row>
    <row r="539" spans="2:17" ht="3" customHeight="1" hidden="1" outlineLevel="2">
      <c r="B539" s="178"/>
      <c r="C539" s="126"/>
      <c r="D539" s="11"/>
      <c r="E539" s="180"/>
      <c r="F539" s="180"/>
      <c r="G539" s="260"/>
      <c r="H539" s="249"/>
      <c r="I539" s="199"/>
      <c r="J539" s="200"/>
      <c r="K539" s="268"/>
      <c r="L539" s="269"/>
      <c r="M539" s="199"/>
      <c r="N539" s="200"/>
      <c r="O539" s="260"/>
      <c r="P539" s="249"/>
      <c r="Q539" s="199"/>
    </row>
    <row r="540" spans="1:17" ht="12" customHeight="1" collapsed="1">
      <c r="A540" s="1" t="s">
        <v>345</v>
      </c>
      <c r="B540" s="102"/>
      <c r="C540" s="203" t="s">
        <v>326</v>
      </c>
      <c r="D540" s="1"/>
      <c r="E540" s="181"/>
      <c r="F540" s="180">
        <f>+F542-F536-F538</f>
        <v>5.960464477539063E-08</v>
      </c>
      <c r="G540" s="180">
        <f>+G542-G536-G538</f>
        <v>8.940696716308594E-08</v>
      </c>
      <c r="H540" s="247">
        <f>+F540-G540</f>
        <v>-2.9802322387695312E-08</v>
      </c>
      <c r="I540" s="199"/>
      <c r="J540" s="200"/>
      <c r="K540" s="270"/>
      <c r="L540" s="263"/>
      <c r="M540" s="199"/>
      <c r="N540" s="200"/>
      <c r="O540" s="180">
        <f>+O542-O536-O538</f>
        <v>-1.4901161193847656E-07</v>
      </c>
      <c r="P540" s="247">
        <f>+F540-O540</f>
        <v>2.086162567138672E-07</v>
      </c>
      <c r="Q540" s="199"/>
    </row>
    <row r="541" spans="1:17" ht="6" customHeight="1">
      <c r="A541" s="1"/>
      <c r="B541" s="102"/>
      <c r="C541" s="96"/>
      <c r="D541" s="196"/>
      <c r="E541" s="205"/>
      <c r="F541" s="214"/>
      <c r="G541" s="261"/>
      <c r="H541" s="250"/>
      <c r="I541" s="206"/>
      <c r="J541" s="132"/>
      <c r="K541" s="271"/>
      <c r="L541" s="272"/>
      <c r="M541" s="206"/>
      <c r="N541" s="132"/>
      <c r="O541" s="261"/>
      <c r="P541" s="250"/>
      <c r="Q541" s="206"/>
    </row>
    <row r="542" spans="1:17" ht="12" customHeight="1">
      <c r="A542" s="217" t="s">
        <v>328</v>
      </c>
      <c r="B542" s="102"/>
      <c r="C542" s="188" t="s">
        <v>325</v>
      </c>
      <c r="D542" s="1"/>
      <c r="E542" s="182"/>
      <c r="F542" s="238">
        <f>+F544-F531</f>
        <v>-9999999.99999994</v>
      </c>
      <c r="G542" s="238">
        <f>+G544-G531</f>
        <v>-9999999.99999991</v>
      </c>
      <c r="H542" s="247">
        <f>+H544-H531</f>
        <v>-2.9802322387695312E-08</v>
      </c>
      <c r="I542" s="199"/>
      <c r="J542" s="204"/>
      <c r="K542" s="273"/>
      <c r="L542" s="263"/>
      <c r="M542" s="199"/>
      <c r="N542" s="204"/>
      <c r="O542" s="238">
        <f>+O544-O531</f>
        <v>-21000000.00000015</v>
      </c>
      <c r="P542" s="247">
        <f>+P544-P531</f>
        <v>11000000.000000209</v>
      </c>
      <c r="Q542" s="199"/>
    </row>
    <row r="543" spans="1:17" ht="12" customHeight="1">
      <c r="A543" s="1"/>
      <c r="B543" s="102"/>
      <c r="C543" s="1"/>
      <c r="D543" s="1"/>
      <c r="E543" s="181"/>
      <c r="F543" s="239"/>
      <c r="G543" s="239"/>
      <c r="H543" s="248"/>
      <c r="I543" s="199"/>
      <c r="J543" s="204"/>
      <c r="K543" s="274"/>
      <c r="L543" s="267"/>
      <c r="M543" s="199"/>
      <c r="N543" s="204"/>
      <c r="O543" s="239"/>
      <c r="P543" s="248"/>
      <c r="Q543" s="199"/>
    </row>
    <row r="544" spans="1:17" ht="12" customHeight="1">
      <c r="A544" s="1" t="s">
        <v>244</v>
      </c>
      <c r="B544" s="183"/>
      <c r="C544" s="183" t="s">
        <v>297</v>
      </c>
      <c r="D544" s="32"/>
      <c r="E544" s="182"/>
      <c r="F544" s="212">
        <v>164067741.2249999</v>
      </c>
      <c r="G544" s="212">
        <v>141616981.51800004</v>
      </c>
      <c r="H544" s="247">
        <f>+F544-G544</f>
        <v>22450759.70699987</v>
      </c>
      <c r="I544" s="199"/>
      <c r="J544" s="204"/>
      <c r="K544" s="275">
        <v>168489108.0959999</v>
      </c>
      <c r="L544" s="263"/>
      <c r="M544" s="199"/>
      <c r="N544" s="204"/>
      <c r="O544" s="212">
        <v>157466514.06299987</v>
      </c>
      <c r="P544" s="247">
        <f>+F544-O544</f>
        <v>6601227.16200003</v>
      </c>
      <c r="Q544" s="199"/>
    </row>
    <row r="545" spans="1:17" ht="12" customHeight="1">
      <c r="A545" s="1"/>
      <c r="B545" s="102"/>
      <c r="C545" s="184"/>
      <c r="D545" s="1"/>
      <c r="E545" s="106"/>
      <c r="F545" s="106"/>
      <c r="G545" s="106"/>
      <c r="H545" s="106" t="str">
        <f>IF(ABS(+H531+H542-H544)&gt;$C576,$C$577," ")</f>
        <v> </v>
      </c>
      <c r="I545" s="225"/>
      <c r="J545" s="226"/>
      <c r="K545" s="276"/>
      <c r="L545" s="276"/>
      <c r="M545" s="225"/>
      <c r="N545" s="226"/>
      <c r="O545" s="106"/>
      <c r="P545" s="106" t="str">
        <f>IF(ABS(+P531+P542-P544)&gt;$C576,$C$577," ")</f>
        <v> </v>
      </c>
      <c r="Q545" s="225"/>
    </row>
    <row r="546" spans="1:17" ht="12" customHeight="1">
      <c r="A546" s="1"/>
      <c r="B546" s="102"/>
      <c r="C546" s="184"/>
      <c r="D546" s="1"/>
      <c r="E546" s="106"/>
      <c r="F546" s="106"/>
      <c r="G546" s="106"/>
      <c r="H546" s="248"/>
      <c r="I546" s="141"/>
      <c r="J546" s="175"/>
      <c r="K546" s="276"/>
      <c r="L546" s="267"/>
      <c r="M546" s="141"/>
      <c r="N546" s="175"/>
      <c r="O546" s="106"/>
      <c r="P546" s="248"/>
      <c r="Q546" s="141"/>
    </row>
    <row r="547" spans="1:17" ht="12" customHeight="1">
      <c r="A547" s="1"/>
      <c r="B547" s="102"/>
      <c r="C547" s="184"/>
      <c r="D547" s="1"/>
      <c r="E547" s="106"/>
      <c r="F547" s="106"/>
      <c r="G547" s="106"/>
      <c r="H547" s="248"/>
      <c r="I547" s="141"/>
      <c r="J547" s="175"/>
      <c r="K547" s="276"/>
      <c r="L547" s="267"/>
      <c r="M547" s="141"/>
      <c r="N547" s="175"/>
      <c r="O547" s="106"/>
      <c r="P547" s="248"/>
      <c r="Q547" s="141"/>
    </row>
    <row r="548" spans="1:17" ht="12" customHeight="1">
      <c r="A548" s="1"/>
      <c r="B548" s="102"/>
      <c r="C548" s="1"/>
      <c r="D548" s="1"/>
      <c r="E548" s="181"/>
      <c r="F548" s="34"/>
      <c r="G548" s="34"/>
      <c r="I548" s="141"/>
      <c r="J548" s="175"/>
      <c r="K548" s="264"/>
      <c r="L548" s="264"/>
      <c r="M548" s="141"/>
      <c r="N548" s="175"/>
      <c r="O548" s="34"/>
      <c r="Q548" s="141"/>
    </row>
    <row r="549" spans="1:17" ht="12" customHeight="1">
      <c r="A549" s="1"/>
      <c r="B549" s="102"/>
      <c r="C549" s="208"/>
      <c r="D549" s="208"/>
      <c r="E549" s="209"/>
      <c r="F549" s="240"/>
      <c r="G549" s="240"/>
      <c r="H549" s="240"/>
      <c r="I549" s="141"/>
      <c r="J549" s="175"/>
      <c r="K549" s="277"/>
      <c r="L549" s="277"/>
      <c r="M549" s="141"/>
      <c r="N549" s="175"/>
      <c r="O549" s="240"/>
      <c r="P549" s="240"/>
      <c r="Q549" s="141"/>
    </row>
    <row r="550" spans="1:17" ht="12" customHeight="1">
      <c r="A550" s="1"/>
      <c r="B550" s="102"/>
      <c r="C550" s="207" t="s">
        <v>314</v>
      </c>
      <c r="D550" s="1"/>
      <c r="E550" s="181"/>
      <c r="F550" s="34"/>
      <c r="G550" s="34"/>
      <c r="H550" s="248"/>
      <c r="I550" s="141"/>
      <c r="J550" s="175"/>
      <c r="K550" s="264"/>
      <c r="L550" s="267"/>
      <c r="M550" s="141"/>
      <c r="N550" s="175"/>
      <c r="O550" s="34"/>
      <c r="P550" s="248"/>
      <c r="Q550" s="141"/>
    </row>
    <row r="551" spans="1:17" ht="12" customHeight="1">
      <c r="A551" s="32"/>
      <c r="B551" s="183"/>
      <c r="C551" s="32"/>
      <c r="D551" s="32"/>
      <c r="E551" s="185"/>
      <c r="F551" s="241"/>
      <c r="G551" s="241"/>
      <c r="H551" s="251"/>
      <c r="I551" s="141"/>
      <c r="J551" s="175"/>
      <c r="K551" s="278"/>
      <c r="L551" s="273"/>
      <c r="M551" s="141"/>
      <c r="N551" s="175"/>
      <c r="O551" s="241"/>
      <c r="P551" s="251"/>
      <c r="Q551" s="141"/>
    </row>
    <row r="552" spans="2:17" s="1" customFormat="1" ht="12" customHeight="1">
      <c r="B552" s="193" t="s">
        <v>329</v>
      </c>
      <c r="C552" s="194" t="s">
        <v>298</v>
      </c>
      <c r="E552" s="181"/>
      <c r="F552" s="213">
        <v>0</v>
      </c>
      <c r="G552" s="213">
        <v>0</v>
      </c>
      <c r="H552" s="239">
        <f>+F552-G552</f>
        <v>0</v>
      </c>
      <c r="I552" s="131"/>
      <c r="J552" s="210"/>
      <c r="K552" s="279"/>
      <c r="L552" s="274"/>
      <c r="M552" s="131"/>
      <c r="N552" s="210"/>
      <c r="O552" s="213">
        <v>0</v>
      </c>
      <c r="P552" s="239">
        <f>+F552-O552</f>
        <v>0</v>
      </c>
      <c r="Q552" s="131"/>
    </row>
    <row r="553" spans="2:17" s="1" customFormat="1" ht="12" customHeight="1">
      <c r="B553" s="193" t="s">
        <v>330</v>
      </c>
      <c r="C553" s="52" t="s">
        <v>299</v>
      </c>
      <c r="D553" s="196"/>
      <c r="E553" s="197"/>
      <c r="F553" s="214">
        <v>0</v>
      </c>
      <c r="G553" s="214">
        <v>0</v>
      </c>
      <c r="H553" s="214">
        <f>+F553-G553</f>
        <v>0</v>
      </c>
      <c r="I553" s="198"/>
      <c r="J553" s="198"/>
      <c r="K553" s="271"/>
      <c r="L553" s="271"/>
      <c r="M553" s="198"/>
      <c r="N553" s="198"/>
      <c r="O553" s="214">
        <v>0</v>
      </c>
      <c r="P553" s="214">
        <f>+F553-O553</f>
        <v>0</v>
      </c>
      <c r="Q553" s="198"/>
    </row>
    <row r="554" spans="2:17" s="1" customFormat="1" ht="12" customHeight="1">
      <c r="B554" s="102"/>
      <c r="C554" s="195" t="s">
        <v>309</v>
      </c>
      <c r="E554" s="34"/>
      <c r="F554" s="239">
        <f>SUM(F552:F553)</f>
        <v>0</v>
      </c>
      <c r="G554" s="239">
        <f>SUM(G552:G553)</f>
        <v>0</v>
      </c>
      <c r="H554" s="239">
        <f>+F554-G554</f>
        <v>0</v>
      </c>
      <c r="I554" s="131"/>
      <c r="J554" s="210"/>
      <c r="K554" s="274"/>
      <c r="L554" s="274"/>
      <c r="M554" s="131"/>
      <c r="N554" s="210"/>
      <c r="O554" s="239">
        <f>SUM(O552:O553)</f>
        <v>0</v>
      </c>
      <c r="P554" s="239">
        <f>+F554-O554</f>
        <v>0</v>
      </c>
      <c r="Q554" s="131"/>
    </row>
    <row r="555" spans="2:17" s="1" customFormat="1" ht="12" customHeight="1">
      <c r="B555" s="102"/>
      <c r="C555" s="195"/>
      <c r="E555" s="86"/>
      <c r="F555" s="239"/>
      <c r="G555" s="239"/>
      <c r="H555" s="239"/>
      <c r="I555" s="131"/>
      <c r="J555" s="210"/>
      <c r="K555" s="274"/>
      <c r="L555" s="274"/>
      <c r="M555" s="131"/>
      <c r="N555" s="210"/>
      <c r="O555" s="239"/>
      <c r="P555" s="239"/>
      <c r="Q555" s="131"/>
    </row>
    <row r="556" spans="2:17" s="1" customFormat="1" ht="12" customHeight="1">
      <c r="B556" s="193" t="s">
        <v>332</v>
      </c>
      <c r="C556" s="194" t="s">
        <v>300</v>
      </c>
      <c r="E556" s="34"/>
      <c r="F556" s="213">
        <v>157466514.063</v>
      </c>
      <c r="G556" s="213">
        <v>143184638.962</v>
      </c>
      <c r="H556" s="213">
        <f aca="true" t="shared" si="152" ref="H556:H563">+F556-G556</f>
        <v>14281875.100999981</v>
      </c>
      <c r="I556" s="211"/>
      <c r="J556" s="219"/>
      <c r="K556" s="279"/>
      <c r="L556" s="279"/>
      <c r="M556" s="211"/>
      <c r="N556" s="219"/>
      <c r="O556" s="213">
        <v>143184638.962</v>
      </c>
      <c r="P556" s="213">
        <f aca="true" t="shared" si="153" ref="P556:P562">+F556-O556</f>
        <v>14281875.100999981</v>
      </c>
      <c r="Q556" s="211"/>
    </row>
    <row r="557" spans="2:17" s="1" customFormat="1" ht="12" customHeight="1">
      <c r="B557" s="193" t="s">
        <v>331</v>
      </c>
      <c r="C557" s="194" t="s">
        <v>301</v>
      </c>
      <c r="E557" s="34"/>
      <c r="F557" s="213">
        <v>0</v>
      </c>
      <c r="G557" s="213">
        <v>0</v>
      </c>
      <c r="H557" s="213">
        <f t="shared" si="152"/>
        <v>0</v>
      </c>
      <c r="I557" s="211"/>
      <c r="J557" s="219"/>
      <c r="K557" s="279"/>
      <c r="L557" s="279"/>
      <c r="M557" s="211"/>
      <c r="N557" s="219"/>
      <c r="O557" s="213">
        <v>0</v>
      </c>
      <c r="P557" s="213">
        <f t="shared" si="153"/>
        <v>0</v>
      </c>
      <c r="Q557" s="211"/>
    </row>
    <row r="558" spans="2:17" s="1" customFormat="1" ht="12" customHeight="1">
      <c r="B558" s="193" t="s">
        <v>351</v>
      </c>
      <c r="C558" s="194" t="s">
        <v>352</v>
      </c>
      <c r="E558" s="34"/>
      <c r="F558" s="213">
        <v>0</v>
      </c>
      <c r="G558" s="213">
        <v>0</v>
      </c>
      <c r="H558" s="213">
        <f>+F558-G558</f>
        <v>0</v>
      </c>
      <c r="I558" s="211"/>
      <c r="J558" s="219"/>
      <c r="K558" s="279"/>
      <c r="L558" s="279"/>
      <c r="M558" s="211"/>
      <c r="N558" s="219"/>
      <c r="O558" s="213">
        <v>0</v>
      </c>
      <c r="P558" s="213">
        <f>+F558-O558</f>
        <v>0</v>
      </c>
      <c r="Q558" s="211"/>
    </row>
    <row r="559" spans="2:17" s="1" customFormat="1" ht="1.5" customHeight="1" hidden="1" outlineLevel="1">
      <c r="B559" s="193"/>
      <c r="C559" s="194"/>
      <c r="E559" s="34"/>
      <c r="F559" s="213"/>
      <c r="G559" s="213"/>
      <c r="H559" s="213"/>
      <c r="I559" s="211"/>
      <c r="J559" s="219"/>
      <c r="K559" s="279"/>
      <c r="L559" s="279"/>
      <c r="M559" s="211"/>
      <c r="N559" s="219"/>
      <c r="O559" s="213"/>
      <c r="P559" s="213"/>
      <c r="Q559" s="211"/>
    </row>
    <row r="560" spans="2:17" s="1" customFormat="1" ht="12" customHeight="1" hidden="1" outlineLevel="1">
      <c r="B560" s="193"/>
      <c r="C560" s="218" t="s">
        <v>334</v>
      </c>
      <c r="E560" s="34"/>
      <c r="F560" s="213">
        <v>6601227.161999973</v>
      </c>
      <c r="G560" s="213">
        <v>-1567657.4440000532</v>
      </c>
      <c r="H560" s="213">
        <f t="shared" si="152"/>
        <v>8168884.606000026</v>
      </c>
      <c r="I560" s="211"/>
      <c r="J560" s="219"/>
      <c r="K560" s="279"/>
      <c r="L560" s="279"/>
      <c r="M560" s="211"/>
      <c r="N560" s="219"/>
      <c r="O560" s="213">
        <v>14281875.101000017</v>
      </c>
      <c r="P560" s="213">
        <f t="shared" si="153"/>
        <v>-7680647.939000044</v>
      </c>
      <c r="Q560" s="211"/>
    </row>
    <row r="561" spans="2:17" s="1" customFormat="1" ht="12" customHeight="1" hidden="1" outlineLevel="1">
      <c r="B561" s="193"/>
      <c r="C561" s="218" t="s">
        <v>333</v>
      </c>
      <c r="E561" s="34"/>
      <c r="F561" s="242">
        <v>0</v>
      </c>
      <c r="G561" s="242">
        <v>0</v>
      </c>
      <c r="H561" s="242">
        <f t="shared" si="152"/>
        <v>0</v>
      </c>
      <c r="I561" s="220"/>
      <c r="J561" s="220"/>
      <c r="K561" s="280"/>
      <c r="L561" s="280"/>
      <c r="M561" s="220"/>
      <c r="N561" s="220"/>
      <c r="O561" s="242">
        <v>0</v>
      </c>
      <c r="P561" s="242">
        <f t="shared" si="153"/>
        <v>0</v>
      </c>
      <c r="Q561" s="220"/>
    </row>
    <row r="562" spans="2:17" s="1" customFormat="1" ht="12" customHeight="1" collapsed="1">
      <c r="B562" s="102"/>
      <c r="C562" s="52" t="s">
        <v>302</v>
      </c>
      <c r="D562" s="196"/>
      <c r="E562" s="197"/>
      <c r="F562" s="242">
        <f>+F560-F561</f>
        <v>6601227.161999973</v>
      </c>
      <c r="G562" s="242">
        <f>+G560-G561</f>
        <v>-1567657.4440000532</v>
      </c>
      <c r="H562" s="242">
        <f t="shared" si="152"/>
        <v>8168884.606000026</v>
      </c>
      <c r="I562" s="220"/>
      <c r="J562" s="220"/>
      <c r="K562" s="280"/>
      <c r="L562" s="280"/>
      <c r="M562" s="220"/>
      <c r="N562" s="220"/>
      <c r="O562" s="242">
        <f>+O560-O561</f>
        <v>14281875.101000017</v>
      </c>
      <c r="P562" s="242">
        <f t="shared" si="153"/>
        <v>-7680647.939000044</v>
      </c>
      <c r="Q562" s="220"/>
    </row>
    <row r="563" spans="1:17" ht="12" customHeight="1">
      <c r="A563" s="1"/>
      <c r="B563" s="102"/>
      <c r="C563" s="126" t="s">
        <v>315</v>
      </c>
      <c r="D563" s="1"/>
      <c r="E563" s="181"/>
      <c r="F563" s="213">
        <f>F562+F556+F557+F558</f>
        <v>164067741.22499996</v>
      </c>
      <c r="G563" s="213">
        <f>G562+G556+G557+G558</f>
        <v>141616981.51799995</v>
      </c>
      <c r="H563" s="252">
        <f t="shared" si="152"/>
        <v>22450759.707000017</v>
      </c>
      <c r="I563" s="221"/>
      <c r="J563" s="222"/>
      <c r="K563" s="279">
        <f>K562+K556+K557+K558</f>
        <v>0</v>
      </c>
      <c r="L563" s="279"/>
      <c r="M563" s="221"/>
      <c r="N563" s="222"/>
      <c r="O563" s="213">
        <f>O562+O556+O557+O558</f>
        <v>157466514.06300002</v>
      </c>
      <c r="P563" s="213">
        <f>P562+P556+P557+P558</f>
        <v>6601227.161999937</v>
      </c>
      <c r="Q563" s="221"/>
    </row>
    <row r="564" spans="1:17" ht="12" customHeight="1">
      <c r="A564" s="1"/>
      <c r="B564" s="102"/>
      <c r="C564" s="195"/>
      <c r="D564" s="1"/>
      <c r="E564" s="181"/>
      <c r="F564" s="239"/>
      <c r="G564" s="239"/>
      <c r="H564" s="253"/>
      <c r="I564" s="199"/>
      <c r="J564" s="215"/>
      <c r="K564" s="274"/>
      <c r="L564" s="274"/>
      <c r="M564" s="199"/>
      <c r="N564" s="215"/>
      <c r="O564" s="239"/>
      <c r="P564" s="253"/>
      <c r="Q564" s="199"/>
    </row>
    <row r="565" spans="1:17" ht="12" customHeight="1">
      <c r="A565" s="1"/>
      <c r="B565" s="193" t="s">
        <v>303</v>
      </c>
      <c r="C565" s="194" t="s">
        <v>318</v>
      </c>
      <c r="D565" s="1"/>
      <c r="E565" s="181"/>
      <c r="F565" s="213">
        <v>0</v>
      </c>
      <c r="G565" s="213">
        <v>0</v>
      </c>
      <c r="H565" s="253">
        <f>+F565-G565</f>
        <v>0</v>
      </c>
      <c r="I565" s="199"/>
      <c r="J565" s="215"/>
      <c r="K565" s="279"/>
      <c r="L565" s="274"/>
      <c r="M565" s="199"/>
      <c r="N565" s="215"/>
      <c r="O565" s="213">
        <v>0</v>
      </c>
      <c r="P565" s="253">
        <f>+F565-O565</f>
        <v>0</v>
      </c>
      <c r="Q565" s="199"/>
    </row>
    <row r="566" spans="1:17" s="1" customFormat="1" ht="12" customHeight="1">
      <c r="A566" s="1" t="s">
        <v>322</v>
      </c>
      <c r="B566" s="193" t="s">
        <v>327</v>
      </c>
      <c r="C566" s="52" t="s">
        <v>317</v>
      </c>
      <c r="D566" s="196"/>
      <c r="E566" s="197"/>
      <c r="F566" s="214">
        <v>0</v>
      </c>
      <c r="G566" s="214">
        <v>0</v>
      </c>
      <c r="H566" s="214">
        <f>+F566-G566</f>
        <v>0</v>
      </c>
      <c r="I566" s="198"/>
      <c r="J566" s="198"/>
      <c r="K566" s="271">
        <v>0</v>
      </c>
      <c r="L566" s="271"/>
      <c r="M566" s="198"/>
      <c r="N566" s="198"/>
      <c r="O566" s="214">
        <v>0</v>
      </c>
      <c r="P566" s="214">
        <f>+F566-O566</f>
        <v>0</v>
      </c>
      <c r="Q566" s="198"/>
    </row>
    <row r="567" spans="1:17" ht="12" customHeight="1">
      <c r="A567" s="1"/>
      <c r="B567" s="102"/>
      <c r="C567" s="126" t="s">
        <v>316</v>
      </c>
      <c r="D567" s="1"/>
      <c r="E567" s="181"/>
      <c r="F567" s="213">
        <f>F565+F566</f>
        <v>0</v>
      </c>
      <c r="G567" s="213">
        <f>G565+G566</f>
        <v>0</v>
      </c>
      <c r="H567" s="213">
        <f>H565+H566</f>
        <v>0</v>
      </c>
      <c r="I567" s="199"/>
      <c r="J567" s="215"/>
      <c r="K567" s="279"/>
      <c r="L567" s="279"/>
      <c r="M567" s="199"/>
      <c r="N567" s="215"/>
      <c r="O567" s="213">
        <f>O565+O566</f>
        <v>0</v>
      </c>
      <c r="P567" s="213">
        <f>+F567-O567</f>
        <v>0</v>
      </c>
      <c r="Q567" s="199"/>
    </row>
    <row r="568" spans="1:17" ht="12" customHeight="1">
      <c r="A568" s="1"/>
      <c r="B568" s="102"/>
      <c r="C568" s="126"/>
      <c r="D568" s="1"/>
      <c r="E568" s="181"/>
      <c r="F568" s="213"/>
      <c r="G568" s="213"/>
      <c r="H568" s="213"/>
      <c r="I568" s="199"/>
      <c r="J568" s="215"/>
      <c r="K568" s="279"/>
      <c r="L568" s="279"/>
      <c r="M568" s="199"/>
      <c r="N568" s="215"/>
      <c r="O568" s="213"/>
      <c r="P568" s="213"/>
      <c r="Q568" s="199"/>
    </row>
    <row r="569" spans="1:17" ht="12" customHeight="1">
      <c r="A569" s="1"/>
      <c r="B569" s="102"/>
      <c r="C569" s="126" t="s">
        <v>337</v>
      </c>
      <c r="D569" s="1"/>
      <c r="E569" s="181"/>
      <c r="F569" s="213">
        <f>+F571-F567-F563-F554</f>
        <v>-5.960464477539063E-08</v>
      </c>
      <c r="G569" s="213">
        <f>+G571-G567-G563-G554</f>
        <v>8.940696716308594E-08</v>
      </c>
      <c r="H569" s="253">
        <f>+F569-G569</f>
        <v>-1.4901161193847656E-07</v>
      </c>
      <c r="I569" s="199"/>
      <c r="J569" s="215"/>
      <c r="K569" s="279"/>
      <c r="L569" s="274"/>
      <c r="M569" s="199"/>
      <c r="N569" s="215"/>
      <c r="O569" s="213">
        <f>+O571-O567-O563-O554</f>
        <v>-1.4901161193847656E-07</v>
      </c>
      <c r="P569" s="253">
        <f>+F569-O569</f>
        <v>8.940696716308594E-08</v>
      </c>
      <c r="Q569" s="199"/>
    </row>
    <row r="570" spans="1:17" s="1" customFormat="1" ht="12.75" customHeight="1">
      <c r="A570" s="32"/>
      <c r="B570" s="186"/>
      <c r="C570" s="32"/>
      <c r="D570" s="32"/>
      <c r="E570" s="182"/>
      <c r="F570" s="212"/>
      <c r="G570" s="212"/>
      <c r="H570" s="254"/>
      <c r="I570" s="131"/>
      <c r="J570" s="216"/>
      <c r="K570" s="275"/>
      <c r="L570" s="267"/>
      <c r="M570" s="131"/>
      <c r="N570" s="216"/>
      <c r="O570" s="212"/>
      <c r="P570" s="254"/>
      <c r="Q570" s="131"/>
    </row>
    <row r="571" spans="1:17" s="1" customFormat="1" ht="13.5" thickBot="1">
      <c r="A571" s="32"/>
      <c r="B571" s="186"/>
      <c r="C571" s="189" t="s">
        <v>304</v>
      </c>
      <c r="D571" s="189"/>
      <c r="E571" s="190"/>
      <c r="F571" s="243">
        <f>+F544</f>
        <v>164067741.2249999</v>
      </c>
      <c r="G571" s="243">
        <f>+G544</f>
        <v>141616981.51800004</v>
      </c>
      <c r="H571" s="255">
        <f>+F571-G571</f>
        <v>22450759.70699987</v>
      </c>
      <c r="I571" s="201"/>
      <c r="J571" s="201"/>
      <c r="K571" s="281"/>
      <c r="L571" s="282"/>
      <c r="M571" s="201"/>
      <c r="N571" s="201"/>
      <c r="O571" s="243">
        <f>+O544</f>
        <v>157466514.06299987</v>
      </c>
      <c r="P571" s="255">
        <f>+F571-O571</f>
        <v>6601227.16200003</v>
      </c>
      <c r="Q571" s="201"/>
    </row>
    <row r="572" spans="1:17" s="1" customFormat="1" ht="13.5" thickTop="1">
      <c r="A572" s="32"/>
      <c r="B572" s="186"/>
      <c r="C572" s="32"/>
      <c r="D572" s="32"/>
      <c r="E572" s="192"/>
      <c r="F572" s="192"/>
      <c r="G572" s="192"/>
      <c r="H572" s="34"/>
      <c r="I572" s="191"/>
      <c r="J572" s="87"/>
      <c r="K572" s="192"/>
      <c r="L572" s="34"/>
      <c r="M572" s="191"/>
      <c r="N572" s="87"/>
      <c r="O572" s="192"/>
      <c r="P572" s="34"/>
      <c r="Q572" s="191"/>
    </row>
    <row r="573" spans="1:17" s="1" customFormat="1" ht="12.75">
      <c r="A573" s="32"/>
      <c r="B573" s="186"/>
      <c r="C573" s="32"/>
      <c r="D573" s="32"/>
      <c r="E573" s="192"/>
      <c r="F573" s="192"/>
      <c r="G573" s="192"/>
      <c r="H573" s="86"/>
      <c r="I573" s="191"/>
      <c r="J573" s="87"/>
      <c r="K573" s="192"/>
      <c r="L573" s="86"/>
      <c r="M573" s="191"/>
      <c r="N573" s="87"/>
      <c r="O573" s="192"/>
      <c r="P573" s="86"/>
      <c r="Q573" s="191"/>
    </row>
    <row r="574" spans="1:17" s="1" customFormat="1" ht="12.75">
      <c r="A574" s="32"/>
      <c r="B574" s="186"/>
      <c r="C574" s="32"/>
      <c r="D574" s="32"/>
      <c r="E574" s="192"/>
      <c r="F574" s="192"/>
      <c r="G574" s="192"/>
      <c r="H574" s="86"/>
      <c r="I574" s="191"/>
      <c r="J574" s="87"/>
      <c r="K574" s="192"/>
      <c r="L574" s="86"/>
      <c r="M574" s="191"/>
      <c r="N574" s="87"/>
      <c r="O574" s="192"/>
      <c r="P574" s="86"/>
      <c r="Q574" s="191"/>
    </row>
    <row r="575" spans="2:17" s="35" customFormat="1" ht="12.75" hidden="1" outlineLevel="1">
      <c r="B575" s="35" t="s">
        <v>49</v>
      </c>
      <c r="C575" s="292" t="s">
        <v>1313</v>
      </c>
      <c r="G575" s="37"/>
      <c r="H575" s="37"/>
      <c r="I575" s="147"/>
      <c r="J575" s="176"/>
      <c r="K575" s="37"/>
      <c r="L575" s="37"/>
      <c r="M575" s="147"/>
      <c r="N575" s="176"/>
      <c r="O575" s="37"/>
      <c r="P575" s="37"/>
      <c r="Q575" s="147"/>
    </row>
    <row r="576" spans="1:17" s="35" customFormat="1" ht="12.75" hidden="1" outlineLevel="1">
      <c r="A576" s="36"/>
      <c r="B576" s="35" t="s">
        <v>50</v>
      </c>
      <c r="C576" s="35">
        <v>0.001</v>
      </c>
      <c r="G576" s="37"/>
      <c r="H576" s="37"/>
      <c r="I576" s="147"/>
      <c r="J576" s="176"/>
      <c r="K576" s="37"/>
      <c r="L576" s="37"/>
      <c r="M576" s="147"/>
      <c r="N576" s="176"/>
      <c r="O576" s="37"/>
      <c r="P576" s="37"/>
      <c r="Q576" s="147"/>
    </row>
    <row r="577" spans="1:17" s="35" customFormat="1" ht="12.75" hidden="1" outlineLevel="1">
      <c r="A577" s="36"/>
      <c r="B577" s="35" t="s">
        <v>166</v>
      </c>
      <c r="C577" s="133" t="s">
        <v>165</v>
      </c>
      <c r="G577" s="37"/>
      <c r="H577" s="37"/>
      <c r="I577" s="147"/>
      <c r="J577" s="176"/>
      <c r="K577" s="37"/>
      <c r="L577" s="37"/>
      <c r="M577" s="147"/>
      <c r="N577" s="176"/>
      <c r="O577" s="37"/>
      <c r="P577" s="37"/>
      <c r="Q577" s="147"/>
    </row>
    <row r="578" spans="1:17" s="35" customFormat="1" ht="12.75" hidden="1" outlineLevel="1">
      <c r="A578" s="36"/>
      <c r="B578" s="35" t="s">
        <v>167</v>
      </c>
      <c r="C578" s="35" t="s">
        <v>168</v>
      </c>
      <c r="G578" s="37"/>
      <c r="H578" s="37"/>
      <c r="I578" s="147"/>
      <c r="J578" s="176"/>
      <c r="K578" s="151"/>
      <c r="L578" s="37"/>
      <c r="M578" s="147"/>
      <c r="N578" s="176"/>
      <c r="O578" s="151"/>
      <c r="P578" s="37"/>
      <c r="Q578" s="147"/>
    </row>
    <row r="579" spans="1:17" s="35" customFormat="1" ht="12.75" hidden="1" outlineLevel="1">
      <c r="A579" s="36"/>
      <c r="B579" s="35" t="s">
        <v>51</v>
      </c>
      <c r="C579" s="35">
        <f>COUNTIF($F$10:$Q$542,+C577)</f>
        <v>0</v>
      </c>
      <c r="G579" s="37"/>
      <c r="H579" s="37"/>
      <c r="I579" s="147"/>
      <c r="J579" s="176"/>
      <c r="K579" s="151"/>
      <c r="L579" s="37"/>
      <c r="M579" s="147"/>
      <c r="N579" s="176"/>
      <c r="O579" s="151"/>
      <c r="P579" s="37"/>
      <c r="Q579" s="147"/>
    </row>
    <row r="580" spans="1:17" s="35" customFormat="1" ht="12.75" hidden="1" outlineLevel="1">
      <c r="A580" s="36"/>
      <c r="B580" s="35" t="s">
        <v>51</v>
      </c>
      <c r="C580" s="45">
        <f>COUNTIF($F$10:$Q$542,+C578)</f>
        <v>0</v>
      </c>
      <c r="F580" s="36"/>
      <c r="G580" s="37"/>
      <c r="H580" s="37"/>
      <c r="I580" s="147"/>
      <c r="J580" s="176"/>
      <c r="K580" s="151"/>
      <c r="L580" s="37"/>
      <c r="M580" s="147"/>
      <c r="N580" s="176"/>
      <c r="O580" s="151"/>
      <c r="P580" s="37"/>
      <c r="Q580" s="147"/>
    </row>
    <row r="581" spans="1:17" s="35" customFormat="1" ht="12.75" hidden="1" outlineLevel="1">
      <c r="A581" s="36"/>
      <c r="B581" s="35" t="s">
        <v>52</v>
      </c>
      <c r="C581" s="45">
        <f>SUM(C579:C580)</f>
        <v>0</v>
      </c>
      <c r="F581" s="36"/>
      <c r="G581" s="37"/>
      <c r="H581" s="37"/>
      <c r="I581" s="147"/>
      <c r="J581" s="176"/>
      <c r="K581" s="151"/>
      <c r="L581" s="37"/>
      <c r="M581" s="147"/>
      <c r="N581" s="176"/>
      <c r="O581" s="151"/>
      <c r="P581" s="37"/>
      <c r="Q581" s="147"/>
    </row>
    <row r="582" spans="1:17" s="35" customFormat="1" ht="12.75" hidden="1" outlineLevel="1">
      <c r="A582" s="36"/>
      <c r="B582" s="38"/>
      <c r="C582" s="46"/>
      <c r="D582" s="39"/>
      <c r="E582" s="39"/>
      <c r="F582" s="40"/>
      <c r="G582" s="37"/>
      <c r="H582" s="37"/>
      <c r="I582" s="147"/>
      <c r="J582" s="176"/>
      <c r="K582" s="152"/>
      <c r="L582" s="37"/>
      <c r="M582" s="147"/>
      <c r="N582" s="176"/>
      <c r="O582" s="152"/>
      <c r="P582" s="37"/>
      <c r="Q582" s="147"/>
    </row>
    <row r="583" spans="1:17" s="35" customFormat="1" ht="12.75" hidden="1" outlineLevel="1">
      <c r="A583" s="36"/>
      <c r="B583" s="38" t="s">
        <v>53</v>
      </c>
      <c r="C583" s="293" t="s">
        <v>1314</v>
      </c>
      <c r="D583" s="39"/>
      <c r="E583" s="39"/>
      <c r="F583" s="37"/>
      <c r="G583" s="37">
        <v>-10000000</v>
      </c>
      <c r="H583" s="283">
        <f>+F583-G583</f>
        <v>10000000</v>
      </c>
      <c r="I583" s="284"/>
      <c r="J583" s="285"/>
      <c r="K583" s="37"/>
      <c r="L583" s="283"/>
      <c r="M583" s="284"/>
      <c r="N583" s="285"/>
      <c r="O583" s="286">
        <v>-21000000</v>
      </c>
      <c r="P583" s="283">
        <f>+F583-O583</f>
        <v>21000000</v>
      </c>
      <c r="Q583" s="147"/>
    </row>
    <row r="584" spans="1:17" s="35" customFormat="1" ht="12.75" hidden="1" outlineLevel="1">
      <c r="A584" s="36"/>
      <c r="B584" s="38" t="s">
        <v>54</v>
      </c>
      <c r="C584" s="293" t="s">
        <v>1314</v>
      </c>
      <c r="D584" s="39"/>
      <c r="E584" s="39"/>
      <c r="F584" s="37"/>
      <c r="G584" s="37"/>
      <c r="H584" s="283"/>
      <c r="I584" s="284"/>
      <c r="J584" s="285"/>
      <c r="K584" s="37"/>
      <c r="L584" s="283"/>
      <c r="M584" s="284"/>
      <c r="N584" s="285"/>
      <c r="O584" s="287"/>
      <c r="P584" s="283"/>
      <c r="Q584" s="147"/>
    </row>
    <row r="585" spans="1:17" s="35" customFormat="1" ht="12.75" hidden="1" outlineLevel="1">
      <c r="A585" s="36"/>
      <c r="B585" s="41" t="s">
        <v>63</v>
      </c>
      <c r="C585" s="293" t="s">
        <v>1315</v>
      </c>
      <c r="D585" s="41"/>
      <c r="E585" s="41"/>
      <c r="F585" s="288"/>
      <c r="G585" s="37">
        <v>0</v>
      </c>
      <c r="H585" s="283">
        <f>+F585-G585</f>
        <v>0</v>
      </c>
      <c r="I585" s="284"/>
      <c r="J585" s="285"/>
      <c r="K585" s="288"/>
      <c r="L585" s="283"/>
      <c r="M585" s="284"/>
      <c r="N585" s="285"/>
      <c r="O585" s="286">
        <v>0</v>
      </c>
      <c r="P585" s="283">
        <f>+F585-O585</f>
        <v>0</v>
      </c>
      <c r="Q585" s="147"/>
    </row>
    <row r="586" spans="1:17" s="35" customFormat="1" ht="12.75" hidden="1" outlineLevel="1">
      <c r="A586" s="36"/>
      <c r="B586" s="41" t="s">
        <v>55</v>
      </c>
      <c r="C586" s="293" t="s">
        <v>1316</v>
      </c>
      <c r="D586" s="41"/>
      <c r="E586" s="41"/>
      <c r="F586" s="288"/>
      <c r="G586" s="289"/>
      <c r="H586" s="290"/>
      <c r="I586" s="284"/>
      <c r="J586" s="285"/>
      <c r="K586" s="288"/>
      <c r="L586" s="290"/>
      <c r="M586" s="284"/>
      <c r="N586" s="285"/>
      <c r="O586" s="289"/>
      <c r="P586" s="290"/>
      <c r="Q586" s="147"/>
    </row>
    <row r="587" spans="1:17" s="35" customFormat="1" ht="12.75" hidden="1" outlineLevel="1">
      <c r="A587" s="36"/>
      <c r="B587" s="41" t="s">
        <v>56</v>
      </c>
      <c r="C587" s="293" t="s">
        <v>1317</v>
      </c>
      <c r="D587" s="41"/>
      <c r="E587" s="41"/>
      <c r="F587" s="288">
        <v>0</v>
      </c>
      <c r="G587" s="289">
        <v>0</v>
      </c>
      <c r="H587" s="283">
        <f>+F587-G587</f>
        <v>0</v>
      </c>
      <c r="I587" s="284"/>
      <c r="J587" s="285"/>
      <c r="K587" s="291"/>
      <c r="L587" s="283"/>
      <c r="M587" s="284"/>
      <c r="N587" s="285"/>
      <c r="O587" s="286">
        <v>0</v>
      </c>
      <c r="P587" s="283">
        <f>+F587-O587</f>
        <v>0</v>
      </c>
      <c r="Q587" s="147"/>
    </row>
    <row r="588" spans="1:17" s="35" customFormat="1" ht="12.75" hidden="1" outlineLevel="1">
      <c r="A588" s="36"/>
      <c r="B588" s="41" t="s">
        <v>57</v>
      </c>
      <c r="C588" s="293" t="s">
        <v>1318</v>
      </c>
      <c r="D588" s="41"/>
      <c r="E588" s="41"/>
      <c r="G588" s="37"/>
      <c r="H588" s="37"/>
      <c r="I588" s="147"/>
      <c r="J588" s="176"/>
      <c r="K588" s="153"/>
      <c r="L588" s="37"/>
      <c r="M588" s="147"/>
      <c r="N588" s="176"/>
      <c r="O588" s="153"/>
      <c r="P588" s="37"/>
      <c r="Q588" s="147"/>
    </row>
    <row r="589" spans="1:17" s="35" customFormat="1" ht="12.75" hidden="1" outlineLevel="1">
      <c r="A589" s="36"/>
      <c r="B589" s="41" t="s">
        <v>58</v>
      </c>
      <c r="C589" s="293" t="s">
        <v>1319</v>
      </c>
      <c r="D589" s="41"/>
      <c r="E589" s="41"/>
      <c r="G589" s="37"/>
      <c r="H589" s="37"/>
      <c r="I589" s="147"/>
      <c r="J589" s="176"/>
      <c r="K589" s="153"/>
      <c r="L589" s="37"/>
      <c r="M589" s="147"/>
      <c r="N589" s="176"/>
      <c r="O589" s="153"/>
      <c r="P589" s="37"/>
      <c r="Q589" s="147"/>
    </row>
    <row r="590" spans="1:17" s="35" customFormat="1" ht="12.75" hidden="1" outlineLevel="1">
      <c r="A590" s="36"/>
      <c r="B590" s="41" t="s">
        <v>59</v>
      </c>
      <c r="C590" s="293" t="s">
        <v>1320</v>
      </c>
      <c r="D590" s="41"/>
      <c r="E590" s="41"/>
      <c r="G590" s="37"/>
      <c r="H590" s="37"/>
      <c r="I590" s="147"/>
      <c r="J590" s="176"/>
      <c r="K590" s="153"/>
      <c r="L590" s="37"/>
      <c r="M590" s="147"/>
      <c r="N590" s="176"/>
      <c r="O590" s="153"/>
      <c r="P590" s="37"/>
      <c r="Q590" s="147"/>
    </row>
    <row r="591" spans="1:17" s="35" customFormat="1" ht="12.75" hidden="1" outlineLevel="1">
      <c r="A591" s="36"/>
      <c r="B591" s="41" t="s">
        <v>60</v>
      </c>
      <c r="C591" s="293" t="s">
        <v>1321</v>
      </c>
      <c r="D591" s="41"/>
      <c r="E591" s="41"/>
      <c r="G591" s="37"/>
      <c r="H591" s="37"/>
      <c r="I591" s="147"/>
      <c r="J591" s="176"/>
      <c r="K591" s="153"/>
      <c r="L591" s="37"/>
      <c r="M591" s="147"/>
      <c r="N591" s="176"/>
      <c r="O591" s="153"/>
      <c r="P591" s="37"/>
      <c r="Q591" s="147"/>
    </row>
    <row r="592" spans="1:17" s="35" customFormat="1" ht="12.75" hidden="1" outlineLevel="1">
      <c r="A592" s="36"/>
      <c r="B592" s="41" t="s">
        <v>61</v>
      </c>
      <c r="C592" s="293" t="s">
        <v>1322</v>
      </c>
      <c r="D592" s="41"/>
      <c r="E592" s="41"/>
      <c r="G592" s="37"/>
      <c r="H592" s="37"/>
      <c r="I592" s="147"/>
      <c r="J592" s="176"/>
      <c r="K592" s="153"/>
      <c r="L592" s="37"/>
      <c r="M592" s="147"/>
      <c r="N592" s="176"/>
      <c r="O592" s="153"/>
      <c r="P592" s="37"/>
      <c r="Q592" s="147"/>
    </row>
    <row r="593" spans="1:17" s="35" customFormat="1" ht="12.75" hidden="1" outlineLevel="1">
      <c r="A593" s="36"/>
      <c r="B593" s="37" t="s">
        <v>62</v>
      </c>
      <c r="C593" s="47" t="str">
        <f>UPPER(TEXT(NvsElapsedTime,"hh:mm:ss"))</f>
        <v>00:00:56</v>
      </c>
      <c r="D593" s="37"/>
      <c r="E593" s="37"/>
      <c r="F593" s="37"/>
      <c r="G593" s="37"/>
      <c r="H593" s="37"/>
      <c r="I593" s="147"/>
      <c r="J593" s="176"/>
      <c r="K593" s="154"/>
      <c r="L593" s="37"/>
      <c r="M593" s="147"/>
      <c r="N593" s="176"/>
      <c r="O593" s="154"/>
      <c r="P593" s="37"/>
      <c r="Q593" s="147"/>
    </row>
    <row r="594" spans="1:17" s="35" customFormat="1" ht="12.75" hidden="1" outlineLevel="1">
      <c r="A594" s="36"/>
      <c r="B594" s="37" t="s">
        <v>234</v>
      </c>
      <c r="C594" s="294" t="s">
        <v>1323</v>
      </c>
      <c r="D594" s="37"/>
      <c r="E594" s="37"/>
      <c r="F594" s="37"/>
      <c r="G594" s="37"/>
      <c r="H594" s="37"/>
      <c r="I594" s="147"/>
      <c r="J594" s="176"/>
      <c r="K594" s="154"/>
      <c r="L594" s="37"/>
      <c r="M594" s="147"/>
      <c r="N594" s="176"/>
      <c r="O594" s="154"/>
      <c r="P594" s="37"/>
      <c r="Q594" s="147"/>
    </row>
    <row r="595" spans="3:17" s="35" customFormat="1" ht="12.75" hidden="1" outlineLevel="1">
      <c r="C595" s="35" t="s">
        <v>313</v>
      </c>
      <c r="D595" s="43"/>
      <c r="E595" s="43"/>
      <c r="F595" s="35" t="s">
        <v>310</v>
      </c>
      <c r="G595" s="35" t="s">
        <v>311</v>
      </c>
      <c r="H595" s="35" t="s">
        <v>312</v>
      </c>
      <c r="I595" s="147"/>
      <c r="J595" s="176"/>
      <c r="K595" s="155"/>
      <c r="L595" s="37"/>
      <c r="M595" s="147"/>
      <c r="N595" s="176"/>
      <c r="O595" s="155"/>
      <c r="P595" s="37"/>
      <c r="Q595" s="147"/>
    </row>
    <row r="596" spans="3:17" s="35" customFormat="1" ht="12.75" hidden="1" outlineLevel="1">
      <c r="C596" s="35" t="s">
        <v>313</v>
      </c>
      <c r="D596" s="37"/>
      <c r="E596" s="37"/>
      <c r="I596" s="147"/>
      <c r="J596" s="176"/>
      <c r="K596" s="154"/>
      <c r="L596" s="37"/>
      <c r="M596" s="147"/>
      <c r="N596" s="176"/>
      <c r="O596" s="154"/>
      <c r="P596" s="37"/>
      <c r="Q596" s="147"/>
    </row>
    <row r="597" spans="3:17" s="35" customFormat="1" ht="12.75" hidden="1" outlineLevel="1">
      <c r="C597" s="223" t="s">
        <v>335</v>
      </c>
      <c r="D597" s="37"/>
      <c r="E597" s="37"/>
      <c r="F597" s="224">
        <v>2000000</v>
      </c>
      <c r="I597" s="147"/>
      <c r="J597" s="176"/>
      <c r="K597" s="154"/>
      <c r="L597" s="37"/>
      <c r="M597" s="147"/>
      <c r="N597" s="176"/>
      <c r="O597" s="154"/>
      <c r="P597" s="37"/>
      <c r="Q597" s="147"/>
    </row>
    <row r="598" spans="3:17" s="35" customFormat="1" ht="12.75" hidden="1" outlineLevel="1">
      <c r="C598" s="223" t="s">
        <v>336</v>
      </c>
      <c r="D598" s="37"/>
      <c r="E598" s="37"/>
      <c r="F598" s="224">
        <v>1009000</v>
      </c>
      <c r="I598" s="147"/>
      <c r="J598" s="176"/>
      <c r="K598" s="154"/>
      <c r="L598" s="37"/>
      <c r="M598" s="147"/>
      <c r="N598" s="176"/>
      <c r="O598" s="154"/>
      <c r="P598" s="37"/>
      <c r="Q598" s="147"/>
    </row>
    <row r="599" spans="2:17" s="35" customFormat="1" ht="12.75" collapsed="1">
      <c r="B599" s="42" t="s">
        <v>19</v>
      </c>
      <c r="C599" s="48"/>
      <c r="D599" s="37"/>
      <c r="E599" s="37"/>
      <c r="F599" s="37"/>
      <c r="G599" s="37"/>
      <c r="H599" s="37"/>
      <c r="I599" s="147"/>
      <c r="J599" s="176"/>
      <c r="K599" s="154"/>
      <c r="L599" s="37"/>
      <c r="M599" s="147"/>
      <c r="N599" s="176"/>
      <c r="O599" s="154"/>
      <c r="P599" s="37"/>
      <c r="Q599" s="147"/>
    </row>
    <row r="65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908" ht="12.75"/>
    <row r="909" ht="12.75"/>
    <row r="910" ht="12.75"/>
    <row r="911" ht="12.75"/>
    <row r="912" ht="12.75"/>
    <row r="913" ht="12.75"/>
    <row r="914" ht="12.75"/>
    <row r="929" ht="12.75"/>
    <row r="976" ht="12.75"/>
    <row r="977" ht="12.75"/>
    <row r="978" ht="12.75"/>
    <row r="999" ht="12.75"/>
    <row r="1000" ht="12.75"/>
    <row r="1001" ht="12.75"/>
  </sheetData>
  <sheetProtection/>
  <printOptions horizontalCentered="1"/>
  <pageMargins left="0.25" right="0.25" top="0.76" bottom="0.5" header="0.25" footer="0.25"/>
  <pageSetup fitToHeight="0" horizontalDpi="600" verticalDpi="600" orientation="landscape" scale="63" r:id="rId3"/>
  <headerFooter alignWithMargins="0">
    <oddFooter>&amp;L&amp;8&amp;D&amp;C&amp;8Page &amp;P of &amp;N&amp;R&amp;8&amp;Z&amp;F</oddFooter>
  </headerFooter>
  <rowBreaks count="2" manualBreakCount="2">
    <brk id="238" min="1" max="12" man="1"/>
    <brk id="524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</v>
      </c>
      <c r="C2" s="3" t="s">
        <v>346</v>
      </c>
    </row>
    <row r="3" spans="1:3" ht="12.75">
      <c r="A3" s="6" t="s">
        <v>2</v>
      </c>
      <c r="C3" s="3" t="s">
        <v>15</v>
      </c>
    </row>
    <row r="4" spans="1:3" ht="12.75">
      <c r="A4" s="6" t="s">
        <v>3</v>
      </c>
      <c r="C4" s="3" t="s">
        <v>16</v>
      </c>
    </row>
    <row r="5" spans="1:3" ht="12.75">
      <c r="A5" s="6" t="s">
        <v>4</v>
      </c>
      <c r="C5" s="3" t="s">
        <v>347</v>
      </c>
    </row>
    <row r="6" spans="1:3" ht="12.75">
      <c r="A6" s="6" t="s">
        <v>5</v>
      </c>
      <c r="C6" s="3" t="s">
        <v>346</v>
      </c>
    </row>
    <row r="7" spans="1:3" ht="12.75">
      <c r="A7" s="6" t="s">
        <v>6</v>
      </c>
      <c r="C7" s="4">
        <v>40881</v>
      </c>
    </row>
    <row r="8" spans="1:3" ht="12.75">
      <c r="A8" s="6" t="s">
        <v>7</v>
      </c>
      <c r="C8" s="3" t="s">
        <v>348</v>
      </c>
    </row>
    <row r="9" spans="1:3" ht="12.75">
      <c r="A9" s="6" t="s">
        <v>8</v>
      </c>
      <c r="C9" s="3" t="s">
        <v>348</v>
      </c>
    </row>
    <row r="10" spans="1:3" ht="25.5">
      <c r="A10" s="6" t="s">
        <v>9</v>
      </c>
      <c r="C10" s="3" t="s">
        <v>349</v>
      </c>
    </row>
    <row r="11" spans="1:3" ht="12.75">
      <c r="A11" s="6" t="s">
        <v>10</v>
      </c>
      <c r="C11" s="3" t="s">
        <v>17</v>
      </c>
    </row>
    <row r="12" spans="1:3" ht="12.75">
      <c r="A12" s="6" t="s">
        <v>11</v>
      </c>
      <c r="C12" s="3" t="s">
        <v>350</v>
      </c>
    </row>
    <row r="13" spans="1:3" ht="12.75">
      <c r="A13" s="6" t="s">
        <v>12</v>
      </c>
      <c r="C13" s="3"/>
    </row>
    <row r="14" spans="1:3" ht="12.75">
      <c r="A14" s="6" t="s">
        <v>13</v>
      </c>
      <c r="C14" s="3"/>
    </row>
    <row r="15" spans="1:3" ht="12.75">
      <c r="A15" s="6" t="s">
        <v>14</v>
      </c>
      <c r="C15" s="3"/>
    </row>
    <row r="18" spans="1:5" ht="25.5">
      <c r="A18" s="6" t="s">
        <v>27</v>
      </c>
      <c r="C18" s="6" t="s">
        <v>15</v>
      </c>
      <c r="E18" s="2" t="s">
        <v>28</v>
      </c>
    </row>
    <row r="20" spans="1:5" ht="12.75">
      <c r="A20" s="6" t="s">
        <v>29</v>
      </c>
      <c r="C20" s="6" t="s">
        <v>15</v>
      </c>
      <c r="E20" s="2" t="s">
        <v>30</v>
      </c>
    </row>
    <row r="22" spans="1:5" ht="51">
      <c r="A22" s="6" t="s">
        <v>20</v>
      </c>
      <c r="C22" s="6" t="s">
        <v>15</v>
      </c>
      <c r="E22" s="2" t="s">
        <v>21</v>
      </c>
    </row>
    <row r="24" spans="1:5" ht="25.5">
      <c r="A24" s="6" t="s">
        <v>31</v>
      </c>
      <c r="C24" s="6" t="s">
        <v>15</v>
      </c>
      <c r="E24" s="2" t="s">
        <v>32</v>
      </c>
    </row>
    <row r="26" spans="1:5" ht="38.25">
      <c r="A26" s="6" t="s">
        <v>22</v>
      </c>
      <c r="C26" s="6" t="s">
        <v>15</v>
      </c>
      <c r="E26" s="2" t="s">
        <v>23</v>
      </c>
    </row>
    <row r="28" spans="1:5" ht="38.25">
      <c r="A28" s="6" t="s">
        <v>24</v>
      </c>
      <c r="C28" s="6" t="s">
        <v>15</v>
      </c>
      <c r="E28" s="2" t="s">
        <v>33</v>
      </c>
    </row>
    <row r="30" spans="1:5" ht="12.75">
      <c r="A30" s="7">
        <v>38923</v>
      </c>
      <c r="C30" s="6" t="s">
        <v>15</v>
      </c>
      <c r="E30" s="2" t="s">
        <v>34</v>
      </c>
    </row>
    <row r="32" spans="1:5" ht="25.5">
      <c r="A32" s="6" t="s">
        <v>35</v>
      </c>
      <c r="C32" s="6" t="s">
        <v>15</v>
      </c>
      <c r="E32" s="2" t="s">
        <v>36</v>
      </c>
    </row>
    <row r="34" spans="1:5" ht="76.5">
      <c r="A34" s="6" t="s">
        <v>25</v>
      </c>
      <c r="C34" s="6" t="s">
        <v>15</v>
      </c>
      <c r="E34" s="2" t="s">
        <v>26</v>
      </c>
    </row>
    <row r="36" spans="1:5" ht="12.75">
      <c r="A36" s="7">
        <v>39692</v>
      </c>
      <c r="C36" s="6" t="s">
        <v>15</v>
      </c>
      <c r="E36" s="2" t="s">
        <v>37</v>
      </c>
    </row>
    <row r="38" spans="1:5" ht="25.5">
      <c r="A38" s="6" t="s">
        <v>38</v>
      </c>
      <c r="C38" s="6" t="s">
        <v>15</v>
      </c>
      <c r="E38" s="2" t="s">
        <v>39</v>
      </c>
    </row>
    <row r="40" spans="1:5" ht="12.75">
      <c r="A40" s="6" t="s">
        <v>40</v>
      </c>
      <c r="C40" s="6" t="s">
        <v>15</v>
      </c>
      <c r="E40" s="2" t="s">
        <v>41</v>
      </c>
    </row>
    <row r="42" spans="1:5" ht="25.5">
      <c r="A42" s="6" t="s">
        <v>42</v>
      </c>
      <c r="C42" s="6" t="s">
        <v>15</v>
      </c>
      <c r="E42" s="2" t="s">
        <v>43</v>
      </c>
    </row>
    <row r="44" spans="1:5" ht="38.25">
      <c r="A44" s="6" t="s">
        <v>44</v>
      </c>
      <c r="C44" s="6" t="s">
        <v>15</v>
      </c>
      <c r="E44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Balance Sheet</dc:title>
  <dc:subject/>
  <dc:creator>Financial Reporting / Neal Hartley</dc:creator>
  <cp:keywords/>
  <dc:description>ACCT: PRPT_ACCOUNT  BU: Scope-based</dc:description>
  <cp:lastModifiedBy>American Electric Power®</cp:lastModifiedBy>
  <cp:lastPrinted>2012-01-26T00:49:37Z</cp:lastPrinted>
  <dcterms:created xsi:type="dcterms:W3CDTF">1997-11-19T15:48:19Z</dcterms:created>
  <dcterms:modified xsi:type="dcterms:W3CDTF">2012-01-26T00:49:38Z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