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0" windowWidth="15480" windowHeight="907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'Sheet1'!$F$655</definedName>
    <definedName name="CSO">'Sheet1'!$F$654</definedName>
    <definedName name="Department_Owner">'Modification History'!$C$4</definedName>
    <definedName name="Keywords">'Modification History'!$C$15</definedName>
    <definedName name="NvsASD">"V2010-07-31"</definedName>
    <definedName name="NvsAutoDrillOk">"VN"</definedName>
    <definedName name="NvsDrillHyperLink" localSheetId="0">"http://psfinweb.aepsc.com/psp/fcm90prd_newwin/EMPLOYEE/ERP/c/REPORT_BOOKS.IC_RUN_DRILLDOWN.GBL?Action=A&amp;NVS_INSTANCE=2344381_2392258"</definedName>
    <definedName name="NvsElapsedTime">0.000509259261889383</definedName>
    <definedName name="NvsEndTime">40401.548912037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"VY"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'Sheet1'!$B$2:$M$628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'Sheet1'!$B$810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46" authorId="0">
      <text>
        <r>
          <rPr>
            <sz val="10"/>
            <rFont val="Tahoma"/>
            <family val="0"/>
          </rPr>
          <t xml:space="preserve">DETAILS ON REPORT GLR1520V, GLR1521V, AND GLR1525V 
   </t>
        </r>
      </text>
    </comment>
    <comment ref="C79" authorId="0">
      <text>
        <r>
          <rPr>
            <sz val="10"/>
            <rFont val="Tahoma"/>
            <family val="0"/>
          </rPr>
          <t>DETAILS ON REPORT GLR1540V
ACCOUNTS RECEIVABLE</t>
        </r>
      </text>
    </comment>
    <comment ref="C96" authorId="0">
      <text>
        <r>
          <rPr>
            <sz val="10"/>
            <rFont val="Tahoma"/>
            <family val="0"/>
          </rPr>
          <t>DETAILS ON REPORT GLR1540V
ACCOUNTS RECEIVABLE</t>
        </r>
      </text>
    </comment>
    <comment ref="C114" authorId="0">
      <text>
        <r>
          <rPr>
            <sz val="10"/>
            <rFont val="Tahoma"/>
            <family val="0"/>
          </rPr>
          <t>DETAILS ON REPORT GLR1540V
ACCOUNTS RECEIVABLE</t>
        </r>
      </text>
    </comment>
    <comment ref="C118" authorId="0">
      <text>
        <r>
          <rPr>
            <sz val="10"/>
            <rFont val="Tahoma"/>
            <family val="0"/>
          </rPr>
          <t>DETAILS ON REPORT GLR1540V
ACCOUNTS RECEIVABLE</t>
        </r>
      </text>
    </comment>
    <comment ref="C129" authorId="0">
      <text>
        <r>
          <rPr>
            <sz val="10"/>
            <rFont val="Tahoma"/>
            <family val="0"/>
          </rPr>
          <t>DETAILS ON REPORT GLR1540V
ACCOUNTS RECEIVABLE</t>
        </r>
      </text>
    </comment>
    <comment ref="F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0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0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0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0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0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60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60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62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60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60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653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654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H60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<sst xmlns="http://schemas.openxmlformats.org/spreadsheetml/2006/main" count="1553" uniqueCount="1341">
  <si>
    <t>2010-07-31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</si>
  <si>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</si>
  <si>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</si>
  <si>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</si>
  <si>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</si>
  <si>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</si>
  <si>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</si>
  <si>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</si>
  <si>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</si>
  <si>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</si>
  <si>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</si>
  <si>
    <t>%,ATT,FDESCR,UDESCR</t>
  </si>
  <si>
    <t>AEP Consolidated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</si>
  <si>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</si>
  <si>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</si>
  <si>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</si>
  <si>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</si>
  <si>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</si>
  <si>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</si>
  <si>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</si>
  <si>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</si>
  <si>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</si>
  <si>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</si>
  <si>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</si>
  <si>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</si>
  <si>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</si>
  <si>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</si>
  <si>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</si>
  <si>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</si>
  <si>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</si>
  <si>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</si>
  <si>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</si>
  <si>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GL_ACCT_SEC</t>
  </si>
  <si>
    <t>Family Tree Income Statement</t>
  </si>
  <si>
    <t>Income Statement used for 10K/Q and Cash Flows</t>
  </si>
  <si>
    <t>AEP Consolidated       Family Tree Income Statement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</si>
  <si>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</si>
  <si>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</si>
  <si>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</si>
  <si>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</si>
  <si>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</si>
  <si>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</si>
  <si>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</si>
  <si>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Regional_Cons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</si>
  <si>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</si>
  <si>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</si>
  <si>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</si>
  <si>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</si>
  <si>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</si>
  <si>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</si>
  <si>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</si>
  <si>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</si>
  <si>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</si>
  <si>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</si>
  <si>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</si>
  <si>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</si>
  <si>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</si>
  <si>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</si>
  <si>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</si>
  <si>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Acct:   GL_ACCT_SEC
BU:     Regional_Cons
Sunset: 12/4/2009 1:00:00 AM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</si>
  <si>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</si>
  <si>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</si>
  <si>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</si>
  <si>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</si>
  <si>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</si>
  <si>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</si>
  <si>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</si>
  <si>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</si>
  <si>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</si>
  <si>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</si>
  <si>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</si>
  <si>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</si>
  <si>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</si>
  <si>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</si>
  <si>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</si>
  <si>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</si>
  <si>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</si>
  <si>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</si>
  <si>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</si>
  <si>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</si>
  <si>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</si>
  <si>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</si>
  <si>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</si>
  <si>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</si>
  <si>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</si>
  <si>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</si>
  <si>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</si>
  <si>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</si>
  <si>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</si>
  <si>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</si>
  <si>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</si>
  <si>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</si>
  <si>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</si>
  <si>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</si>
  <si>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</si>
  <si>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</si>
  <si>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</si>
  <si>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</si>
  <si>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</si>
  <si>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</si>
  <si>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</si>
  <si>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</si>
  <si>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</si>
  <si>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</si>
  <si>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</si>
  <si>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</si>
  <si>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</si>
  <si>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</si>
  <si>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</si>
  <si>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</si>
  <si>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</si>
  <si>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</si>
  <si>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</si>
  <si>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</si>
  <si>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</si>
  <si>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</si>
  <si>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</si>
  <si>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</si>
  <si>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</si>
  <si>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</si>
  <si>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</si>
  <si>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</si>
  <si>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</si>
  <si>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</si>
  <si>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</si>
  <si>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</si>
  <si>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</si>
  <si>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</si>
  <si>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</si>
  <si>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</si>
  <si>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</si>
  <si>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</si>
  <si>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</si>
  <si>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</si>
  <si>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</si>
  <si>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</si>
  <si>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</si>
  <si>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</si>
  <si>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</si>
  <si>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</si>
  <si>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</si>
  <si>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</si>
  <si>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</si>
  <si>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</si>
  <si>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</si>
  <si>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</si>
  <si>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</si>
  <si>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</si>
  <si>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</si>
  <si>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</si>
  <si>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</si>
  <si>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</si>
  <si>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</si>
  <si>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</si>
  <si>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</si>
  <si>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</si>
  <si>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</si>
  <si>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</si>
  <si>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</si>
  <si>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</si>
  <si>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</si>
  <si>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</si>
  <si>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</si>
  <si>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</si>
  <si>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</si>
  <si>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</si>
  <si>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</si>
  <si>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</si>
  <si>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</si>
  <si>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</si>
  <si>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</si>
  <si>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</si>
  <si>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</si>
  <si>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</si>
  <si>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</si>
  <si>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</si>
  <si>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</si>
  <si>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</si>
  <si>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</si>
  <si>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</si>
  <si>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%,FACCOUNT,TPRPT_ACCOUNT,X,NPRODUCTION_LEASED,NPRODUCTION_FUTURE,NPRODUCTION_OWNED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</si>
  <si>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</si>
  <si>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</si>
  <si>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</si>
  <si>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</si>
  <si>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</si>
  <si>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</si>
  <si>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</si>
  <si>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</si>
  <si>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</si>
  <si>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</si>
  <si>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</si>
  <si>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</si>
  <si>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</si>
  <si>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</si>
  <si>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</si>
  <si>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</si>
  <si>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</si>
  <si>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</si>
  <si>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</si>
  <si>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</si>
  <si>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</si>
  <si>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</si>
  <si>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</si>
  <si>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</si>
  <si>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</si>
  <si>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</si>
  <si>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</si>
  <si>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</si>
  <si>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</si>
  <si>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</si>
  <si>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</si>
  <si>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</si>
  <si>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</si>
  <si>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</si>
  <si>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</si>
  <si>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</si>
  <si>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</si>
  <si>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</si>
  <si>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</si>
  <si>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</si>
  <si>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</si>
  <si>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</si>
  <si>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</si>
  <si>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</si>
  <si>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</si>
  <si>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</si>
  <si>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</si>
  <si>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</si>
  <si>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</si>
  <si>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</si>
  <si>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</si>
  <si>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</si>
  <si>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</si>
  <si>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</si>
  <si>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</si>
  <si>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</si>
  <si>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</si>
  <si>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</si>
  <si>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</si>
  <si>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DEFERED CREDITS &amp; REGULATED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</si>
  <si>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</si>
  <si>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</si>
  <si>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</si>
  <si>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</si>
  <si>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</si>
  <si>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</si>
  <si>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</si>
  <si>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</si>
  <si>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</si>
  <si>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</si>
  <si>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</si>
  <si>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</si>
  <si>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</si>
  <si>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</si>
  <si>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</si>
  <si>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</si>
  <si>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</si>
  <si>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</si>
  <si>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</si>
  <si>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</si>
  <si>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</si>
  <si>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</si>
  <si>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</si>
  <si>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</si>
  <si>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</si>
  <si>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</si>
  <si>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</si>
  <si>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</si>
  <si>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</si>
  <si>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</si>
  <si>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</si>
  <si>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</si>
  <si>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</si>
  <si>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</si>
  <si>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</si>
  <si>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</si>
  <si>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</si>
  <si>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</si>
  <si>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</si>
  <si>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</si>
  <si>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</si>
  <si>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</si>
  <si>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</si>
  <si>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</si>
  <si>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</si>
  <si>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</si>
  <si>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</si>
  <si>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</si>
  <si>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</si>
  <si>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</si>
  <si>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</si>
  <si>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</si>
  <si>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</si>
  <si>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</si>
  <si>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</si>
  <si>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</si>
  <si>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</si>
  <si>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</si>
  <si>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%,R,FACCOUNT,TPRPT_ACCOUNT,X,NOTH_CURR_&amp;_ACCR_LIAB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</si>
  <si>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</si>
  <si>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</si>
  <si>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</si>
  <si>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</si>
  <si>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</si>
  <si>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</si>
  <si>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</si>
  <si>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</si>
  <si>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</si>
  <si>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%,R,FACCOUNT,TPRPT_ACCOUNT,X,NTOTAL_REG_LIAB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</si>
  <si>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</si>
  <si>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</si>
  <si>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</si>
  <si>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</si>
  <si>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</si>
  <si>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</si>
  <si>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</si>
  <si>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</si>
  <si>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</si>
  <si>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</si>
  <si>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</si>
  <si>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2151000</t>
  </si>
  <si>
    <t>Appr Retnd Erngs - Amrt Rsv, Fed</t>
  </si>
  <si>
    <t>2160001</t>
  </si>
  <si>
    <t>Unapprp Retained Earnings Unrestr</t>
  </si>
  <si>
    <t>2160002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</si>
  <si>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</si>
  <si>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</si>
  <si>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</si>
  <si>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</si>
  <si>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</si>
  <si>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</si>
  <si>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</si>
  <si>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</si>
  <si>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</si>
  <si>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</si>
  <si>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</si>
  <si>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</si>
  <si>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</si>
  <si>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</si>
  <si>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</si>
  <si>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</si>
  <si>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</si>
  <si>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</si>
  <si>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%,R,FACCOUNT,TPRPT_ACCOUNT,X,NRETAINED_EARNINGS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</si>
  <si>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</si>
  <si>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</si>
  <si>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</si>
  <si>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</si>
  <si>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</si>
  <si>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</si>
  <si>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</si>
  <si>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</si>
  <si>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</si>
  <si>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</si>
  <si>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%,R,SYTD,FACCOUNT,V2151000</t>
  </si>
  <si>
    <t>%,R,SYTD,FACCOUNT,TPRPT_ACCOUNT,NADJ_TO_RET_EARNINGS,NAPPROPRIATIONS_OF_RE,NAPPRO_RET_EARNINGS,NAPP_RET_EAR_AMOR_FED,NUNAPP_RET_EARNINGS</t>
  </si>
  <si>
    <t>Appr Retained Earnings Amrt Rev - Fed</t>
  </si>
  <si>
    <t>Unappr Retained Earnings - Unrestricted</t>
  </si>
  <si>
    <t>Unappr Retained Earnings - Restricted</t>
  </si>
  <si>
    <t>All other adjustment accounts</t>
  </si>
  <si>
    <t>215.0</t>
  </si>
  <si>
    <t>215.1</t>
  </si>
  <si>
    <t>2160002+</t>
  </si>
  <si>
    <t>2160000-1</t>
  </si>
  <si>
    <t>less: Equity Earnings of Subsidiary Co</t>
  </si>
  <si>
    <t>Total Net Income</t>
  </si>
  <si>
    <t>2161001</t>
  </si>
  <si>
    <t>2161002</t>
  </si>
  <si>
    <t>4390000</t>
  </si>
  <si>
    <t>Unappr Undist Consol Sub Earnings</t>
  </si>
  <si>
    <t>Unappr Undist NonConsol Sub Earnings</t>
  </si>
  <si>
    <t>Adjustments to Retained Earnings</t>
  </si>
  <si>
    <t>CSA</t>
  </si>
  <si>
    <t>CSO</t>
  </si>
  <si>
    <t>Total Other Retained Earnings Accounts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</si>
  <si>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</si>
  <si>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</si>
  <si>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</si>
  <si>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</si>
  <si>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</si>
  <si>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</si>
  <si>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</si>
  <si>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</si>
  <si>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</si>
  <si>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</si>
  <si>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</si>
  <si>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</si>
  <si>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</si>
  <si>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</si>
  <si>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</si>
  <si>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</si>
  <si>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</si>
  <si>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</si>
  <si>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</si>
  <si>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</si>
  <si>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</si>
  <si>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</si>
  <si>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</si>
  <si>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</si>
  <si>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</si>
  <si>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</si>
  <si>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</si>
  <si>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</si>
  <si>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</si>
  <si>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</si>
  <si>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</si>
  <si>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</si>
  <si>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</si>
  <si>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</si>
  <si>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</si>
  <si>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</si>
  <si>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</si>
  <si>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</si>
  <si>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</si>
  <si>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</si>
  <si>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</si>
  <si>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</si>
  <si>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%,V1220003</t>
  </si>
  <si>
    <t>1220003</t>
  </si>
  <si>
    <t>Depr&amp;Amrt of Nonutl Prop-WIP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</si>
  <si>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</si>
  <si>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</si>
  <si>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</si>
  <si>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</si>
  <si>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</si>
  <si>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</si>
  <si>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</si>
  <si>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</si>
  <si>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</si>
  <si>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</si>
  <si>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</si>
  <si>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</si>
  <si>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</si>
  <si>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</si>
  <si>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</si>
  <si>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</si>
  <si>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</si>
  <si>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</si>
  <si>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</si>
  <si>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</si>
  <si>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</si>
  <si>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</si>
  <si>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</si>
  <si>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</si>
  <si>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</si>
  <si>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</si>
  <si>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</si>
  <si>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</si>
  <si>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</si>
  <si>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</si>
  <si>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</si>
  <si>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</si>
  <si>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</si>
  <si>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</si>
  <si>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</si>
  <si>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</si>
  <si>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</si>
  <si>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</si>
  <si>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</si>
  <si>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%,V1420005</t>
  </si>
  <si>
    <t>1420005</t>
  </si>
  <si>
    <t>Employee Loans - Current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</si>
  <si>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</si>
  <si>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</si>
  <si>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</si>
  <si>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</si>
  <si>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</si>
  <si>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</si>
  <si>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</si>
  <si>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</si>
  <si>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</si>
  <si>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</si>
  <si>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</si>
  <si>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</si>
  <si>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</si>
  <si>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</si>
  <si>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</si>
  <si>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</si>
  <si>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</si>
  <si>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</si>
  <si>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</si>
  <si>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</si>
  <si>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</si>
  <si>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%,V1420033</t>
  </si>
  <si>
    <t>1420033</t>
  </si>
  <si>
    <t>Cooling Assistance Prg (COOL)</t>
  </si>
  <si>
    <t>%,V1420044</t>
  </si>
  <si>
    <t>1420044</t>
  </si>
  <si>
    <t>Customer A/R - Estimated</t>
  </si>
  <si>
    <t>%,V1420050</t>
  </si>
  <si>
    <t>1420050</t>
  </si>
  <si>
    <t>PJM AR Accrual</t>
  </si>
  <si>
    <t>%,V1420053</t>
  </si>
  <si>
    <t>1420053</t>
  </si>
  <si>
    <t>AR Coal Trading</t>
  </si>
  <si>
    <t>%,V1420054</t>
  </si>
  <si>
    <t>1420054</t>
  </si>
  <si>
    <t>Accrued Power Brokers</t>
  </si>
  <si>
    <t>%,V1420103</t>
  </si>
  <si>
    <t>1420103</t>
  </si>
  <si>
    <t>AR Long-Term-Customer</t>
  </si>
  <si>
    <t>%,V1430001</t>
  </si>
  <si>
    <t>1430001</t>
  </si>
  <si>
    <t>Other Accounts Rec-Regular</t>
  </si>
  <si>
    <t>%,V1430019</t>
  </si>
  <si>
    <t>1430019</t>
  </si>
  <si>
    <t>Coal Trading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</si>
  <si>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</si>
  <si>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</si>
  <si>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</si>
  <si>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</si>
  <si>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</si>
  <si>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</si>
  <si>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</si>
  <si>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</si>
  <si>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</si>
  <si>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</si>
  <si>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</si>
  <si>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</si>
  <si>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%,V1430086</t>
  </si>
  <si>
    <t>1430086</t>
  </si>
  <si>
    <t>AR Accrual NYMEX OTC Penults</t>
  </si>
  <si>
    <t>%,V1430087</t>
  </si>
  <si>
    <t>1430087</t>
  </si>
  <si>
    <t>%,V1430089</t>
  </si>
  <si>
    <t>1430089</t>
  </si>
  <si>
    <t>A/R - Benefits Billing</t>
  </si>
  <si>
    <t>%,V1430090</t>
  </si>
  <si>
    <t>1430090</t>
  </si>
  <si>
    <t>Accrued Broker - Power</t>
  </si>
  <si>
    <t>%,V1430092</t>
  </si>
  <si>
    <t>1430092</t>
  </si>
  <si>
    <t>Allowance Futures Accrual</t>
  </si>
  <si>
    <t>%,V1430123</t>
  </si>
  <si>
    <t>1430123</t>
  </si>
  <si>
    <t>Accounts Receivable - LT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</si>
  <si>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</si>
  <si>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</si>
  <si>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</si>
  <si>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</si>
  <si>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</si>
  <si>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</si>
  <si>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</si>
  <si>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</si>
  <si>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</si>
  <si>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</si>
  <si>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</si>
  <si>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</si>
  <si>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</si>
  <si>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</si>
  <si>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</si>
  <si>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</si>
  <si>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</si>
  <si>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</si>
  <si>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</si>
  <si>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</si>
  <si>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</si>
  <si>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</si>
  <si>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</si>
  <si>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</si>
  <si>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</si>
  <si>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</si>
  <si>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</si>
  <si>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</si>
  <si>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</si>
  <si>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</si>
  <si>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</si>
  <si>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</si>
  <si>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</si>
  <si>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</si>
  <si>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</si>
  <si>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</si>
  <si>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</si>
  <si>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</si>
  <si>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</si>
  <si>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</si>
  <si>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</si>
  <si>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</si>
  <si>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%,V1460045</t>
  </si>
  <si>
    <t>1460045</t>
  </si>
  <si>
    <t>A/R Assc Co-Realization Sharng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</si>
  <si>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</si>
  <si>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</si>
  <si>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</si>
  <si>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</si>
  <si>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</si>
  <si>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</si>
  <si>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</si>
  <si>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</si>
  <si>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</si>
  <si>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</si>
  <si>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</si>
  <si>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</si>
  <si>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</si>
  <si>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</si>
  <si>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</si>
  <si>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</si>
  <si>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</si>
  <si>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</si>
  <si>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</si>
  <si>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</si>
  <si>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</si>
  <si>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</si>
  <si>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</si>
  <si>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</si>
  <si>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</si>
  <si>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</si>
  <si>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</si>
  <si>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</si>
  <si>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</si>
  <si>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</si>
  <si>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</si>
  <si>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</si>
  <si>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</si>
  <si>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</si>
  <si>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</si>
  <si>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</si>
  <si>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</si>
  <si>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</si>
  <si>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</si>
  <si>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</si>
  <si>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</si>
  <si>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</si>
  <si>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</si>
  <si>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</si>
  <si>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</si>
  <si>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</si>
  <si>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</si>
  <si>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</si>
  <si>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</si>
  <si>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</si>
  <si>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</si>
  <si>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</si>
  <si>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</si>
  <si>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</si>
  <si>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</si>
  <si>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</si>
  <si>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</si>
  <si>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</si>
  <si>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</si>
  <si>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</si>
  <si>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</si>
  <si>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</si>
  <si>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</si>
  <si>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</si>
  <si>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</si>
  <si>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</si>
  <si>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</si>
  <si>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</si>
  <si>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</si>
  <si>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</si>
  <si>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%,V165001209</t>
  </si>
  <si>
    <t>165001209</t>
  </si>
  <si>
    <t>Prepaid Sales/Use Taxes</t>
  </si>
  <si>
    <t>%,V165001210</t>
  </si>
  <si>
    <t>165001210</t>
  </si>
  <si>
    <t>Prepaid Use Taxes</t>
  </si>
  <si>
    <t>%,V1650014</t>
  </si>
  <si>
    <t>1650014</t>
  </si>
  <si>
    <t>FAS 158 Qual Contra Asset</t>
  </si>
  <si>
    <t>%,V1650016</t>
  </si>
  <si>
    <t>1650016</t>
  </si>
  <si>
    <t>FAS 112 ASSETS</t>
  </si>
  <si>
    <t>%,V1650021</t>
  </si>
  <si>
    <t>1650021</t>
  </si>
  <si>
    <t>Prepaid Insurance - EIS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</si>
  <si>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</si>
  <si>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</si>
  <si>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</si>
  <si>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</si>
  <si>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</si>
  <si>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</si>
  <si>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</si>
  <si>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</si>
  <si>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</si>
  <si>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</si>
  <si>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</si>
  <si>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</si>
  <si>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</si>
  <si>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</si>
  <si>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</si>
  <si>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</si>
  <si>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</si>
  <si>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</si>
  <si>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</si>
  <si>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</si>
  <si>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</si>
  <si>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%,V1860007</t>
  </si>
  <si>
    <t>1860007</t>
  </si>
  <si>
    <t>Billings and Deferred Projects</t>
  </si>
  <si>
    <t>%,V1860136</t>
  </si>
  <si>
    <t>1860136</t>
  </si>
  <si>
    <t>NonTradition Option Premiums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</si>
  <si>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</si>
  <si>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</si>
  <si>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</si>
  <si>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</si>
  <si>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</si>
  <si>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</si>
  <si>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</si>
  <si>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</si>
  <si>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</si>
  <si>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</si>
  <si>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</si>
  <si>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</si>
  <si>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</si>
  <si>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</si>
  <si>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</si>
  <si>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</si>
  <si>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</si>
  <si>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</si>
  <si>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</si>
  <si>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</si>
  <si>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</si>
  <si>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%,V1823063</t>
  </si>
  <si>
    <t>1823063</t>
  </si>
  <si>
    <t>Unrecovered Fuel Cost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</si>
  <si>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</si>
  <si>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</si>
  <si>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</si>
  <si>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</si>
  <si>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</si>
  <si>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</si>
  <si>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</si>
  <si>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</si>
  <si>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Deferred Equity Carrying Chgs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</si>
  <si>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</si>
  <si>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</si>
  <si>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</si>
  <si>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</si>
  <si>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</si>
  <si>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</si>
  <si>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</si>
  <si>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</si>
  <si>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</si>
  <si>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</si>
  <si>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</si>
  <si>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</si>
  <si>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</si>
  <si>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</si>
  <si>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</si>
  <si>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</si>
  <si>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</si>
  <si>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</si>
  <si>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</si>
  <si>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</si>
  <si>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</si>
  <si>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</si>
  <si>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</si>
  <si>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</si>
  <si>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</si>
  <si>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</si>
  <si>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</si>
  <si>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</si>
  <si>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</si>
  <si>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</si>
  <si>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</si>
  <si>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</si>
  <si>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</si>
  <si>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</si>
  <si>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</si>
  <si>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</si>
  <si>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</si>
  <si>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</si>
  <si>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</si>
  <si>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%,V1840003</t>
  </si>
  <si>
    <t>1840003</t>
  </si>
  <si>
    <t>Procurement Card - Clearing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</si>
  <si>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</si>
  <si>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</si>
  <si>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</si>
  <si>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</si>
  <si>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</si>
  <si>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</si>
  <si>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</si>
  <si>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</si>
  <si>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Allowances</t>
  </si>
  <si>
    <t>%,V1860002</t>
  </si>
  <si>
    <t>1860002</t>
  </si>
  <si>
    <t>Deferred Expenses</t>
  </si>
  <si>
    <t>%,V186000308</t>
  </si>
  <si>
    <t>186000308</t>
  </si>
  <si>
    <t>Deferred Property Taxes</t>
  </si>
  <si>
    <t>%,V186000309</t>
  </si>
  <si>
    <t>186000309</t>
  </si>
  <si>
    <t>%,V1860077</t>
  </si>
  <si>
    <t>1860077</t>
  </si>
  <si>
    <t>Agency Fees - Factored A/R</t>
  </si>
  <si>
    <t>%,V186008109</t>
  </si>
  <si>
    <t>186008109</t>
  </si>
  <si>
    <t>Defd Property Tax - Cap Leases</t>
  </si>
  <si>
    <t>%,V186008110</t>
  </si>
  <si>
    <t>186008110</t>
  </si>
  <si>
    <t>%,V1860094</t>
  </si>
  <si>
    <t>1860094</t>
  </si>
  <si>
    <t>Labor Accruals - Bal Sheet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</si>
  <si>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</si>
  <si>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</si>
  <si>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</si>
  <si>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</si>
  <si>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</si>
  <si>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</si>
  <si>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</si>
  <si>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</si>
  <si>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</si>
  <si>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</si>
  <si>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</si>
  <si>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</si>
  <si>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</si>
  <si>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</si>
  <si>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</si>
  <si>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</si>
  <si>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</si>
  <si>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</si>
  <si>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</si>
  <si>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</si>
  <si>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</si>
  <si>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</si>
  <si>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</si>
  <si>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</si>
  <si>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</si>
  <si>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</si>
  <si>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</si>
  <si>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</si>
  <si>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</si>
  <si>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</si>
  <si>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</si>
  <si>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</si>
  <si>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</si>
  <si>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</si>
  <si>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</si>
  <si>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</si>
  <si>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</si>
  <si>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</si>
  <si>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</si>
  <si>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</si>
  <si>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</si>
  <si>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</si>
  <si>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</si>
  <si>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</si>
  <si>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</si>
  <si>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</si>
  <si>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</si>
  <si>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</si>
  <si>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</si>
  <si>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</si>
  <si>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</si>
  <si>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</si>
  <si>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</si>
  <si>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</si>
  <si>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</si>
  <si>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</si>
  <si>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</si>
  <si>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</si>
  <si>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</si>
  <si>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</si>
  <si>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</si>
  <si>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</si>
  <si>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</si>
  <si>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</si>
  <si>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</si>
  <si>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</si>
  <si>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</si>
  <si>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</si>
  <si>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</si>
  <si>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</si>
  <si>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</si>
  <si>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</si>
  <si>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</si>
  <si>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</si>
  <si>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</si>
  <si>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</si>
  <si>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</si>
  <si>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</si>
  <si>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</si>
  <si>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</si>
  <si>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</si>
  <si>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</si>
  <si>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</si>
  <si>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</si>
  <si>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</si>
  <si>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</si>
  <si>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</si>
  <si>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</si>
  <si>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</si>
  <si>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</si>
  <si>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</si>
  <si>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</si>
  <si>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</si>
  <si>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</si>
  <si>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</si>
  <si>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</si>
  <si>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</si>
  <si>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</si>
  <si>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</si>
  <si>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</si>
  <si>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</si>
  <si>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</si>
  <si>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</si>
  <si>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</si>
  <si>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</si>
  <si>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</si>
  <si>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</si>
  <si>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</si>
  <si>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</si>
  <si>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</si>
  <si>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</si>
  <si>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</si>
  <si>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</si>
  <si>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</si>
  <si>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</si>
  <si>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</si>
  <si>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</si>
  <si>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</si>
  <si>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</si>
  <si>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</si>
  <si>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</si>
  <si>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</si>
  <si>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</si>
  <si>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</si>
  <si>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</si>
  <si>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</si>
  <si>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</si>
  <si>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</si>
  <si>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</si>
  <si>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</si>
  <si>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</si>
  <si>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</si>
  <si>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</si>
  <si>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</si>
  <si>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</si>
  <si>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</si>
  <si>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</si>
  <si>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</si>
  <si>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</si>
  <si>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</si>
  <si>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</si>
  <si>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</si>
  <si>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</si>
  <si>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</si>
  <si>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</si>
  <si>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</si>
  <si>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</si>
  <si>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</si>
  <si>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</si>
  <si>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</si>
  <si>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</si>
  <si>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</si>
  <si>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</si>
  <si>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</si>
  <si>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</si>
  <si>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</si>
  <si>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</si>
  <si>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</si>
  <si>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</si>
  <si>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</si>
  <si>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</si>
  <si>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</si>
  <si>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</si>
  <si>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</si>
  <si>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</si>
  <si>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</si>
  <si>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</si>
  <si>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</si>
  <si>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</si>
  <si>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</si>
  <si>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</si>
  <si>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</si>
  <si>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</si>
  <si>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</si>
  <si>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</si>
  <si>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</si>
  <si>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</si>
  <si>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</si>
  <si>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</si>
  <si>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</si>
  <si>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</si>
  <si>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</si>
  <si>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</si>
  <si>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</si>
  <si>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</si>
  <si>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</si>
  <si>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</si>
  <si>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</si>
  <si>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</si>
  <si>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</si>
  <si>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</si>
  <si>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</si>
  <si>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</si>
  <si>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</si>
  <si>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</si>
  <si>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</si>
  <si>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</si>
  <si>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</si>
  <si>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</si>
  <si>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</si>
  <si>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</si>
  <si>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</si>
  <si>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</si>
  <si>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</si>
  <si>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%,V236000208</t>
  </si>
  <si>
    <t>236000208</t>
  </si>
  <si>
    <t>State Income Taxes</t>
  </si>
  <si>
    <t>%,V236000209</t>
  </si>
  <si>
    <t>236000209</t>
  </si>
  <si>
    <t>%,V236000210</t>
  </si>
  <si>
    <t>236000210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</si>
  <si>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</si>
  <si>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</si>
  <si>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</si>
  <si>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</si>
  <si>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</si>
  <si>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</si>
  <si>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</si>
  <si>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</si>
  <si>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</si>
  <si>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%,V236000700</t>
  </si>
  <si>
    <t>236000700</t>
  </si>
  <si>
    <t>State Sales and Use Taxes</t>
  </si>
  <si>
    <t>%,V236000709</t>
  </si>
  <si>
    <t>236000709</t>
  </si>
  <si>
    <t>%,V236000710</t>
  </si>
  <si>
    <t>236000710</t>
  </si>
  <si>
    <t>%,V236000808</t>
  </si>
  <si>
    <t>236000808</t>
  </si>
  <si>
    <t>Real &amp; Personal Property Taxes</t>
  </si>
  <si>
    <t>%,V236000809</t>
  </si>
  <si>
    <t>236000809</t>
  </si>
  <si>
    <t>%,V236001208</t>
  </si>
  <si>
    <t>236001208</t>
  </si>
  <si>
    <t>State Franchise Taxes</t>
  </si>
  <si>
    <t>%,V236001209</t>
  </si>
  <si>
    <t>236001209</t>
  </si>
  <si>
    <t>%,V236001210</t>
  </si>
  <si>
    <t>236001210</t>
  </si>
  <si>
    <t>%,V236001609</t>
  </si>
  <si>
    <t>236001609</t>
  </si>
  <si>
    <t>State Gross Receipts Tax</t>
  </si>
  <si>
    <t>%,V236001610</t>
  </si>
  <si>
    <t>236001610</t>
  </si>
  <si>
    <t>%,V236003309</t>
  </si>
  <si>
    <t>236003309</t>
  </si>
  <si>
    <t>Pers Prop Tax-Cap Leases</t>
  </si>
  <si>
    <t>%,V236003310</t>
  </si>
  <si>
    <t>236003310</t>
  </si>
  <si>
    <t>%,V236003509</t>
  </si>
  <si>
    <t>236003509</t>
  </si>
  <si>
    <t>Real Prop Tax-Cap Leases</t>
  </si>
  <si>
    <t>%,V236003510</t>
  </si>
  <si>
    <t>236003510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</si>
  <si>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</si>
  <si>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</si>
  <si>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</si>
  <si>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</si>
  <si>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</si>
  <si>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</si>
  <si>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</si>
  <si>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</si>
  <si>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</si>
  <si>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</si>
  <si>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</si>
  <si>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</si>
  <si>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</si>
  <si>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</si>
  <si>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</si>
  <si>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</si>
  <si>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</si>
  <si>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</si>
  <si>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</si>
  <si>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</si>
  <si>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</si>
  <si>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</si>
  <si>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</si>
  <si>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</si>
  <si>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</si>
  <si>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</si>
  <si>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%,V2370007</t>
  </si>
  <si>
    <t>2370007</t>
  </si>
  <si>
    <t>%,V2370018</t>
  </si>
  <si>
    <t>2370018</t>
  </si>
  <si>
    <t>%,V2370048</t>
  </si>
  <si>
    <t>2370048</t>
  </si>
  <si>
    <t>%,V2370348</t>
  </si>
  <si>
    <t>2370348</t>
  </si>
  <si>
    <t>%,V2430001</t>
  </si>
  <si>
    <t>2430001</t>
  </si>
  <si>
    <t>%,V2430003</t>
  </si>
  <si>
    <t>2430003</t>
  </si>
  <si>
    <t>%,V2440001</t>
  </si>
  <si>
    <t>2440001</t>
  </si>
  <si>
    <t>%,V2440003</t>
  </si>
  <si>
    <t>2440003</t>
  </si>
  <si>
    <t>%,V2440009</t>
  </si>
  <si>
    <t>2440009</t>
  </si>
  <si>
    <t>%,V2440021</t>
  </si>
  <si>
    <t>2440021</t>
  </si>
  <si>
    <t>%,V2450010</t>
  </si>
  <si>
    <t>2450010</t>
  </si>
  <si>
    <t>%,V2410001</t>
  </si>
  <si>
    <t>2410001</t>
  </si>
  <si>
    <t>%,V2410002</t>
  </si>
  <si>
    <t>2410002</t>
  </si>
  <si>
    <t>%,V2410003</t>
  </si>
  <si>
    <t>2410003</t>
  </si>
  <si>
    <t>%,V2410004</t>
  </si>
  <si>
    <t>2410004</t>
  </si>
  <si>
    <t>%,V2410005</t>
  </si>
  <si>
    <t>2410005</t>
  </si>
  <si>
    <t>%,V2410006</t>
  </si>
  <si>
    <t>2410006</t>
  </si>
  <si>
    <t>%,V2410008</t>
  </si>
  <si>
    <t>2410008</t>
  </si>
  <si>
    <t>%,V2410009</t>
  </si>
  <si>
    <t>2410009</t>
  </si>
  <si>
    <t>%,V2420514</t>
  </si>
  <si>
    <t>2420514</t>
  </si>
  <si>
    <t>%,V2420504</t>
  </si>
  <si>
    <t>2420504</t>
  </si>
  <si>
    <t>%,V2420020</t>
  </si>
  <si>
    <t>2420020</t>
  </si>
  <si>
    <t>%,V2420021</t>
  </si>
  <si>
    <t>2420021</t>
  </si>
  <si>
    <t>%,V2420051</t>
  </si>
  <si>
    <t>2420051</t>
  </si>
  <si>
    <t>%,V2420053</t>
  </si>
  <si>
    <t>2420053</t>
  </si>
  <si>
    <t>%,V2420002</t>
  </si>
  <si>
    <t>2420002</t>
  </si>
  <si>
    <t>%,V2420003</t>
  </si>
  <si>
    <t>2420003</t>
  </si>
  <si>
    <t>%,V2420009</t>
  </si>
  <si>
    <t>2420009</t>
  </si>
  <si>
    <t>%,V2420044</t>
  </si>
  <si>
    <t>2420044</t>
  </si>
  <si>
    <t>%,V2420532</t>
  </si>
  <si>
    <t>2420532</t>
  </si>
  <si>
    <t>%,V2420027</t>
  </si>
  <si>
    <t>2420027</t>
  </si>
  <si>
    <t>%,V2420046</t>
  </si>
  <si>
    <t>2420046</t>
  </si>
  <si>
    <t>%,V2420071</t>
  </si>
  <si>
    <t>2420071</t>
  </si>
  <si>
    <t>%,V2420072</t>
  </si>
  <si>
    <t>2420072</t>
  </si>
  <si>
    <t>%,V2420076</t>
  </si>
  <si>
    <t>2420076</t>
  </si>
  <si>
    <t>%,V2420083</t>
  </si>
  <si>
    <t>2420083</t>
  </si>
  <si>
    <t>%,V2420511</t>
  </si>
  <si>
    <t>2420511</t>
  </si>
  <si>
    <t>%,V2420512</t>
  </si>
  <si>
    <t>2420512</t>
  </si>
  <si>
    <t>%,V2420542</t>
  </si>
  <si>
    <t>2420542</t>
  </si>
  <si>
    <t>%,V2420558</t>
  </si>
  <si>
    <t>2420558</t>
  </si>
  <si>
    <t>%,V242059209</t>
  </si>
  <si>
    <t>242059209</t>
  </si>
  <si>
    <t>%,V242059210</t>
  </si>
  <si>
    <t>242059210</t>
  </si>
  <si>
    <t>%,V2420598</t>
  </si>
  <si>
    <t>2420598</t>
  </si>
  <si>
    <t>%,V2420618</t>
  </si>
  <si>
    <t>2420618</t>
  </si>
  <si>
    <t>%,V2420623</t>
  </si>
  <si>
    <t>2420623</t>
  </si>
  <si>
    <t>%,V2420624</t>
  </si>
  <si>
    <t>2420624</t>
  </si>
  <si>
    <t>%,V2420635</t>
  </si>
  <si>
    <t>2420635</t>
  </si>
  <si>
    <t>%,V2420643</t>
  </si>
  <si>
    <t>2420643</t>
  </si>
  <si>
    <t>%,V2420651</t>
  </si>
  <si>
    <t>2420651</t>
  </si>
  <si>
    <t>%,V2420653</t>
  </si>
  <si>
    <t>2420653</t>
  </si>
  <si>
    <t>%,V2420656</t>
  </si>
  <si>
    <t>2420656</t>
  </si>
  <si>
    <t>%,V2420658</t>
  </si>
  <si>
    <t>2420658</t>
  </si>
  <si>
    <t>%,V2420660</t>
  </si>
  <si>
    <t>2420660</t>
  </si>
  <si>
    <t>%,V2420661</t>
  </si>
  <si>
    <t>2420661</t>
  </si>
  <si>
    <t>%,V2420664</t>
  </si>
  <si>
    <t>2420664</t>
  </si>
  <si>
    <t>%,V2811001</t>
  </si>
  <si>
    <t>2811001</t>
  </si>
  <si>
    <t>%,V2821001</t>
  </si>
  <si>
    <t>2821001</t>
  </si>
  <si>
    <t>%,V2823001</t>
  </si>
  <si>
    <t>2823001</t>
  </si>
  <si>
    <t>%,V2824001</t>
  </si>
  <si>
    <t>2824001</t>
  </si>
  <si>
    <t>%,V2830006</t>
  </si>
  <si>
    <t>2830006</t>
  </si>
  <si>
    <t>%,V2831001</t>
  </si>
  <si>
    <t>2831001</t>
  </si>
  <si>
    <t>%,V2832001</t>
  </si>
  <si>
    <t>2832001</t>
  </si>
  <si>
    <t>%,V2833001</t>
  </si>
  <si>
    <t>2833001</t>
  </si>
  <si>
    <t>%,V2833002</t>
  </si>
  <si>
    <t>2833002</t>
  </si>
  <si>
    <t>%,V2550001</t>
  </si>
  <si>
    <t>2550001</t>
  </si>
  <si>
    <t>%,V2540011</t>
  </si>
  <si>
    <t>2540011</t>
  </si>
  <si>
    <t>%,V2540047</t>
  </si>
  <si>
    <t>2540047</t>
  </si>
  <si>
    <t>%,V2540105</t>
  </si>
  <si>
    <t>2540105</t>
  </si>
  <si>
    <t>%,V2540173</t>
  </si>
  <si>
    <t>2540173</t>
  </si>
  <si>
    <t>%,V2543001</t>
  </si>
  <si>
    <t>2543001</t>
  </si>
  <si>
    <t>%,V2544001</t>
  </si>
  <si>
    <t>2544001</t>
  </si>
  <si>
    <t>%,V2440002</t>
  </si>
  <si>
    <t>2440002</t>
  </si>
  <si>
    <t>%,V2440004</t>
  </si>
  <si>
    <t>2440004</t>
  </si>
  <si>
    <t>%,V2440010</t>
  </si>
  <si>
    <t>2440010</t>
  </si>
  <si>
    <t>%,V2440022</t>
  </si>
  <si>
    <t>2440022</t>
  </si>
  <si>
    <t>%,V2450011</t>
  </si>
  <si>
    <t>2450011</t>
  </si>
  <si>
    <t>%,V2520000</t>
  </si>
  <si>
    <t>2520000</t>
  </si>
  <si>
    <t>%,V2530000</t>
  </si>
  <si>
    <t>2530000</t>
  </si>
  <si>
    <t>%,V2530022</t>
  </si>
  <si>
    <t>2530022</t>
  </si>
  <si>
    <t>%,V2530050</t>
  </si>
  <si>
    <t>2530050</t>
  </si>
  <si>
    <t>%,V2530067</t>
  </si>
  <si>
    <t>2530067</t>
  </si>
  <si>
    <t>%,V2530092</t>
  </si>
  <si>
    <t>2530092</t>
  </si>
  <si>
    <t>%,V2530101</t>
  </si>
  <si>
    <t>2530101</t>
  </si>
  <si>
    <t>%,V2530112</t>
  </si>
  <si>
    <t>2530112</t>
  </si>
  <si>
    <t>%,V2530113</t>
  </si>
  <si>
    <t>2530113</t>
  </si>
  <si>
    <t>%,V2530114</t>
  </si>
  <si>
    <t>2530114</t>
  </si>
  <si>
    <t>%,V2530137</t>
  </si>
  <si>
    <t>2530137</t>
  </si>
  <si>
    <t>%,V2530148</t>
  </si>
  <si>
    <t>2530148</t>
  </si>
  <si>
    <t>%,V4380001</t>
  </si>
  <si>
    <t>4380001</t>
  </si>
  <si>
    <t>Interest Accrd-Sen Unsec Notes</t>
  </si>
  <si>
    <t>Interest Accrd-Customer Depsts</t>
  </si>
  <si>
    <t>Accrued Margin Interest</t>
  </si>
  <si>
    <t>Acrd Int.- FIT Reserve - LT</t>
  </si>
  <si>
    <t>Acrd Int. - SIT Reserve - LT</t>
  </si>
  <si>
    <t>Oblig Under Cap Leases - Curr</t>
  </si>
  <si>
    <t>Accrued Cur Lease Oblig</t>
  </si>
  <si>
    <t>Curr. Unreal Losses - NonAffil</t>
  </si>
  <si>
    <t>Curr. Unreal Losses - Affil</t>
  </si>
  <si>
    <t>S/T Option Premium Receipts</t>
  </si>
  <si>
    <t>S/T Liability MTM Collateral</t>
  </si>
  <si>
    <t>S/T Liability-Commodity Hedges</t>
  </si>
  <si>
    <t>Federal Income Tax Withheld</t>
  </si>
  <si>
    <t>State Income Tax Withheld</t>
  </si>
  <si>
    <t>Local Income Tax Withheld</t>
  </si>
  <si>
    <t>State Sales Tax Collected</t>
  </si>
  <si>
    <t>FICA Tax Withheld</t>
  </si>
  <si>
    <t>School District Tax Withheld</t>
  </si>
  <si>
    <t>Franchise Fee Collected</t>
  </si>
  <si>
    <t>KY Utility Gr Receipts Lic Tax</t>
  </si>
  <si>
    <t>Revenue Refunds Accrued</t>
  </si>
  <si>
    <t>Accrued Lease Expense</t>
  </si>
  <si>
    <t>Vacation Pay - This Year</t>
  </si>
  <si>
    <t>Vacation Pay - Next Year</t>
  </si>
  <si>
    <t>Non-Productive Payroll</t>
  </si>
  <si>
    <t>P/R Ded - Medical Insurance</t>
  </si>
  <si>
    <t>P/R Ded - Dental Insurance</t>
  </si>
  <si>
    <t>Depend Care/Flex Medical Spend</t>
  </si>
  <si>
    <t>P/R Withholdings</t>
  </si>
  <si>
    <t>Adm Liab-Cur-S/Ins-W/C</t>
  </si>
  <si>
    <t>FAS 112 CURRENT LIAB</t>
  </si>
  <si>
    <t>FAS 158 SERP Payable - Current</t>
  </si>
  <si>
    <t>P/R Ded - Vision Plan</t>
  </si>
  <si>
    <t>P/R - Payroll Adjustment</t>
  </si>
  <si>
    <t>P/R Savings Plan - Incentive</t>
  </si>
  <si>
    <t>Active Med and Dental IBNR</t>
  </si>
  <si>
    <t>Control Cash Disburse Account</t>
  </si>
  <si>
    <t>Unclaimed Funds</t>
  </si>
  <si>
    <t>Acc Cash Franchise Req</t>
  </si>
  <si>
    <t>Admitted Liab NC-Self/Ins-W/C</t>
  </si>
  <si>
    <t>Sales &amp; Use Tax - Leased Equ</t>
  </si>
  <si>
    <t>Sales Use Tax - Leased Equip</t>
  </si>
  <si>
    <t>Est Fin Cost - Sen Unsec Notes</t>
  </si>
  <si>
    <t>Accrued Payroll</t>
  </si>
  <si>
    <t>Energy Delivery Incentive Plan</t>
  </si>
  <si>
    <t>Corp &amp; Shrd Srv Incentive Plan</t>
  </si>
  <si>
    <t>Fossil and Hydro Gen ICP</t>
  </si>
  <si>
    <t>Accrued Audit Fees</t>
  </si>
  <si>
    <t>Reorg Severance Accrual</t>
  </si>
  <si>
    <t>Reorg Misc HR Exp Accrual</t>
  </si>
  <si>
    <t>Federal Mitigation Accru (NSR)</t>
  </si>
  <si>
    <t>Accrued Prof. Tax Services</t>
  </si>
  <si>
    <t>AEP Transmission ICP</t>
  </si>
  <si>
    <t>COO Other ICP</t>
  </si>
  <si>
    <t>ST State Mitigation Def (NSR)</t>
  </si>
  <si>
    <t>Acc Dfd FIT - Accel Amort Prop</t>
  </si>
  <si>
    <t>Accum Defd FIT - Utility Prop</t>
  </si>
  <si>
    <t>Acc Dfrd FIT FAS 109 Flow Thru</t>
  </si>
  <si>
    <t>Acc Dfrd FIT - SFAS 109 Excess</t>
  </si>
  <si>
    <t>Accum Dfrd FIT - Oth Inc &amp; Ded</t>
  </si>
  <si>
    <t>Acc Dfd FIT FAS 109 Flow Thru</t>
  </si>
  <si>
    <t>Acc Dfrd SIT FAS 109 Flow Thru</t>
  </si>
  <si>
    <t>Accum Deferred ITC - Federal</t>
  </si>
  <si>
    <t>Over Recovered Fuel Cost</t>
  </si>
  <si>
    <t>Unreal Gain on Fwd Commitments</t>
  </si>
  <si>
    <t>Home Energy Assist Prgm - KPCO</t>
  </si>
  <si>
    <t>Green Pricing Option</t>
  </si>
  <si>
    <t>SFAS109 Flow Thru Def FIT Liab</t>
  </si>
  <si>
    <t>SFAS 109 Exces Deferred FIT</t>
  </si>
  <si>
    <t>LT Unreal Losses - Non Affil</t>
  </si>
  <si>
    <t>LT Unreal Losses - Affil</t>
  </si>
  <si>
    <t>L/T Option Premium Receipts</t>
  </si>
  <si>
    <t>L/T Liability MTM Collateral</t>
  </si>
  <si>
    <t>L/T Liability-Commodity Hedges</t>
  </si>
  <si>
    <t>Customer Adv for Construction</t>
  </si>
  <si>
    <t>Customer Advance Receipts</t>
  </si>
  <si>
    <t>Deferred Rev -Pole Attachments</t>
  </si>
  <si>
    <t>IPP - System Upgrade Credits</t>
  </si>
  <si>
    <t>Fbr Opt Lns-In Kind Sv-Dfd Gns</t>
  </si>
  <si>
    <t>MACSS Unidentified EDI Cash</t>
  </si>
  <si>
    <t>Other Deferred Credits-Curr</t>
  </si>
  <si>
    <t>State Mitigation Deferal (NSR)</t>
  </si>
  <si>
    <t>Federl Mitigation Deferal(NSR)</t>
  </si>
  <si>
    <t>Fbr Opt Lns-Sold-Defd Rev</t>
  </si>
  <si>
    <t>Accrued Penalties-Tax Reserves</t>
  </si>
  <si>
    <t>Div Declrd - Common Stk - Asso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</si>
</sst>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name val="Tahoma"/>
      <family val="0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2" borderId="1" applyNumberFormat="0" applyAlignment="0" applyProtection="0"/>
    <xf numFmtId="0" fontId="27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6" borderId="1" applyNumberFormat="0" applyAlignment="0" applyProtection="0"/>
    <xf numFmtId="0" fontId="34" fillId="0" borderId="6" applyNumberFormat="0" applyFill="0" applyAlignment="0" applyProtection="0"/>
    <xf numFmtId="0" fontId="35" fillId="9" borderId="0" applyNumberFormat="0" applyBorder="0" applyAlignment="0" applyProtection="0"/>
    <xf numFmtId="0" fontId="0" fillId="4" borderId="1" applyNumberFormat="0" applyFont="0" applyAlignment="0" applyProtection="0"/>
    <xf numFmtId="0" fontId="36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1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0" fontId="1" fillId="0" borderId="0" xfId="0" applyNumberFormat="1" applyFont="1" applyFill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0" fontId="0" fillId="0" borderId="0" xfId="0" applyNumberForma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12" xfId="0" applyNumberFormat="1" applyBorder="1" applyAlignment="1">
      <alignment horizontal="left" indent="4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16" fillId="20" borderId="0" xfId="0" applyNumberFormat="1" applyFont="1" applyFill="1" applyAlignment="1">
      <alignment/>
    </xf>
    <xf numFmtId="39" fontId="17" fillId="2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Fill="1" applyAlignment="1">
      <alignment horizontal="right"/>
    </xf>
    <xf numFmtId="39" fontId="0" fillId="0" borderId="0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4" fillId="0" borderId="0" xfId="0" applyNumberFormat="1" applyFont="1" applyFill="1" applyBorder="1" applyAlignment="1">
      <alignment/>
    </xf>
    <xf numFmtId="39" fontId="20" fillId="0" borderId="0" xfId="0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1" fillId="0" borderId="0" xfId="0" applyNumberFormat="1" applyFont="1" applyFill="1" applyAlignment="1">
      <alignment/>
    </xf>
    <xf numFmtId="39" fontId="1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1" fillId="0" borderId="0" xfId="0" applyNumberFormat="1" applyFont="1" applyFill="1" applyAlignment="1">
      <alignment/>
    </xf>
    <xf numFmtId="39" fontId="1" fillId="0" borderId="12" xfId="0" applyNumberFormat="1" applyFont="1" applyFill="1" applyBorder="1" applyAlignment="1">
      <alignment/>
    </xf>
    <xf numFmtId="39" fontId="0" fillId="0" borderId="12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13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/>
    </xf>
    <xf numFmtId="178" fontId="11" fillId="0" borderId="0" xfId="0" applyNumberFormat="1" applyFont="1" applyAlignment="1">
      <alignment horizontal="center"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39" fontId="16" fillId="20" borderId="15" xfId="0" applyNumberFormat="1" applyFont="1" applyFill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5" xfId="0" applyNumberFormat="1" applyFont="1" applyFill="1" applyBorder="1" applyAlignment="1">
      <alignment/>
    </xf>
    <xf numFmtId="39" fontId="1" fillId="0" borderId="15" xfId="0" applyNumberFormat="1" applyFont="1" applyFill="1" applyBorder="1" applyAlignment="1">
      <alignment/>
    </xf>
    <xf numFmtId="39" fontId="0" fillId="0" borderId="17" xfId="0" applyNumberFormat="1" applyFont="1" applyFill="1" applyBorder="1" applyAlignment="1">
      <alignment/>
    </xf>
    <xf numFmtId="39" fontId="14" fillId="0" borderId="15" xfId="0" applyNumberFormat="1" applyFont="1" applyFill="1" applyBorder="1" applyAlignment="1">
      <alignment/>
    </xf>
    <xf numFmtId="39" fontId="20" fillId="0" borderId="15" xfId="0" applyNumberFormat="1" applyFont="1" applyFill="1" applyBorder="1" applyAlignment="1">
      <alignment/>
    </xf>
    <xf numFmtId="178" fontId="11" fillId="0" borderId="15" xfId="0" applyNumberFormat="1" applyFont="1" applyBorder="1" applyAlignment="1">
      <alignment horizontal="center"/>
    </xf>
    <xf numFmtId="39" fontId="4" fillId="0" borderId="15" xfId="0" applyNumberFormat="1" applyFont="1" applyBorder="1" applyAlignment="1">
      <alignment/>
    </xf>
    <xf numFmtId="39" fontId="0" fillId="0" borderId="15" xfId="0" applyNumberFormat="1" applyFont="1" applyFill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1" fillId="0" borderId="15" xfId="0" applyNumberFormat="1" applyFont="1" applyBorder="1" applyAlignment="1">
      <alignment horizontal="center"/>
    </xf>
    <xf numFmtId="39" fontId="0" fillId="0" borderId="15" xfId="0" applyNumberFormat="1" applyBorder="1" applyAlignment="1">
      <alignment/>
    </xf>
    <xf numFmtId="39" fontId="1" fillId="0" borderId="15" xfId="0" applyNumberFormat="1" applyFont="1" applyFill="1" applyBorder="1" applyAlignment="1">
      <alignment/>
    </xf>
    <xf numFmtId="39" fontId="1" fillId="0" borderId="17" xfId="0" applyNumberFormat="1" applyFont="1" applyFill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/>
    </xf>
    <xf numFmtId="8" fontId="17" fillId="20" borderId="20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0" fontId="14" fillId="0" borderId="20" xfId="0" applyNumberFormat="1" applyFont="1" applyFill="1" applyBorder="1" applyAlignment="1" quotePrefix="1">
      <alignment horizontal="left"/>
    </xf>
    <xf numFmtId="0" fontId="13" fillId="0" borderId="20" xfId="0" applyNumberFormat="1" applyFont="1" applyFill="1" applyBorder="1" applyAlignment="1" quotePrefix="1">
      <alignment horizontal="left"/>
    </xf>
    <xf numFmtId="0" fontId="5" fillId="0" borderId="20" xfId="0" applyNumberFormat="1" applyFont="1" applyFill="1" applyBorder="1" applyAlignment="1" quotePrefix="1">
      <alignment horizontal="left"/>
    </xf>
    <xf numFmtId="8" fontId="17" fillId="0" borderId="20" xfId="0" applyNumberFormat="1" applyFont="1" applyFill="1" applyBorder="1" applyAlignment="1">
      <alignment/>
    </xf>
    <xf numFmtId="40" fontId="12" fillId="0" borderId="2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188" fontId="1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1" fillId="0" borderId="20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2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40" fontId="1" fillId="0" borderId="15" xfId="42" applyNumberFormat="1" applyFont="1" applyBorder="1" applyAlignment="1">
      <alignment/>
    </xf>
    <xf numFmtId="40" fontId="0" fillId="0" borderId="15" xfId="42" applyNumberFormat="1" applyFont="1" applyBorder="1" applyAlignment="1">
      <alignment/>
    </xf>
    <xf numFmtId="40" fontId="0" fillId="0" borderId="15" xfId="42" applyNumberFormat="1" applyFont="1" applyFill="1" applyBorder="1" applyAlignment="1">
      <alignment/>
    </xf>
    <xf numFmtId="40" fontId="1" fillId="0" borderId="15" xfId="42" applyNumberFormat="1" applyFont="1" applyFill="1" applyBorder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40" fontId="11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9" fontId="0" fillId="0" borderId="15" xfId="42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1" fillId="0" borderId="15" xfId="42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40" fontId="11" fillId="0" borderId="15" xfId="0" applyNumberFormat="1" applyFont="1" applyBorder="1" applyAlignment="1">
      <alignment horizontal="left" indent="1"/>
    </xf>
    <xf numFmtId="39" fontId="11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39" fontId="0" fillId="0" borderId="15" xfId="42" applyNumberFormat="1" applyFon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9" fontId="0" fillId="0" borderId="17" xfId="4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/>
    </xf>
    <xf numFmtId="40" fontId="0" fillId="0" borderId="22" xfId="42" applyNumberFormat="1" applyFont="1" applyFill="1" applyBorder="1" applyAlignment="1">
      <alignment/>
    </xf>
    <xf numFmtId="39" fontId="11" fillId="0" borderId="0" xfId="0" applyNumberFormat="1" applyFont="1" applyAlignment="1">
      <alignment horizontal="right"/>
    </xf>
    <xf numFmtId="39" fontId="0" fillId="0" borderId="0" xfId="0" applyNumberFormat="1" applyFont="1" applyFill="1" applyBorder="1" applyAlignment="1">
      <alignment horizontal="right"/>
    </xf>
    <xf numFmtId="39" fontId="12" fillId="0" borderId="0" xfId="0" applyNumberFormat="1" applyFont="1" applyAlignment="1">
      <alignment horizontal="right"/>
    </xf>
    <xf numFmtId="39" fontId="12" fillId="0" borderId="12" xfId="0" applyNumberFormat="1" applyFont="1" applyBorder="1" applyAlignment="1">
      <alignment horizontal="right"/>
    </xf>
    <xf numFmtId="178" fontId="1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39" fontId="0" fillId="0" borderId="0" xfId="42" applyNumberFormat="1" applyFont="1" applyFill="1" applyAlignment="1">
      <alignment horizontal="right"/>
    </xf>
    <xf numFmtId="39" fontId="11" fillId="0" borderId="0" xfId="0" applyNumberFormat="1" applyFont="1" applyFill="1" applyAlignment="1">
      <alignment horizontal="right"/>
    </xf>
    <xf numFmtId="39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15" xfId="42" applyNumberFormat="1" applyFont="1" applyFill="1" applyBorder="1" applyAlignment="1">
      <alignment horizontal="right"/>
    </xf>
    <xf numFmtId="39" fontId="0" fillId="0" borderId="17" xfId="0" applyNumberFormat="1" applyFont="1" applyFill="1" applyBorder="1" applyAlignment="1">
      <alignment horizontal="right"/>
    </xf>
    <xf numFmtId="39" fontId="0" fillId="0" borderId="15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1" fillId="0" borderId="0" xfId="42" applyNumberFormat="1" applyFont="1" applyFill="1" applyAlignment="1">
      <alignment horizontal="right"/>
    </xf>
    <xf numFmtId="39" fontId="0" fillId="0" borderId="0" xfId="0" applyNumberFormat="1" applyFill="1" applyBorder="1" applyAlignment="1">
      <alignment horizontal="right"/>
    </xf>
    <xf numFmtId="39" fontId="1" fillId="0" borderId="13" xfId="42" applyNumberFormat="1" applyFont="1" applyFill="1" applyBorder="1" applyAlignment="1">
      <alignment horizontal="right"/>
    </xf>
    <xf numFmtId="39" fontId="1" fillId="0" borderId="19" xfId="42" applyNumberFormat="1" applyFont="1" applyFill="1" applyBorder="1" applyAlignment="1">
      <alignment horizontal="right"/>
    </xf>
    <xf numFmtId="39" fontId="0" fillId="19" borderId="15" xfId="0" applyNumberFormat="1" applyFill="1" applyBorder="1" applyAlignment="1">
      <alignment/>
    </xf>
    <xf numFmtId="3" fontId="0" fillId="0" borderId="0" xfId="0" applyNumberFormat="1" applyFont="1" applyFill="1" applyAlignment="1" quotePrefix="1">
      <alignment/>
    </xf>
    <xf numFmtId="39" fontId="1" fillId="0" borderId="0" xfId="0" applyNumberFormat="1" applyFont="1" applyFill="1" applyAlignment="1">
      <alignment horizontal="right"/>
    </xf>
    <xf numFmtId="3" fontId="0" fillId="19" borderId="0" xfId="0" applyNumberFormat="1" applyFont="1" applyFill="1" applyAlignment="1" quotePrefix="1">
      <alignment/>
    </xf>
    <xf numFmtId="40" fontId="0" fillId="19" borderId="0" xfId="42" applyNumberFormat="1" applyFont="1" applyFill="1" applyAlignment="1">
      <alignment/>
    </xf>
    <xf numFmtId="39" fontId="0" fillId="19" borderId="0" xfId="0" applyNumberFormat="1" applyFont="1" applyFill="1" applyAlignment="1">
      <alignment horizontal="right"/>
    </xf>
    <xf numFmtId="39" fontId="0" fillId="19" borderId="0" xfId="0" applyNumberFormat="1" applyFont="1" applyFill="1" applyBorder="1" applyAlignment="1">
      <alignment/>
    </xf>
    <xf numFmtId="3" fontId="0" fillId="19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17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43" fontId="0" fillId="0" borderId="0" xfId="42" applyFont="1" applyAlignment="1">
      <alignment/>
    </xf>
    <xf numFmtId="43" fontId="0" fillId="19" borderId="0" xfId="42" applyFont="1" applyFill="1" applyAlignment="1">
      <alignment/>
    </xf>
    <xf numFmtId="43" fontId="0" fillId="19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43" fontId="0" fillId="19" borderId="0" xfId="42" applyNumberFormat="1" applyFont="1" applyFill="1" applyAlignment="1">
      <alignment/>
    </xf>
    <xf numFmtId="43" fontId="0" fillId="19" borderId="0" xfId="42" applyNumberFormat="1" applyFont="1" applyFill="1" applyAlignment="1">
      <alignment horizontal="right"/>
    </xf>
    <xf numFmtId="43" fontId="0" fillId="0" borderId="0" xfId="42" applyNumberFormat="1" applyFont="1" applyFill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0" fillId="19" borderId="15" xfId="42" applyFont="1" applyFill="1" applyBorder="1" applyAlignment="1">
      <alignment/>
    </xf>
    <xf numFmtId="43" fontId="0" fillId="19" borderId="15" xfId="42" applyFont="1" applyFill="1" applyBorder="1" applyAlignment="1">
      <alignment horizontal="right"/>
    </xf>
    <xf numFmtId="43" fontId="0" fillId="0" borderId="15" xfId="42" applyFont="1" applyFill="1" applyBorder="1" applyAlignment="1">
      <alignment horizontal="right"/>
    </xf>
    <xf numFmtId="39" fontId="0" fillId="0" borderId="20" xfId="0" applyNumberFormat="1" applyFont="1" applyBorder="1" applyAlignment="1">
      <alignment/>
    </xf>
    <xf numFmtId="39" fontId="1" fillId="0" borderId="15" xfId="42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0" fontId="11" fillId="0" borderId="15" xfId="0" applyNumberFormat="1" applyFont="1" applyBorder="1" applyAlignment="1">
      <alignment horizontal="center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N655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28.0039062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5" customWidth="1" collapsed="1"/>
    <col min="9" max="9" width="11.421875" style="56" hidden="1" customWidth="1" outlineLevel="1"/>
    <col min="10" max="10" width="1.28515625" style="71" customWidth="1"/>
    <col min="11" max="11" width="18.8515625" style="207" customWidth="1"/>
    <col min="12" max="12" width="18.8515625" style="35" customWidth="1" collapsed="1"/>
    <col min="13" max="13" width="10.8515625" style="56" hidden="1" customWidth="1" outlineLevel="1"/>
    <col min="14" max="16384" width="9.140625" style="11" customWidth="1"/>
  </cols>
  <sheetData>
    <row r="1" spans="1:13" s="15" customFormat="1" ht="11.25" customHeight="1" hidden="1">
      <c r="A1" s="15" t="s">
        <v>103</v>
      </c>
      <c r="B1" s="15" t="s">
        <v>132</v>
      </c>
      <c r="C1" s="164" t="s">
        <v>11</v>
      </c>
      <c r="D1" s="16"/>
      <c r="E1" s="16"/>
      <c r="F1" s="16" t="s">
        <v>103</v>
      </c>
      <c r="G1" s="16" t="s">
        <v>255</v>
      </c>
      <c r="H1" s="16" t="s">
        <v>64</v>
      </c>
      <c r="I1" s="54" t="s">
        <v>64</v>
      </c>
      <c r="J1" s="226"/>
      <c r="K1" s="295" t="s">
        <v>104</v>
      </c>
      <c r="L1" s="16" t="s">
        <v>64</v>
      </c>
      <c r="M1" s="54" t="s">
        <v>64</v>
      </c>
    </row>
    <row r="2" spans="3:12" ht="12.75">
      <c r="C2" s="17"/>
      <c r="F2" s="330" t="str">
        <f>IF($C$641="Error",$C$646,IF($C$647="Error",$C$643&amp;" - "&amp;$C$642,IF($C$647=$C$646,$C$647&amp;" -"&amp;$C$641,$C$647&amp;" - "&amp;$C$646)))</f>
        <v>Kentucky Power Corp Consol</v>
      </c>
      <c r="G2" s="330"/>
      <c r="H2" s="330"/>
      <c r="I2" s="330"/>
      <c r="J2" s="330"/>
      <c r="K2" s="330"/>
      <c r="L2" s="330"/>
    </row>
    <row r="3" spans="3:12" ht="12.75">
      <c r="C3" s="20">
        <f>IF(C637&gt;0,"REPORT HAS "&amp;C637&amp;" DATA ERROR(S)","")</f>
      </c>
      <c r="F3" s="331" t="s">
        <v>349</v>
      </c>
      <c r="G3" s="331"/>
      <c r="H3" s="331"/>
      <c r="I3" s="331"/>
      <c r="J3" s="331"/>
      <c r="K3" s="331"/>
      <c r="L3" s="331"/>
    </row>
    <row r="4" spans="3:12" ht="12.75">
      <c r="C4" s="28"/>
      <c r="F4" s="332" t="str">
        <f>TEXT(+$C$631,"MMMM dd, YYYY")</f>
        <v>July 31, 2010</v>
      </c>
      <c r="G4" s="332"/>
      <c r="H4" s="332"/>
      <c r="I4" s="332"/>
      <c r="J4" s="332"/>
      <c r="K4" s="332"/>
      <c r="L4" s="332"/>
    </row>
    <row r="5" spans="2:13" ht="13.5" thickBot="1">
      <c r="B5" s="50" t="str">
        <f>"Run Date: "&amp;TEXT(NvsEndTime,"MM/DD/YYYY  hh:mm")</f>
        <v>Run Date: 08/11/2010  13:10</v>
      </c>
      <c r="C5" s="22"/>
      <c r="D5" s="23"/>
      <c r="E5" s="23"/>
      <c r="F5" s="24"/>
      <c r="G5" s="24"/>
      <c r="H5" s="25"/>
      <c r="I5" s="55"/>
      <c r="J5" s="26"/>
      <c r="K5" s="24"/>
      <c r="L5" s="25"/>
      <c r="M5" s="55"/>
    </row>
    <row r="6" spans="2:12" ht="12.75">
      <c r="B6" s="27" t="str">
        <f>IF(C644&lt;&gt;"Error",C644,"")</f>
        <v>X_OPR_COS</v>
      </c>
      <c r="C6" s="45" t="str">
        <f>"Rpt ID: "&amp;C639&amp;"      Layout: "&amp;C640</f>
        <v>Rpt ID: GLR2200V      Layout: GLR2200V</v>
      </c>
      <c r="D6" s="19"/>
      <c r="E6" s="19"/>
      <c r="F6" s="8" t="s">
        <v>258</v>
      </c>
      <c r="G6" s="19"/>
      <c r="H6" s="51" t="s">
        <v>82</v>
      </c>
      <c r="I6" s="224"/>
      <c r="J6" s="225"/>
      <c r="K6" s="178" t="s">
        <v>256</v>
      </c>
      <c r="L6" s="51" t="s">
        <v>82</v>
      </c>
    </row>
    <row r="7" spans="1:13" s="13" customFormat="1" ht="13.5" thickBot="1">
      <c r="A7" s="11"/>
      <c r="B7" s="21" t="str">
        <f>IF(C641="Error",""&amp;C647,IF(C647="Error",""&amp;C643,""&amp;C647))</f>
        <v>KYP_CORP_CONSOL</v>
      </c>
      <c r="C7" s="9" t="str">
        <f>IF($C$641="Error",NvsTreeASD&amp;" Acct: PRPT_ACCOUNT      BU: "&amp;+$C$648,IF(C647="Error",NvsTreeASD&amp;" Acct: PRPT_ACCOUNT     BU: "&amp;+$C$643,NvsTreeASD&amp;"  Acct: PRPT_ACCOUNT    BU: "&amp;+$C$647))</f>
        <v>V2099-01-01 Acct: PRPT_ACCOUNT      BU: GL_PRPT_CONS</v>
      </c>
      <c r="D7" s="5"/>
      <c r="E7" s="5"/>
      <c r="F7" s="29" t="str">
        <f>TEXT($C$631,"YYYY")</f>
        <v>2010</v>
      </c>
      <c r="G7" s="10">
        <f>+F7-1</f>
        <v>2009</v>
      </c>
      <c r="H7" s="24" t="s">
        <v>65</v>
      </c>
      <c r="I7" s="55" t="s">
        <v>66</v>
      </c>
      <c r="J7" s="24"/>
      <c r="K7" s="179" t="s">
        <v>257</v>
      </c>
      <c r="L7" s="24" t="s">
        <v>65</v>
      </c>
      <c r="M7" s="55" t="s">
        <v>66</v>
      </c>
    </row>
    <row r="8" spans="1:13" s="13" customFormat="1" ht="13.5" thickTop="1">
      <c r="A8" s="11"/>
      <c r="B8" s="57"/>
      <c r="C8" s="58"/>
      <c r="D8" s="59"/>
      <c r="E8" s="59"/>
      <c r="F8" s="60"/>
      <c r="G8" s="61"/>
      <c r="H8" s="62"/>
      <c r="I8" s="165"/>
      <c r="J8" s="229"/>
      <c r="K8" s="180"/>
      <c r="L8" s="62"/>
      <c r="M8" s="165"/>
    </row>
    <row r="9" spans="3:13" s="64" customFormat="1" ht="12.75">
      <c r="C9" s="63" t="s">
        <v>88</v>
      </c>
      <c r="D9" s="65"/>
      <c r="E9" s="65"/>
      <c r="F9" s="137"/>
      <c r="G9" s="137"/>
      <c r="H9" s="138"/>
      <c r="I9" s="66"/>
      <c r="J9" s="209"/>
      <c r="K9" s="181"/>
      <c r="L9" s="138"/>
      <c r="M9" s="66"/>
    </row>
    <row r="10" spans="3:12" ht="8.25" customHeight="1" hidden="1" outlineLevel="1">
      <c r="C10" s="12"/>
      <c r="D10" s="30"/>
      <c r="E10" s="30"/>
      <c r="F10" s="139"/>
      <c r="G10" s="139"/>
      <c r="H10" s="140"/>
      <c r="J10" s="210"/>
      <c r="K10" s="182"/>
      <c r="L10" s="140"/>
    </row>
    <row r="11" spans="1:13" s="15" customFormat="1" ht="12.75" hidden="1" outlineLevel="2">
      <c r="A11" s="15" t="s">
        <v>376</v>
      </c>
      <c r="B11" s="15" t="s">
        <v>377</v>
      </c>
      <c r="C11" s="164" t="s">
        <v>378</v>
      </c>
      <c r="D11" s="16"/>
      <c r="E11" s="16"/>
      <c r="F11" s="16">
        <v>1594167587.18</v>
      </c>
      <c r="G11" s="16">
        <v>1513098794.29</v>
      </c>
      <c r="H11" s="16">
        <f>+F11-G11</f>
        <v>81068792.8900001</v>
      </c>
      <c r="I11" s="54">
        <f>IF(G11&lt;0,IF(H11=0,0,IF(OR(G11=0,F11=0),"N.M.",IF(ABS(H11/G11)&gt;=10,"N.M.",H11/(-G11)))),IF(H11=0,0,IF(OR(G11=0,F11=0),"N.M.",IF(ABS(H11/G11)&gt;=10,"N.M.",H11/G11))))</f>
        <v>0.05357799054227684</v>
      </c>
      <c r="J11" s="226"/>
      <c r="K11" s="295">
        <v>1536588920.96</v>
      </c>
      <c r="L11" s="16">
        <f>+F11-K11</f>
        <v>57578666.22000003</v>
      </c>
      <c r="M11" s="54">
        <f>IF(K11&lt;0,IF(L11=0,0,IF(OR(K11=0,F11=0),"N.M.",IF(ABS(L11/K11)&gt;=10,"N.M.",L11/(-K11)))),IF(L11=0,0,IF(OR(K11=0,F11=0),"N.M.",IF(ABS(L11/K11)&gt;=10,"N.M.",L11/K11))))</f>
        <v>0.03747174370099399</v>
      </c>
    </row>
    <row r="12" spans="1:13" s="15" customFormat="1" ht="12.75" hidden="1" outlineLevel="2">
      <c r="A12" s="15" t="s">
        <v>379</v>
      </c>
      <c r="B12" s="15" t="s">
        <v>380</v>
      </c>
      <c r="C12" s="164" t="s">
        <v>381</v>
      </c>
      <c r="D12" s="16"/>
      <c r="E12" s="16"/>
      <c r="F12" s="16">
        <v>6751038.05</v>
      </c>
      <c r="G12" s="16">
        <v>3843709.11</v>
      </c>
      <c r="H12" s="16">
        <f>+F12-G12</f>
        <v>2907328.94</v>
      </c>
      <c r="I12" s="54">
        <f>IF(G12&lt;0,IF(H12=0,0,IF(OR(G12=0,F12=0),"N.M.",IF(ABS(H12/G12)&gt;=10,"N.M.",H12/(-G12)))),IF(H12=0,0,IF(OR(G12=0,F12=0),"N.M.",IF(ABS(H12/G12)&gt;=10,"N.M.",H12/G12))))</f>
        <v>0.7563863072874419</v>
      </c>
      <c r="J12" s="226"/>
      <c r="K12" s="295">
        <v>3378616.12</v>
      </c>
      <c r="L12" s="16">
        <f>+F12-K12</f>
        <v>3372421.9299999997</v>
      </c>
      <c r="M12" s="54">
        <f>IF(K12&lt;0,IF(L12=0,0,IF(OR(K12=0,F12=0),"N.M.",IF(ABS(L12/K12)&gt;=10,"N.M.",L12/(-K12)))),IF(L12=0,0,IF(OR(K12=0,F12=0),"N.M.",IF(ABS(L12/K12)&gt;=10,"N.M.",L12/K12))))</f>
        <v>0.9981666487757123</v>
      </c>
    </row>
    <row r="13" spans="1:13" s="15" customFormat="1" ht="12.75" hidden="1" outlineLevel="2">
      <c r="A13" s="15" t="s">
        <v>382</v>
      </c>
      <c r="B13" s="15" t="s">
        <v>383</v>
      </c>
      <c r="C13" s="164" t="s">
        <v>384</v>
      </c>
      <c r="D13" s="16"/>
      <c r="E13" s="16"/>
      <c r="F13" s="16">
        <v>7436550.73</v>
      </c>
      <c r="G13" s="16">
        <v>6808947</v>
      </c>
      <c r="H13" s="16">
        <f>+F13-G13</f>
        <v>627603.7300000004</v>
      </c>
      <c r="I13" s="54">
        <f>IF(G13&lt;0,IF(H13=0,0,IF(OR(G13=0,F13=0),"N.M.",IF(ABS(H13/G13)&gt;=10,"N.M.",H13/(-G13)))),IF(H13=0,0,IF(OR(G13=0,F13=0),"N.M.",IF(ABS(H13/G13)&gt;=10,"N.M.",H13/G13))))</f>
        <v>0.09217339039355138</v>
      </c>
      <c r="J13" s="226"/>
      <c r="K13" s="295">
        <v>7436550.73</v>
      </c>
      <c r="L13" s="16">
        <f>+F13-K13</f>
        <v>0</v>
      </c>
      <c r="M13" s="54">
        <f>IF(K13&lt;0,IF(L13=0,0,IF(OR(K13=0,F13=0),"N.M.",IF(ABS(L13/K13)&gt;=10,"N.M.",L13/(-K13)))),IF(L13=0,0,IF(OR(K13=0,F13=0),"N.M.",IF(ABS(L13/K13)&gt;=10,"N.M.",L13/K13))))</f>
        <v>0</v>
      </c>
    </row>
    <row r="14" spans="1:13" s="15" customFormat="1" ht="12.75" hidden="1" outlineLevel="2">
      <c r="A14" s="15" t="s">
        <v>385</v>
      </c>
      <c r="B14" s="15" t="s">
        <v>386</v>
      </c>
      <c r="C14" s="164" t="s">
        <v>387</v>
      </c>
      <c r="D14" s="16"/>
      <c r="E14" s="16"/>
      <c r="F14" s="16">
        <v>27831277.01</v>
      </c>
      <c r="G14" s="16">
        <v>66582212.02</v>
      </c>
      <c r="H14" s="16">
        <f>+F14-G14</f>
        <v>-38750935.010000005</v>
      </c>
      <c r="I14" s="54">
        <f>IF(G14&lt;0,IF(H14=0,0,IF(OR(G14=0,F14=0),"N.M.",IF(ABS(H14/G14)&gt;=10,"N.M.",H14/(-G14)))),IF(H14=0,0,IF(OR(G14=0,F14=0),"N.M.",IF(ABS(H14/G14)&gt;=10,"N.M.",H14/G14))))</f>
        <v>-0.5820013158823858</v>
      </c>
      <c r="J14" s="226"/>
      <c r="K14" s="295">
        <v>61640980.6</v>
      </c>
      <c r="L14" s="16">
        <f>+F14-K14</f>
        <v>-33809703.59</v>
      </c>
      <c r="M14" s="54">
        <f>IF(K14&lt;0,IF(L14=0,0,IF(OR(K14=0,F14=0),"N.M.",IF(ABS(L14/K14)&gt;=10,"N.M.",L14/(-K14)))),IF(L14=0,0,IF(OR(K14=0,F14=0),"N.M.",IF(ABS(L14/K14)&gt;=10,"N.M.",L14/K14))))</f>
        <v>-0.5484939282422773</v>
      </c>
    </row>
    <row r="15" spans="1:13" s="68" customFormat="1" ht="12.75" collapsed="1">
      <c r="A15" s="68" t="s">
        <v>180</v>
      </c>
      <c r="B15" s="69"/>
      <c r="C15" s="82" t="s">
        <v>91</v>
      </c>
      <c r="D15" s="67"/>
      <c r="E15" s="67"/>
      <c r="F15" s="141">
        <v>1636186452.97</v>
      </c>
      <c r="G15" s="141">
        <v>1590333662.4199998</v>
      </c>
      <c r="H15" s="141">
        <f>+F15-G15</f>
        <v>45852790.55000019</v>
      </c>
      <c r="I15" s="166">
        <f>IF(G15&lt;0,IF(H15=0,0,IF(OR(G15=0,F15=0),"N.M.",IF(ABS(H15/G15)&gt;=10,"N.M.",H15/(-G15)))),IF(H15=0,0,IF(OR(G15=0,F15=0),"N.M.",IF(ABS(H15/G15)&gt;=10,"N.M.",H15/G15))))</f>
        <v>0.028832182600113183</v>
      </c>
      <c r="J15" s="208"/>
      <c r="K15" s="183">
        <v>1609045068.4099998</v>
      </c>
      <c r="L15" s="141">
        <f>+F15-K15</f>
        <v>27141384.56000018</v>
      </c>
      <c r="M15" s="166">
        <f>IF(K15&lt;0,IF(L15=0,0,IF(OR(K15=0,F15=0),"N.M.",IF(ABS(L15/K15)&gt;=10,"N.M.",L15/(-K15)))),IF(L15=0,0,IF(OR(K15=0,F15=0),"N.M.",IF(ABS(L15/K15)&gt;=10,"N.M.",L15/K15))))</f>
        <v>0.016868007672911436</v>
      </c>
    </row>
    <row r="16" spans="2:13" s="68" customFormat="1" ht="0.75" customHeight="1" hidden="1" outlineLevel="1">
      <c r="B16" s="69"/>
      <c r="C16" s="82"/>
      <c r="D16" s="67"/>
      <c r="E16" s="67"/>
      <c r="F16" s="141"/>
      <c r="G16" s="141"/>
      <c r="H16" s="141"/>
      <c r="I16" s="166"/>
      <c r="J16" s="208"/>
      <c r="K16" s="183"/>
      <c r="L16" s="141"/>
      <c r="M16" s="166"/>
    </row>
    <row r="17" spans="1:13" s="15" customFormat="1" ht="12.75" hidden="1" outlineLevel="2">
      <c r="A17" s="15" t="s">
        <v>388</v>
      </c>
      <c r="B17" s="15" t="s">
        <v>389</v>
      </c>
      <c r="C17" s="164" t="s">
        <v>390</v>
      </c>
      <c r="D17" s="16"/>
      <c r="E17" s="16"/>
      <c r="F17" s="16">
        <v>2789.66</v>
      </c>
      <c r="G17" s="16">
        <v>22994.72</v>
      </c>
      <c r="H17" s="16">
        <f>+F17-G17</f>
        <v>-20205.06</v>
      </c>
      <c r="I17" s="54">
        <f>IF(G17&lt;0,IF(H17=0,0,IF(OR(G17=0,F17=0),"N.M.",IF(ABS(H17/G17)&gt;=10,"N.M.",H17/(-G17)))),IF(H17=0,0,IF(OR(G17=0,F17=0),"N.M.",IF(ABS(H17/G17)&gt;=10,"N.M.",H17/G17))))</f>
        <v>-0.8786825845237516</v>
      </c>
      <c r="J17" s="226"/>
      <c r="K17" s="295">
        <v>1513.6000000000001</v>
      </c>
      <c r="L17" s="16">
        <f>+F17-K17</f>
        <v>1276.0599999999997</v>
      </c>
      <c r="M17" s="54">
        <f>IF(K17&lt;0,IF(L17=0,0,IF(OR(K17=0,F17=0),"N.M.",IF(ABS(L17/K17)&gt;=10,"N.M.",L17/(-K17)))),IF(L17=0,0,IF(OR(K17=0,F17=0),"N.M.",IF(ABS(L17/K17)&gt;=10,"N.M.",L17/K17))))</f>
        <v>0.8430628964059194</v>
      </c>
    </row>
    <row r="18" spans="1:13" s="68" customFormat="1" ht="12.75" collapsed="1">
      <c r="A18" s="68" t="s">
        <v>181</v>
      </c>
      <c r="B18" s="69"/>
      <c r="C18" s="82" t="s">
        <v>90</v>
      </c>
      <c r="D18" s="67"/>
      <c r="E18" s="67"/>
      <c r="F18" s="141">
        <v>2789.66</v>
      </c>
      <c r="G18" s="141">
        <v>22994.72</v>
      </c>
      <c r="H18" s="141">
        <f>+F18-G18</f>
        <v>-20205.06</v>
      </c>
      <c r="I18" s="166">
        <f>IF(G18&lt;0,IF(H18=0,0,IF(OR(G18=0,F18=0),"N.M.",IF(ABS(H18/G18)&gt;=10,"N.M.",H18/(-G18)))),IF(H18=0,0,IF(OR(G18=0,F18=0),"N.M.",IF(ABS(H18/G18)&gt;=10,"N.M.",H18/G18))))</f>
        <v>-0.8786825845237516</v>
      </c>
      <c r="J18" s="208"/>
      <c r="K18" s="183">
        <v>1513.6000000000001</v>
      </c>
      <c r="L18" s="141">
        <f>+F18-K18</f>
        <v>1276.0599999999997</v>
      </c>
      <c r="M18" s="166">
        <f>IF(K18&lt;0,IF(L18=0,0,IF(OR(K18=0,F18=0),"N.M.",IF(ABS(L18/K18)&gt;=10,"N.M.",L18/(-K18)))),IF(L18=0,0,IF(OR(K18=0,F18=0),"N.M.",IF(ABS(L18/K18)&gt;=10,"N.M.",L18/K18))))</f>
        <v>0.8430628964059194</v>
      </c>
    </row>
    <row r="19" spans="2:13" s="68" customFormat="1" ht="0.75" customHeight="1" hidden="1" outlineLevel="1">
      <c r="B19" s="69"/>
      <c r="C19" s="82"/>
      <c r="D19" s="67"/>
      <c r="E19" s="67"/>
      <c r="F19" s="141"/>
      <c r="G19" s="141"/>
      <c r="H19" s="141"/>
      <c r="I19" s="166"/>
      <c r="J19" s="208"/>
      <c r="K19" s="183"/>
      <c r="L19" s="141"/>
      <c r="M19" s="166"/>
    </row>
    <row r="20" spans="1:13" s="15" customFormat="1" ht="12.75" hidden="1" outlineLevel="2">
      <c r="A20" s="15" t="s">
        <v>391</v>
      </c>
      <c r="B20" s="15" t="s">
        <v>392</v>
      </c>
      <c r="C20" s="164" t="s">
        <v>393</v>
      </c>
      <c r="D20" s="16"/>
      <c r="E20" s="16"/>
      <c r="F20" s="16">
        <v>19251521.918</v>
      </c>
      <c r="G20" s="16">
        <v>32094530.258</v>
      </c>
      <c r="H20" s="16">
        <f>+F20-G20</f>
        <v>-12843008.34</v>
      </c>
      <c r="I20" s="54">
        <f>IF(G20&lt;0,IF(H20=0,0,IF(OR(G20=0,F20=0),"N.M.",IF(ABS(H20/G20)&gt;=10,"N.M.",H20/(-G20)))),IF(H20=0,0,IF(OR(G20=0,F20=0),"N.M.",IF(ABS(H20/G20)&gt;=10,"N.M.",H20/G20))))</f>
        <v>-0.40016190412379393</v>
      </c>
      <c r="J20" s="226"/>
      <c r="K20" s="295">
        <v>28408870.427</v>
      </c>
      <c r="L20" s="16">
        <f>+F20-K20</f>
        <v>-9157348.509</v>
      </c>
      <c r="M20" s="54">
        <f>IF(K20&lt;0,IF(L20=0,0,IF(OR(K20=0,F20=0),"N.M.",IF(ABS(L20/K20)&gt;=10,"N.M.",L20/(-K20)))),IF(L20=0,0,IF(OR(K20=0,F20=0),"N.M.",IF(ABS(L20/K20)&gt;=10,"N.M.",L20/K20))))</f>
        <v>-0.32234116919681494</v>
      </c>
    </row>
    <row r="21" spans="1:13" s="68" customFormat="1" ht="12.75" collapsed="1">
      <c r="A21" s="68" t="s">
        <v>182</v>
      </c>
      <c r="B21" s="69"/>
      <c r="C21" s="82" t="s">
        <v>89</v>
      </c>
      <c r="D21" s="67"/>
      <c r="E21" s="67"/>
      <c r="F21" s="141">
        <v>19251521.918</v>
      </c>
      <c r="G21" s="141">
        <v>32094530.258</v>
      </c>
      <c r="H21" s="141">
        <f>+F21-G21</f>
        <v>-12843008.34</v>
      </c>
      <c r="I21" s="166">
        <f>IF(G21&lt;0,IF(H21=0,0,IF(OR(G21=0,F21=0),"N.M.",IF(ABS(H21/G21)&gt;=10,"N.M.",H21/(-G21)))),IF(H21=0,0,IF(OR(G21=0,F21=0),"N.M.",IF(ABS(H21/G21)&gt;=10,"N.M.",H21/G21))))</f>
        <v>-0.40016190412379393</v>
      </c>
      <c r="J21" s="208"/>
      <c r="K21" s="183">
        <v>28408870.427</v>
      </c>
      <c r="L21" s="141">
        <f>+F21-K21</f>
        <v>-9157348.509</v>
      </c>
      <c r="M21" s="166">
        <f>IF(K21&lt;0,IF(L21=0,0,IF(OR(K21=0,F21=0),"N.M.",IF(ABS(L21/K21)&gt;=10,"N.M.",L21/(-K21)))),IF(L21=0,0,IF(OR(K21=0,F21=0),"N.M.",IF(ABS(L21/K21)&gt;=10,"N.M.",L21/K21))))</f>
        <v>-0.32234116919681494</v>
      </c>
    </row>
    <row r="22" spans="1:13" s="76" customFormat="1" ht="12.75">
      <c r="A22" s="76" t="s">
        <v>122</v>
      </c>
      <c r="B22" s="95"/>
      <c r="C22" s="76" t="s">
        <v>92</v>
      </c>
      <c r="D22" s="74"/>
      <c r="E22" s="74"/>
      <c r="F22" s="143">
        <f>+F21+F18+F15</f>
        <v>1655440764.548</v>
      </c>
      <c r="G22" s="143">
        <f>+G21+G18+G15</f>
        <v>1622451187.3979998</v>
      </c>
      <c r="H22" s="143">
        <f>+F22-G22</f>
        <v>32989577.150000334</v>
      </c>
      <c r="I22" s="167">
        <f>IF(G22&lt;0,IF(H22=0,0,IF(OR(G22=0,F22=0),"N.M.",IF(ABS(H22/G22)&gt;=10,"N.M.",H22/(-G22)))),IF(H22=0,0,IF(OR(G22=0,F22=0),"N.M.",IF(ABS(H22/G22)&gt;=10,"N.M.",H22/G22))))</f>
        <v>0.02033317082587073</v>
      </c>
      <c r="J22" s="211" t="s">
        <v>83</v>
      </c>
      <c r="K22" s="184">
        <f>+K21+K18+K15</f>
        <v>1637455452.4369998</v>
      </c>
      <c r="L22" s="143">
        <f>+F22-K22</f>
        <v>17985312.1110003</v>
      </c>
      <c r="M22" s="167">
        <f>IF(K22&lt;0,IF(L22=0,0,IF(OR(K22=0,F22=0),"N.M.",IF(ABS(L22/K22)&gt;=10,"N.M.",L22/(-K22)))),IF(L22=0,0,IF(OR(K22=0,F22=0),"N.M.",IF(ABS(L22/K22)&gt;=10,"N.M.",L22/K22))))</f>
        <v>0.010983695516255441</v>
      </c>
    </row>
    <row r="23" spans="1:13" s="68" customFormat="1" ht="0.75" customHeight="1" hidden="1" outlineLevel="1">
      <c r="A23" s="72"/>
      <c r="B23" s="73"/>
      <c r="C23" s="72"/>
      <c r="D23" s="67"/>
      <c r="E23" s="67"/>
      <c r="F23" s="141"/>
      <c r="G23" s="141"/>
      <c r="H23" s="141"/>
      <c r="I23" s="166"/>
      <c r="J23" s="208"/>
      <c r="K23" s="183"/>
      <c r="L23" s="141"/>
      <c r="M23" s="166"/>
    </row>
    <row r="24" spans="1:13" s="15" customFormat="1" ht="12.75" hidden="1" outlineLevel="2">
      <c r="A24" s="15" t="s">
        <v>394</v>
      </c>
      <c r="B24" s="15" t="s">
        <v>395</v>
      </c>
      <c r="C24" s="164" t="s">
        <v>396</v>
      </c>
      <c r="D24" s="16"/>
      <c r="E24" s="16"/>
      <c r="F24" s="16">
        <v>-1836550.6400000001</v>
      </c>
      <c r="G24" s="16">
        <v>-1831994.22</v>
      </c>
      <c r="H24" s="16">
        <f aca="true" t="shared" si="0" ref="H24:H29">+F24-G24</f>
        <v>-4556.420000000158</v>
      </c>
      <c r="I24" s="54">
        <f aca="true" t="shared" si="1" ref="I24:I29">IF(G24&lt;0,IF(H24=0,0,IF(OR(G24=0,F24=0),"N.M.",IF(ABS(H24/G24)&gt;=10,"N.M.",H24/(-G24)))),IF(H24=0,0,IF(OR(G24=0,F24=0),"N.M.",IF(ABS(H24/G24)&gt;=10,"N.M.",H24/G24))))</f>
        <v>-0.0024871366679312767</v>
      </c>
      <c r="J24" s="226"/>
      <c r="K24" s="295">
        <v>-1627324.8900000001</v>
      </c>
      <c r="L24" s="16">
        <f aca="true" t="shared" si="2" ref="L24:L29">+F24-K24</f>
        <v>-209225.75</v>
      </c>
      <c r="M24" s="54">
        <f aca="true" t="shared" si="3" ref="M24:M29">IF(K24&lt;0,IF(L24=0,0,IF(OR(K24=0,F24=0),"N.M.",IF(ABS(L24/K24)&gt;=10,"N.M.",L24/(-K24)))),IF(L24=0,0,IF(OR(K24=0,F24=0),"N.M.",IF(ABS(L24/K24)&gt;=10,"N.M.",L24/K24))))</f>
        <v>-0.1285703618777686</v>
      </c>
    </row>
    <row r="25" spans="1:13" s="15" customFormat="1" ht="12.75" hidden="1" outlineLevel="2">
      <c r="A25" s="15" t="s">
        <v>397</v>
      </c>
      <c r="B25" s="15" t="s">
        <v>398</v>
      </c>
      <c r="C25" s="164" t="s">
        <v>399</v>
      </c>
      <c r="D25" s="16"/>
      <c r="E25" s="16"/>
      <c r="F25" s="16">
        <v>-508507797.438</v>
      </c>
      <c r="G25" s="16">
        <v>-482146112.178</v>
      </c>
      <c r="H25" s="16">
        <f t="shared" si="0"/>
        <v>-26361685.26000005</v>
      </c>
      <c r="I25" s="54">
        <f t="shared" si="1"/>
        <v>-0.05467571882082868</v>
      </c>
      <c r="J25" s="226"/>
      <c r="K25" s="295">
        <v>-493467052.468</v>
      </c>
      <c r="L25" s="16">
        <f t="shared" si="2"/>
        <v>-15040744.970000029</v>
      </c>
      <c r="M25" s="54">
        <f t="shared" si="3"/>
        <v>-0.030479734958546965</v>
      </c>
    </row>
    <row r="26" spans="1:13" s="15" customFormat="1" ht="12.75" hidden="1" outlineLevel="2">
      <c r="A26" s="15" t="s">
        <v>400</v>
      </c>
      <c r="B26" s="15" t="s">
        <v>401</v>
      </c>
      <c r="C26" s="164" t="s">
        <v>402</v>
      </c>
      <c r="D26" s="16"/>
      <c r="E26" s="16"/>
      <c r="F26" s="16">
        <v>652965.551</v>
      </c>
      <c r="G26" s="16">
        <v>4341757.435</v>
      </c>
      <c r="H26" s="16">
        <f t="shared" si="0"/>
        <v>-3688791.8839999996</v>
      </c>
      <c r="I26" s="54">
        <f t="shared" si="1"/>
        <v>-0.8496080076385013</v>
      </c>
      <c r="J26" s="226"/>
      <c r="K26" s="295">
        <v>3767366.255</v>
      </c>
      <c r="L26" s="16">
        <f t="shared" si="2"/>
        <v>-3114400.704</v>
      </c>
      <c r="M26" s="54">
        <f t="shared" si="3"/>
        <v>-0.8266785051404565</v>
      </c>
    </row>
    <row r="27" spans="1:13" s="15" customFormat="1" ht="12.75" hidden="1" outlineLevel="2">
      <c r="A27" s="15" t="s">
        <v>403</v>
      </c>
      <c r="B27" s="15" t="s">
        <v>404</v>
      </c>
      <c r="C27" s="164" t="s">
        <v>405</v>
      </c>
      <c r="D27" s="16"/>
      <c r="E27" s="16"/>
      <c r="F27" s="16">
        <v>-28235278.44</v>
      </c>
      <c r="G27" s="16">
        <v>-24545150.36</v>
      </c>
      <c r="H27" s="16">
        <f t="shared" si="0"/>
        <v>-3690128.080000002</v>
      </c>
      <c r="I27" s="54">
        <f t="shared" si="1"/>
        <v>-0.15034041453718772</v>
      </c>
      <c r="J27" s="226"/>
      <c r="K27" s="295">
        <v>-26544599.6</v>
      </c>
      <c r="L27" s="16">
        <f t="shared" si="2"/>
        <v>-1690678.8399999999</v>
      </c>
      <c r="M27" s="54">
        <f t="shared" si="3"/>
        <v>-0.06369200762026185</v>
      </c>
    </row>
    <row r="28" spans="1:13" s="15" customFormat="1" ht="12.75" hidden="1" outlineLevel="2">
      <c r="A28" s="15" t="s">
        <v>406</v>
      </c>
      <c r="B28" s="15" t="s">
        <v>407</v>
      </c>
      <c r="C28" s="164" t="s">
        <v>408</v>
      </c>
      <c r="D28" s="16"/>
      <c r="E28" s="16"/>
      <c r="F28" s="16">
        <v>1841896.98</v>
      </c>
      <c r="G28" s="16">
        <v>1364935.95</v>
      </c>
      <c r="H28" s="16">
        <f t="shared" si="0"/>
        <v>476961.03</v>
      </c>
      <c r="I28" s="54">
        <f t="shared" si="1"/>
        <v>0.34943839672476945</v>
      </c>
      <c r="J28" s="226"/>
      <c r="K28" s="295">
        <v>1565334.08</v>
      </c>
      <c r="L28" s="16">
        <f t="shared" si="2"/>
        <v>276562.8999999999</v>
      </c>
      <c r="M28" s="54">
        <f t="shared" si="3"/>
        <v>0.17667979221406838</v>
      </c>
    </row>
    <row r="29" spans="1:13" s="15" customFormat="1" ht="12.75" hidden="1" outlineLevel="2">
      <c r="A29" s="15" t="s">
        <v>409</v>
      </c>
      <c r="B29" s="15" t="s">
        <v>410</v>
      </c>
      <c r="C29" s="164" t="s">
        <v>411</v>
      </c>
      <c r="D29" s="16"/>
      <c r="E29" s="16"/>
      <c r="F29" s="16">
        <v>-19440076.19</v>
      </c>
      <c r="G29" s="16">
        <v>-20127777.6</v>
      </c>
      <c r="H29" s="16">
        <f t="shared" si="0"/>
        <v>687701.4100000001</v>
      </c>
      <c r="I29" s="54">
        <f t="shared" si="1"/>
        <v>0.03416678302327824</v>
      </c>
      <c r="J29" s="226"/>
      <c r="K29" s="295">
        <v>-17291094.09</v>
      </c>
      <c r="L29" s="16">
        <f t="shared" si="2"/>
        <v>-2148982.1000000015</v>
      </c>
      <c r="M29" s="54">
        <f t="shared" si="3"/>
        <v>-0.12428259824477085</v>
      </c>
    </row>
    <row r="30" spans="1:13" s="68" customFormat="1" ht="12.75" collapsed="1">
      <c r="A30" s="68" t="s">
        <v>179</v>
      </c>
      <c r="B30" s="69"/>
      <c r="C30" s="86" t="s">
        <v>93</v>
      </c>
      <c r="D30" s="67"/>
      <c r="E30" s="67"/>
      <c r="F30" s="142">
        <v>-555524840.177</v>
      </c>
      <c r="G30" s="142">
        <v>-522944340.97300005</v>
      </c>
      <c r="H30" s="142">
        <f>+F30-G30</f>
        <v>-32580499.203999996</v>
      </c>
      <c r="I30" s="168">
        <f>IF(G30&lt;0,IF(H30=0,0,IF(OR(G30=0,F30=0),"N.M.",IF(ABS(H30/G30)&gt;=10,"N.M.",H30/(-G30)))),IF(H30=0,0,IF(OR(G30=0,F30=0),"N.M.",IF(ABS(H30/G30)&gt;=10,"N.M.",H30/G30))))</f>
        <v>-0.06230203991380824</v>
      </c>
      <c r="J30" s="208"/>
      <c r="K30" s="185">
        <v>-533597370.713</v>
      </c>
      <c r="L30" s="142">
        <f>+F30-K30</f>
        <v>-21927469.464000046</v>
      </c>
      <c r="M30" s="168">
        <f>IF(K30&lt;0,IF(L30=0,0,IF(OR(K30=0,F30=0),"N.M.",IF(ABS(L30/K30)&gt;=10,"N.M.",L30/(-K30)))),IF(L30=0,0,IF(OR(K30=0,F30=0),"N.M.",IF(ABS(L30/K30)&gt;=10,"N.M.",L30/K30))))</f>
        <v>-0.04109366100267748</v>
      </c>
    </row>
    <row r="31" spans="1:13" s="68" customFormat="1" ht="12.75">
      <c r="A31" s="72" t="s">
        <v>123</v>
      </c>
      <c r="B31" s="73"/>
      <c r="C31" s="72" t="s">
        <v>84</v>
      </c>
      <c r="D31" s="67"/>
      <c r="E31" s="67"/>
      <c r="F31" s="143">
        <f>+F22+F30</f>
        <v>1099915924.371</v>
      </c>
      <c r="G31" s="143">
        <f>+G22+G30</f>
        <v>1099506846.4249997</v>
      </c>
      <c r="H31" s="143">
        <f>+F31-G31</f>
        <v>409077.9460003376</v>
      </c>
      <c r="I31" s="167">
        <f>IF(G31&lt;0,IF(H31=0,0,IF(OR(G31=0,F31=0),"N.M.",IF(ABS(H31/G31)&gt;=10,"N.M.",H31/(-G31)))),IF(H31=0,0,IF(OR(G31=0,F31=0),"N.M.",IF(ABS(H31/G31)&gt;=10,"N.M.",H31/G31))))</f>
        <v>0.0003720558424264818</v>
      </c>
      <c r="J31" s="208"/>
      <c r="K31" s="184">
        <f>+K22+K30</f>
        <v>1103858081.7239997</v>
      </c>
      <c r="L31" s="143">
        <f>+F31-K31</f>
        <v>-3942157.352999687</v>
      </c>
      <c r="M31" s="167">
        <f>IF(K31&lt;0,IF(L31=0,0,IF(OR(K31=0,F31=0),"N.M.",IF(ABS(L31/K31)&gt;=10,"N.M.",L31/(-K31)))),IF(L31=0,0,IF(OR(K31=0,F31=0),"N.M.",IF(ABS(L31/K31)&gt;=10,"N.M.",L31/K31))))</f>
        <v>-0.0035712537854892057</v>
      </c>
    </row>
    <row r="32" spans="1:13" s="68" customFormat="1" ht="7.5" customHeight="1">
      <c r="A32" s="72"/>
      <c r="B32" s="73"/>
      <c r="C32" s="72"/>
      <c r="D32" s="67"/>
      <c r="E32" s="67"/>
      <c r="F32" s="141"/>
      <c r="G32" s="141"/>
      <c r="H32" s="141"/>
      <c r="I32" s="166"/>
      <c r="J32" s="208"/>
      <c r="K32" s="183"/>
      <c r="L32" s="141"/>
      <c r="M32" s="166"/>
    </row>
    <row r="33" spans="1:13" s="68" customFormat="1" ht="1.5" customHeight="1" outlineLevel="1">
      <c r="A33" s="72"/>
      <c r="B33" s="73"/>
      <c r="C33" s="72"/>
      <c r="D33" s="67"/>
      <c r="E33" s="67"/>
      <c r="F33" s="141"/>
      <c r="G33" s="141"/>
      <c r="H33" s="141"/>
      <c r="I33" s="166"/>
      <c r="J33" s="208"/>
      <c r="K33" s="183"/>
      <c r="L33" s="141"/>
      <c r="M33" s="166"/>
    </row>
    <row r="34" spans="1:13" s="15" customFormat="1" ht="12.75" hidden="1" outlineLevel="2">
      <c r="A34" s="15" t="s">
        <v>412</v>
      </c>
      <c r="B34" s="15" t="s">
        <v>413</v>
      </c>
      <c r="C34" s="164" t="s">
        <v>414</v>
      </c>
      <c r="D34" s="16"/>
      <c r="E34" s="16"/>
      <c r="F34" s="16">
        <v>964528</v>
      </c>
      <c r="G34" s="16">
        <v>957608</v>
      </c>
      <c r="H34" s="16">
        <f aca="true" t="shared" si="4" ref="H34:H41">+F34-G34</f>
        <v>6920</v>
      </c>
      <c r="I34" s="54">
        <f aca="true" t="shared" si="5" ref="I34:I41">IF(G34&lt;0,IF(H34=0,0,IF(OR(G34=0,F34=0),"N.M.",IF(ABS(H34/G34)&gt;=10,"N.M.",H34/(-G34)))),IF(H34=0,0,IF(OR(G34=0,F34=0),"N.M.",IF(ABS(H34/G34)&gt;=10,"N.M.",H34/G34))))</f>
        <v>0.007226338961245102</v>
      </c>
      <c r="J34" s="226"/>
      <c r="K34" s="295">
        <v>964528</v>
      </c>
      <c r="L34" s="16">
        <f aca="true" t="shared" si="6" ref="L34:L40">+F34-K34</f>
        <v>0</v>
      </c>
      <c r="M34" s="54">
        <f aca="true" t="shared" si="7" ref="M34:M41">IF(K34&lt;0,IF(L34=0,0,IF(OR(K34=0,F34=0),"N.M.",IF(ABS(L34/K34)&gt;=10,"N.M.",L34/(-K34)))),IF(L34=0,0,IF(OR(K34=0,F34=0),"N.M.",IF(ABS(L34/K34)&gt;=10,"N.M.",L34/K34))))</f>
        <v>0</v>
      </c>
    </row>
    <row r="35" spans="1:13" s="68" customFormat="1" ht="12.75" outlineLevel="1" collapsed="1">
      <c r="A35" s="11" t="s">
        <v>172</v>
      </c>
      <c r="B35" s="73"/>
      <c r="C35" s="84" t="s">
        <v>100</v>
      </c>
      <c r="D35" s="67"/>
      <c r="E35" s="67"/>
      <c r="F35" s="141">
        <v>964528</v>
      </c>
      <c r="G35" s="141">
        <v>957608</v>
      </c>
      <c r="H35" s="141">
        <f t="shared" si="4"/>
        <v>6920</v>
      </c>
      <c r="I35" s="166">
        <f t="shared" si="5"/>
        <v>0.007226338961245102</v>
      </c>
      <c r="J35" s="208"/>
      <c r="K35" s="183">
        <v>964528</v>
      </c>
      <c r="L35" s="141">
        <f t="shared" si="6"/>
        <v>0</v>
      </c>
      <c r="M35" s="166">
        <f t="shared" si="7"/>
        <v>0</v>
      </c>
    </row>
    <row r="36" spans="1:13" s="15" customFormat="1" ht="12.75" hidden="1" outlineLevel="2">
      <c r="A36" s="15" t="s">
        <v>415</v>
      </c>
      <c r="B36" s="15" t="s">
        <v>416</v>
      </c>
      <c r="C36" s="164" t="s">
        <v>417</v>
      </c>
      <c r="D36" s="16"/>
      <c r="E36" s="16"/>
      <c r="F36" s="16">
        <v>-192167.54</v>
      </c>
      <c r="G36" s="16">
        <v>-185497.82</v>
      </c>
      <c r="H36" s="16">
        <f t="shared" si="4"/>
        <v>-6669.720000000001</v>
      </c>
      <c r="I36" s="54">
        <f t="shared" si="5"/>
        <v>-0.035955786434579126</v>
      </c>
      <c r="J36" s="226"/>
      <c r="K36" s="295">
        <v>-188276.87</v>
      </c>
      <c r="L36" s="16">
        <f t="shared" si="6"/>
        <v>-3890.670000000013</v>
      </c>
      <c r="M36" s="54">
        <f t="shared" si="7"/>
        <v>-0.02066462014160323</v>
      </c>
    </row>
    <row r="37" spans="1:13" s="15" customFormat="1" ht="12.75" hidden="1" outlineLevel="2">
      <c r="A37" s="15" t="s">
        <v>418</v>
      </c>
      <c r="B37" s="15" t="s">
        <v>419</v>
      </c>
      <c r="C37" s="164" t="s">
        <v>420</v>
      </c>
      <c r="D37" s="16"/>
      <c r="E37" s="16"/>
      <c r="F37" s="16">
        <v>0</v>
      </c>
      <c r="G37" s="16">
        <v>4053.89</v>
      </c>
      <c r="H37" s="16">
        <f t="shared" si="4"/>
        <v>-4053.89</v>
      </c>
      <c r="I37" s="54" t="str">
        <f t="shared" si="5"/>
        <v>N.M.</v>
      </c>
      <c r="J37" s="226"/>
      <c r="K37" s="295">
        <v>0</v>
      </c>
      <c r="L37" s="16">
        <f t="shared" si="6"/>
        <v>0</v>
      </c>
      <c r="M37" s="54">
        <f t="shared" si="7"/>
        <v>0</v>
      </c>
    </row>
    <row r="38" spans="1:13" s="68" customFormat="1" ht="12.75" outlineLevel="1" collapsed="1">
      <c r="A38" s="11" t="s">
        <v>173</v>
      </c>
      <c r="B38" s="73"/>
      <c r="C38" s="84" t="s">
        <v>101</v>
      </c>
      <c r="D38" s="67"/>
      <c r="E38" s="67"/>
      <c r="F38" s="141">
        <v>-192167.54</v>
      </c>
      <c r="G38" s="141">
        <v>-181443.93</v>
      </c>
      <c r="H38" s="141">
        <f t="shared" si="4"/>
        <v>-10723.610000000015</v>
      </c>
      <c r="I38" s="166">
        <f t="shared" si="5"/>
        <v>-0.05910150865890094</v>
      </c>
      <c r="J38" s="208"/>
      <c r="K38" s="183">
        <v>-188276.87</v>
      </c>
      <c r="L38" s="141">
        <f t="shared" si="6"/>
        <v>-3890.670000000013</v>
      </c>
      <c r="M38" s="166">
        <f t="shared" si="7"/>
        <v>-0.02066462014160323</v>
      </c>
    </row>
    <row r="39" spans="1:13" s="15" customFormat="1" ht="12.75" hidden="1" outlineLevel="2">
      <c r="A39" s="15" t="s">
        <v>421</v>
      </c>
      <c r="B39" s="15" t="s">
        <v>422</v>
      </c>
      <c r="C39" s="164" t="s">
        <v>423</v>
      </c>
      <c r="D39" s="16"/>
      <c r="E39" s="16"/>
      <c r="F39" s="16">
        <v>4533569.9</v>
      </c>
      <c r="G39" s="16">
        <v>4533569.9</v>
      </c>
      <c r="H39" s="16">
        <f t="shared" si="4"/>
        <v>0</v>
      </c>
      <c r="I39" s="54">
        <f t="shared" si="5"/>
        <v>0</v>
      </c>
      <c r="J39" s="226"/>
      <c r="K39" s="295">
        <v>4533569.9</v>
      </c>
      <c r="L39" s="16">
        <f t="shared" si="6"/>
        <v>0</v>
      </c>
      <c r="M39" s="54">
        <f t="shared" si="7"/>
        <v>0</v>
      </c>
    </row>
    <row r="40" spans="1:13" s="68" customFormat="1" ht="12.75" outlineLevel="1" collapsed="1">
      <c r="A40" s="11" t="s">
        <v>174</v>
      </c>
      <c r="B40" s="73"/>
      <c r="C40" s="85" t="s">
        <v>102</v>
      </c>
      <c r="D40" s="67"/>
      <c r="E40" s="67"/>
      <c r="F40" s="142">
        <v>4533569.9</v>
      </c>
      <c r="G40" s="142">
        <v>4533569.9</v>
      </c>
      <c r="H40" s="142">
        <f t="shared" si="4"/>
        <v>0</v>
      </c>
      <c r="I40" s="168">
        <f t="shared" si="5"/>
        <v>0</v>
      </c>
      <c r="J40" s="208"/>
      <c r="K40" s="185">
        <v>4533569.9</v>
      </c>
      <c r="L40" s="142">
        <f t="shared" si="6"/>
        <v>0</v>
      </c>
      <c r="M40" s="168">
        <f t="shared" si="7"/>
        <v>0</v>
      </c>
    </row>
    <row r="41" spans="1:13" s="68" customFormat="1" ht="12.75">
      <c r="A41" s="70" t="s">
        <v>249</v>
      </c>
      <c r="B41" s="73"/>
      <c r="C41" s="82" t="s">
        <v>94</v>
      </c>
      <c r="D41" s="67"/>
      <c r="E41" s="67"/>
      <c r="F41" s="141">
        <f>+F35+F38+F40</f>
        <v>5305930.36</v>
      </c>
      <c r="G41" s="141">
        <f>+G35+G38+G40</f>
        <v>5309733.970000001</v>
      </c>
      <c r="H41" s="141">
        <f t="shared" si="4"/>
        <v>-3803.6100000003353</v>
      </c>
      <c r="I41" s="166">
        <f t="shared" si="5"/>
        <v>-0.0007163466232942618</v>
      </c>
      <c r="J41" s="208" t="s">
        <v>83</v>
      </c>
      <c r="K41" s="183">
        <f>+K35+K38+K40</f>
        <v>5309821.03</v>
      </c>
      <c r="L41" s="141">
        <f>+L35+L38+L40</f>
        <v>-3890.670000000013</v>
      </c>
      <c r="M41" s="166">
        <f t="shared" si="7"/>
        <v>-0.0007327309108947524</v>
      </c>
    </row>
    <row r="42" spans="1:13" s="80" customFormat="1" ht="3" customHeight="1" hidden="1" outlineLevel="1">
      <c r="A42" s="87"/>
      <c r="B42" s="79"/>
      <c r="C42" s="81"/>
      <c r="D42" s="78"/>
      <c r="E42" s="78"/>
      <c r="F42" s="144"/>
      <c r="G42" s="144"/>
      <c r="H42" s="144"/>
      <c r="I42" s="169"/>
      <c r="J42" s="212"/>
      <c r="K42" s="186"/>
      <c r="L42" s="144"/>
      <c r="M42" s="169"/>
    </row>
    <row r="43" spans="1:13" s="80" customFormat="1" ht="12.75" hidden="1" outlineLevel="1">
      <c r="A43" s="87" t="s">
        <v>126</v>
      </c>
      <c r="B43" s="79"/>
      <c r="C43" s="81" t="s">
        <v>127</v>
      </c>
      <c r="D43" s="78"/>
      <c r="E43" s="78"/>
      <c r="F43" s="144">
        <v>0</v>
      </c>
      <c r="G43" s="144">
        <v>0</v>
      </c>
      <c r="H43" s="141">
        <f>+F43-G43</f>
        <v>0</v>
      </c>
      <c r="I43" s="166">
        <f>IF(G43&lt;0,IF(H43=0,0,IF(OR(G43=0,F43=0),"N.M.",IF(ABS(H43/G43)&gt;=10,"N.M.",H43/(-G43)))),IF(H43=0,0,IF(OR(G43=0,F43=0),"N.M.",IF(ABS(H43/G43)&gt;=10,"N.M.",H43/G43))))</f>
        <v>0</v>
      </c>
      <c r="J43" s="212"/>
      <c r="K43" s="186">
        <v>0</v>
      </c>
      <c r="L43" s="144">
        <f aca="true" t="shared" si="8" ref="L43:L56">+F43-K43</f>
        <v>0</v>
      </c>
      <c r="M43" s="166">
        <f>IF(K43&lt;0,IF(L43=0,0,IF(OR(K43=0,F43=0),"N.M.",IF(ABS(L43/K43)&gt;=10,"N.M.",L43/(-K43)))),IF(L43=0,0,IF(OR(K43=0,F43=0),"N.M.",IF(ABS(L43/K43)&gt;=10,"N.M.",L43/K43))))</f>
        <v>0</v>
      </c>
    </row>
    <row r="44" spans="1:13" s="80" customFormat="1" ht="12.75" hidden="1" outlineLevel="1">
      <c r="A44" s="87" t="s">
        <v>130</v>
      </c>
      <c r="B44" s="79"/>
      <c r="C44" s="81" t="s">
        <v>128</v>
      </c>
      <c r="D44" s="78"/>
      <c r="E44" s="78"/>
      <c r="F44" s="144">
        <v>0</v>
      </c>
      <c r="G44" s="144">
        <v>0</v>
      </c>
      <c r="H44" s="141">
        <f>+F44-G44</f>
        <v>0</v>
      </c>
      <c r="I44" s="166">
        <f>IF(G44&lt;0,IF(H44=0,0,IF(OR(G44=0,F44=0),"N.M.",IF(ABS(H44/G44)&gt;=10,"N.M.",H44/(-G44)))),IF(H44=0,0,IF(OR(G44=0,F44=0),"N.M.",IF(ABS(H44/G44)&gt;=10,"N.M.",H44/G44))))</f>
        <v>0</v>
      </c>
      <c r="J44" s="212"/>
      <c r="K44" s="186">
        <v>0</v>
      </c>
      <c r="L44" s="144">
        <f t="shared" si="8"/>
        <v>0</v>
      </c>
      <c r="M44" s="166">
        <f>IF(K44&lt;0,IF(L44=0,0,IF(OR(K44=0,F44=0),"N.M.",IF(ABS(L44/K44)&gt;=10,"N.M.",L44/(-K44)))),IF(L44=0,0,IF(OR(K44=0,F44=0),"N.M.",IF(ABS(L44/K44)&gt;=10,"N.M.",L44/K44))))</f>
        <v>0</v>
      </c>
    </row>
    <row r="45" spans="1:13" s="80" customFormat="1" ht="12.75" hidden="1" outlineLevel="1">
      <c r="A45" s="87" t="s">
        <v>131</v>
      </c>
      <c r="B45" s="79"/>
      <c r="C45" s="81" t="s">
        <v>129</v>
      </c>
      <c r="D45" s="78"/>
      <c r="E45" s="78"/>
      <c r="F45" s="144">
        <v>0</v>
      </c>
      <c r="G45" s="144">
        <v>0</v>
      </c>
      <c r="H45" s="141">
        <f>+F45-G45</f>
        <v>0</v>
      </c>
      <c r="I45" s="166">
        <f>IF(G45&lt;0,IF(H45=0,0,IF(OR(G45=0,F45=0),"N.M.",IF(ABS(H45/G45)&gt;=10,"N.M.",H45/(-G45)))),IF(H45=0,0,IF(OR(G45=0,F45=0),"N.M.",IF(ABS(H45/G45)&gt;=10,"N.M.",H45/G45))))</f>
        <v>0</v>
      </c>
      <c r="J45" s="212"/>
      <c r="K45" s="186">
        <v>0</v>
      </c>
      <c r="L45" s="144">
        <f t="shared" si="8"/>
        <v>0</v>
      </c>
      <c r="M45" s="166">
        <f>IF(K45&lt;0,IF(L45=0,0,IF(OR(K45=0,F45=0),"N.M.",IF(ABS(L45/K45)&gt;=10,"N.M.",L45/(-K45)))),IF(L45=0,0,IF(OR(K45=0,F45=0),"N.M.",IF(ABS(L45/K45)&gt;=10,"N.M.",L45/K45))))</f>
        <v>0</v>
      </c>
    </row>
    <row r="46" spans="1:13" s="68" customFormat="1" ht="12.75" collapsed="1">
      <c r="A46" s="69" t="s">
        <v>250</v>
      </c>
      <c r="B46" s="69"/>
      <c r="C46" s="82" t="s">
        <v>95</v>
      </c>
      <c r="D46" s="67"/>
      <c r="E46" s="67"/>
      <c r="F46" s="141">
        <f>+F45+F44+F43</f>
        <v>0</v>
      </c>
      <c r="G46" s="141">
        <f>+G45+G44+G43</f>
        <v>0</v>
      </c>
      <c r="H46" s="141">
        <f>+F46-G46</f>
        <v>0</v>
      </c>
      <c r="I46" s="166">
        <f>IF(G46&lt;0,IF(H46=0,0,IF(OR(G46=0,F46=0),"N.M.",IF(ABS(H46/G46)&gt;=10,"N.M.",H46/(-G46)))),IF(H46=0,0,IF(OR(G46=0,F46=0),"N.M.",IF(ABS(H46/G46)&gt;=10,"N.M.",H46/G46))))</f>
        <v>0</v>
      </c>
      <c r="J46" s="208" t="s">
        <v>83</v>
      </c>
      <c r="K46" s="183">
        <f>+K45+K44+K43</f>
        <v>0</v>
      </c>
      <c r="L46" s="141">
        <f t="shared" si="8"/>
        <v>0</v>
      </c>
      <c r="M46" s="166">
        <f>IF(K46&lt;0,IF(L46=0,0,IF(OR(K46=0,F46=0),"N.M.",IF(ABS(L46/K46)&gt;=10,"N.M.",L46/(-K46)))),IF(L46=0,0,IF(OR(K46=0,F46=0),"N.M.",IF(ABS(L46/K46)&gt;=10,"N.M.",L46/K46))))</f>
        <v>0</v>
      </c>
    </row>
    <row r="47" spans="1:13" s="68" customFormat="1" ht="0.75" customHeight="1" hidden="1" outlineLevel="1">
      <c r="A47" s="69"/>
      <c r="B47" s="69"/>
      <c r="C47" s="82"/>
      <c r="D47" s="67"/>
      <c r="E47" s="67"/>
      <c r="F47" s="141"/>
      <c r="G47" s="141"/>
      <c r="H47" s="141"/>
      <c r="I47" s="166"/>
      <c r="J47" s="208"/>
      <c r="K47" s="183"/>
      <c r="L47" s="141">
        <f t="shared" si="8"/>
        <v>0</v>
      </c>
      <c r="M47" s="166"/>
    </row>
    <row r="48" spans="1:13" s="15" customFormat="1" ht="12.75" hidden="1" outlineLevel="2">
      <c r="A48" s="15" t="s">
        <v>424</v>
      </c>
      <c r="B48" s="15" t="s">
        <v>425</v>
      </c>
      <c r="C48" s="164" t="s">
        <v>426</v>
      </c>
      <c r="D48" s="16"/>
      <c r="E48" s="16"/>
      <c r="F48" s="16">
        <v>806</v>
      </c>
      <c r="G48" s="16">
        <v>806</v>
      </c>
      <c r="H48" s="16">
        <f>+F48-G48</f>
        <v>0</v>
      </c>
      <c r="I48" s="54">
        <f>IF(G48&lt;0,IF(H48=0,0,IF(OR(G48=0,F48=0),"N.M.",IF(ABS(H48/G48)&gt;=10,"N.M.",H48/(-G48)))),IF(H48=0,0,IF(OR(G48=0,F48=0),"N.M.",IF(ABS(H48/G48)&gt;=10,"N.M.",H48/G48))))</f>
        <v>0</v>
      </c>
      <c r="J48" s="226"/>
      <c r="K48" s="295">
        <v>806</v>
      </c>
      <c r="L48" s="16">
        <f>+F48-K48</f>
        <v>0</v>
      </c>
      <c r="M48" s="54">
        <f>IF(K48&lt;0,IF(L48=0,0,IF(OR(K48=0,F48=0),"N.M.",IF(ABS(L48/K48)&gt;=10,"N.M.",L48/(-K48)))),IF(L48=0,0,IF(OR(K48=0,F48=0),"N.M.",IF(ABS(L48/K48)&gt;=10,"N.M.",L48/K48))))</f>
        <v>0</v>
      </c>
    </row>
    <row r="49" spans="1:13" s="15" customFormat="1" ht="12.75" hidden="1" outlineLevel="2">
      <c r="A49" s="15" t="s">
        <v>427</v>
      </c>
      <c r="B49" s="15" t="s">
        <v>428</v>
      </c>
      <c r="C49" s="164" t="s">
        <v>429</v>
      </c>
      <c r="D49" s="16"/>
      <c r="E49" s="16"/>
      <c r="F49" s="16">
        <v>129390.01000000001</v>
      </c>
      <c r="G49" s="16">
        <v>135823.58000000002</v>
      </c>
      <c r="H49" s="16">
        <f>+F49-G49</f>
        <v>-6433.570000000007</v>
      </c>
      <c r="I49" s="54">
        <f>IF(G49&lt;0,IF(H49=0,0,IF(OR(G49=0,F49=0),"N.M.",IF(ABS(H49/G49)&gt;=10,"N.M.",H49/(-G49)))),IF(H49=0,0,IF(OR(G49=0,F49=0),"N.M.",IF(ABS(H49/G49)&gt;=10,"N.M.",H49/G49))))</f>
        <v>-0.04736710665408765</v>
      </c>
      <c r="J49" s="226"/>
      <c r="K49" s="295">
        <v>129390.01000000001</v>
      </c>
      <c r="L49" s="16">
        <f>+F49-K49</f>
        <v>0</v>
      </c>
      <c r="M49" s="54">
        <f>IF(K49&lt;0,IF(L49=0,0,IF(OR(K49=0,F49=0),"N.M.",IF(ABS(L49/K49)&gt;=10,"N.M.",L49/(-K49)))),IF(L49=0,0,IF(OR(K49=0,F49=0),"N.M.",IF(ABS(L49/K49)&gt;=10,"N.M.",L49/K49))))</f>
        <v>0</v>
      </c>
    </row>
    <row r="50" spans="1:13" s="15" customFormat="1" ht="12.75" hidden="1" outlineLevel="2">
      <c r="A50" s="15" t="s">
        <v>430</v>
      </c>
      <c r="B50" s="15" t="s">
        <v>431</v>
      </c>
      <c r="C50" s="164" t="s">
        <v>432</v>
      </c>
      <c r="D50" s="16"/>
      <c r="E50" s="16"/>
      <c r="F50" s="16">
        <v>173616</v>
      </c>
      <c r="G50" s="16">
        <v>177526.21</v>
      </c>
      <c r="H50" s="16">
        <f>+F50-G50</f>
        <v>-3910.209999999992</v>
      </c>
      <c r="I50" s="54">
        <f>IF(G50&lt;0,IF(H50=0,0,IF(OR(G50=0,F50=0),"N.M.",IF(ABS(H50/G50)&gt;=10,"N.M.",H50/(-G50)))),IF(H50=0,0,IF(OR(G50=0,F50=0),"N.M.",IF(ABS(H50/G50)&gt;=10,"N.M.",H50/G50))))</f>
        <v>-0.022026099695363247</v>
      </c>
      <c r="J50" s="226"/>
      <c r="K50" s="295">
        <v>176281.21</v>
      </c>
      <c r="L50" s="16">
        <f>+F50-K50</f>
        <v>-2665.209999999992</v>
      </c>
      <c r="M50" s="54">
        <f>IF(K50&lt;0,IF(L50=0,0,IF(OR(K50=0,F50=0),"N.M.",IF(ABS(L50/K50)&gt;=10,"N.M.",L50/(-K50)))),IF(L50=0,0,IF(OR(K50=0,F50=0),"N.M.",IF(ABS(L50/K50)&gt;=10,"N.M.",L50/K50))))</f>
        <v>-0.015119081608300692</v>
      </c>
    </row>
    <row r="51" spans="1:13" s="68" customFormat="1" ht="12.75" collapsed="1">
      <c r="A51" s="68" t="s">
        <v>175</v>
      </c>
      <c r="B51" s="69"/>
      <c r="C51" s="82" t="s">
        <v>96</v>
      </c>
      <c r="D51" s="67"/>
      <c r="E51" s="67"/>
      <c r="F51" s="141">
        <v>303812.01</v>
      </c>
      <c r="G51" s="141">
        <v>314155.79000000004</v>
      </c>
      <c r="H51" s="141">
        <f>+F51-G51</f>
        <v>-10343.780000000028</v>
      </c>
      <c r="I51" s="166">
        <f>IF(G51&lt;0,IF(H51=0,0,IF(OR(G51=0,F51=0),"N.M.",IF(ABS(H51/G51)&gt;=10,"N.M.",H51/(-G51)))),IF(H51=0,0,IF(OR(G51=0,F51=0),"N.M.",IF(ABS(H51/G51)&gt;=10,"N.M.",H51/G51))))</f>
        <v>-0.03292563858205519</v>
      </c>
      <c r="J51" s="208"/>
      <c r="K51" s="183">
        <v>306477.22</v>
      </c>
      <c r="L51" s="141">
        <f t="shared" si="8"/>
        <v>-2665.2099999999627</v>
      </c>
      <c r="M51" s="166">
        <f>IF(K51&lt;0,IF(L51=0,0,IF(OR(K51=0,F51=0),"N.M.",IF(ABS(L51/K51)&gt;=10,"N.M.",L51/(-K51)))),IF(L51=0,0,IF(OR(K51=0,F51=0),"N.M.",IF(ABS(L51/K51)&gt;=10,"N.M.",L51/K51))))</f>
        <v>-0.008696274391943268</v>
      </c>
    </row>
    <row r="52" spans="2:13" s="68" customFormat="1" ht="0.75" customHeight="1" outlineLevel="1">
      <c r="B52" s="69"/>
      <c r="C52" s="82"/>
      <c r="D52" s="67"/>
      <c r="E52" s="67"/>
      <c r="F52" s="141"/>
      <c r="G52" s="141"/>
      <c r="H52" s="141"/>
      <c r="I52" s="166"/>
      <c r="J52" s="208"/>
      <c r="K52" s="183"/>
      <c r="L52" s="141">
        <f t="shared" si="8"/>
        <v>0</v>
      </c>
      <c r="M52" s="166"/>
    </row>
    <row r="53" spans="1:13" s="68" customFormat="1" ht="12.75">
      <c r="A53" s="68" t="s">
        <v>176</v>
      </c>
      <c r="B53" s="69"/>
      <c r="C53" s="82" t="s">
        <v>97</v>
      </c>
      <c r="D53" s="67"/>
      <c r="E53" s="67"/>
      <c r="F53" s="141">
        <v>0</v>
      </c>
      <c r="G53" s="141">
        <v>0</v>
      </c>
      <c r="H53" s="141">
        <f>+F53-G53</f>
        <v>0</v>
      </c>
      <c r="I53" s="166">
        <f>IF(G53&lt;0,IF(H53=0,0,IF(OR(G53=0,F53=0),"N.M.",IF(ABS(H53/G53)&gt;=10,"N.M.",H53/(-G53)))),IF(H53=0,0,IF(OR(G53=0,F53=0),"N.M.",IF(ABS(H53/G53)&gt;=10,"N.M.",H53/G53))))</f>
        <v>0</v>
      </c>
      <c r="J53" s="208"/>
      <c r="K53" s="183">
        <v>0</v>
      </c>
      <c r="L53" s="141">
        <f t="shared" si="8"/>
        <v>0</v>
      </c>
      <c r="M53" s="166">
        <f>IF(K53&lt;0,IF(L53=0,0,IF(OR(K53=0,F53=0),"N.M.",IF(ABS(L53/K53)&gt;=10,"N.M.",L53/(-K53)))),IF(L53=0,0,IF(OR(K53=0,F53=0),"N.M.",IF(ABS(L53/K53)&gt;=10,"N.M.",L53/K53))))</f>
        <v>0</v>
      </c>
    </row>
    <row r="54" spans="2:13" s="68" customFormat="1" ht="4.5" customHeight="1" hidden="1" outlineLevel="1">
      <c r="B54" s="69"/>
      <c r="C54" s="82"/>
      <c r="D54" s="67"/>
      <c r="E54" s="67"/>
      <c r="F54" s="141"/>
      <c r="G54" s="141"/>
      <c r="H54" s="141"/>
      <c r="I54" s="166"/>
      <c r="J54" s="208"/>
      <c r="K54" s="183"/>
      <c r="L54" s="141">
        <f t="shared" si="8"/>
        <v>0</v>
      </c>
      <c r="M54" s="166"/>
    </row>
    <row r="55" spans="1:13" s="15" customFormat="1" ht="12.75" hidden="1" outlineLevel="2">
      <c r="A55" s="15" t="s">
        <v>433</v>
      </c>
      <c r="B55" s="15" t="s">
        <v>434</v>
      </c>
      <c r="C55" s="164" t="s">
        <v>435</v>
      </c>
      <c r="D55" s="16"/>
      <c r="E55" s="16"/>
      <c r="F55" s="16">
        <v>5997049.57</v>
      </c>
      <c r="G55" s="16">
        <v>6698929.08</v>
      </c>
      <c r="H55" s="16">
        <f>+F55-G55</f>
        <v>-701879.5099999998</v>
      </c>
      <c r="I55" s="54">
        <f>IF(G55&lt;0,IF(H55=0,0,IF(OR(G55=0,F55=0),"N.M.",IF(ABS(H55/G55)&gt;=10,"N.M.",H55/(-G55)))),IF(H55=0,0,IF(OR(G55=0,F55=0),"N.M.",IF(ABS(H55/G55)&gt;=10,"N.M.",H55/G55))))</f>
        <v>-0.10477488291307598</v>
      </c>
      <c r="J55" s="226"/>
      <c r="K55" s="295">
        <v>5997049.57</v>
      </c>
      <c r="L55" s="16">
        <f>+F55-K55</f>
        <v>0</v>
      </c>
      <c r="M55" s="54">
        <f>IF(K55&lt;0,IF(L55=0,0,IF(OR(K55=0,F55=0),"N.M.",IF(ABS(L55/K55)&gt;=10,"N.M.",L55/(-K55)))),IF(L55=0,0,IF(OR(K55=0,F55=0),"N.M.",IF(ABS(L55/K55)&gt;=10,"N.M.",L55/K55))))</f>
        <v>0</v>
      </c>
    </row>
    <row r="56" spans="1:13" s="68" customFormat="1" ht="12.75" collapsed="1">
      <c r="A56" s="68" t="s">
        <v>177</v>
      </c>
      <c r="B56" s="69"/>
      <c r="C56" s="82" t="s">
        <v>98</v>
      </c>
      <c r="D56" s="67"/>
      <c r="E56" s="67"/>
      <c r="F56" s="141">
        <v>5997049.57</v>
      </c>
      <c r="G56" s="141">
        <v>6698929.08</v>
      </c>
      <c r="H56" s="141">
        <f>+F56-G56</f>
        <v>-701879.5099999998</v>
      </c>
      <c r="I56" s="166">
        <f>IF(G56&lt;0,IF(H56=0,0,IF(OR(G56=0,F56=0),"N.M.",IF(ABS(H56/G56)&gt;=10,"N.M.",H56/(-G56)))),IF(H56=0,0,IF(OR(G56=0,F56=0),"N.M.",IF(ABS(H56/G56)&gt;=10,"N.M.",H56/G56))))</f>
        <v>-0.10477488291307598</v>
      </c>
      <c r="J56" s="208"/>
      <c r="K56" s="183">
        <v>5997049.57</v>
      </c>
      <c r="L56" s="141">
        <f t="shared" si="8"/>
        <v>0</v>
      </c>
      <c r="M56" s="166">
        <f>IF(K56&lt;0,IF(L56=0,0,IF(OR(K56=0,F56=0),"N.M.",IF(ABS(L56/K56)&gt;=10,"N.M.",L56/(-K56)))),IF(L56=0,0,IF(OR(K56=0,F56=0),"N.M.",IF(ABS(L56/K56)&gt;=10,"N.M.",L56/K56))))</f>
        <v>0</v>
      </c>
    </row>
    <row r="57" spans="2:13" s="68" customFormat="1" ht="4.5" customHeight="1" hidden="1" outlineLevel="1">
      <c r="B57" s="69"/>
      <c r="C57" s="82"/>
      <c r="D57" s="67"/>
      <c r="E57" s="67"/>
      <c r="F57" s="141"/>
      <c r="G57" s="141"/>
      <c r="H57" s="141"/>
      <c r="I57" s="166"/>
      <c r="J57" s="208"/>
      <c r="K57" s="183"/>
      <c r="L57" s="141"/>
      <c r="M57" s="166"/>
    </row>
    <row r="58" spans="1:13" s="15" customFormat="1" ht="12.75" hidden="1" outlineLevel="2">
      <c r="A58" s="15" t="s">
        <v>436</v>
      </c>
      <c r="B58" s="15" t="s">
        <v>437</v>
      </c>
      <c r="C58" s="164" t="s">
        <v>438</v>
      </c>
      <c r="D58" s="16"/>
      <c r="E58" s="16"/>
      <c r="F58" s="16">
        <v>10737533.83</v>
      </c>
      <c r="G58" s="16">
        <v>14895108.84</v>
      </c>
      <c r="H58" s="16">
        <f>+F58-G58</f>
        <v>-4157575.01</v>
      </c>
      <c r="I58" s="54">
        <f>IF(G58&lt;0,IF(H58=0,0,IF(OR(G58=0,F58=0),"N.M.",IF(ABS(H58/G58)&gt;=10,"N.M.",H58/(-G58)))),IF(H58=0,0,IF(OR(G58=0,F58=0),"N.M.",IF(ABS(H58/G58)&gt;=10,"N.M.",H58/G58))))</f>
        <v>-0.2791235065590833</v>
      </c>
      <c r="J58" s="226"/>
      <c r="K58" s="295">
        <v>9834007.87</v>
      </c>
      <c r="L58" s="16">
        <f>+F58-K58</f>
        <v>903525.9600000009</v>
      </c>
      <c r="M58" s="54">
        <f>IF(K58&lt;0,IF(L58=0,0,IF(OR(K58=0,F58=0),"N.M.",IF(ABS(L58/K58)&gt;=10,"N.M.",L58/(-K58)))),IF(L58=0,0,IF(OR(K58=0,F58=0),"N.M.",IF(ABS(L58/K58)&gt;=10,"N.M.",L58/K58))))</f>
        <v>0.09187769340274089</v>
      </c>
    </row>
    <row r="59" spans="1:13" s="15" customFormat="1" ht="12.75" hidden="1" outlineLevel="2">
      <c r="A59" s="15" t="s">
        <v>439</v>
      </c>
      <c r="B59" s="15" t="s">
        <v>440</v>
      </c>
      <c r="C59" s="164" t="s">
        <v>441</v>
      </c>
      <c r="D59" s="16"/>
      <c r="E59" s="16"/>
      <c r="F59" s="16">
        <v>-382504</v>
      </c>
      <c r="G59" s="16">
        <v>-1889898</v>
      </c>
      <c r="H59" s="16">
        <f>+F59-G59</f>
        <v>1507394</v>
      </c>
      <c r="I59" s="54">
        <f>IF(G59&lt;0,IF(H59=0,0,IF(OR(G59=0,F59=0),"N.M.",IF(ABS(H59/G59)&gt;=10,"N.M.",H59/(-G59)))),IF(H59=0,0,IF(OR(G59=0,F59=0),"N.M.",IF(ABS(H59/G59)&gt;=10,"N.M.",H59/G59))))</f>
        <v>0.7976060083665891</v>
      </c>
      <c r="J59" s="226"/>
      <c r="K59" s="295">
        <v>-336181</v>
      </c>
      <c r="L59" s="16">
        <f>+F59-K59</f>
        <v>-46323</v>
      </c>
      <c r="M59" s="54">
        <f>IF(K59&lt;0,IF(L59=0,0,IF(OR(K59=0,F59=0),"N.M.",IF(ABS(L59/K59)&gt;=10,"N.M.",L59/(-K59)))),IF(L59=0,0,IF(OR(K59=0,F59=0),"N.M.",IF(ABS(L59/K59)&gt;=10,"N.M.",L59/K59))))</f>
        <v>-0.1377918442743641</v>
      </c>
    </row>
    <row r="60" spans="1:13" s="15" customFormat="1" ht="12.75" hidden="1" outlineLevel="2">
      <c r="A60" s="15" t="s">
        <v>442</v>
      </c>
      <c r="B60" s="15" t="s">
        <v>443</v>
      </c>
      <c r="C60" s="164" t="s">
        <v>444</v>
      </c>
      <c r="D60" s="16"/>
      <c r="E60" s="16"/>
      <c r="F60" s="16">
        <v>0</v>
      </c>
      <c r="G60" s="16">
        <v>200627</v>
      </c>
      <c r="H60" s="16">
        <f>+F60-G60</f>
        <v>-200627</v>
      </c>
      <c r="I60" s="54" t="str">
        <f>IF(G60&lt;0,IF(H60=0,0,IF(OR(G60=0,F60=0),"N.M.",IF(ABS(H60/G60)&gt;=10,"N.M.",H60/(-G60)))),IF(H60=0,0,IF(OR(G60=0,F60=0),"N.M.",IF(ABS(H60/G60)&gt;=10,"N.M.",H60/G60))))</f>
        <v>N.M.</v>
      </c>
      <c r="J60" s="226"/>
      <c r="K60" s="295">
        <v>0</v>
      </c>
      <c r="L60" s="16">
        <f>+F60-K60</f>
        <v>0</v>
      </c>
      <c r="M60" s="54">
        <f>IF(K60&lt;0,IF(L60=0,0,IF(OR(K60=0,F60=0),"N.M.",IF(ABS(L60/K60)&gt;=10,"N.M.",L60/(-K60)))),IF(L60=0,0,IF(OR(K60=0,F60=0),"N.M.",IF(ABS(L60/K60)&gt;=10,"N.M.",L60/K60))))</f>
        <v>0</v>
      </c>
    </row>
    <row r="61" spans="1:13" s="68" customFormat="1" ht="12.75" collapsed="1">
      <c r="A61" s="68" t="s">
        <v>178</v>
      </c>
      <c r="B61" s="69"/>
      <c r="C61" s="82" t="s">
        <v>99</v>
      </c>
      <c r="D61" s="67"/>
      <c r="E61" s="67"/>
      <c r="F61" s="141">
        <v>10355029.83</v>
      </c>
      <c r="G61" s="141">
        <v>13205837.84</v>
      </c>
      <c r="H61" s="141">
        <f>+F61-G61</f>
        <v>-2850808.01</v>
      </c>
      <c r="I61" s="166">
        <f>IF(G61&lt;0,IF(H61=0,0,IF(OR(G61=0,F61=0),"N.M.",IF(ABS(H61/G61)&gt;=10,"N.M.",H61/(-G61)))),IF(H61=0,0,IF(OR(G61=0,F61=0),"N.M.",IF(ABS(H61/G61)&gt;=10,"N.M.",H61/G61))))</f>
        <v>-0.21587483085435188</v>
      </c>
      <c r="J61" s="208"/>
      <c r="K61" s="183">
        <v>9497826.87</v>
      </c>
      <c r="L61" s="141">
        <f>+F61-K61</f>
        <v>857202.9600000009</v>
      </c>
      <c r="M61" s="166">
        <f>IF(K61&lt;0,IF(L61=0,0,IF(OR(K61=0,F61=0),"N.M.",IF(ABS(L61/K61)&gt;=10,"N.M.",L61/(-K61)))),IF(L61=0,0,IF(OR(K61=0,F61=0),"N.M.",IF(ABS(L61/K61)&gt;=10,"N.M.",L61/K61))))</f>
        <v>0.09025253584139094</v>
      </c>
    </row>
    <row r="62" spans="1:13" s="76" customFormat="1" ht="12.75">
      <c r="A62" s="72" t="s">
        <v>125</v>
      </c>
      <c r="B62" s="73"/>
      <c r="C62" s="72" t="s">
        <v>156</v>
      </c>
      <c r="D62" s="74"/>
      <c r="E62" s="74"/>
      <c r="F62" s="143">
        <f>+F61+F56+F53+F51+F46+F41</f>
        <v>21961821.77</v>
      </c>
      <c r="G62" s="143">
        <f>+G61+G56+G53+G51+G46+G41</f>
        <v>25528656.68</v>
      </c>
      <c r="H62" s="143">
        <f>+F62-G62</f>
        <v>-3566834.91</v>
      </c>
      <c r="I62" s="167">
        <f>IF(G62&lt;0,IF(H62=0,0,IF(OR(G62=0,F62=0),"N.M.",IF(ABS(H62/G62)&gt;=10,"N.M.",H62/(-G62)))),IF(H62=0,0,IF(OR(G62=0,F62=0),"N.M.",IF(ABS(H62/G62)&gt;=10,"N.M.",H62/G62))))</f>
        <v>-0.13971886396961802</v>
      </c>
      <c r="J62" s="211" t="s">
        <v>83</v>
      </c>
      <c r="K62" s="184">
        <f>+K61+K56+K53+K51+K46+K41</f>
        <v>21111174.69</v>
      </c>
      <c r="L62" s="143">
        <f>+F62-K62</f>
        <v>850647.0799999982</v>
      </c>
      <c r="M62" s="167">
        <f>IF(K62&lt;0,IF(L62=0,0,IF(OR(K62=0,F62=0),"N.M.",IF(ABS(L62/K62)&gt;=10,"N.M.",L62/(-K62)))),IF(L62=0,0,IF(OR(K62=0,F62=0),"N.M.",IF(ABS(L62/K62)&gt;=10,"N.M.",L62/K62))))</f>
        <v>0.04029368770288917</v>
      </c>
    </row>
    <row r="63" spans="1:13" s="76" customFormat="1" ht="9" customHeight="1">
      <c r="A63" s="72"/>
      <c r="B63" s="73"/>
      <c r="C63" s="72"/>
      <c r="D63" s="74"/>
      <c r="E63" s="74"/>
      <c r="F63" s="143"/>
      <c r="G63" s="143"/>
      <c r="H63" s="143"/>
      <c r="I63" s="167"/>
      <c r="J63" s="211"/>
      <c r="K63" s="184"/>
      <c r="L63" s="143"/>
      <c r="M63" s="167"/>
    </row>
    <row r="64" spans="2:13" s="68" customFormat="1" ht="0.75" customHeight="1" hidden="1" outlineLevel="1">
      <c r="B64" s="69"/>
      <c r="C64" s="72"/>
      <c r="D64" s="67"/>
      <c r="E64" s="67"/>
      <c r="F64" s="141"/>
      <c r="G64" s="141"/>
      <c r="H64" s="141"/>
      <c r="I64" s="166"/>
      <c r="J64" s="208"/>
      <c r="K64" s="183"/>
      <c r="L64" s="141"/>
      <c r="M64" s="166"/>
    </row>
    <row r="65" spans="1:13" s="15" customFormat="1" ht="12.75" hidden="1" outlineLevel="2">
      <c r="A65" s="15" t="s">
        <v>445</v>
      </c>
      <c r="B65" s="15" t="s">
        <v>446</v>
      </c>
      <c r="C65" s="164" t="s">
        <v>447</v>
      </c>
      <c r="D65" s="16"/>
      <c r="E65" s="16"/>
      <c r="F65" s="16">
        <v>694287.36</v>
      </c>
      <c r="G65" s="16">
        <v>860312.98</v>
      </c>
      <c r="H65" s="16">
        <f>+F65-G65</f>
        <v>-166025.62</v>
      </c>
      <c r="I65" s="54">
        <f>IF(G65&lt;0,IF(H65=0,0,IF(OR(G65=0,F65=0),"N.M.",IF(ABS(H65/G65)&gt;=10,"N.M.",H65/(-G65)))),IF(H65=0,0,IF(OR(G65=0,F65=0),"N.M.",IF(ABS(H65/G65)&gt;=10,"N.M.",H65/G65))))</f>
        <v>-0.19298281423116503</v>
      </c>
      <c r="J65" s="226"/>
      <c r="K65" s="295">
        <v>488717.91000000003</v>
      </c>
      <c r="L65" s="16">
        <f>+F65-K65</f>
        <v>205569.44999999995</v>
      </c>
      <c r="M65" s="54">
        <f>IF(K65&lt;0,IF(L65=0,0,IF(OR(K65=0,F65=0),"N.M.",IF(ABS(L65/K65)&gt;=10,"N.M.",L65/(-K65)))),IF(L65=0,0,IF(OR(K65=0,F65=0),"N.M.",IF(ABS(L65/K65)&gt;=10,"N.M.",L65/K65))))</f>
        <v>0.4206300726732113</v>
      </c>
    </row>
    <row r="66" spans="1:13" s="68" customFormat="1" ht="12.75" hidden="1" outlineLevel="1" collapsed="1">
      <c r="A66" s="87" t="s">
        <v>146</v>
      </c>
      <c r="B66" s="88"/>
      <c r="C66" s="84" t="s">
        <v>105</v>
      </c>
      <c r="D66" s="67"/>
      <c r="E66" s="67"/>
      <c r="F66" s="141">
        <v>694287.36</v>
      </c>
      <c r="G66" s="141">
        <v>860312.98</v>
      </c>
      <c r="H66" s="141">
        <f aca="true" t="shared" si="9" ref="H66:H75">+F66-G66</f>
        <v>-166025.62</v>
      </c>
      <c r="I66" s="166">
        <f aca="true" t="shared" si="10" ref="I66:I75">IF(G66&lt;0,IF(H66=0,0,IF(OR(G66=0,F66=0),"N.M.",IF(ABS(H66/G66)&gt;=10,"N.M.",H66/(-G66)))),IF(H66=0,0,IF(OR(G66=0,F66=0),"N.M.",IF(ABS(H66/G66)&gt;=10,"N.M.",H66/G66))))</f>
        <v>-0.19298281423116503</v>
      </c>
      <c r="J66" s="208"/>
      <c r="K66" s="183">
        <v>488717.91000000003</v>
      </c>
      <c r="L66" s="141">
        <f aca="true" t="shared" si="11" ref="L66:L76">+F66-K66</f>
        <v>205569.44999999995</v>
      </c>
      <c r="M66" s="166">
        <f aca="true" t="shared" si="12" ref="M66:M76">IF(K66&lt;0,IF(L66=0,0,IF(OR(K66=0,F66=0),"N.M.",IF(ABS(L66/K66)&gt;=10,"N.M.",L66/(-K66)))),IF(L66=0,0,IF(OR(K66=0,F66=0),"N.M.",IF(ABS(L66/K66)&gt;=10,"N.M.",L66/K66))))</f>
        <v>0.4206300726732113</v>
      </c>
    </row>
    <row r="67" spans="1:13" s="68" customFormat="1" ht="0.75" customHeight="1" hidden="1" outlineLevel="1">
      <c r="A67" s="87"/>
      <c r="B67" s="88"/>
      <c r="C67" s="84"/>
      <c r="D67" s="67"/>
      <c r="E67" s="67"/>
      <c r="F67" s="141"/>
      <c r="G67" s="141"/>
      <c r="H67" s="141">
        <f t="shared" si="9"/>
        <v>0</v>
      </c>
      <c r="I67" s="166">
        <f t="shared" si="10"/>
        <v>0</v>
      </c>
      <c r="J67" s="208"/>
      <c r="K67" s="183"/>
      <c r="L67" s="141">
        <f t="shared" si="11"/>
        <v>0</v>
      </c>
      <c r="M67" s="166">
        <f t="shared" si="12"/>
        <v>0</v>
      </c>
    </row>
    <row r="68" spans="1:13" s="15" customFormat="1" ht="12.75" hidden="1" outlineLevel="2">
      <c r="A68" s="15" t="s">
        <v>448</v>
      </c>
      <c r="B68" s="15" t="s">
        <v>449</v>
      </c>
      <c r="C68" s="164" t="s">
        <v>450</v>
      </c>
      <c r="D68" s="16"/>
      <c r="E68" s="16"/>
      <c r="F68" s="16">
        <v>1824102.35</v>
      </c>
      <c r="G68" s="16">
        <v>67257.52</v>
      </c>
      <c r="H68" s="16">
        <f>+F68-G68</f>
        <v>1756844.83</v>
      </c>
      <c r="I68" s="54" t="str">
        <f>IF(G68&lt;0,IF(H68=0,0,IF(OR(G68=0,F68=0),"N.M.",IF(ABS(H68/G68)&gt;=10,"N.M.",H68/(-G68)))),IF(H68=0,0,IF(OR(G68=0,F68=0),"N.M.",IF(ABS(H68/G68)&gt;=10,"N.M.",H68/G68))))</f>
        <v>N.M.</v>
      </c>
      <c r="J68" s="226"/>
      <c r="K68" s="295">
        <v>814201.01</v>
      </c>
      <c r="L68" s="16">
        <f>+F68-K68</f>
        <v>1009901.3400000001</v>
      </c>
      <c r="M68" s="54">
        <f>IF(K68&lt;0,IF(L68=0,0,IF(OR(K68=0,F68=0),"N.M.",IF(ABS(L68/K68)&gt;=10,"N.M.",L68/(-K68)))),IF(L68=0,0,IF(OR(K68=0,F68=0),"N.M.",IF(ABS(L68/K68)&gt;=10,"N.M.",L68/K68))))</f>
        <v>1.2403587413874617</v>
      </c>
    </row>
    <row r="69" spans="1:13" s="68" customFormat="1" ht="12.75" hidden="1" outlineLevel="1" collapsed="1">
      <c r="A69" s="87" t="s">
        <v>147</v>
      </c>
      <c r="B69" s="88"/>
      <c r="C69" s="77" t="s">
        <v>106</v>
      </c>
      <c r="D69" s="67"/>
      <c r="E69" s="67"/>
      <c r="F69" s="141">
        <v>1824102.35</v>
      </c>
      <c r="G69" s="141">
        <v>67257.52</v>
      </c>
      <c r="H69" s="141">
        <f t="shared" si="9"/>
        <v>1756844.83</v>
      </c>
      <c r="I69" s="166" t="str">
        <f t="shared" si="10"/>
        <v>N.M.</v>
      </c>
      <c r="J69" s="208"/>
      <c r="K69" s="183">
        <v>814201.01</v>
      </c>
      <c r="L69" s="141">
        <f t="shared" si="11"/>
        <v>1009901.3400000001</v>
      </c>
      <c r="M69" s="166">
        <f t="shared" si="12"/>
        <v>1.2403587413874617</v>
      </c>
    </row>
    <row r="70" spans="1:13" s="68" customFormat="1" ht="12.75" hidden="1" outlineLevel="1">
      <c r="A70" s="87" t="s">
        <v>148</v>
      </c>
      <c r="B70" s="88"/>
      <c r="C70" s="77" t="s">
        <v>108</v>
      </c>
      <c r="D70" s="67"/>
      <c r="E70" s="67"/>
      <c r="F70" s="141">
        <v>0</v>
      </c>
      <c r="G70" s="141">
        <v>0</v>
      </c>
      <c r="H70" s="141">
        <f t="shared" si="9"/>
        <v>0</v>
      </c>
      <c r="I70" s="166">
        <f t="shared" si="10"/>
        <v>0</v>
      </c>
      <c r="J70" s="208"/>
      <c r="K70" s="183">
        <v>0</v>
      </c>
      <c r="L70" s="141">
        <f t="shared" si="11"/>
        <v>0</v>
      </c>
      <c r="M70" s="166">
        <f t="shared" si="12"/>
        <v>0</v>
      </c>
    </row>
    <row r="71" spans="1:13" s="15" customFormat="1" ht="12.75" hidden="1" outlineLevel="2">
      <c r="A71" s="15" t="s">
        <v>451</v>
      </c>
      <c r="B71" s="15" t="s">
        <v>452</v>
      </c>
      <c r="C71" s="164" t="s">
        <v>453</v>
      </c>
      <c r="D71" s="16"/>
      <c r="E71" s="16"/>
      <c r="F71" s="16">
        <v>4999.72</v>
      </c>
      <c r="G71" s="16">
        <v>4999.72</v>
      </c>
      <c r="H71" s="16">
        <f>+F71-G71</f>
        <v>0</v>
      </c>
      <c r="I71" s="54">
        <f>IF(G71&lt;0,IF(H71=0,0,IF(OR(G71=0,F71=0),"N.M.",IF(ABS(H71/G71)&gt;=10,"N.M.",H71/(-G71)))),IF(H71=0,0,IF(OR(G71=0,F71=0),"N.M.",IF(ABS(H71/G71)&gt;=10,"N.M.",H71/G71))))</f>
        <v>0</v>
      </c>
      <c r="J71" s="226"/>
      <c r="K71" s="295">
        <v>4999.72</v>
      </c>
      <c r="L71" s="16">
        <f>+F71-K71</f>
        <v>0</v>
      </c>
      <c r="M71" s="54">
        <f>IF(K71&lt;0,IF(L71=0,0,IF(OR(K71=0,F71=0),"N.M.",IF(ABS(L71/K71)&gt;=10,"N.M.",L71/(-K71)))),IF(L71=0,0,IF(OR(K71=0,F71=0),"N.M.",IF(ABS(L71/K71)&gt;=10,"N.M.",L71/K71))))</f>
        <v>0</v>
      </c>
    </row>
    <row r="72" spans="1:13" s="68" customFormat="1" ht="12.75" hidden="1" outlineLevel="1" collapsed="1">
      <c r="A72" s="87" t="s">
        <v>149</v>
      </c>
      <c r="B72" s="88"/>
      <c r="C72" s="77" t="s">
        <v>107</v>
      </c>
      <c r="D72" s="67"/>
      <c r="E72" s="67"/>
      <c r="F72" s="141">
        <v>4999.72</v>
      </c>
      <c r="G72" s="141">
        <v>4999.72</v>
      </c>
      <c r="H72" s="141">
        <f t="shared" si="9"/>
        <v>0</v>
      </c>
      <c r="I72" s="166">
        <f t="shared" si="10"/>
        <v>0</v>
      </c>
      <c r="J72" s="208"/>
      <c r="K72" s="183">
        <v>4999.72</v>
      </c>
      <c r="L72" s="141">
        <f t="shared" si="11"/>
        <v>0</v>
      </c>
      <c r="M72" s="166">
        <f t="shared" si="12"/>
        <v>0</v>
      </c>
    </row>
    <row r="73" spans="1:13" s="68" customFormat="1" ht="12.75" hidden="1" outlineLevel="1">
      <c r="A73" s="87" t="s">
        <v>259</v>
      </c>
      <c r="B73" s="88"/>
      <c r="C73" s="53" t="s">
        <v>260</v>
      </c>
      <c r="D73" s="67"/>
      <c r="E73" s="67"/>
      <c r="F73" s="142">
        <v>0</v>
      </c>
      <c r="G73" s="142">
        <v>0</v>
      </c>
      <c r="H73" s="142">
        <f>+F73-G73</f>
        <v>0</v>
      </c>
      <c r="I73" s="168">
        <f>IF(G73&lt;0,IF(H73=0,0,IF(OR(G73=0,F73=0),"N.M.",IF(ABS(H73/G73)&gt;=10,"N.M.",H73/(-G73)))),IF(H73=0,0,IF(OR(G73=0,F73=0),"N.M.",IF(ABS(H73/G73)&gt;=10,"N.M.",H73/G73))))</f>
        <v>0</v>
      </c>
      <c r="J73" s="208"/>
      <c r="K73" s="185">
        <v>0</v>
      </c>
      <c r="L73" s="142">
        <f t="shared" si="11"/>
        <v>0</v>
      </c>
      <c r="M73" s="168">
        <f>IF(K73&lt;0,IF(L73=0,0,IF(OR(K73=0,F73=0),"N.M.",IF(ABS(L73/K73)&gt;=10,"N.M.",L73/(-K73)))),IF(L73=0,0,IF(OR(K73=0,F73=0),"N.M.",IF(ABS(L73/K73)&gt;=10,"N.M.",L73/K73))))</f>
        <v>0</v>
      </c>
    </row>
    <row r="74" spans="1:13" s="68" customFormat="1" ht="12.75" hidden="1" outlineLevel="1">
      <c r="A74" s="87" t="s">
        <v>251</v>
      </c>
      <c r="B74" s="88"/>
      <c r="C74" s="84" t="s">
        <v>110</v>
      </c>
      <c r="D74" s="67"/>
      <c r="E74" s="67"/>
      <c r="F74" s="141">
        <f>+F72+F70+F69+F73</f>
        <v>1829102.07</v>
      </c>
      <c r="G74" s="141">
        <f>+G72+G70+G69+G73</f>
        <v>72257.24</v>
      </c>
      <c r="H74" s="141">
        <f>+F74-G74</f>
        <v>1756844.83</v>
      </c>
      <c r="I74" s="166" t="str">
        <f t="shared" si="10"/>
        <v>N.M.</v>
      </c>
      <c r="J74" s="208"/>
      <c r="K74" s="183">
        <f>+K72+K70+K69+K73</f>
        <v>819200.73</v>
      </c>
      <c r="L74" s="141">
        <f t="shared" si="11"/>
        <v>1009901.3400000001</v>
      </c>
      <c r="M74" s="166">
        <f t="shared" si="12"/>
        <v>1.2327886231253726</v>
      </c>
    </row>
    <row r="75" spans="1:13" s="68" customFormat="1" ht="12.75" hidden="1" outlineLevel="1">
      <c r="A75" s="87" t="s">
        <v>150</v>
      </c>
      <c r="B75" s="88"/>
      <c r="C75" s="84" t="s">
        <v>109</v>
      </c>
      <c r="D75" s="67"/>
      <c r="E75" s="67"/>
      <c r="F75" s="141">
        <v>0</v>
      </c>
      <c r="G75" s="141">
        <v>0</v>
      </c>
      <c r="H75" s="141">
        <f t="shared" si="9"/>
        <v>0</v>
      </c>
      <c r="I75" s="166">
        <f t="shared" si="10"/>
        <v>0</v>
      </c>
      <c r="J75" s="208"/>
      <c r="K75" s="183">
        <v>0</v>
      </c>
      <c r="L75" s="141">
        <f t="shared" si="11"/>
        <v>0</v>
      </c>
      <c r="M75" s="166">
        <f t="shared" si="12"/>
        <v>0</v>
      </c>
    </row>
    <row r="76" spans="1:13" s="68" customFormat="1" ht="12.75" collapsed="1">
      <c r="A76" s="68" t="s">
        <v>252</v>
      </c>
      <c r="B76" s="88"/>
      <c r="C76" s="83" t="s">
        <v>105</v>
      </c>
      <c r="D76" s="67"/>
      <c r="E76" s="67"/>
      <c r="F76" s="141">
        <f>+F75+F74+F66</f>
        <v>2523389.43</v>
      </c>
      <c r="G76" s="141">
        <f>+G75+G74+G66</f>
        <v>932570.22</v>
      </c>
      <c r="H76" s="141">
        <f>+F76-G76</f>
        <v>1590819.2100000002</v>
      </c>
      <c r="I76" s="166">
        <f>IF(G76&lt;0,IF(H76=0,0,IF(OR(G76=0,F76=0),"N.M.",IF(ABS(H76/G76)&gt;=10,"N.M.",H76/(-G76)))),IF(H76=0,0,IF(OR(G76=0,F76=0),"N.M.",IF(ABS(H76/G76)&gt;=10,"N.M.",H76/G76))))</f>
        <v>1.7058438880881273</v>
      </c>
      <c r="J76" s="208"/>
      <c r="K76" s="183">
        <f>+K75+K74+K66</f>
        <v>1307918.6400000001</v>
      </c>
      <c r="L76" s="141">
        <f t="shared" si="11"/>
        <v>1215470.79</v>
      </c>
      <c r="M76" s="166">
        <f t="shared" si="12"/>
        <v>0.9293168189727764</v>
      </c>
    </row>
    <row r="77" spans="2:13" s="68" customFormat="1" ht="0.75" customHeight="1" hidden="1" outlineLevel="1">
      <c r="B77" s="88"/>
      <c r="C77" s="83"/>
      <c r="D77" s="67"/>
      <c r="E77" s="67"/>
      <c r="F77" s="141"/>
      <c r="G77" s="141"/>
      <c r="H77" s="141"/>
      <c r="I77" s="166"/>
      <c r="J77" s="208"/>
      <c r="K77" s="183"/>
      <c r="L77" s="141"/>
      <c r="M77" s="166"/>
    </row>
    <row r="78" spans="1:13" s="15" customFormat="1" ht="12.75" hidden="1" outlineLevel="2">
      <c r="A78" s="15" t="s">
        <v>454</v>
      </c>
      <c r="B78" s="15" t="s">
        <v>455</v>
      </c>
      <c r="C78" s="164" t="s">
        <v>456</v>
      </c>
      <c r="D78" s="16"/>
      <c r="E78" s="16"/>
      <c r="F78" s="16">
        <v>6004116.64</v>
      </c>
      <c r="G78" s="16">
        <v>1663496.87</v>
      </c>
      <c r="H78" s="16">
        <f>+F78-G78</f>
        <v>4340619.77</v>
      </c>
      <c r="I78" s="54">
        <f>IF(G78&lt;0,IF(H78=0,0,IF(OR(G78=0,F78=0),"N.M.",IF(ABS(H78/G78)&gt;=10,"N.M.",H78/(-G78)))),IF(H78=0,0,IF(OR(G78=0,F78=0),"N.M.",IF(ABS(H78/G78)&gt;=10,"N.M.",H78/G78))))</f>
        <v>2.6093344978761515</v>
      </c>
      <c r="J78" s="226"/>
      <c r="K78" s="295">
        <v>0</v>
      </c>
      <c r="L78" s="16">
        <f>+F78-K78</f>
        <v>6004116.64</v>
      </c>
      <c r="M78" s="54" t="str">
        <f>IF(K78&lt;0,IF(L78=0,0,IF(OR(K78=0,F78=0),"N.M.",IF(ABS(L78/K78)&gt;=10,"N.M.",L78/(-K78)))),IF(L78=0,0,IF(OR(K78=0,F78=0),"N.M.",IF(ABS(L78/K78)&gt;=10,"N.M.",L78/K78))))</f>
        <v>N.M.</v>
      </c>
    </row>
    <row r="79" spans="1:13" s="68" customFormat="1" ht="12.75" collapsed="1">
      <c r="A79" s="68" t="s">
        <v>151</v>
      </c>
      <c r="B79" s="88"/>
      <c r="C79" s="83" t="s">
        <v>111</v>
      </c>
      <c r="D79" s="67"/>
      <c r="E79" s="67"/>
      <c r="F79" s="141">
        <v>6004116.64</v>
      </c>
      <c r="G79" s="141">
        <v>1663496.87</v>
      </c>
      <c r="H79" s="141">
        <f>+F79-G79</f>
        <v>4340619.77</v>
      </c>
      <c r="I79" s="166">
        <f>IF(G79&lt;0,IF(H79=0,0,IF(OR(G79=0,F79=0),"N.M.",IF(ABS(H79/G79)&gt;=10,"N.M.",H79/(-G79)))),IF(H79=0,0,IF(OR(G79=0,F79=0),"N.M.",IF(ABS(H79/G79)&gt;=10,"N.M.",H79/G79))))</f>
        <v>2.6093344978761515</v>
      </c>
      <c r="J79" s="208"/>
      <c r="K79" s="183">
        <v>0</v>
      </c>
      <c r="L79" s="141">
        <f>+F79-K79</f>
        <v>6004116.64</v>
      </c>
      <c r="M79" s="166" t="str">
        <f>IF(K79&lt;0,IF(L79=0,0,IF(OR(K79=0,F79=0),"N.M.",IF(ABS(L79/K79)&gt;=10,"N.M.",L79/(-K79)))),IF(L79=0,0,IF(OR(K79=0,F79=0),"N.M.",IF(ABS(L79/K79)&gt;=10,"N.M.",L79/K79))))</f>
        <v>N.M.</v>
      </c>
    </row>
    <row r="80" spans="2:13" s="68" customFormat="1" ht="0.75" customHeight="1" hidden="1" outlineLevel="1">
      <c r="B80" s="88"/>
      <c r="C80" s="83"/>
      <c r="D80" s="67"/>
      <c r="E80" s="67"/>
      <c r="F80" s="141"/>
      <c r="G80" s="141"/>
      <c r="H80" s="141"/>
      <c r="I80" s="166"/>
      <c r="J80" s="208"/>
      <c r="K80" s="183"/>
      <c r="L80" s="141"/>
      <c r="M80" s="166"/>
    </row>
    <row r="81" spans="1:13" s="15" customFormat="1" ht="12.75" hidden="1" outlineLevel="2">
      <c r="A81" s="15" t="s">
        <v>457</v>
      </c>
      <c r="B81" s="15" t="s">
        <v>458</v>
      </c>
      <c r="C81" s="164" t="s">
        <v>459</v>
      </c>
      <c r="D81" s="16"/>
      <c r="E81" s="16"/>
      <c r="F81" s="16">
        <v>31548472.146</v>
      </c>
      <c r="G81" s="16">
        <v>27034285.136</v>
      </c>
      <c r="H81" s="16">
        <f aca="true" t="shared" si="13" ref="H81:H95">+F81-G81</f>
        <v>4514187.010000002</v>
      </c>
      <c r="I81" s="54">
        <f aca="true" t="shared" si="14" ref="I81:I95">IF(G81&lt;0,IF(H81=0,0,IF(OR(G81=0,F81=0),"N.M.",IF(ABS(H81/G81)&gt;=10,"N.M.",H81/(-G81)))),IF(H81=0,0,IF(OR(G81=0,F81=0),"N.M.",IF(ABS(H81/G81)&gt;=10,"N.M.",H81/G81))))</f>
        <v>0.1669800768650146</v>
      </c>
      <c r="J81" s="226"/>
      <c r="K81" s="295">
        <v>27684774.136</v>
      </c>
      <c r="L81" s="16">
        <f aca="true" t="shared" si="15" ref="L81:L95">+F81-K81</f>
        <v>3863698.0100000016</v>
      </c>
      <c r="M81" s="54">
        <f aca="true" t="shared" si="16" ref="M81:M95">IF(K81&lt;0,IF(L81=0,0,IF(OR(K81=0,F81=0),"N.M.",IF(ABS(L81/K81)&gt;=10,"N.M.",L81/(-K81)))),IF(L81=0,0,IF(OR(K81=0,F81=0),"N.M.",IF(ABS(L81/K81)&gt;=10,"N.M.",L81/K81))))</f>
        <v>0.13956039485891372</v>
      </c>
    </row>
    <row r="82" spans="1:13" s="15" customFormat="1" ht="12.75" hidden="1" outlineLevel="2">
      <c r="A82" s="15" t="s">
        <v>460</v>
      </c>
      <c r="B82" s="15" t="s">
        <v>461</v>
      </c>
      <c r="C82" s="164" t="s">
        <v>462</v>
      </c>
      <c r="D82" s="16"/>
      <c r="E82" s="16"/>
      <c r="F82" s="16">
        <v>0</v>
      </c>
      <c r="G82" s="16">
        <v>2991.42</v>
      </c>
      <c r="H82" s="16">
        <f t="shared" si="13"/>
        <v>-2991.42</v>
      </c>
      <c r="I82" s="54" t="str">
        <f t="shared" si="14"/>
        <v>N.M.</v>
      </c>
      <c r="J82" s="226"/>
      <c r="K82" s="295">
        <v>348.6</v>
      </c>
      <c r="L82" s="16">
        <f t="shared" si="15"/>
        <v>-348.6</v>
      </c>
      <c r="M82" s="54" t="str">
        <f t="shared" si="16"/>
        <v>N.M.</v>
      </c>
    </row>
    <row r="83" spans="1:13" s="15" customFormat="1" ht="12.75" hidden="1" outlineLevel="2">
      <c r="A83" s="15" t="s">
        <v>463</v>
      </c>
      <c r="B83" s="15" t="s">
        <v>464</v>
      </c>
      <c r="C83" s="164" t="s">
        <v>465</v>
      </c>
      <c r="D83" s="16"/>
      <c r="E83" s="16"/>
      <c r="F83" s="16">
        <v>794123.81</v>
      </c>
      <c r="G83" s="16">
        <v>847581.67</v>
      </c>
      <c r="H83" s="16">
        <f t="shared" si="13"/>
        <v>-53457.859999999986</v>
      </c>
      <c r="I83" s="54">
        <f t="shared" si="14"/>
        <v>-0.0630710430535856</v>
      </c>
      <c r="J83" s="226"/>
      <c r="K83" s="295">
        <v>571942.26</v>
      </c>
      <c r="L83" s="16">
        <f t="shared" si="15"/>
        <v>222181.55000000005</v>
      </c>
      <c r="M83" s="54">
        <f t="shared" si="16"/>
        <v>0.38846849680245704</v>
      </c>
    </row>
    <row r="84" spans="1:13" s="15" customFormat="1" ht="12.75" hidden="1" outlineLevel="2">
      <c r="A84" s="15" t="s">
        <v>466</v>
      </c>
      <c r="B84" s="15" t="s">
        <v>467</v>
      </c>
      <c r="C84" s="164" t="s">
        <v>468</v>
      </c>
      <c r="D84" s="16"/>
      <c r="E84" s="16"/>
      <c r="F84" s="16">
        <v>9036</v>
      </c>
      <c r="G84" s="16">
        <v>13524</v>
      </c>
      <c r="H84" s="16">
        <f t="shared" si="13"/>
        <v>-4488</v>
      </c>
      <c r="I84" s="54">
        <f t="shared" si="14"/>
        <v>-0.3318544809228039</v>
      </c>
      <c r="J84" s="226"/>
      <c r="K84" s="295">
        <v>9036</v>
      </c>
      <c r="L84" s="16">
        <f t="shared" si="15"/>
        <v>0</v>
      </c>
      <c r="M84" s="54">
        <f t="shared" si="16"/>
        <v>0</v>
      </c>
    </row>
    <row r="85" spans="1:13" s="15" customFormat="1" ht="12.75" hidden="1" outlineLevel="2">
      <c r="A85" s="15" t="s">
        <v>469</v>
      </c>
      <c r="B85" s="15" t="s">
        <v>470</v>
      </c>
      <c r="C85" s="164" t="s">
        <v>471</v>
      </c>
      <c r="D85" s="16"/>
      <c r="E85" s="16"/>
      <c r="F85" s="16">
        <v>-33850958.31</v>
      </c>
      <c r="G85" s="16">
        <v>-29287886.64</v>
      </c>
      <c r="H85" s="16">
        <f t="shared" si="13"/>
        <v>-4563071.670000002</v>
      </c>
      <c r="I85" s="54">
        <f t="shared" si="14"/>
        <v>-0.1558006463931056</v>
      </c>
      <c r="J85" s="226"/>
      <c r="K85" s="295">
        <v>-24943544.66</v>
      </c>
      <c r="L85" s="16">
        <f t="shared" si="15"/>
        <v>-8907413.650000002</v>
      </c>
      <c r="M85" s="54">
        <f t="shared" si="16"/>
        <v>-0.35710296076259446</v>
      </c>
    </row>
    <row r="86" spans="1:13" s="15" customFormat="1" ht="12.75" hidden="1" outlineLevel="2">
      <c r="A86" s="15" t="s">
        <v>472</v>
      </c>
      <c r="B86" s="15" t="s">
        <v>473</v>
      </c>
      <c r="C86" s="164" t="s">
        <v>474</v>
      </c>
      <c r="D86" s="16"/>
      <c r="E86" s="16"/>
      <c r="F86" s="16">
        <v>9764828.472</v>
      </c>
      <c r="G86" s="16">
        <v>10566875.805</v>
      </c>
      <c r="H86" s="16">
        <f t="shared" si="13"/>
        <v>-802047.3330000006</v>
      </c>
      <c r="I86" s="54">
        <f t="shared" si="14"/>
        <v>-0.07590203081789704</v>
      </c>
      <c r="J86" s="226"/>
      <c r="K86" s="295">
        <v>7687473.434</v>
      </c>
      <c r="L86" s="16">
        <f t="shared" si="15"/>
        <v>2077355.0379999988</v>
      </c>
      <c r="M86" s="54">
        <f t="shared" si="16"/>
        <v>0.270225979424178</v>
      </c>
    </row>
    <row r="87" spans="1:13" s="15" customFormat="1" ht="12.75" hidden="1" outlineLevel="2">
      <c r="A87" s="15" t="s">
        <v>475</v>
      </c>
      <c r="B87" s="15" t="s">
        <v>476</v>
      </c>
      <c r="C87" s="164" t="s">
        <v>477</v>
      </c>
      <c r="D87" s="16"/>
      <c r="E87" s="16"/>
      <c r="F87" s="16">
        <v>327368.44</v>
      </c>
      <c r="G87" s="16">
        <v>1154129.45</v>
      </c>
      <c r="H87" s="16">
        <f t="shared" si="13"/>
        <v>-826761.01</v>
      </c>
      <c r="I87" s="54">
        <f t="shared" si="14"/>
        <v>-0.7163503279463149</v>
      </c>
      <c r="J87" s="226"/>
      <c r="K87" s="295">
        <v>462470.81</v>
      </c>
      <c r="L87" s="16">
        <f t="shared" si="15"/>
        <v>-135102.37</v>
      </c>
      <c r="M87" s="54">
        <f t="shared" si="16"/>
        <v>-0.2921316698885277</v>
      </c>
    </row>
    <row r="88" spans="1:13" s="15" customFormat="1" ht="12.75" hidden="1" outlineLevel="2">
      <c r="A88" s="15" t="s">
        <v>478</v>
      </c>
      <c r="B88" s="15" t="s">
        <v>479</v>
      </c>
      <c r="C88" s="164" t="s">
        <v>480</v>
      </c>
      <c r="D88" s="16"/>
      <c r="E88" s="16"/>
      <c r="F88" s="16">
        <v>0</v>
      </c>
      <c r="G88" s="16">
        <v>252</v>
      </c>
      <c r="H88" s="16">
        <f t="shared" si="13"/>
        <v>-252</v>
      </c>
      <c r="I88" s="54" t="str">
        <f t="shared" si="14"/>
        <v>N.M.</v>
      </c>
      <c r="J88" s="226"/>
      <c r="K88" s="295">
        <v>948303</v>
      </c>
      <c r="L88" s="16">
        <f t="shared" si="15"/>
        <v>-948303</v>
      </c>
      <c r="M88" s="54" t="str">
        <f t="shared" si="16"/>
        <v>N.M.</v>
      </c>
    </row>
    <row r="89" spans="1:13" s="15" customFormat="1" ht="12.75" hidden="1" outlineLevel="2">
      <c r="A89" s="15" t="s">
        <v>481</v>
      </c>
      <c r="B89" s="15" t="s">
        <v>482</v>
      </c>
      <c r="C89" s="164" t="s">
        <v>483</v>
      </c>
      <c r="D89" s="16"/>
      <c r="E89" s="16"/>
      <c r="F89" s="16">
        <v>184.65</v>
      </c>
      <c r="G89" s="16">
        <v>-173.66</v>
      </c>
      <c r="H89" s="16">
        <f t="shared" si="13"/>
        <v>358.31</v>
      </c>
      <c r="I89" s="54">
        <f t="shared" si="14"/>
        <v>2.063284579062536</v>
      </c>
      <c r="J89" s="226"/>
      <c r="K89" s="295">
        <v>0</v>
      </c>
      <c r="L89" s="16">
        <f t="shared" si="15"/>
        <v>184.65</v>
      </c>
      <c r="M89" s="54" t="str">
        <f t="shared" si="16"/>
        <v>N.M.</v>
      </c>
    </row>
    <row r="90" spans="1:13" s="15" customFormat="1" ht="12.75" hidden="1" outlineLevel="2">
      <c r="A90" s="15" t="s">
        <v>484</v>
      </c>
      <c r="B90" s="15" t="s">
        <v>485</v>
      </c>
      <c r="C90" s="164" t="s">
        <v>486</v>
      </c>
      <c r="D90" s="16"/>
      <c r="E90" s="16"/>
      <c r="F90" s="16">
        <v>631613.93</v>
      </c>
      <c r="G90" s="16">
        <v>0</v>
      </c>
      <c r="H90" s="16">
        <f t="shared" si="13"/>
        <v>631613.93</v>
      </c>
      <c r="I90" s="54" t="str">
        <f t="shared" si="14"/>
        <v>N.M.</v>
      </c>
      <c r="J90" s="226"/>
      <c r="K90" s="295">
        <v>0</v>
      </c>
      <c r="L90" s="16">
        <f t="shared" si="15"/>
        <v>631613.93</v>
      </c>
      <c r="M90" s="54" t="str">
        <f t="shared" si="16"/>
        <v>N.M.</v>
      </c>
    </row>
    <row r="91" spans="1:13" s="15" customFormat="1" ht="12.75" hidden="1" outlineLevel="2">
      <c r="A91" s="15" t="s">
        <v>487</v>
      </c>
      <c r="B91" s="15" t="s">
        <v>488</v>
      </c>
      <c r="C91" s="164" t="s">
        <v>489</v>
      </c>
      <c r="D91" s="16"/>
      <c r="E91" s="16"/>
      <c r="F91" s="16">
        <v>5068192</v>
      </c>
      <c r="G91" s="16">
        <v>5567424.5</v>
      </c>
      <c r="H91" s="16">
        <f t="shared" si="13"/>
        <v>-499232.5</v>
      </c>
      <c r="I91" s="54">
        <f t="shared" si="14"/>
        <v>-0.08967027752239837</v>
      </c>
      <c r="J91" s="226"/>
      <c r="K91" s="295">
        <v>648202</v>
      </c>
      <c r="L91" s="16">
        <f t="shared" si="15"/>
        <v>4419990</v>
      </c>
      <c r="M91" s="54">
        <f t="shared" si="16"/>
        <v>6.818846594117266</v>
      </c>
    </row>
    <row r="92" spans="1:13" s="15" customFormat="1" ht="12.75" hidden="1" outlineLevel="2">
      <c r="A92" s="15" t="s">
        <v>490</v>
      </c>
      <c r="B92" s="15" t="s">
        <v>491</v>
      </c>
      <c r="C92" s="164" t="s">
        <v>492</v>
      </c>
      <c r="D92" s="16"/>
      <c r="E92" s="16"/>
      <c r="F92" s="16">
        <v>2855620.191</v>
      </c>
      <c r="G92" s="16">
        <v>0</v>
      </c>
      <c r="H92" s="16">
        <f t="shared" si="13"/>
        <v>2855620.191</v>
      </c>
      <c r="I92" s="54" t="str">
        <f t="shared" si="14"/>
        <v>N.M.</v>
      </c>
      <c r="J92" s="226"/>
      <c r="K92" s="295">
        <v>0</v>
      </c>
      <c r="L92" s="16">
        <f t="shared" si="15"/>
        <v>2855620.191</v>
      </c>
      <c r="M92" s="54" t="str">
        <f t="shared" si="16"/>
        <v>N.M.</v>
      </c>
    </row>
    <row r="93" spans="1:13" s="15" customFormat="1" ht="12.75" hidden="1" outlineLevel="2">
      <c r="A93" s="15" t="s">
        <v>493</v>
      </c>
      <c r="B93" s="15" t="s">
        <v>494</v>
      </c>
      <c r="C93" s="164" t="s">
        <v>495</v>
      </c>
      <c r="D93" s="16"/>
      <c r="E93" s="16"/>
      <c r="F93" s="16">
        <v>223085.89</v>
      </c>
      <c r="G93" s="16">
        <v>0</v>
      </c>
      <c r="H93" s="16">
        <f t="shared" si="13"/>
        <v>223085.89</v>
      </c>
      <c r="I93" s="54" t="str">
        <f t="shared" si="14"/>
        <v>N.M.</v>
      </c>
      <c r="J93" s="226"/>
      <c r="K93" s="295">
        <v>0</v>
      </c>
      <c r="L93" s="16">
        <f t="shared" si="15"/>
        <v>223085.89</v>
      </c>
      <c r="M93" s="54" t="str">
        <f t="shared" si="16"/>
        <v>N.M.</v>
      </c>
    </row>
    <row r="94" spans="1:13" s="15" customFormat="1" ht="12.75" hidden="1" outlineLevel="2">
      <c r="A94" s="15" t="s">
        <v>496</v>
      </c>
      <c r="B94" s="15" t="s">
        <v>497</v>
      </c>
      <c r="C94" s="164" t="s">
        <v>498</v>
      </c>
      <c r="D94" s="16"/>
      <c r="E94" s="16"/>
      <c r="F94" s="16">
        <v>139262.56</v>
      </c>
      <c r="G94" s="16">
        <v>0</v>
      </c>
      <c r="H94" s="16">
        <f t="shared" si="13"/>
        <v>139262.56</v>
      </c>
      <c r="I94" s="54" t="str">
        <f t="shared" si="14"/>
        <v>N.M.</v>
      </c>
      <c r="J94" s="226"/>
      <c r="K94" s="295">
        <v>0</v>
      </c>
      <c r="L94" s="16">
        <f t="shared" si="15"/>
        <v>139262.56</v>
      </c>
      <c r="M94" s="54" t="str">
        <f t="shared" si="16"/>
        <v>N.M.</v>
      </c>
    </row>
    <row r="95" spans="1:13" s="15" customFormat="1" ht="12.75" hidden="1" outlineLevel="2">
      <c r="A95" s="15" t="s">
        <v>499</v>
      </c>
      <c r="B95" s="15" t="s">
        <v>500</v>
      </c>
      <c r="C95" s="164" t="s">
        <v>501</v>
      </c>
      <c r="D95" s="16"/>
      <c r="E95" s="16"/>
      <c r="F95" s="16">
        <v>21790.94</v>
      </c>
      <c r="G95" s="16">
        <v>0</v>
      </c>
      <c r="H95" s="16">
        <f t="shared" si="13"/>
        <v>21790.94</v>
      </c>
      <c r="I95" s="54" t="str">
        <f t="shared" si="14"/>
        <v>N.M.</v>
      </c>
      <c r="J95" s="226"/>
      <c r="K95" s="295">
        <v>0</v>
      </c>
      <c r="L95" s="16">
        <f t="shared" si="15"/>
        <v>21790.94</v>
      </c>
      <c r="M95" s="54" t="str">
        <f t="shared" si="16"/>
        <v>N.M.</v>
      </c>
    </row>
    <row r="96" spans="1:13" s="68" customFormat="1" ht="12.75" collapsed="1">
      <c r="A96" s="68" t="s">
        <v>152</v>
      </c>
      <c r="B96" s="88"/>
      <c r="C96" s="83" t="s">
        <v>112</v>
      </c>
      <c r="D96" s="67"/>
      <c r="E96" s="67"/>
      <c r="F96" s="141">
        <v>17532620.718999997</v>
      </c>
      <c r="G96" s="141">
        <v>15899003.681000002</v>
      </c>
      <c r="H96" s="141">
        <f>+F96-G96</f>
        <v>1633617.037999995</v>
      </c>
      <c r="I96" s="166">
        <f>IF(G96&lt;0,IF(H96=0,0,IF(OR(G96=0,F96=0),"N.M.",IF(ABS(H96/G96)&gt;=10,"N.M.",H96/(-G96)))),IF(H96=0,0,IF(OR(G96=0,F96=0),"N.M.",IF(ABS(H96/G96)&gt;=10,"N.M.",H96/G96))))</f>
        <v>0.10274964839163087</v>
      </c>
      <c r="J96" s="208"/>
      <c r="K96" s="183">
        <v>13069005.580000004</v>
      </c>
      <c r="L96" s="141">
        <f>+F96-K96</f>
        <v>4463615.138999993</v>
      </c>
      <c r="M96" s="166">
        <f>IF(K96&lt;0,IF(L96=0,0,IF(OR(K96=0,F96=0),"N.M.",IF(ABS(L96/K96)&gt;=10,"N.M.",L96/(-K96)))),IF(L96=0,0,IF(OR(K96=0,F96=0),"N.M.",IF(ABS(L96/K96)&gt;=10,"N.M.",L96/K96))))</f>
        <v>0.34154206390659386</v>
      </c>
    </row>
    <row r="97" spans="2:13" s="68" customFormat="1" ht="0.75" customHeight="1" hidden="1" outlineLevel="1">
      <c r="B97" s="88"/>
      <c r="C97" s="83"/>
      <c r="D97" s="67"/>
      <c r="E97" s="67"/>
      <c r="F97" s="141"/>
      <c r="G97" s="141"/>
      <c r="H97" s="141"/>
      <c r="I97" s="166"/>
      <c r="J97" s="208"/>
      <c r="K97" s="183"/>
      <c r="L97" s="141"/>
      <c r="M97" s="166"/>
    </row>
    <row r="98" spans="1:13" s="15" customFormat="1" ht="12.75" hidden="1" outlineLevel="2">
      <c r="A98" s="15" t="s">
        <v>502</v>
      </c>
      <c r="B98" s="15" t="s">
        <v>503</v>
      </c>
      <c r="C98" s="164" t="s">
        <v>504</v>
      </c>
      <c r="D98" s="16"/>
      <c r="E98" s="16"/>
      <c r="F98" s="16">
        <v>424.93</v>
      </c>
      <c r="G98" s="16">
        <v>7182</v>
      </c>
      <c r="H98" s="16">
        <f aca="true" t="shared" si="17" ref="H98:H113">+F98-G98</f>
        <v>-6757.07</v>
      </c>
      <c r="I98" s="54">
        <f aca="true" t="shared" si="18" ref="I98:I113">IF(G98&lt;0,IF(H98=0,0,IF(OR(G98=0,F98=0),"N.M.",IF(ABS(H98/G98)&gt;=10,"N.M.",H98/(-G98)))),IF(H98=0,0,IF(OR(G98=0,F98=0),"N.M.",IF(ABS(H98/G98)&gt;=10,"N.M.",H98/G98))))</f>
        <v>-0.94083402951824</v>
      </c>
      <c r="J98" s="226"/>
      <c r="K98" s="295">
        <v>0</v>
      </c>
      <c r="L98" s="16">
        <f aca="true" t="shared" si="19" ref="L98:L113">+F98-K98</f>
        <v>424.93</v>
      </c>
      <c r="M98" s="54" t="str">
        <f aca="true" t="shared" si="20" ref="M98:M113">IF(K98&lt;0,IF(L98=0,0,IF(OR(K98=0,F98=0),"N.M.",IF(ABS(L98/K98)&gt;=10,"N.M.",L98/(-K98)))),IF(L98=0,0,IF(OR(K98=0,F98=0),"N.M.",IF(ABS(L98/K98)&gt;=10,"N.M.",L98/K98))))</f>
        <v>N.M.</v>
      </c>
    </row>
    <row r="99" spans="1:13" s="15" customFormat="1" ht="12.75" hidden="1" outlineLevel="2">
      <c r="A99" s="15" t="s">
        <v>505</v>
      </c>
      <c r="B99" s="15" t="s">
        <v>506</v>
      </c>
      <c r="C99" s="164" t="s">
        <v>507</v>
      </c>
      <c r="D99" s="16"/>
      <c r="E99" s="16"/>
      <c r="F99" s="16">
        <v>0</v>
      </c>
      <c r="G99" s="16">
        <v>252751.34</v>
      </c>
      <c r="H99" s="16">
        <f t="shared" si="17"/>
        <v>-252751.34</v>
      </c>
      <c r="I99" s="54" t="str">
        <f t="shared" si="18"/>
        <v>N.M.</v>
      </c>
      <c r="J99" s="226"/>
      <c r="K99" s="295">
        <v>325656.03</v>
      </c>
      <c r="L99" s="16">
        <f t="shared" si="19"/>
        <v>-325656.03</v>
      </c>
      <c r="M99" s="54" t="str">
        <f t="shared" si="20"/>
        <v>N.M.</v>
      </c>
    </row>
    <row r="100" spans="1:13" s="15" customFormat="1" ht="12.75" hidden="1" outlineLevel="2">
      <c r="A100" s="15" t="s">
        <v>508</v>
      </c>
      <c r="B100" s="15" t="s">
        <v>509</v>
      </c>
      <c r="C100" s="164" t="s">
        <v>510</v>
      </c>
      <c r="D100" s="16"/>
      <c r="E100" s="16"/>
      <c r="F100" s="16">
        <v>80722.35</v>
      </c>
      <c r="G100" s="16">
        <v>103647.54000000001</v>
      </c>
      <c r="H100" s="16">
        <f t="shared" si="17"/>
        <v>-22925.190000000002</v>
      </c>
      <c r="I100" s="54">
        <f t="shared" si="18"/>
        <v>-0.221184120722981</v>
      </c>
      <c r="J100" s="226"/>
      <c r="K100" s="295">
        <v>100857.22</v>
      </c>
      <c r="L100" s="16">
        <f t="shared" si="19"/>
        <v>-20134.869999999995</v>
      </c>
      <c r="M100" s="54">
        <f t="shared" si="20"/>
        <v>-0.19963736854932146</v>
      </c>
    </row>
    <row r="101" spans="1:13" s="15" customFormat="1" ht="12.75" hidden="1" outlineLevel="2">
      <c r="A101" s="15" t="s">
        <v>511</v>
      </c>
      <c r="B101" s="15" t="s">
        <v>512</v>
      </c>
      <c r="C101" s="164" t="s">
        <v>513</v>
      </c>
      <c r="D101" s="16"/>
      <c r="E101" s="16"/>
      <c r="F101" s="16">
        <v>2093761.21</v>
      </c>
      <c r="G101" s="16">
        <v>2608184.05</v>
      </c>
      <c r="H101" s="16">
        <f t="shared" si="17"/>
        <v>-514422.83999999985</v>
      </c>
      <c r="I101" s="54">
        <f t="shared" si="18"/>
        <v>-0.1972341024016307</v>
      </c>
      <c r="J101" s="226"/>
      <c r="K101" s="295">
        <v>1865052.0899999999</v>
      </c>
      <c r="L101" s="16">
        <f t="shared" si="19"/>
        <v>228709.1200000001</v>
      </c>
      <c r="M101" s="54">
        <f t="shared" si="20"/>
        <v>0.12262881086608156</v>
      </c>
    </row>
    <row r="102" spans="1:13" s="15" customFormat="1" ht="12.75" hidden="1" outlineLevel="2">
      <c r="A102" s="15" t="s">
        <v>514</v>
      </c>
      <c r="B102" s="15" t="s">
        <v>515</v>
      </c>
      <c r="C102" s="164" t="s">
        <v>516</v>
      </c>
      <c r="D102" s="16"/>
      <c r="E102" s="16"/>
      <c r="F102" s="16">
        <v>62145.6</v>
      </c>
      <c r="G102" s="16">
        <v>86721.90000000001</v>
      </c>
      <c r="H102" s="16">
        <f t="shared" si="17"/>
        <v>-24576.30000000001</v>
      </c>
      <c r="I102" s="54">
        <f t="shared" si="18"/>
        <v>-0.2833920843523955</v>
      </c>
      <c r="J102" s="226"/>
      <c r="K102" s="295">
        <v>83410.65000000001</v>
      </c>
      <c r="L102" s="16">
        <f t="shared" si="19"/>
        <v>-21265.05000000001</v>
      </c>
      <c r="M102" s="54">
        <f t="shared" si="20"/>
        <v>-0.2549440628984429</v>
      </c>
    </row>
    <row r="103" spans="1:13" s="15" customFormat="1" ht="12.75" hidden="1" outlineLevel="2">
      <c r="A103" s="15" t="s">
        <v>517</v>
      </c>
      <c r="B103" s="15" t="s">
        <v>518</v>
      </c>
      <c r="C103" s="164" t="s">
        <v>519</v>
      </c>
      <c r="D103" s="16"/>
      <c r="E103" s="16"/>
      <c r="F103" s="16">
        <v>-99612.264</v>
      </c>
      <c r="G103" s="16">
        <v>-95465.904</v>
      </c>
      <c r="H103" s="16">
        <f t="shared" si="17"/>
        <v>-4146.360000000001</v>
      </c>
      <c r="I103" s="54">
        <f t="shared" si="18"/>
        <v>-0.04343288887726869</v>
      </c>
      <c r="J103" s="226"/>
      <c r="K103" s="295">
        <v>-92404.654</v>
      </c>
      <c r="L103" s="16">
        <f t="shared" si="19"/>
        <v>-7207.610000000001</v>
      </c>
      <c r="M103" s="54">
        <f t="shared" si="20"/>
        <v>-0.0780005085025263</v>
      </c>
    </row>
    <row r="104" spans="1:13" s="15" customFormat="1" ht="12.75" hidden="1" outlineLevel="2">
      <c r="A104" s="15" t="s">
        <v>520</v>
      </c>
      <c r="B104" s="15" t="s">
        <v>521</v>
      </c>
      <c r="C104" s="164" t="s">
        <v>522</v>
      </c>
      <c r="D104" s="16"/>
      <c r="E104" s="16"/>
      <c r="F104" s="16">
        <v>0</v>
      </c>
      <c r="G104" s="16">
        <v>52108.53</v>
      </c>
      <c r="H104" s="16">
        <f t="shared" si="17"/>
        <v>-52108.53</v>
      </c>
      <c r="I104" s="54" t="str">
        <f t="shared" si="18"/>
        <v>N.M.</v>
      </c>
      <c r="J104" s="226"/>
      <c r="K104" s="295">
        <v>2763.16</v>
      </c>
      <c r="L104" s="16">
        <f t="shared" si="19"/>
        <v>-2763.16</v>
      </c>
      <c r="M104" s="54" t="str">
        <f t="shared" si="20"/>
        <v>N.M.</v>
      </c>
    </row>
    <row r="105" spans="1:13" s="15" customFormat="1" ht="12.75" hidden="1" outlineLevel="2">
      <c r="A105" s="15" t="s">
        <v>523</v>
      </c>
      <c r="B105" s="15" t="s">
        <v>524</v>
      </c>
      <c r="C105" s="164" t="s">
        <v>492</v>
      </c>
      <c r="D105" s="16"/>
      <c r="E105" s="16"/>
      <c r="F105" s="16">
        <v>0</v>
      </c>
      <c r="G105" s="16">
        <v>0.004</v>
      </c>
      <c r="H105" s="16">
        <f t="shared" si="17"/>
        <v>-0.004</v>
      </c>
      <c r="I105" s="54" t="str">
        <f t="shared" si="18"/>
        <v>N.M.</v>
      </c>
      <c r="J105" s="226"/>
      <c r="K105" s="295">
        <v>257295.968</v>
      </c>
      <c r="L105" s="16">
        <f t="shared" si="19"/>
        <v>-257295.968</v>
      </c>
      <c r="M105" s="54" t="str">
        <f t="shared" si="20"/>
        <v>N.M.</v>
      </c>
    </row>
    <row r="106" spans="1:13" s="15" customFormat="1" ht="12.75" hidden="1" outlineLevel="2">
      <c r="A106" s="15" t="s">
        <v>525</v>
      </c>
      <c r="B106" s="15" t="s">
        <v>526</v>
      </c>
      <c r="C106" s="164" t="s">
        <v>527</v>
      </c>
      <c r="D106" s="16"/>
      <c r="E106" s="16"/>
      <c r="F106" s="16">
        <v>2410.29</v>
      </c>
      <c r="G106" s="16">
        <v>40.44</v>
      </c>
      <c r="H106" s="16">
        <f t="shared" si="17"/>
        <v>2369.85</v>
      </c>
      <c r="I106" s="54" t="str">
        <f t="shared" si="18"/>
        <v>N.M.</v>
      </c>
      <c r="J106" s="226"/>
      <c r="K106" s="295">
        <v>456.68</v>
      </c>
      <c r="L106" s="16">
        <f t="shared" si="19"/>
        <v>1953.61</v>
      </c>
      <c r="M106" s="54">
        <f t="shared" si="20"/>
        <v>4.2778532013663835</v>
      </c>
    </row>
    <row r="107" spans="1:13" s="15" customFormat="1" ht="12.75" hidden="1" outlineLevel="2">
      <c r="A107" s="15" t="s">
        <v>528</v>
      </c>
      <c r="B107" s="15" t="s">
        <v>529</v>
      </c>
      <c r="C107" s="164" t="s">
        <v>530</v>
      </c>
      <c r="D107" s="16"/>
      <c r="E107" s="16"/>
      <c r="F107" s="16">
        <v>0</v>
      </c>
      <c r="G107" s="16">
        <v>8439.44</v>
      </c>
      <c r="H107" s="16">
        <f t="shared" si="17"/>
        <v>-8439.44</v>
      </c>
      <c r="I107" s="54" t="str">
        <f t="shared" si="18"/>
        <v>N.M.</v>
      </c>
      <c r="J107" s="226"/>
      <c r="K107" s="295">
        <v>278507.72000000003</v>
      </c>
      <c r="L107" s="16">
        <f t="shared" si="19"/>
        <v>-278507.72000000003</v>
      </c>
      <c r="M107" s="54" t="str">
        <f t="shared" si="20"/>
        <v>N.M.</v>
      </c>
    </row>
    <row r="108" spans="1:13" s="15" customFormat="1" ht="12.75" hidden="1" outlineLevel="2">
      <c r="A108" s="15" t="s">
        <v>531</v>
      </c>
      <c r="B108" s="15" t="s">
        <v>532</v>
      </c>
      <c r="C108" s="164" t="s">
        <v>533</v>
      </c>
      <c r="D108" s="16"/>
      <c r="E108" s="16"/>
      <c r="F108" s="16">
        <v>-1815</v>
      </c>
      <c r="G108" s="16">
        <v>0</v>
      </c>
      <c r="H108" s="16">
        <f t="shared" si="17"/>
        <v>-1815</v>
      </c>
      <c r="I108" s="54" t="str">
        <f t="shared" si="18"/>
        <v>N.M.</v>
      </c>
      <c r="J108" s="226"/>
      <c r="K108" s="295">
        <v>0</v>
      </c>
      <c r="L108" s="16">
        <f t="shared" si="19"/>
        <v>-1815</v>
      </c>
      <c r="M108" s="54" t="str">
        <f t="shared" si="20"/>
        <v>N.M.</v>
      </c>
    </row>
    <row r="109" spans="1:13" s="15" customFormat="1" ht="12.75" hidden="1" outlineLevel="2">
      <c r="A109" s="15" t="s">
        <v>534</v>
      </c>
      <c r="B109" s="15" t="s">
        <v>535</v>
      </c>
      <c r="C109" s="164" t="s">
        <v>536</v>
      </c>
      <c r="D109" s="16"/>
      <c r="E109" s="16"/>
      <c r="F109" s="16">
        <v>0</v>
      </c>
      <c r="G109" s="16">
        <v>26744.54</v>
      </c>
      <c r="H109" s="16">
        <f t="shared" si="17"/>
        <v>-26744.54</v>
      </c>
      <c r="I109" s="54" t="str">
        <f t="shared" si="18"/>
        <v>N.M.</v>
      </c>
      <c r="J109" s="226"/>
      <c r="K109" s="295">
        <v>21531.64</v>
      </c>
      <c r="L109" s="16">
        <f t="shared" si="19"/>
        <v>-21531.64</v>
      </c>
      <c r="M109" s="54" t="str">
        <f t="shared" si="20"/>
        <v>N.M.</v>
      </c>
    </row>
    <row r="110" spans="1:13" s="15" customFormat="1" ht="12.75" hidden="1" outlineLevel="2">
      <c r="A110" s="15" t="s">
        <v>537</v>
      </c>
      <c r="B110" s="15" t="s">
        <v>538</v>
      </c>
      <c r="C110" s="164" t="s">
        <v>539</v>
      </c>
      <c r="D110" s="16"/>
      <c r="E110" s="16"/>
      <c r="F110" s="16">
        <v>-92288</v>
      </c>
      <c r="G110" s="16">
        <v>1716000</v>
      </c>
      <c r="H110" s="16">
        <f t="shared" si="17"/>
        <v>-1808288</v>
      </c>
      <c r="I110" s="54">
        <f t="shared" si="18"/>
        <v>-1.0537808857808857</v>
      </c>
      <c r="J110" s="226"/>
      <c r="K110" s="295">
        <v>-634767</v>
      </c>
      <c r="L110" s="16">
        <f t="shared" si="19"/>
        <v>542479</v>
      </c>
      <c r="M110" s="54">
        <f t="shared" si="20"/>
        <v>0.8546112195498505</v>
      </c>
    </row>
    <row r="111" spans="1:13" s="15" customFormat="1" ht="12.75" hidden="1" outlineLevel="2">
      <c r="A111" s="15" t="s">
        <v>540</v>
      </c>
      <c r="B111" s="15" t="s">
        <v>541</v>
      </c>
      <c r="C111" s="164" t="s">
        <v>542</v>
      </c>
      <c r="D111" s="16"/>
      <c r="E111" s="16"/>
      <c r="F111" s="16">
        <v>796514</v>
      </c>
      <c r="G111" s="16">
        <v>0</v>
      </c>
      <c r="H111" s="16">
        <f t="shared" si="17"/>
        <v>796514</v>
      </c>
      <c r="I111" s="54" t="str">
        <f t="shared" si="18"/>
        <v>N.M.</v>
      </c>
      <c r="J111" s="226"/>
      <c r="K111" s="295">
        <v>796514</v>
      </c>
      <c r="L111" s="16">
        <f t="shared" si="19"/>
        <v>0</v>
      </c>
      <c r="M111" s="54">
        <f t="shared" si="20"/>
        <v>0</v>
      </c>
    </row>
    <row r="112" spans="1:13" s="15" customFormat="1" ht="12.75" hidden="1" outlineLevel="2">
      <c r="A112" s="15" t="s">
        <v>543</v>
      </c>
      <c r="B112" s="15" t="s">
        <v>544</v>
      </c>
      <c r="C112" s="164" t="s">
        <v>545</v>
      </c>
      <c r="D112" s="16"/>
      <c r="E112" s="16"/>
      <c r="F112" s="16">
        <v>137084</v>
      </c>
      <c r="G112" s="16">
        <v>0</v>
      </c>
      <c r="H112" s="16">
        <f t="shared" si="17"/>
        <v>137084</v>
      </c>
      <c r="I112" s="54" t="str">
        <f t="shared" si="18"/>
        <v>N.M.</v>
      </c>
      <c r="J112" s="226"/>
      <c r="K112" s="295">
        <v>137084</v>
      </c>
      <c r="L112" s="16">
        <f t="shared" si="19"/>
        <v>0</v>
      </c>
      <c r="M112" s="54">
        <f t="shared" si="20"/>
        <v>0</v>
      </c>
    </row>
    <row r="113" spans="1:13" s="15" customFormat="1" ht="12.75" hidden="1" outlineLevel="2">
      <c r="A113" s="15" t="s">
        <v>546</v>
      </c>
      <c r="B113" s="15" t="s">
        <v>547</v>
      </c>
      <c r="C113" s="164" t="s">
        <v>548</v>
      </c>
      <c r="D113" s="16"/>
      <c r="E113" s="16"/>
      <c r="F113" s="16">
        <v>1241716.85</v>
      </c>
      <c r="G113" s="16">
        <v>1584921.9500000002</v>
      </c>
      <c r="H113" s="16">
        <f t="shared" si="17"/>
        <v>-343205.1000000001</v>
      </c>
      <c r="I113" s="54">
        <f t="shared" si="18"/>
        <v>-0.21654384936747204</v>
      </c>
      <c r="J113" s="226"/>
      <c r="K113" s="295">
        <v>2073414.74</v>
      </c>
      <c r="L113" s="16">
        <f t="shared" si="19"/>
        <v>-831697.8899999999</v>
      </c>
      <c r="M113" s="54">
        <f t="shared" si="20"/>
        <v>-0.40112471178824544</v>
      </c>
    </row>
    <row r="114" spans="1:13" s="68" customFormat="1" ht="12.75" collapsed="1">
      <c r="A114" s="68" t="s">
        <v>153</v>
      </c>
      <c r="B114" s="88"/>
      <c r="C114" s="83" t="s">
        <v>113</v>
      </c>
      <c r="D114" s="67"/>
      <c r="E114" s="67"/>
      <c r="F114" s="141">
        <v>4221063.966</v>
      </c>
      <c r="G114" s="141">
        <v>6351275.829999999</v>
      </c>
      <c r="H114" s="141">
        <f>+F114-G114</f>
        <v>-2130211.863999999</v>
      </c>
      <c r="I114" s="166">
        <f>IF(G114&lt;0,IF(H114=0,0,IF(OR(G114=0,F114=0),"N.M.",IF(ABS(H114/G114)&gt;=10,"N.M.",H114/(-G114)))),IF(H114=0,0,IF(OR(G114=0,F114=0),"N.M.",IF(ABS(H114/G114)&gt;=10,"N.M.",H114/G114))))</f>
        <v>-0.33539904753278516</v>
      </c>
      <c r="J114" s="208"/>
      <c r="K114" s="183">
        <v>5215372.244</v>
      </c>
      <c r="L114" s="141">
        <f>+F114-K114</f>
        <v>-994308.2779999999</v>
      </c>
      <c r="M114" s="166">
        <f>IF(K114&lt;0,IF(L114=0,0,IF(OR(K114=0,F114=0),"N.M.",IF(ABS(L114/K114)&gt;=10,"N.M.",L114/(-K114)))),IF(L114=0,0,IF(OR(K114=0,F114=0),"N.M.",IF(ABS(L114/K114)&gt;=10,"N.M.",L114/K114))))</f>
        <v>-0.1906495320911939</v>
      </c>
    </row>
    <row r="115" spans="2:13" s="68" customFormat="1" ht="0.75" customHeight="1" hidden="1" outlineLevel="1">
      <c r="B115" s="88"/>
      <c r="C115" s="83"/>
      <c r="D115" s="67"/>
      <c r="E115" s="67"/>
      <c r="F115" s="141"/>
      <c r="G115" s="141"/>
      <c r="H115" s="141"/>
      <c r="I115" s="166"/>
      <c r="J115" s="208"/>
      <c r="K115" s="183"/>
      <c r="L115" s="141"/>
      <c r="M115" s="166"/>
    </row>
    <row r="116" spans="1:13" s="15" customFormat="1" ht="12.75" hidden="1" outlineLevel="2">
      <c r="A116" s="15" t="s">
        <v>549</v>
      </c>
      <c r="B116" s="15" t="s">
        <v>550</v>
      </c>
      <c r="C116" s="164" t="s">
        <v>551</v>
      </c>
      <c r="D116" s="16"/>
      <c r="E116" s="16"/>
      <c r="F116" s="16">
        <v>-31647.12</v>
      </c>
      <c r="G116" s="16">
        <v>-30221.64</v>
      </c>
      <c r="H116" s="16">
        <f>+F116-G116</f>
        <v>-1425.4799999999996</v>
      </c>
      <c r="I116" s="54">
        <f>IF(G116&lt;0,IF(H116=0,0,IF(OR(G116=0,F116=0),"N.M.",IF(ABS(H116/G116)&gt;=10,"N.M.",H116/(-G116)))),IF(H116=0,0,IF(OR(G116=0,F116=0),"N.M.",IF(ABS(H116/G116)&gt;=10,"N.M.",H116/G116))))</f>
        <v>-0.04716752631558048</v>
      </c>
      <c r="J116" s="226"/>
      <c r="K116" s="295">
        <v>-22676.54</v>
      </c>
      <c r="L116" s="16">
        <f>+F116-K116</f>
        <v>-8970.579999999998</v>
      </c>
      <c r="M116" s="54">
        <f>IF(K116&lt;0,IF(L116=0,0,IF(OR(K116=0,F116=0),"N.M.",IF(ABS(L116/K116)&gt;=10,"N.M.",L116/(-K116)))),IF(L116=0,0,IF(OR(K116=0,F116=0),"N.M.",IF(ABS(L116/K116)&gt;=10,"N.M.",L116/K116))))</f>
        <v>-0.39558856862643055</v>
      </c>
    </row>
    <row r="117" spans="1:13" s="15" customFormat="1" ht="12.75" hidden="1" outlineLevel="2">
      <c r="A117" s="15" t="s">
        <v>552</v>
      </c>
      <c r="B117" s="15" t="s">
        <v>553</v>
      </c>
      <c r="C117" s="164" t="s">
        <v>554</v>
      </c>
      <c r="D117" s="16"/>
      <c r="E117" s="16"/>
      <c r="F117" s="16">
        <v>-828642.09</v>
      </c>
      <c r="G117" s="16">
        <v>-1121346.15</v>
      </c>
      <c r="H117" s="16">
        <f>+F117-G117</f>
        <v>292704.05999999994</v>
      </c>
      <c r="I117" s="54">
        <f>IF(G117&lt;0,IF(H117=0,0,IF(OR(G117=0,F117=0),"N.M.",IF(ABS(H117/G117)&gt;=10,"N.M.",H117/(-G117)))),IF(H117=0,0,IF(OR(G117=0,F117=0),"N.M.",IF(ABS(H117/G117)&gt;=10,"N.M.",H117/G117))))</f>
        <v>0.2610291746219488</v>
      </c>
      <c r="J117" s="226"/>
      <c r="K117" s="295">
        <v>-828642.09</v>
      </c>
      <c r="L117" s="16">
        <f>+F117-K117</f>
        <v>0</v>
      </c>
      <c r="M117" s="54">
        <f>IF(K117&lt;0,IF(L117=0,0,IF(OR(K117=0,F117=0),"N.M.",IF(ABS(L117/K117)&gt;=10,"N.M.",L117/(-K117)))),IF(L117=0,0,IF(OR(K117=0,F117=0),"N.M.",IF(ABS(L117/K117)&gt;=10,"N.M.",L117/K117))))</f>
        <v>0</v>
      </c>
    </row>
    <row r="118" spans="1:13" s="68" customFormat="1" ht="12.75" collapsed="1">
      <c r="A118" s="68" t="s">
        <v>154</v>
      </c>
      <c r="B118" s="88"/>
      <c r="C118" s="83" t="s">
        <v>114</v>
      </c>
      <c r="D118" s="67"/>
      <c r="E118" s="67"/>
      <c r="F118" s="141">
        <v>-860289.21</v>
      </c>
      <c r="G118" s="141">
        <v>-1151567.7899999998</v>
      </c>
      <c r="H118" s="141">
        <f>+F118-G118</f>
        <v>291278.57999999984</v>
      </c>
      <c r="I118" s="166">
        <f>IF(G118&lt;0,IF(H118=0,0,IF(OR(G118=0,F118=0),"N.M.",IF(ABS(H118/G118)&gt;=10,"N.M.",H118/(-G118)))),IF(H118=0,0,IF(OR(G118=0,F118=0),"N.M.",IF(ABS(H118/G118)&gt;=10,"N.M.",H118/G118))))</f>
        <v>0.25294088852554647</v>
      </c>
      <c r="J118" s="208"/>
      <c r="K118" s="183">
        <v>-851318.63</v>
      </c>
      <c r="L118" s="141">
        <f>+F118-K118</f>
        <v>-8970.579999999958</v>
      </c>
      <c r="M118" s="166">
        <f>IF(K118&lt;0,IF(L118=0,0,IF(OR(K118=0,F118=0),"N.M.",IF(ABS(L118/K118)&gt;=10,"N.M.",L118/(-K118)))),IF(L118=0,0,IF(OR(K118=0,F118=0),"N.M.",IF(ABS(L118/K118)&gt;=10,"N.M.",L118/K118))))</f>
        <v>-0.01053727674208182</v>
      </c>
    </row>
    <row r="119" spans="2:13" s="68" customFormat="1" ht="0.75" customHeight="1" hidden="1" outlineLevel="1">
      <c r="B119" s="88"/>
      <c r="C119" s="83"/>
      <c r="D119" s="67"/>
      <c r="E119" s="67"/>
      <c r="F119" s="141"/>
      <c r="G119" s="141"/>
      <c r="H119" s="141"/>
      <c r="I119" s="166"/>
      <c r="J119" s="208"/>
      <c r="K119" s="183"/>
      <c r="L119" s="141"/>
      <c r="M119" s="166"/>
    </row>
    <row r="120" spans="1:13" s="15" customFormat="1" ht="12.75" hidden="1" outlineLevel="2">
      <c r="A120" s="15" t="s">
        <v>555</v>
      </c>
      <c r="B120" s="15" t="s">
        <v>556</v>
      </c>
      <c r="C120" s="164" t="s">
        <v>557</v>
      </c>
      <c r="D120" s="16"/>
      <c r="E120" s="16"/>
      <c r="F120" s="16">
        <v>2305947.14</v>
      </c>
      <c r="G120" s="16">
        <v>3256328.16</v>
      </c>
      <c r="H120" s="16">
        <f aca="true" t="shared" si="21" ref="H120:H128">+F120-G120</f>
        <v>-950381.02</v>
      </c>
      <c r="I120" s="54">
        <f aca="true" t="shared" si="22" ref="I120:I128">IF(G120&lt;0,IF(H120=0,0,IF(OR(G120=0,F120=0),"N.M.",IF(ABS(H120/G120)&gt;=10,"N.M.",H120/(-G120)))),IF(H120=0,0,IF(OR(G120=0,F120=0),"N.M.",IF(ABS(H120/G120)&gt;=10,"N.M.",H120/G120))))</f>
        <v>-0.2918566475192107</v>
      </c>
      <c r="J120" s="226"/>
      <c r="K120" s="295">
        <v>5069525.01</v>
      </c>
      <c r="L120" s="16">
        <f aca="true" t="shared" si="23" ref="L120:L128">+F120-K120</f>
        <v>-2763577.8699999996</v>
      </c>
      <c r="M120" s="54">
        <f aca="true" t="shared" si="24" ref="M120:M128">IF(K120&lt;0,IF(L120=0,0,IF(OR(K120=0,F120=0),"N.M.",IF(ABS(L120/K120)&gt;=10,"N.M.",L120/(-K120)))),IF(L120=0,0,IF(OR(K120=0,F120=0),"N.M.",IF(ABS(L120/K120)&gt;=10,"N.M.",L120/K120))))</f>
        <v>-0.5451354642789304</v>
      </c>
    </row>
    <row r="121" spans="1:13" s="15" customFormat="1" ht="12.75" hidden="1" outlineLevel="2">
      <c r="A121" s="15" t="s">
        <v>558</v>
      </c>
      <c r="B121" s="15" t="s">
        <v>559</v>
      </c>
      <c r="C121" s="164" t="s">
        <v>560</v>
      </c>
      <c r="D121" s="16"/>
      <c r="E121" s="16"/>
      <c r="F121" s="16">
        <v>405518.06</v>
      </c>
      <c r="G121" s="16">
        <v>448975.642</v>
      </c>
      <c r="H121" s="16">
        <f t="shared" si="21"/>
        <v>-43457.581999999995</v>
      </c>
      <c r="I121" s="54">
        <f t="shared" si="22"/>
        <v>-0.0967927387027379</v>
      </c>
      <c r="J121" s="226"/>
      <c r="K121" s="295">
        <v>542450.892</v>
      </c>
      <c r="L121" s="16">
        <f t="shared" si="23"/>
        <v>-136932.832</v>
      </c>
      <c r="M121" s="54">
        <f t="shared" si="24"/>
        <v>-0.25243360093875555</v>
      </c>
    </row>
    <row r="122" spans="1:13" s="15" customFormat="1" ht="12.75" hidden="1" outlineLevel="2">
      <c r="A122" s="15" t="s">
        <v>561</v>
      </c>
      <c r="B122" s="15" t="s">
        <v>562</v>
      </c>
      <c r="C122" s="164" t="s">
        <v>563</v>
      </c>
      <c r="D122" s="16"/>
      <c r="E122" s="16"/>
      <c r="F122" s="16">
        <v>12162.800000000001</v>
      </c>
      <c r="G122" s="16">
        <v>7269.31</v>
      </c>
      <c r="H122" s="16">
        <f t="shared" si="21"/>
        <v>4893.490000000001</v>
      </c>
      <c r="I122" s="54">
        <f t="shared" si="22"/>
        <v>0.6731711813088176</v>
      </c>
      <c r="J122" s="226"/>
      <c r="K122" s="295">
        <v>0.02</v>
      </c>
      <c r="L122" s="16">
        <f t="shared" si="23"/>
        <v>12162.78</v>
      </c>
      <c r="M122" s="54" t="str">
        <f t="shared" si="24"/>
        <v>N.M.</v>
      </c>
    </row>
    <row r="123" spans="1:13" s="15" customFormat="1" ht="12.75" hidden="1" outlineLevel="2">
      <c r="A123" s="15" t="s">
        <v>564</v>
      </c>
      <c r="B123" s="15" t="s">
        <v>565</v>
      </c>
      <c r="C123" s="164" t="s">
        <v>566</v>
      </c>
      <c r="D123" s="16"/>
      <c r="E123" s="16"/>
      <c r="F123" s="16">
        <v>1466445.59</v>
      </c>
      <c r="G123" s="16">
        <v>1712946.35</v>
      </c>
      <c r="H123" s="16">
        <f t="shared" si="21"/>
        <v>-246500.76</v>
      </c>
      <c r="I123" s="54">
        <f t="shared" si="22"/>
        <v>-0.14390454201907724</v>
      </c>
      <c r="J123" s="226"/>
      <c r="K123" s="295">
        <v>577998.36</v>
      </c>
      <c r="L123" s="16">
        <f t="shared" si="23"/>
        <v>888447.2300000001</v>
      </c>
      <c r="M123" s="54">
        <f t="shared" si="24"/>
        <v>1.5371102956070672</v>
      </c>
    </row>
    <row r="124" spans="1:13" s="15" customFormat="1" ht="12.75" hidden="1" outlineLevel="2">
      <c r="A124" s="15" t="s">
        <v>567</v>
      </c>
      <c r="B124" s="15" t="s">
        <v>568</v>
      </c>
      <c r="C124" s="164" t="s">
        <v>569</v>
      </c>
      <c r="D124" s="16"/>
      <c r="E124" s="16"/>
      <c r="F124" s="16">
        <v>752559</v>
      </c>
      <c r="G124" s="16">
        <v>775815</v>
      </c>
      <c r="H124" s="16">
        <f t="shared" si="21"/>
        <v>-23256</v>
      </c>
      <c r="I124" s="54">
        <f t="shared" si="22"/>
        <v>-0.02997621855725914</v>
      </c>
      <c r="J124" s="226"/>
      <c r="K124" s="295">
        <v>659338</v>
      </c>
      <c r="L124" s="16">
        <f t="shared" si="23"/>
        <v>93221</v>
      </c>
      <c r="M124" s="54">
        <f t="shared" si="24"/>
        <v>0.14138575358920613</v>
      </c>
    </row>
    <row r="125" spans="1:13" s="15" customFormat="1" ht="12.75" hidden="1" outlineLevel="2">
      <c r="A125" s="15" t="s">
        <v>570</v>
      </c>
      <c r="B125" s="15" t="s">
        <v>571</v>
      </c>
      <c r="C125" s="164" t="s">
        <v>572</v>
      </c>
      <c r="D125" s="16"/>
      <c r="E125" s="16"/>
      <c r="F125" s="16">
        <v>0</v>
      </c>
      <c r="G125" s="16">
        <v>0</v>
      </c>
      <c r="H125" s="16">
        <f t="shared" si="21"/>
        <v>0</v>
      </c>
      <c r="I125" s="54">
        <f t="shared" si="22"/>
        <v>0</v>
      </c>
      <c r="J125" s="226"/>
      <c r="K125" s="295">
        <v>833808.62</v>
      </c>
      <c r="L125" s="16">
        <f t="shared" si="23"/>
        <v>-833808.62</v>
      </c>
      <c r="M125" s="54" t="str">
        <f t="shared" si="24"/>
        <v>N.M.</v>
      </c>
    </row>
    <row r="126" spans="1:13" s="15" customFormat="1" ht="12.75" hidden="1" outlineLevel="2">
      <c r="A126" s="15" t="s">
        <v>573</v>
      </c>
      <c r="B126" s="15" t="s">
        <v>574</v>
      </c>
      <c r="C126" s="164" t="s">
        <v>575</v>
      </c>
      <c r="D126" s="16"/>
      <c r="E126" s="16"/>
      <c r="F126" s="16">
        <v>14494.53</v>
      </c>
      <c r="G126" s="16">
        <v>98305.43000000001</v>
      </c>
      <c r="H126" s="16">
        <f t="shared" si="21"/>
        <v>-83810.90000000001</v>
      </c>
      <c r="I126" s="54">
        <f t="shared" si="22"/>
        <v>-0.8525561609363796</v>
      </c>
      <c r="J126" s="226"/>
      <c r="K126" s="295">
        <v>160835.94</v>
      </c>
      <c r="L126" s="16">
        <f t="shared" si="23"/>
        <v>-146341.41</v>
      </c>
      <c r="M126" s="54">
        <f t="shared" si="24"/>
        <v>-0.9098800305454117</v>
      </c>
    </row>
    <row r="127" spans="1:13" s="15" customFormat="1" ht="12.75" hidden="1" outlineLevel="2">
      <c r="A127" s="15" t="s">
        <v>576</v>
      </c>
      <c r="B127" s="15" t="s">
        <v>577</v>
      </c>
      <c r="C127" s="164" t="s">
        <v>578</v>
      </c>
      <c r="D127" s="16"/>
      <c r="E127" s="16"/>
      <c r="F127" s="16">
        <v>20128.04</v>
      </c>
      <c r="G127" s="16">
        <v>19664.46</v>
      </c>
      <c r="H127" s="16">
        <f t="shared" si="21"/>
        <v>463.58000000000175</v>
      </c>
      <c r="I127" s="54">
        <f t="shared" si="22"/>
        <v>0.023574509546664478</v>
      </c>
      <c r="J127" s="226"/>
      <c r="K127" s="295">
        <v>22592.75</v>
      </c>
      <c r="L127" s="16">
        <f t="shared" si="23"/>
        <v>-2464.709999999999</v>
      </c>
      <c r="M127" s="54">
        <f t="shared" si="24"/>
        <v>-0.10909296123756511</v>
      </c>
    </row>
    <row r="128" spans="1:13" s="15" customFormat="1" ht="12.75" hidden="1" outlineLevel="2">
      <c r="A128" s="15" t="s">
        <v>579</v>
      </c>
      <c r="B128" s="15" t="s">
        <v>580</v>
      </c>
      <c r="C128" s="164" t="s">
        <v>581</v>
      </c>
      <c r="D128" s="16"/>
      <c r="E128" s="16"/>
      <c r="F128" s="16">
        <v>0</v>
      </c>
      <c r="G128" s="16">
        <v>375</v>
      </c>
      <c r="H128" s="16">
        <f t="shared" si="21"/>
        <v>-375</v>
      </c>
      <c r="I128" s="54" t="str">
        <f t="shared" si="22"/>
        <v>N.M.</v>
      </c>
      <c r="J128" s="226"/>
      <c r="K128" s="295">
        <v>0</v>
      </c>
      <c r="L128" s="16">
        <f t="shared" si="23"/>
        <v>0</v>
      </c>
      <c r="M128" s="54">
        <f t="shared" si="24"/>
        <v>0</v>
      </c>
    </row>
    <row r="129" spans="1:13" s="68" customFormat="1" ht="12.75" collapsed="1">
      <c r="A129" s="68" t="s">
        <v>155</v>
      </c>
      <c r="B129" s="88"/>
      <c r="C129" s="83" t="s">
        <v>115</v>
      </c>
      <c r="D129" s="67"/>
      <c r="E129" s="67"/>
      <c r="F129" s="141">
        <v>4977255.16</v>
      </c>
      <c r="G129" s="141">
        <v>6319679.352</v>
      </c>
      <c r="H129" s="141">
        <f>+F129-G129</f>
        <v>-1342424.1919999998</v>
      </c>
      <c r="I129" s="166">
        <f>IF(G129&lt;0,IF(H129=0,0,IF(OR(G129=0,F129=0),"N.M.",IF(ABS(H129/G129)&gt;=10,"N.M.",H129/(-G129)))),IF(H129=0,0,IF(OR(G129=0,F129=0),"N.M.",IF(ABS(H129/G129)&gt;=10,"N.M.",H129/G129))))</f>
        <v>-0.21241966834522394</v>
      </c>
      <c r="J129" s="208"/>
      <c r="K129" s="183">
        <v>7866549.592</v>
      </c>
      <c r="L129" s="141">
        <f>+F129-K129</f>
        <v>-2889294.432</v>
      </c>
      <c r="M129" s="166">
        <f>IF(K129&lt;0,IF(L129=0,0,IF(OR(K129=0,F129=0),"N.M.",IF(ABS(L129/K129)&gt;=10,"N.M.",L129/(-K129)))),IF(L129=0,0,IF(OR(K129=0,F129=0),"N.M.",IF(ABS(L129/K129)&gt;=10,"N.M.",L129/K129))))</f>
        <v>-0.3672886566352177</v>
      </c>
    </row>
    <row r="130" spans="2:13" s="68" customFormat="1" ht="0.75" customHeight="1" hidden="1" outlineLevel="1">
      <c r="B130" s="88"/>
      <c r="C130" s="83"/>
      <c r="D130" s="67"/>
      <c r="E130" s="67"/>
      <c r="F130" s="141"/>
      <c r="G130" s="141"/>
      <c r="H130" s="141"/>
      <c r="I130" s="166"/>
      <c r="J130" s="208"/>
      <c r="K130" s="183"/>
      <c r="L130" s="141"/>
      <c r="M130" s="166"/>
    </row>
    <row r="131" spans="1:13" s="15" customFormat="1" ht="12.75" hidden="1" outlineLevel="2">
      <c r="A131" s="15" t="s">
        <v>582</v>
      </c>
      <c r="B131" s="15" t="s">
        <v>583</v>
      </c>
      <c r="C131" s="164" t="s">
        <v>584</v>
      </c>
      <c r="D131" s="16"/>
      <c r="E131" s="16"/>
      <c r="F131" s="16">
        <v>14413295.62</v>
      </c>
      <c r="G131" s="16">
        <v>35295827.96</v>
      </c>
      <c r="H131" s="16">
        <f>+F131-G131</f>
        <v>-20882532.340000004</v>
      </c>
      <c r="I131" s="54">
        <f>IF(G131&lt;0,IF(H131=0,0,IF(OR(G131=0,F131=0),"N.M.",IF(ABS(H131/G131)&gt;=10,"N.M.",H131/(-G131)))),IF(H131=0,0,IF(OR(G131=0,F131=0),"N.M.",IF(ABS(H131/G131)&gt;=10,"N.M.",H131/G131))))</f>
        <v>-0.5916430792802403</v>
      </c>
      <c r="J131" s="226"/>
      <c r="K131" s="295">
        <v>34327550.77</v>
      </c>
      <c r="L131" s="16">
        <f>+F131-K131</f>
        <v>-19914255.150000006</v>
      </c>
      <c r="M131" s="54">
        <f>IF(K131&lt;0,IF(L131=0,0,IF(OR(K131=0,F131=0),"N.M.",IF(ABS(L131/K131)&gt;=10,"N.M.",L131/(-K131)))),IF(L131=0,0,IF(OR(K131=0,F131=0),"N.M.",IF(ABS(L131/K131)&gt;=10,"N.M.",L131/K131))))</f>
        <v>-0.5801245560287319</v>
      </c>
    </row>
    <row r="132" spans="1:13" s="15" customFormat="1" ht="12.75" hidden="1" outlineLevel="2">
      <c r="A132" s="15" t="s">
        <v>585</v>
      </c>
      <c r="B132" s="15" t="s">
        <v>586</v>
      </c>
      <c r="C132" s="164" t="s">
        <v>587</v>
      </c>
      <c r="D132" s="16"/>
      <c r="E132" s="16"/>
      <c r="F132" s="16">
        <v>662558.75</v>
      </c>
      <c r="G132" s="16">
        <v>652618.7000000001</v>
      </c>
      <c r="H132" s="16">
        <f>+F132-G132</f>
        <v>9940.04999999993</v>
      </c>
      <c r="I132" s="54">
        <f>IF(G132&lt;0,IF(H132=0,0,IF(OR(G132=0,F132=0),"N.M.",IF(ABS(H132/G132)&gt;=10,"N.M.",H132/(-G132)))),IF(H132=0,0,IF(OR(G132=0,F132=0),"N.M.",IF(ABS(H132/G132)&gt;=10,"N.M.",H132/G132))))</f>
        <v>0.015231022341223028</v>
      </c>
      <c r="J132" s="226"/>
      <c r="K132" s="295">
        <v>639780.39</v>
      </c>
      <c r="L132" s="16">
        <f>+F132-K132</f>
        <v>22778.359999999986</v>
      </c>
      <c r="M132" s="54">
        <f>IF(K132&lt;0,IF(L132=0,0,IF(OR(K132=0,F132=0),"N.M.",IF(ABS(L132/K132)&gt;=10,"N.M.",L132/(-K132)))),IF(L132=0,0,IF(OR(K132=0,F132=0),"N.M.",IF(ABS(L132/K132)&gt;=10,"N.M.",L132/K132))))</f>
        <v>0.035603404474463474</v>
      </c>
    </row>
    <row r="133" spans="1:13" s="15" customFormat="1" ht="12.75" hidden="1" outlineLevel="2">
      <c r="A133" s="15" t="s">
        <v>588</v>
      </c>
      <c r="B133" s="15" t="s">
        <v>589</v>
      </c>
      <c r="C133" s="164" t="s">
        <v>590</v>
      </c>
      <c r="D133" s="16"/>
      <c r="E133" s="16"/>
      <c r="F133" s="16">
        <v>0</v>
      </c>
      <c r="G133" s="16">
        <v>791132.55</v>
      </c>
      <c r="H133" s="16">
        <f>+F133-G133</f>
        <v>-791132.55</v>
      </c>
      <c r="I133" s="54" t="str">
        <f>IF(G133&lt;0,IF(H133=0,0,IF(OR(G133=0,F133=0),"N.M.",IF(ABS(H133/G133)&gt;=10,"N.M.",H133/(-G133)))),IF(H133=0,0,IF(OR(G133=0,F133=0),"N.M.",IF(ABS(H133/G133)&gt;=10,"N.M.",H133/G133))))</f>
        <v>N.M.</v>
      </c>
      <c r="J133" s="226"/>
      <c r="K133" s="295">
        <v>547553.3</v>
      </c>
      <c r="L133" s="16">
        <f>+F133-K133</f>
        <v>-547553.3</v>
      </c>
      <c r="M133" s="54" t="str">
        <f>IF(K133&lt;0,IF(L133=0,0,IF(OR(K133=0,F133=0),"N.M.",IF(ABS(L133/K133)&gt;=10,"N.M.",L133/(-K133)))),IF(L133=0,0,IF(OR(K133=0,F133=0),"N.M.",IF(ABS(L133/K133)&gt;=10,"N.M.",L133/K133))))</f>
        <v>N.M.</v>
      </c>
    </row>
    <row r="134" spans="1:13" s="15" customFormat="1" ht="12.75" hidden="1" outlineLevel="2">
      <c r="A134" s="15" t="s">
        <v>591</v>
      </c>
      <c r="B134" s="15" t="s">
        <v>592</v>
      </c>
      <c r="C134" s="164" t="s">
        <v>593</v>
      </c>
      <c r="D134" s="16"/>
      <c r="E134" s="16"/>
      <c r="F134" s="16">
        <v>390472.13</v>
      </c>
      <c r="G134" s="16">
        <v>490671.44</v>
      </c>
      <c r="H134" s="16">
        <f>+F134-G134</f>
        <v>-100199.31</v>
      </c>
      <c r="I134" s="54">
        <f>IF(G134&lt;0,IF(H134=0,0,IF(OR(G134=0,F134=0),"N.M.",IF(ABS(H134/G134)&gt;=10,"N.M.",H134/(-G134)))),IF(H134=0,0,IF(OR(G134=0,F134=0),"N.M.",IF(ABS(H134/G134)&gt;=10,"N.M.",H134/G134))))</f>
        <v>-0.20420856367755988</v>
      </c>
      <c r="J134" s="226"/>
      <c r="K134" s="295">
        <v>652947.63</v>
      </c>
      <c r="L134" s="16">
        <f>+F134-K134</f>
        <v>-262475.5</v>
      </c>
      <c r="M134" s="54">
        <f>IF(K134&lt;0,IF(L134=0,0,IF(OR(K134=0,F134=0),"N.M.",IF(ABS(L134/K134)&gt;=10,"N.M.",L134/(-K134)))),IF(L134=0,0,IF(OR(K134=0,F134=0),"N.M.",IF(ABS(L134/K134)&gt;=10,"N.M.",L134/K134))))</f>
        <v>-0.4019855313664283</v>
      </c>
    </row>
    <row r="135" spans="1:13" s="68" customFormat="1" ht="12.75" collapsed="1">
      <c r="A135" s="68" t="s">
        <v>137</v>
      </c>
      <c r="B135" s="88"/>
      <c r="C135" s="83" t="s">
        <v>116</v>
      </c>
      <c r="D135" s="67"/>
      <c r="E135" s="67"/>
      <c r="F135" s="141">
        <v>15466326.5</v>
      </c>
      <c r="G135" s="141">
        <v>37230250.65</v>
      </c>
      <c r="H135" s="141">
        <f>+F135-G135</f>
        <v>-21763924.15</v>
      </c>
      <c r="I135" s="166">
        <f>IF(G135&lt;0,IF(H135=0,0,IF(OR(G135=0,F135=0),"N.M.",IF(ABS(H135/G135)&gt;=10,"N.M.",H135/(-G135)))),IF(H135=0,0,IF(OR(G135=0,F135=0),"N.M.",IF(ABS(H135/G135)&gt;=10,"N.M.",H135/G135))))</f>
        <v>-0.5845763531006472</v>
      </c>
      <c r="J135" s="208"/>
      <c r="K135" s="183">
        <v>36167832.09</v>
      </c>
      <c r="L135" s="141">
        <f>+F135-K135</f>
        <v>-20701505.590000004</v>
      </c>
      <c r="M135" s="166">
        <f>IF(K135&lt;0,IF(L135=0,0,IF(OR(K135=0,F135=0),"N.M.",IF(ABS(L135/K135)&gt;=10,"N.M.",L135/(-K135)))),IF(L135=0,0,IF(OR(K135=0,F135=0),"N.M.",IF(ABS(L135/K135)&gt;=10,"N.M.",L135/K135))))</f>
        <v>-0.5723734156497519</v>
      </c>
    </row>
    <row r="136" spans="2:13" s="68" customFormat="1" ht="0.75" customHeight="1" outlineLevel="1">
      <c r="B136" s="88"/>
      <c r="C136" s="83"/>
      <c r="D136" s="67"/>
      <c r="E136" s="67"/>
      <c r="F136" s="141"/>
      <c r="G136" s="141"/>
      <c r="H136" s="141"/>
      <c r="I136" s="166"/>
      <c r="J136" s="208"/>
      <c r="K136" s="183"/>
      <c r="L136" s="141"/>
      <c r="M136" s="166"/>
    </row>
    <row r="137" spans="1:13" s="15" customFormat="1" ht="12.75" hidden="1" outlineLevel="2">
      <c r="A137" s="15" t="s">
        <v>594</v>
      </c>
      <c r="B137" s="15" t="s">
        <v>595</v>
      </c>
      <c r="C137" s="164" t="s">
        <v>596</v>
      </c>
      <c r="D137" s="16"/>
      <c r="E137" s="16"/>
      <c r="F137" s="16">
        <v>10560590.44</v>
      </c>
      <c r="G137" s="16">
        <v>9868760.67</v>
      </c>
      <c r="H137" s="16">
        <f aca="true" t="shared" si="25" ref="H137:H148">+F137-G137</f>
        <v>691829.7699999996</v>
      </c>
      <c r="I137" s="54">
        <f aca="true" t="shared" si="26" ref="I137:I148">IF(G137&lt;0,IF(H137=0,0,IF(OR(G137=0,F137=0),"N.M.",IF(ABS(H137/G137)&gt;=10,"N.M.",H137/(-G137)))),IF(H137=0,0,IF(OR(G137=0,F137=0),"N.M.",IF(ABS(H137/G137)&gt;=10,"N.M.",H137/G137))))</f>
        <v>0.0701030041292915</v>
      </c>
      <c r="J137" s="226"/>
      <c r="K137" s="295">
        <v>10099972.28</v>
      </c>
      <c r="L137" s="16">
        <f aca="true" t="shared" si="27" ref="L137:L148">+F137-K137</f>
        <v>460618.16000000015</v>
      </c>
      <c r="M137" s="54">
        <f aca="true" t="shared" si="28" ref="M137:M148">IF(K137&lt;0,IF(L137=0,0,IF(OR(K137=0,F137=0),"N.M.",IF(ABS(L137/K137)&gt;=10,"N.M.",L137/(-K137)))),IF(L137=0,0,IF(OR(K137=0,F137=0),"N.M.",IF(ABS(L137/K137)&gt;=10,"N.M.",L137/K137))))</f>
        <v>0.04560588358367259</v>
      </c>
    </row>
    <row r="138" spans="1:13" s="15" customFormat="1" ht="12.75" hidden="1" outlineLevel="2">
      <c r="A138" s="15" t="s">
        <v>597</v>
      </c>
      <c r="B138" s="15" t="s">
        <v>598</v>
      </c>
      <c r="C138" s="164" t="s">
        <v>599</v>
      </c>
      <c r="D138" s="16"/>
      <c r="E138" s="16"/>
      <c r="F138" s="16">
        <v>36560.007</v>
      </c>
      <c r="G138" s="16">
        <v>46819.887</v>
      </c>
      <c r="H138" s="16">
        <f t="shared" si="25"/>
        <v>-10259.880000000005</v>
      </c>
      <c r="I138" s="54">
        <f t="shared" si="26"/>
        <v>-0.2191350867634517</v>
      </c>
      <c r="J138" s="226"/>
      <c r="K138" s="295">
        <v>42091.137</v>
      </c>
      <c r="L138" s="16">
        <f t="shared" si="27"/>
        <v>-5531.130000000005</v>
      </c>
      <c r="M138" s="54">
        <f t="shared" si="28"/>
        <v>-0.13140842453364954</v>
      </c>
    </row>
    <row r="139" spans="1:13" s="15" customFormat="1" ht="12.75" hidden="1" outlineLevel="2">
      <c r="A139" s="15" t="s">
        <v>600</v>
      </c>
      <c r="B139" s="15" t="s">
        <v>601</v>
      </c>
      <c r="C139" s="164" t="s">
        <v>602</v>
      </c>
      <c r="D139" s="16"/>
      <c r="E139" s="16"/>
      <c r="F139" s="16">
        <v>82549.59</v>
      </c>
      <c r="G139" s="16">
        <v>198377.62</v>
      </c>
      <c r="H139" s="16">
        <f t="shared" si="25"/>
        <v>-115828.03</v>
      </c>
      <c r="I139" s="54">
        <f t="shared" si="26"/>
        <v>-0.5838764977621972</v>
      </c>
      <c r="J139" s="226"/>
      <c r="K139" s="295">
        <v>186731.99</v>
      </c>
      <c r="L139" s="16">
        <f t="shared" si="27"/>
        <v>-104182.4</v>
      </c>
      <c r="M139" s="54">
        <f t="shared" si="28"/>
        <v>-0.5579247562241477</v>
      </c>
    </row>
    <row r="140" spans="1:13" s="15" customFormat="1" ht="12.75" hidden="1" outlineLevel="2">
      <c r="A140" s="15" t="s">
        <v>603</v>
      </c>
      <c r="B140" s="15" t="s">
        <v>604</v>
      </c>
      <c r="C140" s="164" t="s">
        <v>605</v>
      </c>
      <c r="D140" s="16"/>
      <c r="E140" s="16"/>
      <c r="F140" s="16">
        <v>65975.64</v>
      </c>
      <c r="G140" s="16">
        <v>47100.450000000004</v>
      </c>
      <c r="H140" s="16">
        <f t="shared" si="25"/>
        <v>18875.189999999995</v>
      </c>
      <c r="I140" s="54">
        <f t="shared" si="26"/>
        <v>0.40074330500027056</v>
      </c>
      <c r="J140" s="226"/>
      <c r="K140" s="295">
        <v>47100.450000000004</v>
      </c>
      <c r="L140" s="16">
        <f t="shared" si="27"/>
        <v>18875.189999999995</v>
      </c>
      <c r="M140" s="54">
        <f t="shared" si="28"/>
        <v>0.40074330500027056</v>
      </c>
    </row>
    <row r="141" spans="1:13" s="15" customFormat="1" ht="12.75" hidden="1" outlineLevel="2">
      <c r="A141" s="15" t="s">
        <v>606</v>
      </c>
      <c r="B141" s="15" t="s">
        <v>607</v>
      </c>
      <c r="C141" s="164" t="s">
        <v>608</v>
      </c>
      <c r="D141" s="16"/>
      <c r="E141" s="16"/>
      <c r="F141" s="16">
        <v>919170.79</v>
      </c>
      <c r="G141" s="16">
        <v>455948.28</v>
      </c>
      <c r="H141" s="16">
        <f t="shared" si="25"/>
        <v>463222.51</v>
      </c>
      <c r="I141" s="54">
        <f t="shared" si="26"/>
        <v>1.0159540682991501</v>
      </c>
      <c r="J141" s="226"/>
      <c r="K141" s="295">
        <v>776458.16</v>
      </c>
      <c r="L141" s="16">
        <f t="shared" si="27"/>
        <v>142712.63</v>
      </c>
      <c r="M141" s="54">
        <f t="shared" si="28"/>
        <v>0.1837995108455039</v>
      </c>
    </row>
    <row r="142" spans="1:13" s="68" customFormat="1" ht="12.75" outlineLevel="1" collapsed="1">
      <c r="A142" s="87" t="s">
        <v>138</v>
      </c>
      <c r="B142" s="88"/>
      <c r="C142" s="84" t="s">
        <v>133</v>
      </c>
      <c r="D142" s="67"/>
      <c r="E142" s="67"/>
      <c r="F142" s="141">
        <v>11664846.467</v>
      </c>
      <c r="G142" s="141">
        <v>10617006.906999998</v>
      </c>
      <c r="H142" s="141">
        <f t="shared" si="25"/>
        <v>1047839.5600000024</v>
      </c>
      <c r="I142" s="166">
        <f t="shared" si="26"/>
        <v>0.09869444083239143</v>
      </c>
      <c r="J142" s="208"/>
      <c r="K142" s="183">
        <v>11152354.016999999</v>
      </c>
      <c r="L142" s="141">
        <f t="shared" si="27"/>
        <v>512492.4500000011</v>
      </c>
      <c r="M142" s="166">
        <f t="shared" si="28"/>
        <v>0.04595374655599952</v>
      </c>
    </row>
    <row r="143" spans="1:13" s="68" customFormat="1" ht="12.75" outlineLevel="1">
      <c r="A143" s="87" t="s">
        <v>139</v>
      </c>
      <c r="B143" s="88"/>
      <c r="C143" s="84" t="s">
        <v>134</v>
      </c>
      <c r="D143" s="67"/>
      <c r="E143" s="67"/>
      <c r="F143" s="141">
        <v>0</v>
      </c>
      <c r="G143" s="141">
        <v>0</v>
      </c>
      <c r="H143" s="141">
        <f t="shared" si="25"/>
        <v>0</v>
      </c>
      <c r="I143" s="166">
        <f t="shared" si="26"/>
        <v>0</v>
      </c>
      <c r="J143" s="208"/>
      <c r="K143" s="183">
        <v>0</v>
      </c>
      <c r="L143" s="141">
        <f t="shared" si="27"/>
        <v>0</v>
      </c>
      <c r="M143" s="166">
        <f t="shared" si="28"/>
        <v>0</v>
      </c>
    </row>
    <row r="144" spans="1:13" s="15" customFormat="1" ht="12.75" hidden="1" outlineLevel="2">
      <c r="A144" s="15" t="s">
        <v>609</v>
      </c>
      <c r="B144" s="15" t="s">
        <v>610</v>
      </c>
      <c r="C144" s="164" t="s">
        <v>611</v>
      </c>
      <c r="D144" s="16"/>
      <c r="E144" s="16"/>
      <c r="F144" s="16">
        <v>4984041.05</v>
      </c>
      <c r="G144" s="16">
        <v>1069759.49</v>
      </c>
      <c r="H144" s="16">
        <f t="shared" si="25"/>
        <v>3914281.5599999996</v>
      </c>
      <c r="I144" s="54">
        <f t="shared" si="26"/>
        <v>3.6590295263470853</v>
      </c>
      <c r="J144" s="226"/>
      <c r="K144" s="295">
        <v>7048319.82</v>
      </c>
      <c r="L144" s="16">
        <f t="shared" si="27"/>
        <v>-2064278.7700000005</v>
      </c>
      <c r="M144" s="54">
        <f t="shared" si="28"/>
        <v>-0.29287529832890025</v>
      </c>
    </row>
    <row r="145" spans="1:13" s="15" customFormat="1" ht="12.75" hidden="1" outlineLevel="2">
      <c r="A145" s="15" t="s">
        <v>612</v>
      </c>
      <c r="B145" s="15" t="s">
        <v>613</v>
      </c>
      <c r="C145" s="164" t="s">
        <v>614</v>
      </c>
      <c r="D145" s="16"/>
      <c r="E145" s="16"/>
      <c r="F145" s="16">
        <v>10528.62</v>
      </c>
      <c r="G145" s="16">
        <v>90337.87</v>
      </c>
      <c r="H145" s="16">
        <f t="shared" si="25"/>
        <v>-79809.25</v>
      </c>
      <c r="I145" s="54">
        <f t="shared" si="26"/>
        <v>-0.8834528642306931</v>
      </c>
      <c r="J145" s="226"/>
      <c r="K145" s="295">
        <v>46975.700000000004</v>
      </c>
      <c r="L145" s="16">
        <f t="shared" si="27"/>
        <v>-36447.08</v>
      </c>
      <c r="M145" s="54">
        <f t="shared" si="28"/>
        <v>-0.775870929012234</v>
      </c>
    </row>
    <row r="146" spans="1:13" s="68" customFormat="1" ht="12.75" outlineLevel="1" collapsed="1">
      <c r="A146" s="87" t="s">
        <v>140</v>
      </c>
      <c r="B146" s="88"/>
      <c r="C146" s="84" t="s">
        <v>135</v>
      </c>
      <c r="D146" s="67"/>
      <c r="E146" s="67"/>
      <c r="F146" s="141">
        <v>4994569.67</v>
      </c>
      <c r="G146" s="141">
        <v>1160097.3599999999</v>
      </c>
      <c r="H146" s="141">
        <f t="shared" si="25"/>
        <v>3834472.31</v>
      </c>
      <c r="I146" s="166">
        <f t="shared" si="26"/>
        <v>3.3053021601566273</v>
      </c>
      <c r="J146" s="208"/>
      <c r="K146" s="183">
        <v>7095295.5200000005</v>
      </c>
      <c r="L146" s="141">
        <f t="shared" si="27"/>
        <v>-2100725.8500000006</v>
      </c>
      <c r="M146" s="166">
        <f t="shared" si="28"/>
        <v>-0.29607305912467485</v>
      </c>
    </row>
    <row r="147" spans="1:13" s="68" customFormat="1" ht="12.75" outlineLevel="1">
      <c r="A147" s="87" t="s">
        <v>141</v>
      </c>
      <c r="B147" s="88"/>
      <c r="C147" s="85" t="s">
        <v>136</v>
      </c>
      <c r="D147" s="67"/>
      <c r="E147" s="67"/>
      <c r="F147" s="142">
        <v>0</v>
      </c>
      <c r="G147" s="142">
        <v>0</v>
      </c>
      <c r="H147" s="142">
        <f t="shared" si="25"/>
        <v>0</v>
      </c>
      <c r="I147" s="168">
        <f t="shared" si="26"/>
        <v>0</v>
      </c>
      <c r="J147" s="208"/>
      <c r="K147" s="185">
        <v>0</v>
      </c>
      <c r="L147" s="142">
        <f t="shared" si="27"/>
        <v>0</v>
      </c>
      <c r="M147" s="168">
        <f t="shared" si="28"/>
        <v>0</v>
      </c>
    </row>
    <row r="148" spans="1:13" s="68" customFormat="1" ht="12.75">
      <c r="A148" s="68" t="s">
        <v>253</v>
      </c>
      <c r="B148" s="88"/>
      <c r="C148" s="83" t="s">
        <v>117</v>
      </c>
      <c r="D148" s="67"/>
      <c r="E148" s="67"/>
      <c r="F148" s="141">
        <f>+F147+F146+F143+F142</f>
        <v>16659416.137</v>
      </c>
      <c r="G148" s="141">
        <f>+G147+G146+G143+G142</f>
        <v>11777104.266999997</v>
      </c>
      <c r="H148" s="141">
        <f t="shared" si="25"/>
        <v>4882311.870000003</v>
      </c>
      <c r="I148" s="166">
        <f t="shared" si="26"/>
        <v>0.4145596200315957</v>
      </c>
      <c r="J148" s="208"/>
      <c r="K148" s="183">
        <f>+K147+K146+K143+K142</f>
        <v>18247649.537</v>
      </c>
      <c r="L148" s="141">
        <f t="shared" si="27"/>
        <v>-1588233.4000000004</v>
      </c>
      <c r="M148" s="166">
        <f t="shared" si="28"/>
        <v>-0.08703769747328857</v>
      </c>
    </row>
    <row r="149" spans="2:13" s="68" customFormat="1" ht="0.75" customHeight="1" hidden="1" outlineLevel="1">
      <c r="B149" s="88"/>
      <c r="C149" s="83"/>
      <c r="D149" s="67"/>
      <c r="E149" s="67"/>
      <c r="F149" s="141"/>
      <c r="G149" s="141"/>
      <c r="H149" s="141"/>
      <c r="I149" s="166"/>
      <c r="J149" s="208"/>
      <c r="K149" s="183"/>
      <c r="L149" s="141"/>
      <c r="M149" s="166"/>
    </row>
    <row r="150" spans="1:13" s="15" customFormat="1" ht="12.75" hidden="1" outlineLevel="2">
      <c r="A150" s="15" t="s">
        <v>615</v>
      </c>
      <c r="B150" s="15" t="s">
        <v>616</v>
      </c>
      <c r="C150" s="164" t="s">
        <v>118</v>
      </c>
      <c r="D150" s="16"/>
      <c r="E150" s="16"/>
      <c r="F150" s="16">
        <v>20042274.44</v>
      </c>
      <c r="G150" s="16">
        <v>16556696.89</v>
      </c>
      <c r="H150" s="16">
        <f>+F150-G150</f>
        <v>3485577.5500000007</v>
      </c>
      <c r="I150" s="54">
        <f>IF(G150&lt;0,IF(H150=0,0,IF(OR(G150=0,F150=0),"N.M.",IF(ABS(H150/G150)&gt;=10,"N.M.",H150/(-G150)))),IF(H150=0,0,IF(OR(G150=0,F150=0),"N.M.",IF(ABS(H150/G150)&gt;=10,"N.M.",H150/G150))))</f>
        <v>0.21052372784001608</v>
      </c>
      <c r="J150" s="226"/>
      <c r="K150" s="295">
        <v>21157586.17</v>
      </c>
      <c r="L150" s="16">
        <f>+F150-K150</f>
        <v>-1115311.7300000004</v>
      </c>
      <c r="M150" s="54">
        <f>IF(K150&lt;0,IF(L150=0,0,IF(OR(K150=0,F150=0),"N.M.",IF(ABS(L150/K150)&gt;=10,"N.M.",L150/(-K150)))),IF(L150=0,0,IF(OR(K150=0,F150=0),"N.M.",IF(ABS(L150/K150)&gt;=10,"N.M.",L150/K150))))</f>
        <v>-0.052714507271223385</v>
      </c>
    </row>
    <row r="151" spans="1:13" s="15" customFormat="1" ht="12.75" hidden="1" outlineLevel="2">
      <c r="A151" s="15" t="s">
        <v>617</v>
      </c>
      <c r="B151" s="15" t="s">
        <v>618</v>
      </c>
      <c r="C151" s="164" t="s">
        <v>619</v>
      </c>
      <c r="D151" s="16"/>
      <c r="E151" s="16"/>
      <c r="F151" s="16">
        <v>-11624405.26</v>
      </c>
      <c r="G151" s="16">
        <v>-17468571.51</v>
      </c>
      <c r="H151" s="16">
        <f>+F151-G151</f>
        <v>5844166.250000002</v>
      </c>
      <c r="I151" s="54">
        <f>IF(G151&lt;0,IF(H151=0,0,IF(OR(G151=0,F151=0),"N.M.",IF(ABS(H151/G151)&gt;=10,"N.M.",H151/(-G151)))),IF(H151=0,0,IF(OR(G151=0,F151=0),"N.M.",IF(ABS(H151/G151)&gt;=10,"N.M.",H151/G151))))</f>
        <v>0.33455318579738874</v>
      </c>
      <c r="J151" s="226"/>
      <c r="K151" s="295">
        <v>-16351881.44</v>
      </c>
      <c r="L151" s="16">
        <f>+F151-K151</f>
        <v>4727476.18</v>
      </c>
      <c r="M151" s="54">
        <f>IF(K151&lt;0,IF(L151=0,0,IF(OR(K151=0,F151=0),"N.M.",IF(ABS(L151/K151)&gt;=10,"N.M.",L151/(-K151)))),IF(L151=0,0,IF(OR(K151=0,F151=0),"N.M.",IF(ABS(L151/K151)&gt;=10,"N.M.",L151/K151))))</f>
        <v>0.2891090054283075</v>
      </c>
    </row>
    <row r="152" spans="1:13" s="68" customFormat="1" ht="12.75" collapsed="1">
      <c r="A152" s="68" t="s">
        <v>142</v>
      </c>
      <c r="B152" s="88"/>
      <c r="C152" s="83" t="s">
        <v>118</v>
      </c>
      <c r="D152" s="67"/>
      <c r="E152" s="67"/>
      <c r="F152" s="141">
        <v>8417869.180000002</v>
      </c>
      <c r="G152" s="141">
        <v>-911874.620000001</v>
      </c>
      <c r="H152" s="141">
        <f>+F152-G152</f>
        <v>9329743.800000003</v>
      </c>
      <c r="I152" s="166" t="str">
        <f>IF(G152&lt;0,IF(H152=0,0,IF(OR(G152=0,F152=0),"N.M.",IF(ABS(H152/G152)&gt;=10,"N.M.",H152/(-G152)))),IF(H152=0,0,IF(OR(G152=0,F152=0),"N.M.",IF(ABS(H152/G152)&gt;=10,"N.M.",H152/G152))))</f>
        <v>N.M.</v>
      </c>
      <c r="J152" s="208"/>
      <c r="K152" s="183">
        <v>4805704.730000002</v>
      </c>
      <c r="L152" s="141">
        <f>+F152-K152</f>
        <v>3612164.4499999993</v>
      </c>
      <c r="M152" s="166">
        <f>IF(K152&lt;0,IF(L152=0,0,IF(OR(K152=0,F152=0),"N.M.",IF(ABS(L152/K152)&gt;=10,"N.M.",L152/(-K152)))),IF(L152=0,0,IF(OR(K152=0,F152=0),"N.M.",IF(ABS(L152/K152)&gt;=10,"N.M.",L152/K152))))</f>
        <v>0.7516409461136405</v>
      </c>
    </row>
    <row r="153" spans="2:13" s="68" customFormat="1" ht="0.75" customHeight="1" hidden="1" outlineLevel="1">
      <c r="B153" s="88"/>
      <c r="C153" s="83"/>
      <c r="D153" s="67"/>
      <c r="E153" s="67"/>
      <c r="F153" s="141"/>
      <c r="G153" s="141"/>
      <c r="H153" s="141"/>
      <c r="I153" s="166"/>
      <c r="J153" s="208"/>
      <c r="K153" s="183"/>
      <c r="L153" s="141"/>
      <c r="M153" s="166"/>
    </row>
    <row r="154" spans="1:13" s="15" customFormat="1" ht="12.75" hidden="1" outlineLevel="2">
      <c r="A154" s="15" t="s">
        <v>620</v>
      </c>
      <c r="B154" s="15" t="s">
        <v>621</v>
      </c>
      <c r="C154" s="164" t="s">
        <v>622</v>
      </c>
      <c r="D154" s="16"/>
      <c r="E154" s="16"/>
      <c r="F154" s="16">
        <v>11711414.87</v>
      </c>
      <c r="G154" s="16">
        <v>17959977.76</v>
      </c>
      <c r="H154" s="16">
        <f aca="true" t="shared" si="29" ref="H154:H159">+F154-G154</f>
        <v>-6248562.890000002</v>
      </c>
      <c r="I154" s="54">
        <f aca="true" t="shared" si="30" ref="I154:I159">IF(G154&lt;0,IF(H154=0,0,IF(OR(G154=0,F154=0),"N.M.",IF(ABS(H154/G154)&gt;=10,"N.M.",H154/(-G154)))),IF(H154=0,0,IF(OR(G154=0,F154=0),"N.M.",IF(ABS(H154/G154)&gt;=10,"N.M.",H154/G154))))</f>
        <v>-0.347915959223326</v>
      </c>
      <c r="J154" s="226"/>
      <c r="K154" s="295">
        <v>13290912.23</v>
      </c>
      <c r="L154" s="16">
        <f aca="true" t="shared" si="31" ref="L154:L159">+F154-K154</f>
        <v>-1579497.3600000013</v>
      </c>
      <c r="M154" s="54">
        <f aca="true" t="shared" si="32" ref="M154:M159">IF(K154&lt;0,IF(L154=0,0,IF(OR(K154=0,F154=0),"N.M.",IF(ABS(L154/K154)&gt;=10,"N.M.",L154/(-K154)))),IF(L154=0,0,IF(OR(K154=0,F154=0),"N.M.",IF(ABS(L154/K154)&gt;=10,"N.M.",L154/K154))))</f>
        <v>-0.11884040257483525</v>
      </c>
    </row>
    <row r="155" spans="1:13" s="15" customFormat="1" ht="12.75" hidden="1" outlineLevel="2">
      <c r="A155" s="15" t="s">
        <v>623</v>
      </c>
      <c r="B155" s="15" t="s">
        <v>624</v>
      </c>
      <c r="C155" s="164" t="s">
        <v>625</v>
      </c>
      <c r="D155" s="16"/>
      <c r="E155" s="16"/>
      <c r="F155" s="16">
        <v>9061.01</v>
      </c>
      <c r="G155" s="16">
        <v>73965</v>
      </c>
      <c r="H155" s="16">
        <f t="shared" si="29"/>
        <v>-64903.99</v>
      </c>
      <c r="I155" s="54">
        <f t="shared" si="30"/>
        <v>-0.8774959778273508</v>
      </c>
      <c r="J155" s="226"/>
      <c r="K155" s="295">
        <v>399292</v>
      </c>
      <c r="L155" s="16">
        <f t="shared" si="31"/>
        <v>-390230.99</v>
      </c>
      <c r="M155" s="54">
        <f t="shared" si="32"/>
        <v>-0.9773073089368182</v>
      </c>
    </row>
    <row r="156" spans="1:13" s="15" customFormat="1" ht="12.75" hidden="1" outlineLevel="2">
      <c r="A156" s="15" t="s">
        <v>626</v>
      </c>
      <c r="B156" s="15" t="s">
        <v>627</v>
      </c>
      <c r="C156" s="164" t="s">
        <v>628</v>
      </c>
      <c r="D156" s="16"/>
      <c r="E156" s="16"/>
      <c r="F156" s="16">
        <v>1043.46</v>
      </c>
      <c r="G156" s="16">
        <v>0</v>
      </c>
      <c r="H156" s="16">
        <f t="shared" si="29"/>
        <v>1043.46</v>
      </c>
      <c r="I156" s="54" t="str">
        <f t="shared" si="30"/>
        <v>N.M.</v>
      </c>
      <c r="J156" s="226"/>
      <c r="K156" s="295">
        <v>2821.25</v>
      </c>
      <c r="L156" s="16">
        <f t="shared" si="31"/>
        <v>-1777.79</v>
      </c>
      <c r="M156" s="54">
        <f t="shared" si="32"/>
        <v>-0.6301426672574213</v>
      </c>
    </row>
    <row r="157" spans="1:13" s="15" customFormat="1" ht="12.75" hidden="1" outlineLevel="2">
      <c r="A157" s="15" t="s">
        <v>629</v>
      </c>
      <c r="B157" s="15" t="s">
        <v>630</v>
      </c>
      <c r="C157" s="164" t="s">
        <v>631</v>
      </c>
      <c r="D157" s="16"/>
      <c r="E157" s="16"/>
      <c r="F157" s="16">
        <v>-845948</v>
      </c>
      <c r="G157" s="16">
        <v>-2020647</v>
      </c>
      <c r="H157" s="16">
        <f t="shared" si="29"/>
        <v>1174699</v>
      </c>
      <c r="I157" s="54">
        <f t="shared" si="30"/>
        <v>0.5813479543928257</v>
      </c>
      <c r="J157" s="226"/>
      <c r="K157" s="295">
        <v>-427357</v>
      </c>
      <c r="L157" s="16">
        <f t="shared" si="31"/>
        <v>-418591</v>
      </c>
      <c r="M157" s="54">
        <f t="shared" si="32"/>
        <v>-0.9794878754764752</v>
      </c>
    </row>
    <row r="158" spans="1:13" s="15" customFormat="1" ht="12.75" hidden="1" outlineLevel="2">
      <c r="A158" s="15" t="s">
        <v>632</v>
      </c>
      <c r="B158" s="15" t="s">
        <v>633</v>
      </c>
      <c r="C158" s="164" t="s">
        <v>634</v>
      </c>
      <c r="D158" s="16"/>
      <c r="E158" s="16"/>
      <c r="F158" s="16">
        <v>38517</v>
      </c>
      <c r="G158" s="16">
        <v>777624</v>
      </c>
      <c r="H158" s="16">
        <f t="shared" si="29"/>
        <v>-739107</v>
      </c>
      <c r="I158" s="54">
        <f t="shared" si="30"/>
        <v>-0.9504683497422919</v>
      </c>
      <c r="J158" s="226"/>
      <c r="K158" s="295">
        <v>421541</v>
      </c>
      <c r="L158" s="16">
        <f t="shared" si="31"/>
        <v>-383024</v>
      </c>
      <c r="M158" s="54">
        <f t="shared" si="32"/>
        <v>-0.9086281049767401</v>
      </c>
    </row>
    <row r="159" spans="1:13" s="68" customFormat="1" ht="12.75" collapsed="1">
      <c r="A159" s="68" t="s">
        <v>143</v>
      </c>
      <c r="B159" s="88"/>
      <c r="C159" s="83" t="s">
        <v>119</v>
      </c>
      <c r="D159" s="67"/>
      <c r="E159" s="67"/>
      <c r="F159" s="141">
        <v>10914088.34</v>
      </c>
      <c r="G159" s="141">
        <v>16790919.76</v>
      </c>
      <c r="H159" s="141">
        <f t="shared" si="29"/>
        <v>-5876831.420000002</v>
      </c>
      <c r="I159" s="166">
        <f t="shared" si="30"/>
        <v>-0.35000056602021434</v>
      </c>
      <c r="J159" s="208"/>
      <c r="K159" s="183">
        <v>13687209.48</v>
      </c>
      <c r="L159" s="141">
        <f t="shared" si="31"/>
        <v>-2773121.1400000006</v>
      </c>
      <c r="M159" s="166">
        <f t="shared" si="32"/>
        <v>-0.20260675808696693</v>
      </c>
    </row>
    <row r="160" spans="1:13" s="68" customFormat="1" ht="0.75" customHeight="1" hidden="1" outlineLevel="1">
      <c r="A160" s="87"/>
      <c r="B160" s="88"/>
      <c r="C160" s="84"/>
      <c r="D160" s="67"/>
      <c r="E160" s="67"/>
      <c r="F160" s="141"/>
      <c r="G160" s="141"/>
      <c r="H160" s="141"/>
      <c r="I160" s="166"/>
      <c r="J160" s="208"/>
      <c r="K160" s="183"/>
      <c r="L160" s="141"/>
      <c r="M160" s="166"/>
    </row>
    <row r="161" spans="1:13" s="15" customFormat="1" ht="12.75" hidden="1" outlineLevel="2">
      <c r="A161" s="15" t="s">
        <v>635</v>
      </c>
      <c r="B161" s="15" t="s">
        <v>636</v>
      </c>
      <c r="C161" s="164" t="s">
        <v>637</v>
      </c>
      <c r="D161" s="16"/>
      <c r="E161" s="16"/>
      <c r="F161" s="16">
        <v>505092.095</v>
      </c>
      <c r="G161" s="16">
        <v>575640.995</v>
      </c>
      <c r="H161" s="16">
        <f aca="true" t="shared" si="33" ref="H161:H171">+F161-G161</f>
        <v>-70548.90000000002</v>
      </c>
      <c r="I161" s="54">
        <f aca="true" t="shared" si="34" ref="I161:I171">IF(G161&lt;0,IF(H161=0,0,IF(OR(G161=0,F161=0),"N.M.",IF(ABS(H161/G161)&gt;=10,"N.M.",H161/(-G161)))),IF(H161=0,0,IF(OR(G161=0,F161=0),"N.M.",IF(ABS(H161/G161)&gt;=10,"N.M.",H161/G161))))</f>
        <v>-0.12255711565504472</v>
      </c>
      <c r="J161" s="226"/>
      <c r="K161" s="295">
        <v>367942.235</v>
      </c>
      <c r="L161" s="16">
        <f aca="true" t="shared" si="35" ref="L161:L171">+F161-K161</f>
        <v>137149.86</v>
      </c>
      <c r="M161" s="54">
        <f aca="true" t="shared" si="36" ref="M161:M171">IF(K161&lt;0,IF(L161=0,0,IF(OR(K161=0,F161=0),"N.M.",IF(ABS(L161/K161)&gt;=10,"N.M.",L161/(-K161)))),IF(L161=0,0,IF(OR(K161=0,F161=0),"N.M.",IF(ABS(L161/K161)&gt;=10,"N.M.",L161/K161))))</f>
        <v>0.3727483473051143</v>
      </c>
    </row>
    <row r="162" spans="1:13" s="15" customFormat="1" ht="12.75" hidden="1" outlineLevel="2">
      <c r="A162" s="15" t="s">
        <v>638</v>
      </c>
      <c r="B162" s="15" t="s">
        <v>639</v>
      </c>
      <c r="C162" s="164" t="s">
        <v>640</v>
      </c>
      <c r="D162" s="16"/>
      <c r="E162" s="16"/>
      <c r="F162" s="16">
        <v>0</v>
      </c>
      <c r="G162" s="16">
        <v>687275.21</v>
      </c>
      <c r="H162" s="16">
        <f t="shared" si="33"/>
        <v>-687275.21</v>
      </c>
      <c r="I162" s="54" t="str">
        <f t="shared" si="34"/>
        <v>N.M.</v>
      </c>
      <c r="J162" s="226"/>
      <c r="K162" s="295">
        <v>374877.41000000003</v>
      </c>
      <c r="L162" s="16">
        <f t="shared" si="35"/>
        <v>-374877.41000000003</v>
      </c>
      <c r="M162" s="54" t="str">
        <f t="shared" si="36"/>
        <v>N.M.</v>
      </c>
    </row>
    <row r="163" spans="1:13" s="15" customFormat="1" ht="12.75" hidden="1" outlineLevel="2">
      <c r="A163" s="15" t="s">
        <v>641</v>
      </c>
      <c r="B163" s="15" t="s">
        <v>642</v>
      </c>
      <c r="C163" s="164" t="s">
        <v>640</v>
      </c>
      <c r="D163" s="16"/>
      <c r="E163" s="16"/>
      <c r="F163" s="16">
        <v>732737.08</v>
      </c>
      <c r="G163" s="16">
        <v>0</v>
      </c>
      <c r="H163" s="16">
        <f t="shared" si="33"/>
        <v>732737.08</v>
      </c>
      <c r="I163" s="54" t="str">
        <f t="shared" si="34"/>
        <v>N.M.</v>
      </c>
      <c r="J163" s="226"/>
      <c r="K163" s="295">
        <v>0</v>
      </c>
      <c r="L163" s="16">
        <f t="shared" si="35"/>
        <v>732737.08</v>
      </c>
      <c r="M163" s="54" t="str">
        <f t="shared" si="36"/>
        <v>N.M.</v>
      </c>
    </row>
    <row r="164" spans="1:13" s="15" customFormat="1" ht="12.75" hidden="1" outlineLevel="2">
      <c r="A164" s="15" t="s">
        <v>643</v>
      </c>
      <c r="B164" s="15" t="s">
        <v>644</v>
      </c>
      <c r="C164" s="164" t="s">
        <v>645</v>
      </c>
      <c r="D164" s="16"/>
      <c r="E164" s="16"/>
      <c r="F164" s="16">
        <v>19571.510000000002</v>
      </c>
      <c r="G164" s="16">
        <v>29913.79</v>
      </c>
      <c r="H164" s="16">
        <f t="shared" si="33"/>
        <v>-10342.279999999999</v>
      </c>
      <c r="I164" s="54">
        <f t="shared" si="34"/>
        <v>-0.34573619725217025</v>
      </c>
      <c r="J164" s="226"/>
      <c r="K164" s="295">
        <v>19411.28</v>
      </c>
      <c r="L164" s="16">
        <f t="shared" si="35"/>
        <v>160.2300000000032</v>
      </c>
      <c r="M164" s="54">
        <f t="shared" si="36"/>
        <v>0.008254478839108148</v>
      </c>
    </row>
    <row r="165" spans="1:13" s="15" customFormat="1" ht="12.75" hidden="1" outlineLevel="2">
      <c r="A165" s="15" t="s">
        <v>646</v>
      </c>
      <c r="B165" s="15" t="s">
        <v>647</v>
      </c>
      <c r="C165" s="164" t="s">
        <v>648</v>
      </c>
      <c r="D165" s="16"/>
      <c r="E165" s="16"/>
      <c r="F165" s="16">
        <v>15170580.96</v>
      </c>
      <c r="G165" s="16">
        <v>15759271.26</v>
      </c>
      <c r="H165" s="16">
        <f t="shared" si="33"/>
        <v>-588690.2999999989</v>
      </c>
      <c r="I165" s="54">
        <f t="shared" si="34"/>
        <v>-0.03735517272897039</v>
      </c>
      <c r="J165" s="226"/>
      <c r="K165" s="295">
        <v>14836181.16</v>
      </c>
      <c r="L165" s="16">
        <f t="shared" si="35"/>
        <v>334399.80000000075</v>
      </c>
      <c r="M165" s="54">
        <f t="shared" si="36"/>
        <v>0.022539479424906184</v>
      </c>
    </row>
    <row r="166" spans="1:13" s="15" customFormat="1" ht="12.75" hidden="1" outlineLevel="2">
      <c r="A166" s="15" t="s">
        <v>649</v>
      </c>
      <c r="B166" s="15" t="s">
        <v>650</v>
      </c>
      <c r="C166" s="164" t="s">
        <v>651</v>
      </c>
      <c r="D166" s="16"/>
      <c r="E166" s="16"/>
      <c r="F166" s="16">
        <v>334259.21</v>
      </c>
      <c r="G166" s="16">
        <v>0</v>
      </c>
      <c r="H166" s="16">
        <f t="shared" si="33"/>
        <v>334259.21</v>
      </c>
      <c r="I166" s="54" t="str">
        <f t="shared" si="34"/>
        <v>N.M.</v>
      </c>
      <c r="J166" s="226"/>
      <c r="K166" s="295">
        <v>0</v>
      </c>
      <c r="L166" s="16">
        <f t="shared" si="35"/>
        <v>334259.21</v>
      </c>
      <c r="M166" s="54" t="str">
        <f t="shared" si="36"/>
        <v>N.M.</v>
      </c>
    </row>
    <row r="167" spans="1:13" s="15" customFormat="1" ht="12.75" hidden="1" outlineLevel="2">
      <c r="A167" s="15" t="s">
        <v>652</v>
      </c>
      <c r="B167" s="15" t="s">
        <v>653</v>
      </c>
      <c r="C167" s="164" t="s">
        <v>654</v>
      </c>
      <c r="D167" s="16"/>
      <c r="E167" s="16"/>
      <c r="F167" s="16">
        <v>0</v>
      </c>
      <c r="G167" s="16">
        <v>425322.51</v>
      </c>
      <c r="H167" s="16">
        <f t="shared" si="33"/>
        <v>-425322.51</v>
      </c>
      <c r="I167" s="54" t="str">
        <f t="shared" si="34"/>
        <v>N.M.</v>
      </c>
      <c r="J167" s="226"/>
      <c r="K167" s="295">
        <v>340189.38</v>
      </c>
      <c r="L167" s="16">
        <f t="shared" si="35"/>
        <v>-340189.38</v>
      </c>
      <c r="M167" s="54" t="str">
        <f t="shared" si="36"/>
        <v>N.M.</v>
      </c>
    </row>
    <row r="168" spans="1:13" s="15" customFormat="1" ht="12.75" hidden="1" outlineLevel="2">
      <c r="A168" s="15" t="s">
        <v>655</v>
      </c>
      <c r="B168" s="15" t="s">
        <v>656</v>
      </c>
      <c r="C168" s="164" t="s">
        <v>657</v>
      </c>
      <c r="D168" s="16"/>
      <c r="E168" s="16"/>
      <c r="F168" s="16">
        <v>33158.05</v>
      </c>
      <c r="G168" s="16">
        <v>0</v>
      </c>
      <c r="H168" s="16">
        <f t="shared" si="33"/>
        <v>33158.05</v>
      </c>
      <c r="I168" s="54" t="str">
        <f t="shared" si="34"/>
        <v>N.M.</v>
      </c>
      <c r="J168" s="226"/>
      <c r="K168" s="295">
        <v>0</v>
      </c>
      <c r="L168" s="16">
        <f t="shared" si="35"/>
        <v>33158.05</v>
      </c>
      <c r="M168" s="54" t="str">
        <f t="shared" si="36"/>
        <v>N.M.</v>
      </c>
    </row>
    <row r="169" spans="1:13" s="15" customFormat="1" ht="12.75" hidden="1" outlineLevel="2">
      <c r="A169" s="15" t="s">
        <v>658</v>
      </c>
      <c r="B169" s="15" t="s">
        <v>659</v>
      </c>
      <c r="C169" s="164" t="s">
        <v>660</v>
      </c>
      <c r="D169" s="16"/>
      <c r="E169" s="16"/>
      <c r="F169" s="16">
        <v>-15122809.56</v>
      </c>
      <c r="G169" s="16">
        <v>-15943889.28</v>
      </c>
      <c r="H169" s="16">
        <f t="shared" si="33"/>
        <v>821079.7199999988</v>
      </c>
      <c r="I169" s="54">
        <f t="shared" si="34"/>
        <v>0.051498082154268376</v>
      </c>
      <c r="J169" s="226"/>
      <c r="K169" s="295">
        <v>-14836181.16</v>
      </c>
      <c r="L169" s="16">
        <f t="shared" si="35"/>
        <v>-286628.4000000004</v>
      </c>
      <c r="M169" s="54">
        <f t="shared" si="36"/>
        <v>-0.01931955379277671</v>
      </c>
    </row>
    <row r="170" spans="1:13" s="15" customFormat="1" ht="12.75" hidden="1" outlineLevel="2">
      <c r="A170" s="15" t="s">
        <v>661</v>
      </c>
      <c r="B170" s="15" t="s">
        <v>662</v>
      </c>
      <c r="C170" s="164" t="s">
        <v>663</v>
      </c>
      <c r="D170" s="16"/>
      <c r="E170" s="16"/>
      <c r="F170" s="16">
        <v>0</v>
      </c>
      <c r="G170" s="16">
        <v>122026.11</v>
      </c>
      <c r="H170" s="16">
        <f t="shared" si="33"/>
        <v>-122026.11</v>
      </c>
      <c r="I170" s="54" t="str">
        <f t="shared" si="34"/>
        <v>N.M.</v>
      </c>
      <c r="J170" s="226"/>
      <c r="K170" s="295">
        <v>0</v>
      </c>
      <c r="L170" s="16">
        <f t="shared" si="35"/>
        <v>0</v>
      </c>
      <c r="M170" s="54">
        <f t="shared" si="36"/>
        <v>0</v>
      </c>
    </row>
    <row r="171" spans="1:13" s="15" customFormat="1" ht="12.75" hidden="1" outlineLevel="2">
      <c r="A171" s="15" t="s">
        <v>664</v>
      </c>
      <c r="B171" s="15" t="s">
        <v>665</v>
      </c>
      <c r="C171" s="164" t="s">
        <v>666</v>
      </c>
      <c r="D171" s="16"/>
      <c r="E171" s="16"/>
      <c r="F171" s="16">
        <v>692031</v>
      </c>
      <c r="G171" s="16">
        <v>550261.83</v>
      </c>
      <c r="H171" s="16">
        <f t="shared" si="33"/>
        <v>141769.17000000004</v>
      </c>
      <c r="I171" s="54">
        <f t="shared" si="34"/>
        <v>0.25763947682869454</v>
      </c>
      <c r="J171" s="226"/>
      <c r="K171" s="295">
        <v>179434.74</v>
      </c>
      <c r="L171" s="16">
        <f t="shared" si="35"/>
        <v>512596.26</v>
      </c>
      <c r="M171" s="54">
        <f t="shared" si="36"/>
        <v>2.856728078408897</v>
      </c>
    </row>
    <row r="172" spans="1:13" s="68" customFormat="1" ht="12.75" collapsed="1">
      <c r="A172" s="68" t="s">
        <v>144</v>
      </c>
      <c r="B172" s="88"/>
      <c r="C172" s="83" t="s">
        <v>120</v>
      </c>
      <c r="D172" s="67"/>
      <c r="E172" s="67"/>
      <c r="F172" s="141">
        <v>2364620.3450000007</v>
      </c>
      <c r="G172" s="141">
        <v>2205822.425000001</v>
      </c>
      <c r="H172" s="141">
        <f>+F172-G172</f>
        <v>158797.91999999946</v>
      </c>
      <c r="I172" s="166">
        <f>IF(G172&lt;0,IF(H172=0,0,IF(OR(G172=0,F172=0),"N.M.",IF(ABS(H172/G172)&gt;=10,"N.M.",H172/(-G172)))),IF(H172=0,0,IF(OR(G172=0,F172=0),"N.M.",IF(ABS(H172/G172)&gt;=10,"N.M.",H172/G172))))</f>
        <v>0.07199034618573133</v>
      </c>
      <c r="J172" s="208"/>
      <c r="K172" s="183">
        <v>1281855.0450000016</v>
      </c>
      <c r="L172" s="141">
        <f>+F172-K172</f>
        <v>1082765.299999999</v>
      </c>
      <c r="M172" s="166">
        <f>IF(K172&lt;0,IF(L172=0,0,IF(OR(K172=0,F172=0),"N.M.",IF(ABS(L172/K172)&gt;=10,"N.M.",L172/(-K172)))),IF(L172=0,0,IF(OR(K172=0,F172=0),"N.M.",IF(ABS(L172/K172)&gt;=10,"N.M.",L172/K172))))</f>
        <v>0.8446862258126837</v>
      </c>
    </row>
    <row r="173" spans="2:13" s="68" customFormat="1" ht="0.75" customHeight="1" hidden="1" outlineLevel="1">
      <c r="B173" s="88"/>
      <c r="C173" s="83"/>
      <c r="D173" s="67"/>
      <c r="E173" s="67"/>
      <c r="F173" s="141"/>
      <c r="G173" s="141"/>
      <c r="H173" s="141"/>
      <c r="I173" s="166"/>
      <c r="J173" s="208"/>
      <c r="K173" s="183"/>
      <c r="L173" s="141"/>
      <c r="M173" s="166"/>
    </row>
    <row r="174" spans="1:13" s="15" customFormat="1" ht="12.75" hidden="1" outlineLevel="2">
      <c r="A174" s="15" t="s">
        <v>667</v>
      </c>
      <c r="B174" s="15" t="s">
        <v>668</v>
      </c>
      <c r="C174" s="164" t="s">
        <v>669</v>
      </c>
      <c r="D174" s="16"/>
      <c r="E174" s="16"/>
      <c r="F174" s="16">
        <v>51.410000000000004</v>
      </c>
      <c r="G174" s="16">
        <v>383.55</v>
      </c>
      <c r="H174" s="16">
        <f aca="true" t="shared" si="37" ref="H174:H182">+F174-G174</f>
        <v>-332.14</v>
      </c>
      <c r="I174" s="54">
        <f aca="true" t="shared" si="38" ref="I174:I182">IF(G174&lt;0,IF(H174=0,0,IF(OR(G174=0,F174=0),"N.M.",IF(ABS(H174/G174)&gt;=10,"N.M.",H174/(-G174)))),IF(H174=0,0,IF(OR(G174=0,F174=0),"N.M.",IF(ABS(H174/G174)&gt;=10,"N.M.",H174/G174))))</f>
        <v>-0.8659627167253291</v>
      </c>
      <c r="J174" s="226"/>
      <c r="K174" s="295">
        <v>156.35</v>
      </c>
      <c r="L174" s="16">
        <f aca="true" t="shared" si="39" ref="L174:L182">+F174-K174</f>
        <v>-104.94</v>
      </c>
      <c r="M174" s="54">
        <f aca="true" t="shared" si="40" ref="M174:M182">IF(K174&lt;0,IF(L174=0,0,IF(OR(K174=0,F174=0),"N.M.",IF(ABS(L174/K174)&gt;=10,"N.M.",L174/(-K174)))),IF(L174=0,0,IF(OR(K174=0,F174=0),"N.M.",IF(ABS(L174/K174)&gt;=10,"N.M.",L174/K174))))</f>
        <v>-0.6711864406779661</v>
      </c>
    </row>
    <row r="175" spans="1:13" s="15" customFormat="1" ht="12.75" hidden="1" outlineLevel="2">
      <c r="A175" s="15" t="s">
        <v>670</v>
      </c>
      <c r="B175" s="15" t="s">
        <v>671</v>
      </c>
      <c r="C175" s="164" t="s">
        <v>672</v>
      </c>
      <c r="D175" s="16"/>
      <c r="E175" s="16"/>
      <c r="F175" s="16">
        <v>90.71000000000001</v>
      </c>
      <c r="G175" s="16">
        <v>5548.45</v>
      </c>
      <c r="H175" s="16">
        <f t="shared" si="37"/>
        <v>-5457.74</v>
      </c>
      <c r="I175" s="54">
        <f t="shared" si="38"/>
        <v>-0.9836512899999099</v>
      </c>
      <c r="J175" s="226"/>
      <c r="K175" s="295">
        <v>5189.400000000001</v>
      </c>
      <c r="L175" s="16">
        <f t="shared" si="39"/>
        <v>-5098.6900000000005</v>
      </c>
      <c r="M175" s="54">
        <f t="shared" si="40"/>
        <v>-0.9825201372027594</v>
      </c>
    </row>
    <row r="176" spans="1:13" s="15" customFormat="1" ht="12.75" hidden="1" outlineLevel="2">
      <c r="A176" s="15" t="s">
        <v>673</v>
      </c>
      <c r="B176" s="15" t="s">
        <v>674</v>
      </c>
      <c r="C176" s="164" t="s">
        <v>675</v>
      </c>
      <c r="D176" s="16"/>
      <c r="E176" s="16"/>
      <c r="F176" s="16">
        <v>372.78000000000003</v>
      </c>
      <c r="G176" s="16">
        <v>4770.7</v>
      </c>
      <c r="H176" s="16">
        <f t="shared" si="37"/>
        <v>-4397.92</v>
      </c>
      <c r="I176" s="54">
        <f t="shared" si="38"/>
        <v>-0.9218605236128871</v>
      </c>
      <c r="J176" s="226"/>
      <c r="K176" s="295">
        <v>372.99</v>
      </c>
      <c r="L176" s="16">
        <f t="shared" si="39"/>
        <v>-0.20999999999997954</v>
      </c>
      <c r="M176" s="54">
        <f t="shared" si="40"/>
        <v>-0.0005630177752754216</v>
      </c>
    </row>
    <row r="177" spans="1:13" s="15" customFormat="1" ht="12.75" hidden="1" outlineLevel="2">
      <c r="A177" s="15" t="s">
        <v>676</v>
      </c>
      <c r="B177" s="15" t="s">
        <v>677</v>
      </c>
      <c r="C177" s="164" t="s">
        <v>678</v>
      </c>
      <c r="D177" s="16"/>
      <c r="E177" s="16"/>
      <c r="F177" s="16">
        <v>2801550.022</v>
      </c>
      <c r="G177" s="16">
        <v>1308759.642</v>
      </c>
      <c r="H177" s="16">
        <f t="shared" si="37"/>
        <v>1492790.38</v>
      </c>
      <c r="I177" s="54">
        <f t="shared" si="38"/>
        <v>1.1406146186772468</v>
      </c>
      <c r="J177" s="226"/>
      <c r="K177" s="295">
        <v>618024.642</v>
      </c>
      <c r="L177" s="16">
        <f t="shared" si="39"/>
        <v>2183525.38</v>
      </c>
      <c r="M177" s="54">
        <f t="shared" si="40"/>
        <v>3.533071712049954</v>
      </c>
    </row>
    <row r="178" spans="1:13" s="15" customFormat="1" ht="12.75" hidden="1" outlineLevel="2">
      <c r="A178" s="15" t="s">
        <v>679</v>
      </c>
      <c r="B178" s="15" t="s">
        <v>680</v>
      </c>
      <c r="C178" s="164" t="s">
        <v>681</v>
      </c>
      <c r="D178" s="16"/>
      <c r="E178" s="16"/>
      <c r="F178" s="16">
        <v>7803271.965</v>
      </c>
      <c r="G178" s="16">
        <v>17171743.765</v>
      </c>
      <c r="H178" s="16">
        <f t="shared" si="37"/>
        <v>-9368471.8</v>
      </c>
      <c r="I178" s="54">
        <f t="shared" si="38"/>
        <v>-0.5455748657917386</v>
      </c>
      <c r="J178" s="226"/>
      <c r="K178" s="295">
        <v>10898806.895</v>
      </c>
      <c r="L178" s="16">
        <f t="shared" si="39"/>
        <v>-3095534.9299999997</v>
      </c>
      <c r="M178" s="54">
        <f t="shared" si="40"/>
        <v>-0.284025119430286</v>
      </c>
    </row>
    <row r="179" spans="1:13" s="15" customFormat="1" ht="12.75" hidden="1" outlineLevel="2">
      <c r="A179" s="15" t="s">
        <v>682</v>
      </c>
      <c r="B179" s="15" t="s">
        <v>683</v>
      </c>
      <c r="C179" s="164" t="s">
        <v>684</v>
      </c>
      <c r="D179" s="16"/>
      <c r="E179" s="16"/>
      <c r="F179" s="16">
        <v>-6998144</v>
      </c>
      <c r="G179" s="16">
        <v>-9426236</v>
      </c>
      <c r="H179" s="16">
        <f t="shared" si="37"/>
        <v>2428092</v>
      </c>
      <c r="I179" s="54">
        <f t="shared" si="38"/>
        <v>0.2575887130345559</v>
      </c>
      <c r="J179" s="226"/>
      <c r="K179" s="295">
        <v>-6406127</v>
      </c>
      <c r="L179" s="16">
        <f t="shared" si="39"/>
        <v>-592017</v>
      </c>
      <c r="M179" s="54">
        <f t="shared" si="40"/>
        <v>-0.09241418410843244</v>
      </c>
    </row>
    <row r="180" spans="1:13" s="15" customFormat="1" ht="12.75" hidden="1" outlineLevel="2">
      <c r="A180" s="15" t="s">
        <v>685</v>
      </c>
      <c r="B180" s="15" t="s">
        <v>686</v>
      </c>
      <c r="C180" s="164" t="s">
        <v>687</v>
      </c>
      <c r="D180" s="16"/>
      <c r="E180" s="16"/>
      <c r="F180" s="16">
        <v>0</v>
      </c>
      <c r="G180" s="16">
        <v>244612.9</v>
      </c>
      <c r="H180" s="16">
        <f t="shared" si="37"/>
        <v>-244612.9</v>
      </c>
      <c r="I180" s="54" t="str">
        <f t="shared" si="38"/>
        <v>N.M.</v>
      </c>
      <c r="J180" s="226"/>
      <c r="K180" s="295">
        <v>0</v>
      </c>
      <c r="L180" s="16">
        <f t="shared" si="39"/>
        <v>0</v>
      </c>
      <c r="M180" s="54">
        <f t="shared" si="40"/>
        <v>0</v>
      </c>
    </row>
    <row r="181" spans="1:13" s="15" customFormat="1" ht="12.75" hidden="1" outlineLevel="2">
      <c r="A181" s="15" t="s">
        <v>688</v>
      </c>
      <c r="B181" s="15" t="s">
        <v>689</v>
      </c>
      <c r="C181" s="164" t="s">
        <v>690</v>
      </c>
      <c r="D181" s="16"/>
      <c r="E181" s="16"/>
      <c r="F181" s="16">
        <v>1106808.657</v>
      </c>
      <c r="G181" s="16">
        <v>990637.437</v>
      </c>
      <c r="H181" s="16">
        <f t="shared" si="37"/>
        <v>116171.21999999986</v>
      </c>
      <c r="I181" s="54">
        <f t="shared" si="38"/>
        <v>0.11726915989749724</v>
      </c>
      <c r="J181" s="226"/>
      <c r="K181" s="295">
        <v>1102111.917</v>
      </c>
      <c r="L181" s="16">
        <f t="shared" si="39"/>
        <v>4696.739999999991</v>
      </c>
      <c r="M181" s="54">
        <f t="shared" si="40"/>
        <v>0.004261581721014991</v>
      </c>
    </row>
    <row r="182" spans="1:13" s="15" customFormat="1" ht="12.75" hidden="1" outlineLevel="2">
      <c r="A182" s="15" t="s">
        <v>691</v>
      </c>
      <c r="B182" s="15" t="s">
        <v>692</v>
      </c>
      <c r="C182" s="164" t="s">
        <v>693</v>
      </c>
      <c r="D182" s="16"/>
      <c r="E182" s="16"/>
      <c r="F182" s="16">
        <v>0</v>
      </c>
      <c r="G182" s="16">
        <v>50523.72</v>
      </c>
      <c r="H182" s="16">
        <f t="shared" si="37"/>
        <v>-50523.72</v>
      </c>
      <c r="I182" s="54" t="str">
        <f t="shared" si="38"/>
        <v>N.M.</v>
      </c>
      <c r="J182" s="226"/>
      <c r="K182" s="295">
        <v>24847.27</v>
      </c>
      <c r="L182" s="16">
        <f t="shared" si="39"/>
        <v>-24847.27</v>
      </c>
      <c r="M182" s="54" t="str">
        <f t="shared" si="40"/>
        <v>N.M.</v>
      </c>
    </row>
    <row r="183" spans="1:13" s="68" customFormat="1" ht="12" customHeight="1" collapsed="1">
      <c r="A183" s="68" t="s">
        <v>145</v>
      </c>
      <c r="B183" s="88"/>
      <c r="C183" s="98" t="s">
        <v>121</v>
      </c>
      <c r="D183" s="52"/>
      <c r="E183" s="52"/>
      <c r="F183" s="142">
        <v>4714001.544</v>
      </c>
      <c r="G183" s="142">
        <v>10350744.164000003</v>
      </c>
      <c r="H183" s="142">
        <f>+F183-G183</f>
        <v>-5636742.620000003</v>
      </c>
      <c r="I183" s="168">
        <f>IF(G183&lt;0,IF(H183=0,0,IF(OR(G183=0,F183=0),"N.M.",IF(ABS(H183/G183)&gt;=10,"N.M.",H183/(-G183)))),IF(H183=0,0,IF(OR(G183=0,F183=0),"N.M.",IF(ABS(H183/G183)&gt;=10,"N.M.",H183/G183))))</f>
        <v>-0.5445736587331231</v>
      </c>
      <c r="J183" s="208"/>
      <c r="K183" s="185">
        <v>6243382.463999998</v>
      </c>
      <c r="L183" s="142">
        <f>+F183-K183</f>
        <v>-1529380.919999998</v>
      </c>
      <c r="M183" s="168">
        <f>IF(K183&lt;0,IF(L183=0,0,IF(OR(K183=0,F183=0),"N.M.",IF(ABS(L183/K183)&gt;=10,"N.M.",L183/(-K183)))),IF(L183=0,0,IF(OR(K183=0,F183=0),"N.M.",IF(ABS(L183/K183)&gt;=10,"N.M.",L183/K183))))</f>
        <v>-0.24496031258994141</v>
      </c>
    </row>
    <row r="184" spans="1:13" s="76" customFormat="1" ht="12" customHeight="1">
      <c r="A184" s="76" t="s">
        <v>124</v>
      </c>
      <c r="B184" s="95"/>
      <c r="C184" s="76" t="s">
        <v>157</v>
      </c>
      <c r="D184" s="75"/>
      <c r="E184" s="75"/>
      <c r="F184" s="143">
        <f>+F183+F172+F159+F152+F148+F135+F129+F118+F114+F96+F79+F76</f>
        <v>92934478.751</v>
      </c>
      <c r="G184" s="143">
        <f>+G183+G172+G159+G152+G148+G135+G129+G118+G114+G96+G79+G76</f>
        <v>107457424.80899999</v>
      </c>
      <c r="H184" s="143">
        <f>+F184-G184</f>
        <v>-14522946.057999983</v>
      </c>
      <c r="I184" s="167">
        <f>IF(G184&lt;0,IF(H184=0,0,IF(OR(G184=0,F184=0),"N.M.",IF(ABS(H184/G184)&gt;=10,"N.M.",H184/(-G184)))),IF(H184=0,0,IF(OR(G184=0,F184=0),"N.M.",IF(ABS(H184/G184)&gt;=10,"N.M.",H184/G184))))</f>
        <v>-0.1351506988355041</v>
      </c>
      <c r="J184" s="214" t="s">
        <v>83</v>
      </c>
      <c r="K184" s="184">
        <f>+K183+K172+K159+K152+K148+K135+K129+K118+K114+K96+K79+K76</f>
        <v>107041160.77200003</v>
      </c>
      <c r="L184" s="143">
        <f>+F184-K184</f>
        <v>-14106682.021000028</v>
      </c>
      <c r="M184" s="167">
        <f>IF(K184&lt;0,IF(L184=0,0,IF(OR(K184=0,F184=0),"N.M.",IF(ABS(L184/K184)&gt;=10,"N.M.",L184/(-K184)))),IF(L184=0,0,IF(OR(K184=0,F184=0),"N.M.",IF(ABS(L184/K184)&gt;=10,"N.M.",L184/K184))))</f>
        <v>-0.1317874537164966</v>
      </c>
    </row>
    <row r="185" spans="2:13" s="68" customFormat="1" ht="6" customHeight="1">
      <c r="B185" s="88"/>
      <c r="D185" s="52"/>
      <c r="E185" s="52"/>
      <c r="F185" s="141"/>
      <c r="G185" s="141"/>
      <c r="H185" s="141"/>
      <c r="I185" s="166"/>
      <c r="J185" s="213"/>
      <c r="K185" s="183"/>
      <c r="L185" s="141"/>
      <c r="M185" s="166"/>
    </row>
    <row r="186" spans="2:13" s="68" customFormat="1" ht="0.75" customHeight="1" outlineLevel="1">
      <c r="B186" s="88"/>
      <c r="D186" s="52"/>
      <c r="E186" s="52"/>
      <c r="F186" s="141"/>
      <c r="G186" s="141"/>
      <c r="H186" s="141"/>
      <c r="I186" s="166"/>
      <c r="J186" s="213"/>
      <c r="K186" s="183"/>
      <c r="L186" s="141"/>
      <c r="M186" s="166"/>
    </row>
    <row r="187" spans="1:13" s="15" customFormat="1" ht="12.75" hidden="1" outlineLevel="2">
      <c r="A187" s="15" t="s">
        <v>694</v>
      </c>
      <c r="B187" s="15" t="s">
        <v>695</v>
      </c>
      <c r="C187" s="164" t="s">
        <v>696</v>
      </c>
      <c r="D187" s="16"/>
      <c r="E187" s="16"/>
      <c r="F187" s="16">
        <v>6456335.62</v>
      </c>
      <c r="G187" s="16">
        <v>6519109.2</v>
      </c>
      <c r="H187" s="16">
        <f aca="true" t="shared" si="41" ref="H187:H208">+F187-G187</f>
        <v>-62773.580000000075</v>
      </c>
      <c r="I187" s="54">
        <f aca="true" t="shared" si="42" ref="I187:I208">IF(G187&lt;0,IF(H187=0,0,IF(OR(G187=0,F187=0),"N.M.",IF(ABS(H187/G187)&gt;=10,"N.M.",H187/(-G187)))),IF(H187=0,0,IF(OR(G187=0,F187=0),"N.M.",IF(ABS(H187/G187)&gt;=10,"N.M.",H187/G187))))</f>
        <v>-0.009629165285342984</v>
      </c>
      <c r="J187" s="226"/>
      <c r="K187" s="295">
        <v>7076806.39</v>
      </c>
      <c r="L187" s="16">
        <f aca="true" t="shared" si="43" ref="L187:L208">+F187-K187</f>
        <v>-620470.7699999996</v>
      </c>
      <c r="M187" s="54">
        <f aca="true" t="shared" si="44" ref="M187:M208">IF(K187&lt;0,IF(L187=0,0,IF(OR(K187=0,F187=0),"N.M.",IF(ABS(L187/K187)&gt;=10,"N.M.",L187/(-K187)))),IF(L187=0,0,IF(OR(K187=0,F187=0),"N.M.",IF(ABS(L187/K187)&gt;=10,"N.M.",L187/K187))))</f>
        <v>-0.08767666314522413</v>
      </c>
    </row>
    <row r="188" spans="1:13" s="15" customFormat="1" ht="12.75" hidden="1" outlineLevel="2">
      <c r="A188" s="15" t="s">
        <v>697</v>
      </c>
      <c r="B188" s="15" t="s">
        <v>698</v>
      </c>
      <c r="C188" s="164" t="s">
        <v>699</v>
      </c>
      <c r="D188" s="16"/>
      <c r="E188" s="16"/>
      <c r="F188" s="16">
        <v>1143423</v>
      </c>
      <c r="G188" s="16">
        <v>917045</v>
      </c>
      <c r="H188" s="16">
        <f t="shared" si="41"/>
        <v>226378</v>
      </c>
      <c r="I188" s="54">
        <f t="shared" si="42"/>
        <v>0.24685593400541958</v>
      </c>
      <c r="J188" s="226"/>
      <c r="K188" s="295">
        <v>991571</v>
      </c>
      <c r="L188" s="16">
        <f t="shared" si="43"/>
        <v>151852</v>
      </c>
      <c r="M188" s="54">
        <f t="shared" si="44"/>
        <v>0.15314284100684672</v>
      </c>
    </row>
    <row r="189" spans="1:13" s="15" customFormat="1" ht="12.75" hidden="1" outlineLevel="2">
      <c r="A189" s="15" t="s">
        <v>700</v>
      </c>
      <c r="B189" s="15" t="s">
        <v>701</v>
      </c>
      <c r="C189" s="164" t="s">
        <v>702</v>
      </c>
      <c r="D189" s="16"/>
      <c r="E189" s="16"/>
      <c r="F189" s="16">
        <v>-15738891</v>
      </c>
      <c r="G189" s="16">
        <v>-14358030</v>
      </c>
      <c r="H189" s="16">
        <f t="shared" si="41"/>
        <v>-1380861</v>
      </c>
      <c r="I189" s="54">
        <f t="shared" si="42"/>
        <v>-0.09617343047757944</v>
      </c>
      <c r="J189" s="226"/>
      <c r="K189" s="295">
        <v>-14670635</v>
      </c>
      <c r="L189" s="16">
        <f t="shared" si="43"/>
        <v>-1068256</v>
      </c>
      <c r="M189" s="54">
        <f t="shared" si="44"/>
        <v>-0.07281593468858029</v>
      </c>
    </row>
    <row r="190" spans="1:13" s="15" customFormat="1" ht="12.75" hidden="1" outlineLevel="2">
      <c r="A190" s="15" t="s">
        <v>703</v>
      </c>
      <c r="B190" s="15" t="s">
        <v>704</v>
      </c>
      <c r="C190" s="164" t="s">
        <v>705</v>
      </c>
      <c r="D190" s="16"/>
      <c r="E190" s="16"/>
      <c r="F190" s="16">
        <v>3863899</v>
      </c>
      <c r="G190" s="16">
        <v>3562516</v>
      </c>
      <c r="H190" s="16">
        <f t="shared" si="41"/>
        <v>301383</v>
      </c>
      <c r="I190" s="54">
        <f t="shared" si="42"/>
        <v>0.0845983568915901</v>
      </c>
      <c r="J190" s="226"/>
      <c r="K190" s="295">
        <v>3650578</v>
      </c>
      <c r="L190" s="16">
        <f t="shared" si="43"/>
        <v>213321</v>
      </c>
      <c r="M190" s="54">
        <f t="shared" si="44"/>
        <v>0.058434856069367644</v>
      </c>
    </row>
    <row r="191" spans="1:13" s="15" customFormat="1" ht="12.75" hidden="1" outlineLevel="2">
      <c r="A191" s="15" t="s">
        <v>706</v>
      </c>
      <c r="B191" s="15" t="s">
        <v>707</v>
      </c>
      <c r="C191" s="164" t="s">
        <v>708</v>
      </c>
      <c r="D191" s="16"/>
      <c r="E191" s="16"/>
      <c r="F191" s="16">
        <v>11090110</v>
      </c>
      <c r="G191" s="16">
        <v>9856997</v>
      </c>
      <c r="H191" s="16">
        <f t="shared" si="41"/>
        <v>1233113</v>
      </c>
      <c r="I191" s="54">
        <f t="shared" si="42"/>
        <v>0.12510027141126248</v>
      </c>
      <c r="J191" s="226"/>
      <c r="K191" s="295">
        <v>10297990</v>
      </c>
      <c r="L191" s="16">
        <f t="shared" si="43"/>
        <v>792120</v>
      </c>
      <c r="M191" s="54">
        <f t="shared" si="44"/>
        <v>0.0769198649445183</v>
      </c>
    </row>
    <row r="192" spans="1:13" s="15" customFormat="1" ht="12.75" hidden="1" outlineLevel="2">
      <c r="A192" s="15" t="s">
        <v>709</v>
      </c>
      <c r="B192" s="15" t="s">
        <v>710</v>
      </c>
      <c r="C192" s="164" t="s">
        <v>711</v>
      </c>
      <c r="D192" s="16"/>
      <c r="E192" s="16"/>
      <c r="F192" s="16">
        <v>746376</v>
      </c>
      <c r="G192" s="16">
        <v>779784</v>
      </c>
      <c r="H192" s="16">
        <f t="shared" si="41"/>
        <v>-33408</v>
      </c>
      <c r="I192" s="54">
        <f t="shared" si="42"/>
        <v>-0.04284263334461851</v>
      </c>
      <c r="J192" s="226"/>
      <c r="K192" s="295">
        <v>765864</v>
      </c>
      <c r="L192" s="16">
        <f t="shared" si="43"/>
        <v>-19488</v>
      </c>
      <c r="M192" s="54">
        <f t="shared" si="44"/>
        <v>-0.025445771050734856</v>
      </c>
    </row>
    <row r="193" spans="1:13" s="15" customFormat="1" ht="12.75" hidden="1" outlineLevel="2">
      <c r="A193" s="15" t="s">
        <v>712</v>
      </c>
      <c r="B193" s="15" t="s">
        <v>713</v>
      </c>
      <c r="C193" s="164" t="s">
        <v>714</v>
      </c>
      <c r="D193" s="16"/>
      <c r="E193" s="16"/>
      <c r="F193" s="16">
        <v>116315</v>
      </c>
      <c r="G193" s="16">
        <v>121523</v>
      </c>
      <c r="H193" s="16">
        <f t="shared" si="41"/>
        <v>-5208</v>
      </c>
      <c r="I193" s="54">
        <f t="shared" si="42"/>
        <v>-0.04285608485636464</v>
      </c>
      <c r="J193" s="226"/>
      <c r="K193" s="295">
        <v>119353</v>
      </c>
      <c r="L193" s="16">
        <f t="shared" si="43"/>
        <v>-3038</v>
      </c>
      <c r="M193" s="54">
        <f t="shared" si="44"/>
        <v>-0.025453905641249067</v>
      </c>
    </row>
    <row r="194" spans="1:13" s="15" customFormat="1" ht="12.75" hidden="1" outlineLevel="2">
      <c r="A194" s="15" t="s">
        <v>715</v>
      </c>
      <c r="B194" s="15" t="s">
        <v>716</v>
      </c>
      <c r="C194" s="164" t="s">
        <v>717</v>
      </c>
      <c r="D194" s="16"/>
      <c r="E194" s="16"/>
      <c r="F194" s="16">
        <v>0</v>
      </c>
      <c r="G194" s="16">
        <v>86965.12</v>
      </c>
      <c r="H194" s="16">
        <f t="shared" si="41"/>
        <v>-86965.12</v>
      </c>
      <c r="I194" s="54" t="str">
        <f t="shared" si="42"/>
        <v>N.M.</v>
      </c>
      <c r="J194" s="226"/>
      <c r="K194" s="295">
        <v>0</v>
      </c>
      <c r="L194" s="16">
        <f t="shared" si="43"/>
        <v>0</v>
      </c>
      <c r="M194" s="54">
        <f t="shared" si="44"/>
        <v>0</v>
      </c>
    </row>
    <row r="195" spans="1:13" s="15" customFormat="1" ht="12.75" hidden="1" outlineLevel="2">
      <c r="A195" s="15" t="s">
        <v>718</v>
      </c>
      <c r="B195" s="15" t="s">
        <v>719</v>
      </c>
      <c r="C195" s="164" t="s">
        <v>720</v>
      </c>
      <c r="D195" s="16"/>
      <c r="E195" s="16"/>
      <c r="F195" s="16">
        <v>538037.74</v>
      </c>
      <c r="G195" s="16">
        <v>0</v>
      </c>
      <c r="H195" s="16">
        <f t="shared" si="41"/>
        <v>538037.74</v>
      </c>
      <c r="I195" s="54" t="str">
        <f t="shared" si="42"/>
        <v>N.M.</v>
      </c>
      <c r="J195" s="226"/>
      <c r="K195" s="295">
        <v>0</v>
      </c>
      <c r="L195" s="16">
        <f t="shared" si="43"/>
        <v>538037.74</v>
      </c>
      <c r="M195" s="54" t="str">
        <f t="shared" si="44"/>
        <v>N.M.</v>
      </c>
    </row>
    <row r="196" spans="1:13" s="15" customFormat="1" ht="12.75" hidden="1" outlineLevel="2">
      <c r="A196" s="15" t="s">
        <v>721</v>
      </c>
      <c r="B196" s="15" t="s">
        <v>722</v>
      </c>
      <c r="C196" s="164" t="s">
        <v>723</v>
      </c>
      <c r="D196" s="16"/>
      <c r="E196" s="16"/>
      <c r="F196" s="16">
        <v>23100669</v>
      </c>
      <c r="G196" s="16">
        <v>0</v>
      </c>
      <c r="H196" s="16">
        <f t="shared" si="41"/>
        <v>23100669</v>
      </c>
      <c r="I196" s="54" t="str">
        <f t="shared" si="42"/>
        <v>N.M.</v>
      </c>
      <c r="J196" s="226"/>
      <c r="K196" s="295">
        <v>24355055</v>
      </c>
      <c r="L196" s="16">
        <f t="shared" si="43"/>
        <v>-1254386</v>
      </c>
      <c r="M196" s="54">
        <f t="shared" si="44"/>
        <v>-0.05150413333084241</v>
      </c>
    </row>
    <row r="197" spans="1:13" s="15" customFormat="1" ht="12.75" hidden="1" outlineLevel="2">
      <c r="A197" s="15" t="s">
        <v>724</v>
      </c>
      <c r="B197" s="15" t="s">
        <v>725</v>
      </c>
      <c r="C197" s="164" t="s">
        <v>726</v>
      </c>
      <c r="D197" s="16"/>
      <c r="E197" s="16"/>
      <c r="F197" s="16">
        <v>-161885.65</v>
      </c>
      <c r="G197" s="16">
        <v>-184313.65</v>
      </c>
      <c r="H197" s="16">
        <f t="shared" si="41"/>
        <v>22428</v>
      </c>
      <c r="I197" s="54">
        <f t="shared" si="42"/>
        <v>0.12168387962584432</v>
      </c>
      <c r="J197" s="226"/>
      <c r="K197" s="295">
        <v>-174968.65</v>
      </c>
      <c r="L197" s="16">
        <f t="shared" si="43"/>
        <v>13083</v>
      </c>
      <c r="M197" s="54">
        <f t="shared" si="44"/>
        <v>0.07477339511964001</v>
      </c>
    </row>
    <row r="198" spans="1:13" s="15" customFormat="1" ht="12.75" hidden="1" outlineLevel="2">
      <c r="A198" s="15" t="s">
        <v>727</v>
      </c>
      <c r="B198" s="15" t="s">
        <v>728</v>
      </c>
      <c r="C198" s="164" t="s">
        <v>729</v>
      </c>
      <c r="D198" s="16"/>
      <c r="E198" s="16"/>
      <c r="F198" s="16">
        <v>323872.398</v>
      </c>
      <c r="G198" s="16">
        <v>345172.778</v>
      </c>
      <c r="H198" s="16">
        <f t="shared" si="41"/>
        <v>-21300.380000000005</v>
      </c>
      <c r="I198" s="54">
        <f t="shared" si="42"/>
        <v>-0.0617093274951132</v>
      </c>
      <c r="J198" s="226"/>
      <c r="K198" s="295">
        <v>336498.648</v>
      </c>
      <c r="L198" s="16">
        <f t="shared" si="43"/>
        <v>-12626.25</v>
      </c>
      <c r="M198" s="54">
        <f t="shared" si="44"/>
        <v>-0.03752243902031963</v>
      </c>
    </row>
    <row r="199" spans="1:13" s="15" customFormat="1" ht="12.75" hidden="1" outlineLevel="2">
      <c r="A199" s="15" t="s">
        <v>730</v>
      </c>
      <c r="B199" s="15" t="s">
        <v>731</v>
      </c>
      <c r="C199" s="164" t="s">
        <v>732</v>
      </c>
      <c r="D199" s="16"/>
      <c r="E199" s="16"/>
      <c r="F199" s="16">
        <v>555483.271</v>
      </c>
      <c r="G199" s="16">
        <v>658184.801</v>
      </c>
      <c r="H199" s="16">
        <f t="shared" si="41"/>
        <v>-102701.53000000003</v>
      </c>
      <c r="I199" s="54">
        <f t="shared" si="42"/>
        <v>-0.1560375290404192</v>
      </c>
      <c r="J199" s="226"/>
      <c r="K199" s="295">
        <v>616302.141</v>
      </c>
      <c r="L199" s="16">
        <f t="shared" si="43"/>
        <v>-60818.869999999995</v>
      </c>
      <c r="M199" s="54">
        <f t="shared" si="44"/>
        <v>-0.09868352866877352</v>
      </c>
    </row>
    <row r="200" spans="1:13" s="15" customFormat="1" ht="12.75" hidden="1" outlineLevel="2">
      <c r="A200" s="15" t="s">
        <v>733</v>
      </c>
      <c r="B200" s="15" t="s">
        <v>734</v>
      </c>
      <c r="C200" s="164" t="s">
        <v>735</v>
      </c>
      <c r="D200" s="16"/>
      <c r="E200" s="16"/>
      <c r="F200" s="16">
        <v>342170.445</v>
      </c>
      <c r="G200" s="16">
        <v>364674.305</v>
      </c>
      <c r="H200" s="16">
        <f t="shared" si="41"/>
        <v>-22503.859999999986</v>
      </c>
      <c r="I200" s="54">
        <f t="shared" si="42"/>
        <v>-0.06170947525354161</v>
      </c>
      <c r="J200" s="226"/>
      <c r="K200" s="295">
        <v>355510.075</v>
      </c>
      <c r="L200" s="16">
        <f t="shared" si="43"/>
        <v>-13339.630000000005</v>
      </c>
      <c r="M200" s="54">
        <f t="shared" si="44"/>
        <v>-0.03752250903156543</v>
      </c>
    </row>
    <row r="201" spans="1:13" s="15" customFormat="1" ht="12.75" hidden="1" outlineLevel="2">
      <c r="A201" s="15" t="s">
        <v>736</v>
      </c>
      <c r="B201" s="15" t="s">
        <v>737</v>
      </c>
      <c r="C201" s="164" t="s">
        <v>738</v>
      </c>
      <c r="D201" s="16"/>
      <c r="E201" s="16"/>
      <c r="F201" s="16">
        <v>214373.35</v>
      </c>
      <c r="G201" s="16">
        <v>238341.79</v>
      </c>
      <c r="H201" s="16">
        <f t="shared" si="41"/>
        <v>-23968.440000000002</v>
      </c>
      <c r="I201" s="54">
        <f t="shared" si="42"/>
        <v>-0.10056331287937378</v>
      </c>
      <c r="J201" s="226"/>
      <c r="K201" s="295">
        <v>228575.41</v>
      </c>
      <c r="L201" s="16">
        <f t="shared" si="43"/>
        <v>-14202.059999999998</v>
      </c>
      <c r="M201" s="54">
        <f t="shared" si="44"/>
        <v>-0.06213293022202168</v>
      </c>
    </row>
    <row r="202" spans="1:13" s="15" customFormat="1" ht="12.75" hidden="1" outlineLevel="2">
      <c r="A202" s="15" t="s">
        <v>739</v>
      </c>
      <c r="B202" s="15" t="s">
        <v>740</v>
      </c>
      <c r="C202" s="164" t="s">
        <v>741</v>
      </c>
      <c r="D202" s="16"/>
      <c r="E202" s="16"/>
      <c r="F202" s="16">
        <v>169511.155</v>
      </c>
      <c r="G202" s="16">
        <v>180659.545</v>
      </c>
      <c r="H202" s="16">
        <f t="shared" si="41"/>
        <v>-11148.390000000014</v>
      </c>
      <c r="I202" s="54">
        <f t="shared" si="42"/>
        <v>-0.061709388230774154</v>
      </c>
      <c r="J202" s="226"/>
      <c r="K202" s="295">
        <v>176119.595</v>
      </c>
      <c r="L202" s="16">
        <f t="shared" si="43"/>
        <v>-6608.440000000002</v>
      </c>
      <c r="M202" s="54">
        <f t="shared" si="44"/>
        <v>-0.03752245739606659</v>
      </c>
    </row>
    <row r="203" spans="1:13" s="15" customFormat="1" ht="12.75" hidden="1" outlineLevel="2">
      <c r="A203" s="15" t="s">
        <v>742</v>
      </c>
      <c r="B203" s="15" t="s">
        <v>743</v>
      </c>
      <c r="C203" s="164" t="s">
        <v>744</v>
      </c>
      <c r="D203" s="16"/>
      <c r="E203" s="16"/>
      <c r="F203" s="16">
        <v>40602916</v>
      </c>
      <c r="G203" s="16">
        <v>40115665</v>
      </c>
      <c r="H203" s="16">
        <f t="shared" si="41"/>
        <v>487251</v>
      </c>
      <c r="I203" s="54">
        <f t="shared" si="42"/>
        <v>0.012146152880676414</v>
      </c>
      <c r="J203" s="226"/>
      <c r="K203" s="295">
        <v>41703110</v>
      </c>
      <c r="L203" s="16">
        <f t="shared" si="43"/>
        <v>-1100194</v>
      </c>
      <c r="M203" s="54">
        <f t="shared" si="44"/>
        <v>-0.026381581613457605</v>
      </c>
    </row>
    <row r="204" spans="1:13" s="15" customFormat="1" ht="12.75" hidden="1" outlineLevel="2">
      <c r="A204" s="15" t="s">
        <v>745</v>
      </c>
      <c r="B204" s="15" t="s">
        <v>746</v>
      </c>
      <c r="C204" s="164" t="s">
        <v>747</v>
      </c>
      <c r="D204" s="16"/>
      <c r="E204" s="16"/>
      <c r="F204" s="16">
        <v>14656165</v>
      </c>
      <c r="G204" s="16">
        <v>20144195.4</v>
      </c>
      <c r="H204" s="16">
        <f t="shared" si="41"/>
        <v>-5488030.3999999985</v>
      </c>
      <c r="I204" s="54">
        <f t="shared" si="42"/>
        <v>-0.2724373096579474</v>
      </c>
      <c r="J204" s="226"/>
      <c r="K204" s="295">
        <v>15266079</v>
      </c>
      <c r="L204" s="16">
        <f t="shared" si="43"/>
        <v>-609914</v>
      </c>
      <c r="M204" s="54">
        <f t="shared" si="44"/>
        <v>-0.03995223658936915</v>
      </c>
    </row>
    <row r="205" spans="1:13" s="15" customFormat="1" ht="12.75" hidden="1" outlineLevel="2">
      <c r="A205" s="15" t="s">
        <v>748</v>
      </c>
      <c r="B205" s="15" t="s">
        <v>749</v>
      </c>
      <c r="C205" s="164" t="s">
        <v>750</v>
      </c>
      <c r="D205" s="16"/>
      <c r="E205" s="16"/>
      <c r="F205" s="16">
        <v>-122035</v>
      </c>
      <c r="G205" s="16">
        <v>-115104</v>
      </c>
      <c r="H205" s="16">
        <f t="shared" si="41"/>
        <v>-6931</v>
      </c>
      <c r="I205" s="54">
        <f t="shared" si="42"/>
        <v>-0.06021510981373367</v>
      </c>
      <c r="J205" s="226"/>
      <c r="K205" s="295">
        <v>-121317</v>
      </c>
      <c r="L205" s="16">
        <f t="shared" si="43"/>
        <v>-718</v>
      </c>
      <c r="M205" s="54">
        <f t="shared" si="44"/>
        <v>-0.0059183791224642875</v>
      </c>
    </row>
    <row r="206" spans="1:13" s="15" customFormat="1" ht="12.75" hidden="1" outlineLevel="2">
      <c r="A206" s="15" t="s">
        <v>751</v>
      </c>
      <c r="B206" s="15" t="s">
        <v>752</v>
      </c>
      <c r="C206" s="164" t="s">
        <v>753</v>
      </c>
      <c r="D206" s="16"/>
      <c r="E206" s="16"/>
      <c r="F206" s="16">
        <v>279167</v>
      </c>
      <c r="G206" s="16">
        <v>100000</v>
      </c>
      <c r="H206" s="16">
        <f t="shared" si="41"/>
        <v>179167</v>
      </c>
      <c r="I206" s="54">
        <f t="shared" si="42"/>
        <v>1.79167</v>
      </c>
      <c r="J206" s="226"/>
      <c r="K206" s="295">
        <v>200000</v>
      </c>
      <c r="L206" s="16">
        <f t="shared" si="43"/>
        <v>79167</v>
      </c>
      <c r="M206" s="54">
        <f t="shared" si="44"/>
        <v>0.395835</v>
      </c>
    </row>
    <row r="207" spans="1:13" s="15" customFormat="1" ht="12.75" hidden="1" outlineLevel="2">
      <c r="A207" s="15" t="s">
        <v>754</v>
      </c>
      <c r="B207" s="15" t="s">
        <v>755</v>
      </c>
      <c r="C207" s="164" t="s">
        <v>756</v>
      </c>
      <c r="D207" s="16"/>
      <c r="E207" s="16"/>
      <c r="F207" s="16">
        <v>80302781.1</v>
      </c>
      <c r="G207" s="16">
        <v>81536664.33</v>
      </c>
      <c r="H207" s="16">
        <f t="shared" si="41"/>
        <v>-1233883.2300000042</v>
      </c>
      <c r="I207" s="54">
        <f t="shared" si="42"/>
        <v>-0.015132863726263797</v>
      </c>
      <c r="J207" s="226"/>
      <c r="K207" s="295">
        <v>79448610.56</v>
      </c>
      <c r="L207" s="16">
        <f t="shared" si="43"/>
        <v>854170.5399999917</v>
      </c>
      <c r="M207" s="54">
        <f t="shared" si="44"/>
        <v>0.01075123320570745</v>
      </c>
    </row>
    <row r="208" spans="1:13" s="15" customFormat="1" ht="12.75" hidden="1" outlineLevel="2">
      <c r="A208" s="15" t="s">
        <v>757</v>
      </c>
      <c r="B208" s="15" t="s">
        <v>758</v>
      </c>
      <c r="C208" s="164" t="s">
        <v>759</v>
      </c>
      <c r="D208" s="16"/>
      <c r="E208" s="16"/>
      <c r="F208" s="16">
        <v>37315143</v>
      </c>
      <c r="G208" s="16">
        <v>31165925</v>
      </c>
      <c r="H208" s="16">
        <f t="shared" si="41"/>
        <v>6149218</v>
      </c>
      <c r="I208" s="54">
        <f t="shared" si="42"/>
        <v>0.19730580754461804</v>
      </c>
      <c r="J208" s="226"/>
      <c r="K208" s="295">
        <v>36824251</v>
      </c>
      <c r="L208" s="16">
        <f t="shared" si="43"/>
        <v>490892</v>
      </c>
      <c r="M208" s="54">
        <f t="shared" si="44"/>
        <v>0.01333067168155029</v>
      </c>
    </row>
    <row r="209" spans="1:13" s="68" customFormat="1" ht="12.75" outlineLevel="1" collapsed="1">
      <c r="A209" s="68" t="s">
        <v>160</v>
      </c>
      <c r="B209" s="88"/>
      <c r="C209" s="83" t="s">
        <v>158</v>
      </c>
      <c r="D209" s="67"/>
      <c r="E209" s="67"/>
      <c r="F209" s="141">
        <v>205793936.429</v>
      </c>
      <c r="G209" s="141">
        <v>182035974.61900002</v>
      </c>
      <c r="H209" s="141">
        <f>+F209-G209</f>
        <v>23757961.809999973</v>
      </c>
      <c r="I209" s="166">
        <f>IF(G209&lt;0,IF(H209=0,0,IF(OR(G209=0,F209=0),"N.M.",IF(ABS(H209/G209)&gt;=10,"N.M.",H209/(-G209)))),IF(H209=0,0,IF(OR(G209=0,F209=0),"N.M.",IF(ABS(H209/G209)&gt;=10,"N.M.",H209/G209))))</f>
        <v>0.13051245425375516</v>
      </c>
      <c r="J209" s="213"/>
      <c r="K209" s="183">
        <v>207445353.169</v>
      </c>
      <c r="L209" s="141">
        <f>+F209-K209</f>
        <v>-1651416.7400000095</v>
      </c>
      <c r="M209" s="166">
        <f>IF(K209&lt;0,IF(L209=0,0,IF(OR(K209=0,F209=0),"N.M.",IF(ABS(L209/K209)&gt;=10,"N.M.",L209/(-K209)))),IF(L209=0,0,IF(OR(K209=0,F209=0),"N.M.",IF(ABS(L209/K209)&gt;=10,"N.M.",L209/K209))))</f>
        <v>-0.00796073141563526</v>
      </c>
    </row>
    <row r="210" spans="1:13" s="15" customFormat="1" ht="12.75" hidden="1" outlineLevel="2">
      <c r="A210" s="15" t="s">
        <v>760</v>
      </c>
      <c r="B210" s="15" t="s">
        <v>761</v>
      </c>
      <c r="C210" s="164" t="s">
        <v>762</v>
      </c>
      <c r="D210" s="16"/>
      <c r="E210" s="16"/>
      <c r="F210" s="16">
        <v>751484.85</v>
      </c>
      <c r="G210" s="16">
        <v>785133.4500000001</v>
      </c>
      <c r="H210" s="16">
        <f>+F210-G210</f>
        <v>-33648.60000000009</v>
      </c>
      <c r="I210" s="54">
        <f>IF(G210&lt;0,IF(H210=0,0,IF(OR(G210=0,F210=0),"N.M.",IF(ABS(H210/G210)&gt;=10,"N.M.",H210/(-G210)))),IF(H210=0,0,IF(OR(G210=0,F210=0),"N.M.",IF(ABS(H210/G210)&gt;=10,"N.M.",H210/G210))))</f>
        <v>-0.04285717287933674</v>
      </c>
      <c r="J210" s="226"/>
      <c r="K210" s="295">
        <v>771113.2000000001</v>
      </c>
      <c r="L210" s="16">
        <f>+F210-K210</f>
        <v>-19628.350000000093</v>
      </c>
      <c r="M210" s="54">
        <f>IF(K210&lt;0,IF(L210=0,0,IF(OR(K210=0,F210=0),"N.M.",IF(ABS(L210/K210)&gt;=10,"N.M.",L210/(-K210)))),IF(L210=0,0,IF(OR(K210=0,F210=0),"N.M.",IF(ABS(L210/K210)&gt;=10,"N.M.",L210/K210))))</f>
        <v>-0.02545456361011599</v>
      </c>
    </row>
    <row r="211" spans="1:13" s="68" customFormat="1" ht="12.75" outlineLevel="1" collapsed="1">
      <c r="A211" s="68" t="s">
        <v>161</v>
      </c>
      <c r="B211" s="88"/>
      <c r="C211" s="98" t="s">
        <v>159</v>
      </c>
      <c r="D211" s="67"/>
      <c r="E211" s="67"/>
      <c r="F211" s="142">
        <v>751484.85</v>
      </c>
      <c r="G211" s="142">
        <v>785133.4500000001</v>
      </c>
      <c r="H211" s="142">
        <f>+F211-G211</f>
        <v>-33648.60000000009</v>
      </c>
      <c r="I211" s="168">
        <f>IF(G211&lt;0,IF(H211=0,0,IF(OR(G211=0,F211=0),"N.M.",IF(ABS(H211/G211)&gt;=10,"N.M.",H211/(-G211)))),IF(H211=0,0,IF(OR(G211=0,F211=0),"N.M.",IF(ABS(H211/G211)&gt;=10,"N.M.",H211/G211))))</f>
        <v>-0.04285717287933674</v>
      </c>
      <c r="J211" s="213"/>
      <c r="K211" s="185">
        <v>771113.2000000001</v>
      </c>
      <c r="L211" s="142">
        <f>+F211-K211</f>
        <v>-19628.350000000093</v>
      </c>
      <c r="M211" s="168">
        <f>IF(K211&lt;0,IF(L211=0,0,IF(OR(K211=0,F211=0),"N.M.",IF(ABS(L211/K211)&gt;=10,"N.M.",L211/(-K211)))),IF(L211=0,0,IF(OR(K211=0,F211=0),"N.M.",IF(ABS(L211/K211)&gt;=10,"N.M.",L211/K211))))</f>
        <v>-0.02545456361011599</v>
      </c>
    </row>
    <row r="212" spans="1:13" s="76" customFormat="1" ht="12" customHeight="1">
      <c r="A212" s="76" t="s">
        <v>170</v>
      </c>
      <c r="B212" s="95"/>
      <c r="C212" s="76" t="s">
        <v>85</v>
      </c>
      <c r="D212" s="75"/>
      <c r="E212" s="75"/>
      <c r="F212" s="143">
        <f>+F211+F209</f>
        <v>206545421.27899998</v>
      </c>
      <c r="G212" s="143">
        <f>+G211+G209</f>
        <v>182821108.069</v>
      </c>
      <c r="H212" s="143">
        <f>+F212-G212</f>
        <v>23724313.20999998</v>
      </c>
      <c r="I212" s="167">
        <f>IF(G212&lt;0,IF(H212=0,0,IF(OR(G212=0,F212=0),"N.M.",IF(ABS(H212/G212)&gt;=10,"N.M.",H212/(-G212)))),IF(H212=0,0,IF(OR(G212=0,F212=0),"N.M.",IF(ABS(H212/G212)&gt;=10,"N.M.",H212/G212))))</f>
        <v>0.1297679106126301</v>
      </c>
      <c r="J212" s="214"/>
      <c r="K212" s="184">
        <f>+K211+K209</f>
        <v>208216466.369</v>
      </c>
      <c r="L212" s="143">
        <f>+F212-K212</f>
        <v>-1671045.0900000036</v>
      </c>
      <c r="M212" s="167">
        <f>IF(K212&lt;0,IF(L212=0,0,IF(OR(K212=0,F212=0),"N.M.",IF(ABS(L212/K212)&gt;=10,"N.M.",L212/(-K212)))),IF(L212=0,0,IF(OR(K212=0,F212=0),"N.M.",IF(ABS(L212/K212)&gt;=10,"N.M.",L212/K212))))</f>
        <v>-0.008025518438290021</v>
      </c>
    </row>
    <row r="213" spans="2:13" s="68" customFormat="1" ht="7.5" customHeight="1">
      <c r="B213" s="88"/>
      <c r="D213" s="52"/>
      <c r="E213" s="52"/>
      <c r="F213" s="141"/>
      <c r="G213" s="141"/>
      <c r="H213" s="141"/>
      <c r="I213" s="166"/>
      <c r="J213" s="213"/>
      <c r="K213" s="183"/>
      <c r="L213" s="141"/>
      <c r="M213" s="166"/>
    </row>
    <row r="214" spans="2:13" s="68" customFormat="1" ht="0.75" customHeight="1" outlineLevel="1">
      <c r="B214" s="88"/>
      <c r="D214" s="52"/>
      <c r="E214" s="52"/>
      <c r="F214" s="141"/>
      <c r="G214" s="141"/>
      <c r="H214" s="141"/>
      <c r="I214" s="166"/>
      <c r="J214" s="213"/>
      <c r="K214" s="183"/>
      <c r="L214" s="141"/>
      <c r="M214" s="166"/>
    </row>
    <row r="215" spans="1:13" s="15" customFormat="1" ht="12.75" hidden="1" outlineLevel="2">
      <c r="A215" s="15" t="s">
        <v>763</v>
      </c>
      <c r="B215" s="15" t="s">
        <v>764</v>
      </c>
      <c r="C215" s="164" t="s">
        <v>765</v>
      </c>
      <c r="D215" s="16"/>
      <c r="E215" s="16"/>
      <c r="F215" s="16">
        <v>2941061.5</v>
      </c>
      <c r="G215" s="16">
        <v>3312927.29</v>
      </c>
      <c r="H215" s="16">
        <f>+F215-G215</f>
        <v>-371865.79000000004</v>
      </c>
      <c r="I215" s="54">
        <f>IF(G215&lt;0,IF(H215=0,0,IF(OR(G215=0,F215=0),"N.M.",IF(ABS(H215/G215)&gt;=10,"N.M.",H215/(-G215)))),IF(H215=0,0,IF(OR(G215=0,F215=0),"N.M.",IF(ABS(H215/G215)&gt;=10,"N.M.",H215/G215))))</f>
        <v>-0.1122468914794686</v>
      </c>
      <c r="J215" s="226"/>
      <c r="K215" s="295">
        <v>3118664.03</v>
      </c>
      <c r="L215" s="16">
        <f>+F215-K215</f>
        <v>-177602.5299999998</v>
      </c>
      <c r="M215" s="54">
        <f>IF(K215&lt;0,IF(L215=0,0,IF(OR(K215=0,F215=0),"N.M.",IF(ABS(L215/K215)&gt;=10,"N.M.",L215/(-K215)))),IF(L215=0,0,IF(OR(K215=0,F215=0),"N.M.",IF(ABS(L215/K215)&gt;=10,"N.M.",L215/K215))))</f>
        <v>-0.05694827281539519</v>
      </c>
    </row>
    <row r="216" spans="1:13" s="68" customFormat="1" ht="12.75" outlineLevel="1" collapsed="1">
      <c r="A216" s="68" t="s">
        <v>183</v>
      </c>
      <c r="B216" s="88"/>
      <c r="C216" s="83" t="s">
        <v>162</v>
      </c>
      <c r="D216" s="67"/>
      <c r="E216" s="67"/>
      <c r="F216" s="141">
        <v>2941061.5</v>
      </c>
      <c r="G216" s="141">
        <v>3312927.29</v>
      </c>
      <c r="H216" s="141">
        <f>+F216-G216</f>
        <v>-371865.79000000004</v>
      </c>
      <c r="I216" s="166">
        <f>IF(G216&lt;0,IF(H216=0,0,IF(OR(G216=0,F216=0),"N.M.",IF(ABS(H216/G216)&gt;=10,"N.M.",H216/(-G216)))),IF(H216=0,0,IF(OR(G216=0,F216=0),"N.M.",IF(ABS(H216/G216)&gt;=10,"N.M.",H216/G216))))</f>
        <v>-0.1122468914794686</v>
      </c>
      <c r="J216" s="213"/>
      <c r="K216" s="183">
        <v>3118664.03</v>
      </c>
      <c r="L216" s="141">
        <f>+F216-K216</f>
        <v>-177602.5299999998</v>
      </c>
      <c r="M216" s="166">
        <f>IF(K216&lt;0,IF(L216=0,0,IF(OR(K216=0,F216=0),"N.M.",IF(ABS(L216/K216)&gt;=10,"N.M.",L216/(-K216)))),IF(L216=0,0,IF(OR(K216=0,F216=0),"N.M.",IF(ABS(L216/K216)&gt;=10,"N.M.",L216/K216))))</f>
        <v>-0.05694827281539519</v>
      </c>
    </row>
    <row r="217" spans="1:13" s="15" customFormat="1" ht="12.75" hidden="1" outlineLevel="2">
      <c r="A217" s="15" t="s">
        <v>766</v>
      </c>
      <c r="B217" s="15" t="s">
        <v>767</v>
      </c>
      <c r="C217" s="164" t="s">
        <v>768</v>
      </c>
      <c r="D217" s="16"/>
      <c r="E217" s="16"/>
      <c r="F217" s="16">
        <v>-18900.04</v>
      </c>
      <c r="G217" s="16">
        <v>0</v>
      </c>
      <c r="H217" s="16">
        <f>+F217-G217</f>
        <v>-18900.04</v>
      </c>
      <c r="I217" s="54" t="str">
        <f>IF(G217&lt;0,IF(H217=0,0,IF(OR(G217=0,F217=0),"N.M.",IF(ABS(H217/G217)&gt;=10,"N.M.",H217/(-G217)))),IF(H217=0,0,IF(OR(G217=0,F217=0),"N.M.",IF(ABS(H217/G217)&gt;=10,"N.M.",H217/G217))))</f>
        <v>N.M.</v>
      </c>
      <c r="J217" s="226"/>
      <c r="K217" s="295">
        <v>0</v>
      </c>
      <c r="L217" s="16">
        <f>+F217-K217</f>
        <v>-18900.04</v>
      </c>
      <c r="M217" s="54" t="str">
        <f>IF(K217&lt;0,IF(L217=0,0,IF(OR(K217=0,F217=0),"N.M.",IF(ABS(L217/K217)&gt;=10,"N.M.",L217/(-K217)))),IF(L217=0,0,IF(OR(K217=0,F217=0),"N.M.",IF(ABS(L217/K217)&gt;=10,"N.M.",L217/K217))))</f>
        <v>N.M.</v>
      </c>
    </row>
    <row r="218" spans="1:13" s="15" customFormat="1" ht="12.75" hidden="1" outlineLevel="2">
      <c r="A218" s="15" t="s">
        <v>769</v>
      </c>
      <c r="B218" s="15" t="s">
        <v>770</v>
      </c>
      <c r="C218" s="164" t="s">
        <v>771</v>
      </c>
      <c r="D218" s="16"/>
      <c r="E218" s="16"/>
      <c r="F218" s="16">
        <v>10913.66</v>
      </c>
      <c r="G218" s="16">
        <v>6045.201</v>
      </c>
      <c r="H218" s="16">
        <f>+F218-G218</f>
        <v>4868.459</v>
      </c>
      <c r="I218" s="54">
        <f>IF(G218&lt;0,IF(H218=0,0,IF(OR(G218=0,F218=0),"N.M.",IF(ABS(H218/G218)&gt;=10,"N.M.",H218/(-G218)))),IF(H218=0,0,IF(OR(G218=0,F218=0),"N.M.",IF(ABS(H218/G218)&gt;=10,"N.M.",H218/G218))))</f>
        <v>0.8053427834740317</v>
      </c>
      <c r="J218" s="226"/>
      <c r="K218" s="295">
        <v>0</v>
      </c>
      <c r="L218" s="16">
        <f>+F218-K218</f>
        <v>10913.66</v>
      </c>
      <c r="M218" s="54" t="str">
        <f>IF(K218&lt;0,IF(L218=0,0,IF(OR(K218=0,F218=0),"N.M.",IF(ABS(L218/K218)&gt;=10,"N.M.",L218/(-K218)))),IF(L218=0,0,IF(OR(K218=0,F218=0),"N.M.",IF(ABS(L218/K218)&gt;=10,"N.M.",L218/K218))))</f>
        <v>N.M.</v>
      </c>
    </row>
    <row r="219" spans="1:13" s="68" customFormat="1" ht="12.75" outlineLevel="1" collapsed="1">
      <c r="A219" s="68" t="s">
        <v>168</v>
      </c>
      <c r="B219" s="88"/>
      <c r="C219" s="83" t="s">
        <v>163</v>
      </c>
      <c r="D219" s="67"/>
      <c r="E219" s="67"/>
      <c r="F219" s="141">
        <v>-7986.380000000001</v>
      </c>
      <c r="G219" s="141">
        <v>6045.201</v>
      </c>
      <c r="H219" s="141">
        <f>+F219-G219</f>
        <v>-14031.581000000002</v>
      </c>
      <c r="I219" s="166">
        <f>IF(G219&lt;0,IF(H219=0,0,IF(OR(G219=0,F219=0),"N.M.",IF(ABS(H219/G219)&gt;=10,"N.M.",H219/(-G219)))),IF(H219=0,0,IF(OR(G219=0,F219=0),"N.M.",IF(ABS(H219/G219)&gt;=10,"N.M.",H219/G219))))</f>
        <v>-2.321110745531869</v>
      </c>
      <c r="J219" s="213"/>
      <c r="K219" s="183">
        <v>0</v>
      </c>
      <c r="L219" s="141">
        <f>+F219-K219</f>
        <v>-7986.380000000001</v>
      </c>
      <c r="M219" s="166" t="str">
        <f>IF(K219&lt;0,IF(L219=0,0,IF(OR(K219=0,F219=0),"N.M.",IF(ABS(L219/K219)&gt;=10,"N.M.",L219/(-K219)))),IF(L219=0,0,IF(OR(K219=0,F219=0),"N.M.",IF(ABS(L219/K219)&gt;=10,"N.M.",L219/K219))))</f>
        <v>N.M.</v>
      </c>
    </row>
    <row r="220" spans="1:13" s="15" customFormat="1" ht="12.75" hidden="1" outlineLevel="2">
      <c r="A220" s="15" t="s">
        <v>772</v>
      </c>
      <c r="B220" s="15" t="s">
        <v>773</v>
      </c>
      <c r="C220" s="164" t="s">
        <v>774</v>
      </c>
      <c r="D220" s="16"/>
      <c r="E220" s="16"/>
      <c r="F220" s="16">
        <v>22269666.73</v>
      </c>
      <c r="G220" s="16">
        <v>21052753.63</v>
      </c>
      <c r="H220" s="16">
        <f aca="true" t="shared" si="45" ref="H220:H231">+F220-G220</f>
        <v>1216913.1000000015</v>
      </c>
      <c r="I220" s="54">
        <f aca="true" t="shared" si="46" ref="I220:I231">IF(G220&lt;0,IF(H220=0,0,IF(OR(G220=0,F220=0),"N.M.",IF(ABS(H220/G220)&gt;=10,"N.M.",H220/(-G220)))),IF(H220=0,0,IF(OR(G220=0,F220=0),"N.M.",IF(ABS(H220/G220)&gt;=10,"N.M.",H220/G220))))</f>
        <v>0.057803037141227476</v>
      </c>
      <c r="J220" s="226"/>
      <c r="K220" s="295">
        <v>21315585.94</v>
      </c>
      <c r="L220" s="16">
        <f aca="true" t="shared" si="47" ref="L220:L231">+F220-K220</f>
        <v>954080.7899999991</v>
      </c>
      <c r="M220" s="54">
        <f aca="true" t="shared" si="48" ref="M220:M231">IF(K220&lt;0,IF(L220=0,0,IF(OR(K220=0,F220=0),"N.M.",IF(ABS(L220/K220)&gt;=10,"N.M.",L220/(-K220)))),IF(L220=0,0,IF(OR(K220=0,F220=0),"N.M.",IF(ABS(L220/K220)&gt;=10,"N.M.",L220/K220))))</f>
        <v>0.04475977309212074</v>
      </c>
    </row>
    <row r="221" spans="1:13" s="15" customFormat="1" ht="12.75" hidden="1" outlineLevel="2">
      <c r="A221" s="15" t="s">
        <v>775</v>
      </c>
      <c r="B221" s="15" t="s">
        <v>776</v>
      </c>
      <c r="C221" s="164" t="s">
        <v>777</v>
      </c>
      <c r="D221" s="16"/>
      <c r="E221" s="16"/>
      <c r="F221" s="16">
        <v>251.96</v>
      </c>
      <c r="G221" s="16">
        <v>-1309.8</v>
      </c>
      <c r="H221" s="16">
        <f t="shared" si="45"/>
        <v>1561.76</v>
      </c>
      <c r="I221" s="54">
        <f t="shared" si="46"/>
        <v>1.1923652466025347</v>
      </c>
      <c r="J221" s="226"/>
      <c r="K221" s="295">
        <v>0</v>
      </c>
      <c r="L221" s="16">
        <f t="shared" si="47"/>
        <v>251.96</v>
      </c>
      <c r="M221" s="54" t="str">
        <f t="shared" si="48"/>
        <v>N.M.</v>
      </c>
    </row>
    <row r="222" spans="1:13" s="15" customFormat="1" ht="12.75" hidden="1" outlineLevel="2">
      <c r="A222" s="15" t="s">
        <v>778</v>
      </c>
      <c r="B222" s="15" t="s">
        <v>779</v>
      </c>
      <c r="C222" s="164" t="s">
        <v>780</v>
      </c>
      <c r="D222" s="16"/>
      <c r="E222" s="16"/>
      <c r="F222" s="16">
        <v>0</v>
      </c>
      <c r="G222" s="16">
        <v>10485</v>
      </c>
      <c r="H222" s="16">
        <f t="shared" si="45"/>
        <v>-10485</v>
      </c>
      <c r="I222" s="54" t="str">
        <f t="shared" si="46"/>
        <v>N.M.</v>
      </c>
      <c r="J222" s="226"/>
      <c r="K222" s="295">
        <v>0</v>
      </c>
      <c r="L222" s="16">
        <f t="shared" si="47"/>
        <v>0</v>
      </c>
      <c r="M222" s="54">
        <f t="shared" si="48"/>
        <v>0</v>
      </c>
    </row>
    <row r="223" spans="1:13" s="15" customFormat="1" ht="12.75" hidden="1" outlineLevel="2">
      <c r="A223" s="15" t="s">
        <v>781</v>
      </c>
      <c r="B223" s="15" t="s">
        <v>782</v>
      </c>
      <c r="C223" s="164" t="s">
        <v>783</v>
      </c>
      <c r="D223" s="16"/>
      <c r="E223" s="16"/>
      <c r="F223" s="16">
        <v>0</v>
      </c>
      <c r="G223" s="16">
        <v>3773365</v>
      </c>
      <c r="H223" s="16">
        <f t="shared" si="45"/>
        <v>-3773365</v>
      </c>
      <c r="I223" s="54" t="str">
        <f t="shared" si="46"/>
        <v>N.M.</v>
      </c>
      <c r="J223" s="226"/>
      <c r="K223" s="295">
        <v>0</v>
      </c>
      <c r="L223" s="16">
        <f t="shared" si="47"/>
        <v>0</v>
      </c>
      <c r="M223" s="54">
        <f t="shared" si="48"/>
        <v>0</v>
      </c>
    </row>
    <row r="224" spans="1:13" s="15" customFormat="1" ht="12.75" hidden="1" outlineLevel="2">
      <c r="A224" s="15" t="s">
        <v>784</v>
      </c>
      <c r="B224" s="15" t="s">
        <v>785</v>
      </c>
      <c r="C224" s="164" t="s">
        <v>783</v>
      </c>
      <c r="D224" s="16"/>
      <c r="E224" s="16"/>
      <c r="F224" s="16">
        <v>3767662</v>
      </c>
      <c r="G224" s="16">
        <v>0</v>
      </c>
      <c r="H224" s="16">
        <f t="shared" si="45"/>
        <v>3767662</v>
      </c>
      <c r="I224" s="54" t="str">
        <f t="shared" si="46"/>
        <v>N.M.</v>
      </c>
      <c r="J224" s="226"/>
      <c r="K224" s="295">
        <v>9323500</v>
      </c>
      <c r="L224" s="16">
        <f t="shared" si="47"/>
        <v>-5555838</v>
      </c>
      <c r="M224" s="54">
        <f t="shared" si="48"/>
        <v>-0.5958961763286319</v>
      </c>
    </row>
    <row r="225" spans="1:13" s="15" customFormat="1" ht="12.75" hidden="1" outlineLevel="2">
      <c r="A225" s="15" t="s">
        <v>786</v>
      </c>
      <c r="B225" s="15" t="s">
        <v>787</v>
      </c>
      <c r="C225" s="164" t="s">
        <v>788</v>
      </c>
      <c r="D225" s="16"/>
      <c r="E225" s="16"/>
      <c r="F225" s="16">
        <v>909507.29</v>
      </c>
      <c r="G225" s="16">
        <v>935129.17</v>
      </c>
      <c r="H225" s="16">
        <f t="shared" si="45"/>
        <v>-25621.880000000005</v>
      </c>
      <c r="I225" s="54">
        <f t="shared" si="46"/>
        <v>-0.02739929500862432</v>
      </c>
      <c r="J225" s="226"/>
      <c r="K225" s="295">
        <v>825908.49</v>
      </c>
      <c r="L225" s="16">
        <f t="shared" si="47"/>
        <v>83598.80000000005</v>
      </c>
      <c r="M225" s="54">
        <f t="shared" si="48"/>
        <v>0.10122041486702728</v>
      </c>
    </row>
    <row r="226" spans="1:13" s="15" customFormat="1" ht="12.75" hidden="1" outlineLevel="2">
      <c r="A226" s="15" t="s">
        <v>789</v>
      </c>
      <c r="B226" s="15" t="s">
        <v>790</v>
      </c>
      <c r="C226" s="164" t="s">
        <v>791</v>
      </c>
      <c r="D226" s="16"/>
      <c r="E226" s="16"/>
      <c r="F226" s="16">
        <v>0</v>
      </c>
      <c r="G226" s="16">
        <v>13750</v>
      </c>
      <c r="H226" s="16">
        <f t="shared" si="45"/>
        <v>-13750</v>
      </c>
      <c r="I226" s="54" t="str">
        <f t="shared" si="46"/>
        <v>N.M.</v>
      </c>
      <c r="J226" s="226"/>
      <c r="K226" s="295">
        <v>0</v>
      </c>
      <c r="L226" s="16">
        <f t="shared" si="47"/>
        <v>0</v>
      </c>
      <c r="M226" s="54">
        <f t="shared" si="48"/>
        <v>0</v>
      </c>
    </row>
    <row r="227" spans="1:13" s="15" customFormat="1" ht="12.75" hidden="1" outlineLevel="2">
      <c r="A227" s="15" t="s">
        <v>792</v>
      </c>
      <c r="B227" s="15" t="s">
        <v>793</v>
      </c>
      <c r="C227" s="164" t="s">
        <v>791</v>
      </c>
      <c r="D227" s="16"/>
      <c r="E227" s="16"/>
      <c r="F227" s="16">
        <v>44287</v>
      </c>
      <c r="G227" s="16">
        <v>0</v>
      </c>
      <c r="H227" s="16">
        <f t="shared" si="45"/>
        <v>44287</v>
      </c>
      <c r="I227" s="54" t="str">
        <f t="shared" si="46"/>
        <v>N.M.</v>
      </c>
      <c r="J227" s="226"/>
      <c r="K227" s="295">
        <v>0</v>
      </c>
      <c r="L227" s="16">
        <f t="shared" si="47"/>
        <v>44287</v>
      </c>
      <c r="M227" s="54" t="str">
        <f t="shared" si="48"/>
        <v>N.M.</v>
      </c>
    </row>
    <row r="228" spans="1:13" s="15" customFormat="1" ht="12.75" hidden="1" outlineLevel="2">
      <c r="A228" s="15" t="s">
        <v>794</v>
      </c>
      <c r="B228" s="15" t="s">
        <v>795</v>
      </c>
      <c r="C228" s="164" t="s">
        <v>796</v>
      </c>
      <c r="D228" s="16"/>
      <c r="E228" s="16"/>
      <c r="F228" s="16">
        <v>0</v>
      </c>
      <c r="G228" s="16">
        <v>111516.14</v>
      </c>
      <c r="H228" s="16">
        <f t="shared" si="45"/>
        <v>-111516.14</v>
      </c>
      <c r="I228" s="54" t="str">
        <f t="shared" si="46"/>
        <v>N.M.</v>
      </c>
      <c r="J228" s="226"/>
      <c r="K228" s="295">
        <v>0</v>
      </c>
      <c r="L228" s="16">
        <f t="shared" si="47"/>
        <v>0</v>
      </c>
      <c r="M228" s="54">
        <f t="shared" si="48"/>
        <v>0</v>
      </c>
    </row>
    <row r="229" spans="1:13" s="15" customFormat="1" ht="12.75" hidden="1" outlineLevel="2">
      <c r="A229" s="15" t="s">
        <v>797</v>
      </c>
      <c r="B229" s="15" t="s">
        <v>798</v>
      </c>
      <c r="C229" s="164" t="s">
        <v>799</v>
      </c>
      <c r="D229" s="16"/>
      <c r="E229" s="16"/>
      <c r="F229" s="16">
        <v>373051.54</v>
      </c>
      <c r="G229" s="16">
        <v>119110.49</v>
      </c>
      <c r="H229" s="16">
        <f t="shared" si="45"/>
        <v>253941.05</v>
      </c>
      <c r="I229" s="54">
        <f t="shared" si="46"/>
        <v>2.1319788878376706</v>
      </c>
      <c r="J229" s="226"/>
      <c r="K229" s="295">
        <v>94643.74</v>
      </c>
      <c r="L229" s="16">
        <f t="shared" si="47"/>
        <v>278407.8</v>
      </c>
      <c r="M229" s="54">
        <f t="shared" si="48"/>
        <v>2.9416398802498716</v>
      </c>
    </row>
    <row r="230" spans="1:13" s="15" customFormat="1" ht="12.75" hidden="1" outlineLevel="2">
      <c r="A230" s="15" t="s">
        <v>800</v>
      </c>
      <c r="B230" s="15" t="s">
        <v>801</v>
      </c>
      <c r="C230" s="164" t="s">
        <v>802</v>
      </c>
      <c r="D230" s="16"/>
      <c r="E230" s="16"/>
      <c r="F230" s="16">
        <v>390.69</v>
      </c>
      <c r="G230" s="16">
        <v>798.15</v>
      </c>
      <c r="H230" s="16">
        <f t="shared" si="45"/>
        <v>-407.46</v>
      </c>
      <c r="I230" s="54">
        <f t="shared" si="46"/>
        <v>-0.5105055440706634</v>
      </c>
      <c r="J230" s="226"/>
      <c r="K230" s="295">
        <v>1873.14</v>
      </c>
      <c r="L230" s="16">
        <f t="shared" si="47"/>
        <v>-1482.45</v>
      </c>
      <c r="M230" s="54">
        <f t="shared" si="48"/>
        <v>-0.7914250936929433</v>
      </c>
    </row>
    <row r="231" spans="1:13" s="15" customFormat="1" ht="12.75" hidden="1" outlineLevel="2">
      <c r="A231" s="15" t="s">
        <v>803</v>
      </c>
      <c r="B231" s="15" t="s">
        <v>804</v>
      </c>
      <c r="C231" s="164" t="s">
        <v>805</v>
      </c>
      <c r="D231" s="16"/>
      <c r="E231" s="16"/>
      <c r="F231" s="16">
        <v>8125.9400000000005</v>
      </c>
      <c r="G231" s="16">
        <v>31199.940000000002</v>
      </c>
      <c r="H231" s="16">
        <f t="shared" si="45"/>
        <v>-23074</v>
      </c>
      <c r="I231" s="54">
        <f t="shared" si="46"/>
        <v>-0.739552704268021</v>
      </c>
      <c r="J231" s="226"/>
      <c r="K231" s="295">
        <v>0</v>
      </c>
      <c r="L231" s="16">
        <f t="shared" si="47"/>
        <v>8125.9400000000005</v>
      </c>
      <c r="M231" s="54" t="str">
        <f t="shared" si="48"/>
        <v>N.M.</v>
      </c>
    </row>
    <row r="232" spans="1:13" s="68" customFormat="1" ht="12.75" outlineLevel="1" collapsed="1">
      <c r="A232" s="68" t="s">
        <v>167</v>
      </c>
      <c r="B232" s="88"/>
      <c r="C232" s="83" t="s">
        <v>164</v>
      </c>
      <c r="D232" s="67"/>
      <c r="E232" s="67"/>
      <c r="F232" s="141">
        <v>27372943.150000002</v>
      </c>
      <c r="G232" s="141">
        <v>26046797.72</v>
      </c>
      <c r="H232" s="141">
        <f>+F232-G232</f>
        <v>1326145.4300000034</v>
      </c>
      <c r="I232" s="166">
        <f>IF(G232&lt;0,IF(H232=0,0,IF(OR(G232=0,F232=0),"N.M.",IF(ABS(H232/G232)&gt;=10,"N.M.",H232/(-G232)))),IF(H232=0,0,IF(OR(G232=0,F232=0),"N.M.",IF(ABS(H232/G232)&gt;=10,"N.M.",H232/G232))))</f>
        <v>0.05091395281124038</v>
      </c>
      <c r="J232" s="213"/>
      <c r="K232" s="183">
        <v>31561511.31</v>
      </c>
      <c r="L232" s="141">
        <f>+F232-K232</f>
        <v>-4188568.1599999964</v>
      </c>
      <c r="M232" s="166">
        <f>IF(K232&lt;0,IF(L232=0,0,IF(OR(K232=0,F232=0),"N.M.",IF(ABS(L232/K232)&gt;=10,"N.M.",L232/(-K232)))),IF(L232=0,0,IF(OR(K232=0,F232=0),"N.M.",IF(ABS(L232/K232)&gt;=10,"N.M.",L232/K232))))</f>
        <v>-0.13271126717790868</v>
      </c>
    </row>
    <row r="233" spans="1:13" s="15" customFormat="1" ht="12.75" hidden="1" outlineLevel="2">
      <c r="A233" s="15" t="s">
        <v>806</v>
      </c>
      <c r="B233" s="15" t="s">
        <v>807</v>
      </c>
      <c r="C233" s="164" t="s">
        <v>808</v>
      </c>
      <c r="D233" s="16"/>
      <c r="E233" s="16"/>
      <c r="F233" s="16">
        <v>210981.9</v>
      </c>
      <c r="G233" s="16">
        <v>269414.45</v>
      </c>
      <c r="H233" s="16">
        <f aca="true" t="shared" si="49" ref="H233:H238">+F233-G233</f>
        <v>-58432.55000000002</v>
      </c>
      <c r="I233" s="54">
        <f aca="true" t="shared" si="50" ref="I233:I238">IF(G233&lt;0,IF(H233=0,0,IF(OR(G233=0,F233=0),"N.M.",IF(ABS(H233/G233)&gt;=10,"N.M.",H233/(-G233)))),IF(H233=0,0,IF(OR(G233=0,F233=0),"N.M.",IF(ABS(H233/G233)&gt;=10,"N.M.",H233/G233))))</f>
        <v>-0.2168872159603912</v>
      </c>
      <c r="J233" s="226"/>
      <c r="K233" s="295">
        <v>252948.30000000002</v>
      </c>
      <c r="L233" s="16">
        <f aca="true" t="shared" si="51" ref="L233:L238">+F233-K233</f>
        <v>-41966.40000000002</v>
      </c>
      <c r="M233" s="54">
        <f aca="true" t="shared" si="52" ref="M233:M238">IF(K233&lt;0,IF(L233=0,0,IF(OR(K233=0,F233=0),"N.M.",IF(ABS(L233/K233)&gt;=10,"N.M.",L233/(-K233)))),IF(L233=0,0,IF(OR(K233=0,F233=0),"N.M.",IF(ABS(L233/K233)&gt;=10,"N.M.",L233/K233))))</f>
        <v>-0.16590900195810773</v>
      </c>
    </row>
    <row r="234" spans="1:13" s="15" customFormat="1" ht="12.75" hidden="1" outlineLevel="2">
      <c r="A234" s="15" t="s">
        <v>809</v>
      </c>
      <c r="B234" s="15" t="s">
        <v>810</v>
      </c>
      <c r="C234" s="164" t="s">
        <v>811</v>
      </c>
      <c r="D234" s="16"/>
      <c r="E234" s="16"/>
      <c r="F234" s="16">
        <v>230453.7</v>
      </c>
      <c r="G234" s="16">
        <v>262988.34</v>
      </c>
      <c r="H234" s="16">
        <f t="shared" si="49"/>
        <v>-32534.640000000014</v>
      </c>
      <c r="I234" s="54">
        <f t="shared" si="50"/>
        <v>-0.12371134020618561</v>
      </c>
      <c r="J234" s="226"/>
      <c r="K234" s="295">
        <v>249432.24</v>
      </c>
      <c r="L234" s="16">
        <f t="shared" si="51"/>
        <v>-18978.53999999998</v>
      </c>
      <c r="M234" s="54">
        <f t="shared" si="52"/>
        <v>-0.07608695652173905</v>
      </c>
    </row>
    <row r="235" spans="1:13" s="15" customFormat="1" ht="12.75" hidden="1" outlineLevel="2">
      <c r="A235" s="15" t="s">
        <v>812</v>
      </c>
      <c r="B235" s="15" t="s">
        <v>813</v>
      </c>
      <c r="C235" s="164" t="s">
        <v>814</v>
      </c>
      <c r="D235" s="16"/>
      <c r="E235" s="16"/>
      <c r="F235" s="16">
        <v>12845429.83</v>
      </c>
      <c r="G235" s="16">
        <v>32329913.87</v>
      </c>
      <c r="H235" s="16">
        <f t="shared" si="49"/>
        <v>-19484484.04</v>
      </c>
      <c r="I235" s="54">
        <f t="shared" si="50"/>
        <v>-0.6026766454852915</v>
      </c>
      <c r="J235" s="226"/>
      <c r="K235" s="295">
        <v>14157012.45</v>
      </c>
      <c r="L235" s="16">
        <f t="shared" si="51"/>
        <v>-1311582.6199999992</v>
      </c>
      <c r="M235" s="54">
        <f t="shared" si="52"/>
        <v>-0.09264543805638874</v>
      </c>
    </row>
    <row r="236" spans="1:13" s="15" customFormat="1" ht="12.75" hidden="1" outlineLevel="2">
      <c r="A236" s="15" t="s">
        <v>815</v>
      </c>
      <c r="B236" s="15" t="s">
        <v>816</v>
      </c>
      <c r="C236" s="164" t="s">
        <v>817</v>
      </c>
      <c r="D236" s="16"/>
      <c r="E236" s="16"/>
      <c r="F236" s="16">
        <v>544441.24</v>
      </c>
      <c r="G236" s="16">
        <v>1141288.8</v>
      </c>
      <c r="H236" s="16">
        <f t="shared" si="49"/>
        <v>-596847.56</v>
      </c>
      <c r="I236" s="54">
        <f t="shared" si="50"/>
        <v>-0.522959272008978</v>
      </c>
      <c r="J236" s="226"/>
      <c r="K236" s="295">
        <v>607057.99</v>
      </c>
      <c r="L236" s="16">
        <f t="shared" si="51"/>
        <v>-62616.75</v>
      </c>
      <c r="M236" s="54">
        <f t="shared" si="52"/>
        <v>-0.10314788872147124</v>
      </c>
    </row>
    <row r="237" spans="1:13" s="15" customFormat="1" ht="12.75" hidden="1" outlineLevel="2">
      <c r="A237" s="15" t="s">
        <v>818</v>
      </c>
      <c r="B237" s="15" t="s">
        <v>819</v>
      </c>
      <c r="C237" s="164" t="s">
        <v>820</v>
      </c>
      <c r="D237" s="16"/>
      <c r="E237" s="16"/>
      <c r="F237" s="16">
        <v>12159522.61</v>
      </c>
      <c r="G237" s="16">
        <v>12006453.48</v>
      </c>
      <c r="H237" s="16">
        <f t="shared" si="49"/>
        <v>153069.12999999896</v>
      </c>
      <c r="I237" s="54">
        <f t="shared" si="50"/>
        <v>0.01274890459992845</v>
      </c>
      <c r="J237" s="226"/>
      <c r="K237" s="295">
        <v>13730759.07</v>
      </c>
      <c r="L237" s="16">
        <f t="shared" si="51"/>
        <v>-1571236.460000001</v>
      </c>
      <c r="M237" s="54">
        <f t="shared" si="52"/>
        <v>-0.11443187168238622</v>
      </c>
    </row>
    <row r="238" spans="1:13" s="15" customFormat="1" ht="12.75" hidden="1" outlineLevel="2">
      <c r="A238" s="15" t="s">
        <v>821</v>
      </c>
      <c r="B238" s="15" t="s">
        <v>822</v>
      </c>
      <c r="C238" s="164" t="s">
        <v>823</v>
      </c>
      <c r="D238" s="16"/>
      <c r="E238" s="16"/>
      <c r="F238" s="16">
        <v>402150.53</v>
      </c>
      <c r="G238" s="16">
        <v>461266.08</v>
      </c>
      <c r="H238" s="16">
        <f t="shared" si="49"/>
        <v>-59115.54999999999</v>
      </c>
      <c r="I238" s="54">
        <f t="shared" si="50"/>
        <v>-0.12815932617460185</v>
      </c>
      <c r="J238" s="226"/>
      <c r="K238" s="295">
        <v>429831.75</v>
      </c>
      <c r="L238" s="16">
        <f t="shared" si="51"/>
        <v>-27681.219999999972</v>
      </c>
      <c r="M238" s="54">
        <f t="shared" si="52"/>
        <v>-0.0644001286549911</v>
      </c>
    </row>
    <row r="239" spans="1:13" s="68" customFormat="1" ht="12.75" outlineLevel="1" collapsed="1">
      <c r="A239" s="68" t="s">
        <v>166</v>
      </c>
      <c r="B239" s="88"/>
      <c r="C239" s="98" t="s">
        <v>165</v>
      </c>
      <c r="D239" s="67"/>
      <c r="E239" s="67"/>
      <c r="F239" s="142">
        <v>26392979.810000002</v>
      </c>
      <c r="G239" s="142">
        <v>46471325.019999996</v>
      </c>
      <c r="H239" s="142">
        <f>+F239-G239</f>
        <v>-20078345.209999993</v>
      </c>
      <c r="I239" s="168">
        <f>IF(G239&lt;0,IF(H239=0,0,IF(OR(G239=0,F239=0),"N.M.",IF(ABS(H239/G239)&gt;=10,"N.M.",H239/(-G239)))),IF(H239=0,0,IF(OR(G239=0,F239=0),"N.M.",IF(ABS(H239/G239)&gt;=10,"N.M.",H239/G239))))</f>
        <v>-0.43205880618550946</v>
      </c>
      <c r="J239" s="213"/>
      <c r="K239" s="185">
        <v>29427041.799999997</v>
      </c>
      <c r="L239" s="142">
        <f>+F239-K239</f>
        <v>-3034061.9899999946</v>
      </c>
      <c r="M239" s="168">
        <f>IF(K239&lt;0,IF(L239=0,0,IF(OR(K239=0,F239=0),"N.M.",IF(ABS(L239/K239)&gt;=10,"N.M.",L239/(-K239)))),IF(L239=0,0,IF(OR(K239=0,F239=0),"N.M.",IF(ABS(L239/K239)&gt;=10,"N.M.",L239/K239))))</f>
        <v>-0.10310455296937102</v>
      </c>
    </row>
    <row r="240" spans="1:13" s="76" customFormat="1" ht="12" customHeight="1">
      <c r="A240" s="76" t="s">
        <v>169</v>
      </c>
      <c r="B240" s="95"/>
      <c r="C240" s="76" t="s">
        <v>86</v>
      </c>
      <c r="D240" s="75"/>
      <c r="E240" s="75"/>
      <c r="F240" s="143">
        <f>+F216+F219+F232+F239</f>
        <v>56698998.080000006</v>
      </c>
      <c r="G240" s="143">
        <f>+G216+G219+G232+G239</f>
        <v>75837095.23099999</v>
      </c>
      <c r="H240" s="143">
        <f>+F240-G240</f>
        <v>-19138097.150999986</v>
      </c>
      <c r="I240" s="167">
        <f>IF(G240&lt;0,IF(H240=0,0,IF(OR(G240=0,F240=0),"N.M.",IF(ABS(H240/G240)&gt;=10,"N.M.",H240/(-G240)))),IF(H240=0,0,IF(OR(G240=0,F240=0),"N.M.",IF(ABS(H240/G240)&gt;=10,"N.M.",H240/G240))))</f>
        <v>-0.25235799304687623</v>
      </c>
      <c r="J240" s="214"/>
      <c r="K240" s="184">
        <f>+K216+K219+K232+K239</f>
        <v>64107217.13999999</v>
      </c>
      <c r="L240" s="143">
        <f>+F240-K240</f>
        <v>-7408219.0599999875</v>
      </c>
      <c r="M240" s="167">
        <f>IF(K240&lt;0,IF(L240=0,0,IF(OR(K240=0,F240=0),"N.M.",IF(ABS(L240/K240)&gt;=10,"N.M.",L240/(-K240)))),IF(L240=0,0,IF(OR(K240=0,F240=0),"N.M.",IF(ABS(L240/K240)&gt;=10,"N.M.",L240/K240))))</f>
        <v>-0.11555982915030631</v>
      </c>
    </row>
    <row r="241" spans="1:13" s="76" customFormat="1" ht="9" customHeight="1">
      <c r="A241" s="68"/>
      <c r="B241" s="90"/>
      <c r="C241" s="72"/>
      <c r="D241" s="75"/>
      <c r="E241" s="75"/>
      <c r="F241" s="143"/>
      <c r="G241" s="143"/>
      <c r="H241" s="143"/>
      <c r="I241" s="167"/>
      <c r="J241" s="214"/>
      <c r="K241" s="184"/>
      <c r="L241" s="143"/>
      <c r="M241" s="167"/>
    </row>
    <row r="242" spans="1:13" s="97" customFormat="1" ht="12" customHeight="1">
      <c r="A242" s="95" t="s">
        <v>171</v>
      </c>
      <c r="B242" s="95"/>
      <c r="C242" s="76" t="s">
        <v>87</v>
      </c>
      <c r="D242" s="96"/>
      <c r="E242" s="96"/>
      <c r="F242" s="145">
        <v>1478056644.2509997</v>
      </c>
      <c r="G242" s="145">
        <v>1491151131.2139997</v>
      </c>
      <c r="H242" s="143">
        <f>+F242-G242</f>
        <v>-13094486.96300006</v>
      </c>
      <c r="I242" s="167">
        <f>IF(G242&lt;0,IF(H242=0,0,IF(OR(G242=0,F242=0),"N.M.",IF(ABS(H242/G242)&gt;=10,"N.M.",H242/(-G242)))),IF(H242=0,0,IF(OR(G242=0,F242=0),"N.M.",IF(ABS(H242/G242)&gt;=10,"N.M.",H242/G242))))</f>
        <v>-0.008781461978531557</v>
      </c>
      <c r="J242" s="215"/>
      <c r="K242" s="187">
        <v>1504334100.6949997</v>
      </c>
      <c r="L242" s="143">
        <f>+F242-K242</f>
        <v>-26277456.444000006</v>
      </c>
      <c r="M242" s="167">
        <f>IF(K242&lt;0,IF(L242=0,0,IF(OR(K242=0,F242=0),"N.M.",IF(ABS(L242/K242)&gt;=10,"N.M.",L242/(-K242)))),IF(L242=0,0,IF(OR(K242=0,F242=0),"N.M.",IF(ABS(L242/K242)&gt;=10,"N.M.",L242/K242))))</f>
        <v>-0.017467832732010708</v>
      </c>
    </row>
    <row r="243" spans="2:13" s="91" customFormat="1" ht="12" customHeight="1">
      <c r="B243" s="92"/>
      <c r="C243" s="93"/>
      <c r="D243" s="94"/>
      <c r="E243" s="94"/>
      <c r="F243" s="162" t="str">
        <f>IF(ABS(F31+F62+F184+F212+F240-F242)&gt;$C$632,$C$633," ")</f>
        <v> </v>
      </c>
      <c r="G243" s="162" t="str">
        <f>IF(ABS(G31+G62+G184+G212+G240-G242)&gt;$C$632,$C$633," ")</f>
        <v> </v>
      </c>
      <c r="H243" s="162"/>
      <c r="I243" s="170"/>
      <c r="J243" s="216"/>
      <c r="K243" s="188" t="str">
        <f>IF(ABS(K31+K62+K184+K212+K240-K242)&gt;$C$632,$C$633," ")</f>
        <v> </v>
      </c>
      <c r="L243" s="162"/>
      <c r="M243" s="170"/>
    </row>
    <row r="244" spans="3:13" s="64" customFormat="1" ht="12.75">
      <c r="C244" s="63" t="s">
        <v>200</v>
      </c>
      <c r="D244" s="65"/>
      <c r="E244" s="65"/>
      <c r="F244" s="137"/>
      <c r="G244" s="137"/>
      <c r="H244" s="138"/>
      <c r="I244" s="66"/>
      <c r="J244" s="209"/>
      <c r="K244" s="181"/>
      <c r="L244" s="138"/>
      <c r="M244" s="66"/>
    </row>
    <row r="245" spans="3:13" ht="12.75">
      <c r="C245" s="99" t="s">
        <v>189</v>
      </c>
      <c r="D245" s="100"/>
      <c r="E245" s="101"/>
      <c r="F245" s="146"/>
      <c r="G245" s="146"/>
      <c r="H245" s="146"/>
      <c r="I245" s="171"/>
      <c r="J245" s="217"/>
      <c r="K245" s="189"/>
      <c r="L245" s="146"/>
      <c r="M245" s="171"/>
    </row>
    <row r="246" spans="3:13" s="1" customFormat="1" ht="12.75">
      <c r="C246" s="102" t="str">
        <f>"Authorized: "&amp;TEXT(CSA,"#,##0")&amp;" Shares"</f>
        <v>Authorized: 0 Shares</v>
      </c>
      <c r="D246" s="103" t="s">
        <v>30</v>
      </c>
      <c r="E246" s="104"/>
      <c r="F246" s="147" t="s">
        <v>30</v>
      </c>
      <c r="G246" s="147"/>
      <c r="H246" s="147" t="s">
        <v>30</v>
      </c>
      <c r="I246" s="172"/>
      <c r="J246" s="218"/>
      <c r="K246" s="190" t="s">
        <v>30</v>
      </c>
      <c r="L246" s="147" t="s">
        <v>30</v>
      </c>
      <c r="M246" s="172"/>
    </row>
    <row r="247" spans="3:13" s="1" customFormat="1" ht="12.75">
      <c r="C247" s="102" t="str">
        <f>"Outstanding: "&amp;TEXT(CSO,"#,##0")&amp;" Shares"</f>
        <v>Outstanding: 1,009,000 Shares</v>
      </c>
      <c r="D247" s="103" t="s">
        <v>30</v>
      </c>
      <c r="E247" s="104"/>
      <c r="F247" s="147" t="s">
        <v>30</v>
      </c>
      <c r="G247" s="147"/>
      <c r="H247" s="147" t="s">
        <v>30</v>
      </c>
      <c r="I247" s="172"/>
      <c r="J247" s="218"/>
      <c r="K247" s="190" t="s">
        <v>30</v>
      </c>
      <c r="L247" s="147" t="s">
        <v>30</v>
      </c>
      <c r="M247" s="172"/>
    </row>
    <row r="248" spans="3:13" s="1" customFormat="1" ht="0.75" customHeight="1" hidden="1" outlineLevel="1">
      <c r="C248" s="102"/>
      <c r="D248" s="103"/>
      <c r="E248" s="104"/>
      <c r="F248" s="147"/>
      <c r="G248" s="147"/>
      <c r="H248" s="147"/>
      <c r="I248" s="172"/>
      <c r="J248" s="218"/>
      <c r="K248" s="190"/>
      <c r="L248" s="147"/>
      <c r="M248" s="172"/>
    </row>
    <row r="249" spans="1:13" s="15" customFormat="1" ht="12.75" hidden="1" outlineLevel="2">
      <c r="A249" s="15" t="s">
        <v>824</v>
      </c>
      <c r="B249" s="15" t="s">
        <v>825</v>
      </c>
      <c r="C249" s="164" t="s">
        <v>826</v>
      </c>
      <c r="D249" s="16"/>
      <c r="E249" s="16"/>
      <c r="F249" s="16">
        <v>50450000</v>
      </c>
      <c r="G249" s="16">
        <v>50450000</v>
      </c>
      <c r="H249" s="16">
        <f>+F249-G249</f>
        <v>0</v>
      </c>
      <c r="I249" s="54">
        <f>IF(G249&lt;0,IF(H249=0,0,IF(OR(G249=0,F249=0),"N.M.",IF(ABS(H249/G249)&gt;=10,"N.M.",H249/(-G249)))),IF(H249=0,0,IF(OR(G249=0,F249=0),"N.M.",IF(ABS(H249/G249)&gt;=10,"N.M.",H249/G249))))</f>
        <v>0</v>
      </c>
      <c r="J249" s="226"/>
      <c r="K249" s="295">
        <v>50450000</v>
      </c>
      <c r="L249" s="16">
        <f>+F249-K249</f>
        <v>0</v>
      </c>
      <c r="M249" s="54">
        <f>IF(K249&lt;0,IF(L249=0,0,IF(OR(K249=0,F249=0),"N.M.",IF(ABS(L249/K249)&gt;=10,"N.M.",L249/(-K249)))),IF(L249=0,0,IF(OR(K249=0,F249=0),"N.M.",IF(ABS(L249/K249)&gt;=10,"N.M.",L249/K249))))</f>
        <v>0</v>
      </c>
    </row>
    <row r="250" spans="1:13" ht="12.75" collapsed="1">
      <c r="A250" s="11" t="s">
        <v>261</v>
      </c>
      <c r="C250" s="116" t="s">
        <v>194</v>
      </c>
      <c r="D250" s="105"/>
      <c r="E250" s="106"/>
      <c r="F250" s="148">
        <v>50450000</v>
      </c>
      <c r="G250" s="148">
        <v>50450000</v>
      </c>
      <c r="H250" s="141">
        <f>+F250-G250</f>
        <v>0</v>
      </c>
      <c r="I250" s="166">
        <f>IF(G250&lt;0,IF(H250=0,0,IF(OR(G250=0,F250=0),"N.M.",IF(ABS(H250/G250)&gt;=10,"N.M.",H250/(-G250)))),IF(H250=0,0,IF(OR(G250=0,F250=0),"N.M.",IF(ABS(H250/G250)&gt;=10,"N.M.",H250/G250))))</f>
        <v>0</v>
      </c>
      <c r="J250" s="217"/>
      <c r="K250" s="191">
        <v>50450000</v>
      </c>
      <c r="L250" s="141">
        <f>+F250-K250</f>
        <v>0</v>
      </c>
      <c r="M250" s="166">
        <f>IF(K250&lt;0,IF(L250=0,0,IF(OR(K250=0,F250=0),"N.M.",IF(ABS(L250/K250)&gt;=10,"N.M.",L250/(-K250)))),IF(L250=0,0,IF(OR(K250=0,F250=0),"N.M.",IF(ABS(L250/K250)&gt;=10,"N.M.",L250/K250))))</f>
        <v>0</v>
      </c>
    </row>
    <row r="251" spans="3:13" ht="0.75" customHeight="1" outlineLevel="1">
      <c r="C251" s="116"/>
      <c r="D251" s="105"/>
      <c r="E251" s="106"/>
      <c r="F251" s="148"/>
      <c r="G251" s="148"/>
      <c r="H251" s="141"/>
      <c r="I251" s="166"/>
      <c r="J251" s="217"/>
      <c r="K251" s="191"/>
      <c r="L251" s="141"/>
      <c r="M251" s="166"/>
    </row>
    <row r="252" spans="1:13" ht="12.75">
      <c r="A252" s="11" t="s">
        <v>262</v>
      </c>
      <c r="C252" s="116" t="s">
        <v>195</v>
      </c>
      <c r="D252" s="105"/>
      <c r="E252" s="106"/>
      <c r="F252" s="148">
        <v>0</v>
      </c>
      <c r="G252" s="148">
        <v>0</v>
      </c>
      <c r="H252" s="141">
        <f>+F252-G252</f>
        <v>0</v>
      </c>
      <c r="I252" s="166">
        <f>IF(G252&lt;0,IF(H252=0,0,IF(OR(G252=0,F252=0),"N.M.",IF(ABS(H252/G252)&gt;=10,"N.M.",H252/(-G252)))),IF(H252=0,0,IF(OR(G252=0,F252=0),"N.M.",IF(ABS(H252/G252)&gt;=10,"N.M.",H252/G252))))</f>
        <v>0</v>
      </c>
      <c r="J252" s="217"/>
      <c r="K252" s="191">
        <v>0</v>
      </c>
      <c r="L252" s="141">
        <f>+F252-K252</f>
        <v>0</v>
      </c>
      <c r="M252" s="166">
        <f>IF(K252&lt;0,IF(L252=0,0,IF(OR(K252=0,F252=0),"N.M.",IF(ABS(L252/K252)&gt;=10,"N.M.",L252/(-K252)))),IF(L252=0,0,IF(OR(K252=0,F252=0),"N.M.",IF(ABS(L252/K252)&gt;=10,"N.M.",L252/K252))))</f>
        <v>0</v>
      </c>
    </row>
    <row r="253" spans="3:13" ht="0.75" customHeight="1" hidden="1" outlineLevel="1">
      <c r="C253" s="116"/>
      <c r="D253" s="105"/>
      <c r="E253" s="106"/>
      <c r="F253" s="148"/>
      <c r="G253" s="148"/>
      <c r="H253" s="141"/>
      <c r="I253" s="166"/>
      <c r="J253" s="217"/>
      <c r="K253" s="191"/>
      <c r="L253" s="141"/>
      <c r="M253" s="166"/>
    </row>
    <row r="254" spans="1:13" s="15" customFormat="1" ht="12.75" hidden="1" outlineLevel="2">
      <c r="A254" s="15" t="s">
        <v>827</v>
      </c>
      <c r="B254" s="15" t="s">
        <v>828</v>
      </c>
      <c r="C254" s="164" t="s">
        <v>829</v>
      </c>
      <c r="D254" s="16"/>
      <c r="E254" s="16"/>
      <c r="F254" s="16">
        <v>238750000</v>
      </c>
      <c r="G254" s="16">
        <v>238750000</v>
      </c>
      <c r="H254" s="16">
        <f>+F254-G254</f>
        <v>0</v>
      </c>
      <c r="I254" s="54">
        <f>IF(G254&lt;0,IF(H254=0,0,IF(OR(G254=0,F254=0),"N.M.",IF(ABS(H254/G254)&gt;=10,"N.M.",H254/(-G254)))),IF(H254=0,0,IF(OR(G254=0,F254=0),"N.M.",IF(ABS(H254/G254)&gt;=10,"N.M.",H254/G254))))</f>
        <v>0</v>
      </c>
      <c r="J254" s="226"/>
      <c r="K254" s="295">
        <v>238750000</v>
      </c>
      <c r="L254" s="16">
        <f>+F254-K254</f>
        <v>0</v>
      </c>
      <c r="M254" s="54">
        <f>IF(K254&lt;0,IF(L254=0,0,IF(OR(K254=0,F254=0),"N.M.",IF(ABS(L254/K254)&gt;=10,"N.M.",L254/(-K254)))),IF(L254=0,0,IF(OR(K254=0,F254=0),"N.M.",IF(ABS(L254/K254)&gt;=10,"N.M.",L254/K254))))</f>
        <v>0</v>
      </c>
    </row>
    <row r="255" spans="1:13" s="15" customFormat="1" ht="12.75" hidden="1" outlineLevel="2">
      <c r="A255" s="15" t="s">
        <v>830</v>
      </c>
      <c r="B255" s="15" t="s">
        <v>831</v>
      </c>
      <c r="C255" s="164" t="s">
        <v>832</v>
      </c>
      <c r="D255" s="16"/>
      <c r="E255" s="16"/>
      <c r="F255" s="16">
        <v>-363752.09</v>
      </c>
      <c r="G255" s="16">
        <v>262968.03</v>
      </c>
      <c r="H255" s="16">
        <f>+F255-G255</f>
        <v>-626720.1200000001</v>
      </c>
      <c r="I255" s="54">
        <f>IF(G255&lt;0,IF(H255=0,0,IF(OR(G255=0,F255=0),"N.M.",IF(ABS(H255/G255)&gt;=10,"N.M.",H255/(-G255)))),IF(H255=0,0,IF(OR(G255=0,F255=0),"N.M.",IF(ABS(H255/G255)&gt;=10,"N.M.",H255/G255))))</f>
        <v>-2.383255941796423</v>
      </c>
      <c r="J255" s="226"/>
      <c r="K255" s="295">
        <v>-137709.73</v>
      </c>
      <c r="L255" s="16">
        <f>+F255-K255</f>
        <v>-226042.36000000002</v>
      </c>
      <c r="M255" s="54">
        <f>IF(K255&lt;0,IF(L255=0,0,IF(OR(K255=0,F255=0),"N.M.",IF(ABS(L255/K255)&gt;=10,"N.M.",L255/(-K255)))),IF(L255=0,0,IF(OR(K255=0,F255=0),"N.M.",IF(ABS(L255/K255)&gt;=10,"N.M.",L255/K255))))</f>
        <v>-1.6414407318930913</v>
      </c>
    </row>
    <row r="256" spans="1:13" s="15" customFormat="1" ht="12.75" hidden="1" outlineLevel="2">
      <c r="A256" s="15" t="s">
        <v>833</v>
      </c>
      <c r="B256" s="15" t="s">
        <v>834</v>
      </c>
      <c r="C256" s="164" t="s">
        <v>835</v>
      </c>
      <c r="D256" s="16"/>
      <c r="E256" s="16"/>
      <c r="F256" s="16">
        <v>-427986.05</v>
      </c>
      <c r="G256" s="16">
        <v>-488407.61</v>
      </c>
      <c r="H256" s="16">
        <f>+F256-G256</f>
        <v>60421.56</v>
      </c>
      <c r="I256" s="54">
        <f>IF(G256&lt;0,IF(H256=0,0,IF(OR(G256=0,F256=0),"N.M.",IF(ABS(H256/G256)&gt;=10,"N.M.",H256/(-G256)))),IF(H256=0,0,IF(OR(G256=0,F256=0),"N.M.",IF(ABS(H256/G256)&gt;=10,"N.M.",H256/G256))))</f>
        <v>0.12371134020618557</v>
      </c>
      <c r="J256" s="226"/>
      <c r="K256" s="295">
        <v>-463231.96</v>
      </c>
      <c r="L256" s="16">
        <f>+F256-K256</f>
        <v>35245.91000000003</v>
      </c>
      <c r="M256" s="54">
        <f>IF(K256&lt;0,IF(L256=0,0,IF(OR(K256=0,F256=0),"N.M.",IF(ABS(L256/K256)&gt;=10,"N.M.",L256/(-K256)))),IF(L256=0,0,IF(OR(K256=0,F256=0),"N.M.",IF(ABS(L256/K256)&gt;=10,"N.M.",L256/K256))))</f>
        <v>0.07608695652173919</v>
      </c>
    </row>
    <row r="257" spans="1:13" ht="12.75" collapsed="1">
      <c r="A257" s="11" t="s">
        <v>263</v>
      </c>
      <c r="C257" s="116" t="s">
        <v>196</v>
      </c>
      <c r="D257" s="105"/>
      <c r="E257" s="106"/>
      <c r="F257" s="148">
        <v>237958261.85999998</v>
      </c>
      <c r="G257" s="148">
        <v>238524560.42</v>
      </c>
      <c r="H257" s="141">
        <f>+F257-G257</f>
        <v>-566298.5600000024</v>
      </c>
      <c r="I257" s="166">
        <f>IF(G257&lt;0,IF(H257=0,0,IF(OR(G257=0,F257=0),"N.M.",IF(ABS(H257/G257)&gt;=10,"N.M.",H257/(-G257)))),IF(H257=0,0,IF(OR(G257=0,F257=0),"N.M.",IF(ABS(H257/G257)&gt;=10,"N.M.",H257/G257))))</f>
        <v>-0.002374172953103235</v>
      </c>
      <c r="J257" s="217"/>
      <c r="K257" s="191">
        <v>238149058.31</v>
      </c>
      <c r="L257" s="141">
        <f>+F257-K257</f>
        <v>-190796.45000001788</v>
      </c>
      <c r="M257" s="166">
        <f>IF(K257&lt;0,IF(L257=0,0,IF(OR(K257=0,F257=0),"N.M.",IF(ABS(L257/K257)&gt;=10,"N.M.",L257/(-K257)))),IF(L257=0,0,IF(OR(K257=0,F257=0),"N.M.",IF(ABS(L257/K257)&gt;=10,"N.M.",L257/K257))))</f>
        <v>-0.0008011639909642517</v>
      </c>
    </row>
    <row r="258" spans="3:13" ht="0.75" customHeight="1" outlineLevel="1">
      <c r="C258" s="116"/>
      <c r="D258" s="105"/>
      <c r="E258" s="106"/>
      <c r="F258" s="148"/>
      <c r="G258" s="148"/>
      <c r="H258" s="141"/>
      <c r="I258" s="166"/>
      <c r="J258" s="217"/>
      <c r="K258" s="191"/>
      <c r="L258" s="141"/>
      <c r="M258" s="166"/>
    </row>
    <row r="259" spans="1:13" ht="12.75">
      <c r="A259" s="11" t="s">
        <v>264</v>
      </c>
      <c r="C259" s="117" t="s">
        <v>248</v>
      </c>
      <c r="D259" s="105"/>
      <c r="E259" s="106"/>
      <c r="F259" s="149">
        <v>142225278.82800004</v>
      </c>
      <c r="G259" s="149">
        <v>143658352.9540001</v>
      </c>
      <c r="H259" s="142">
        <f>+F259-G259</f>
        <v>-1433074.1260000467</v>
      </c>
      <c r="I259" s="168">
        <f>IF(G259&lt;0,IF(H259=0,0,IF(OR(G259=0,F259=0),"N.M.",IF(ABS(H259/G259)&gt;=10,"N.M.",H259/(-G259)))),IF(H259=0,0,IF(OR(G259=0,F259=0),"N.M.",IF(ABS(H259/G259)&gt;=10,"N.M.",H259/G259))))</f>
        <v>-0.00997557118352124</v>
      </c>
      <c r="J259" s="217"/>
      <c r="K259" s="192">
        <v>143184638.96199968</v>
      </c>
      <c r="L259" s="142">
        <f>+F259-K259</f>
        <v>-959360.1339996457</v>
      </c>
      <c r="M259" s="168">
        <f>IF(K259&lt;0,IF(L259=0,0,IF(OR(K259=0,F259=0),"N.M.",IF(ABS(L259/K259)&gt;=10,"N.M.",L259/(-K259)))),IF(L259=0,0,IF(OR(K259=0,F259=0),"N.M.",IF(ABS(L259/K259)&gt;=10,"N.M.",L259/K259))))</f>
        <v>-0.006700161001587985</v>
      </c>
    </row>
    <row r="260" spans="1:13" s="13" customFormat="1" ht="12.75">
      <c r="A260" s="13" t="s">
        <v>265</v>
      </c>
      <c r="C260" s="115" t="s">
        <v>190</v>
      </c>
      <c r="D260" s="34"/>
      <c r="F260" s="150">
        <v>430633540.688</v>
      </c>
      <c r="G260" s="150">
        <v>432632913.3740001</v>
      </c>
      <c r="H260" s="143">
        <f>+F260-G260</f>
        <v>-1999372.686000049</v>
      </c>
      <c r="I260" s="167">
        <f>IF(G260&lt;0,IF(H260=0,0,IF(OR(G260=0,F260=0),"N.M.",IF(ABS(H260/G260)&gt;=10,"N.M.",H260/(-G260)))),IF(H260=0,0,IF(OR(G260=0,F260=0),"N.M.",IF(ABS(H260/G260)&gt;=10,"N.M.",H260/G260))))</f>
        <v>-0.004621406795907926</v>
      </c>
      <c r="J260" s="219"/>
      <c r="K260" s="193">
        <v>431783697.27199996</v>
      </c>
      <c r="L260" s="143">
        <f>+F260-K260</f>
        <v>-1150156.5839999318</v>
      </c>
      <c r="M260" s="167">
        <f>IF(K260&lt;0,IF(L260=0,0,IF(OR(K260=0,F260=0),"N.M.",IF(ABS(L260/K260)&gt;=10,"N.M.",L260/(-K260)))),IF(L260=0,0,IF(OR(K260=0,F260=0),"N.M.",IF(ABS(L260/K260)&gt;=10,"N.M.",L260/K260))))</f>
        <v>-0.002663733233252196</v>
      </c>
    </row>
    <row r="261" spans="3:14" ht="12.75">
      <c r="C261" s="108"/>
      <c r="D261" s="108"/>
      <c r="E261" s="108"/>
      <c r="F261" s="151"/>
      <c r="G261" s="151"/>
      <c r="H261" s="151"/>
      <c r="I261" s="173"/>
      <c r="J261" s="220"/>
      <c r="K261" s="194"/>
      <c r="L261" s="151"/>
      <c r="M261" s="173"/>
      <c r="N261" s="108"/>
    </row>
    <row r="262" spans="3:13" ht="0.75" customHeight="1" outlineLevel="1">
      <c r="C262" s="108"/>
      <c r="D262" s="111"/>
      <c r="E262" s="110"/>
      <c r="F262" s="151"/>
      <c r="G262" s="151"/>
      <c r="H262" s="151"/>
      <c r="I262" s="171"/>
      <c r="J262" s="217"/>
      <c r="K262" s="194"/>
      <c r="L262" s="151"/>
      <c r="M262" s="171"/>
    </row>
    <row r="263" spans="1:13" ht="14.25" customHeight="1">
      <c r="A263" s="11" t="s">
        <v>266</v>
      </c>
      <c r="C263" s="116" t="s">
        <v>197</v>
      </c>
      <c r="D263" s="105"/>
      <c r="E263" s="106"/>
      <c r="F263" s="148">
        <v>0</v>
      </c>
      <c r="G263" s="148">
        <v>0</v>
      </c>
      <c r="H263" s="141">
        <f>+F263-G263</f>
        <v>0</v>
      </c>
      <c r="I263" s="166">
        <f>IF(G263&lt;0,IF(H263=0,0,IF(OR(G263=0,F263=0),"N.M.",IF(ABS(H263/G263)&gt;=10,"N.M.",H263/(-G263)))),IF(H263=0,0,IF(OR(G263=0,F263=0),"N.M.",IF(ABS(H263/G263)&gt;=10,"N.M.",H263/G263))))</f>
        <v>0</v>
      </c>
      <c r="J263" s="217"/>
      <c r="K263" s="191">
        <v>0</v>
      </c>
      <c r="L263" s="141">
        <f>+F263-K263</f>
        <v>0</v>
      </c>
      <c r="M263" s="166">
        <f>IF(K263&lt;0,IF(L263=0,0,IF(OR(K263=0,F263=0),"N.M.",IF(ABS(L263/K263)&gt;=10,"N.M.",L263/(-K263)))),IF(L263=0,0,IF(OR(K263=0,F263=0),"N.M.",IF(ABS(L263/K263)&gt;=10,"N.M.",L263/K263))))</f>
        <v>0</v>
      </c>
    </row>
    <row r="264" spans="3:13" ht="0.75" customHeight="1" outlineLevel="1">
      <c r="C264" s="116"/>
      <c r="D264" s="105"/>
      <c r="E264" s="106"/>
      <c r="F264" s="148"/>
      <c r="G264" s="148"/>
      <c r="H264" s="141"/>
      <c r="I264" s="166"/>
      <c r="J264" s="217"/>
      <c r="K264" s="191"/>
      <c r="L264" s="141"/>
      <c r="M264" s="166"/>
    </row>
    <row r="265" spans="1:13" ht="12.75">
      <c r="A265" s="11" t="s">
        <v>267</v>
      </c>
      <c r="C265" s="117" t="s">
        <v>198</v>
      </c>
      <c r="D265" s="105"/>
      <c r="E265" s="106"/>
      <c r="F265" s="149">
        <v>0</v>
      </c>
      <c r="G265" s="149">
        <v>0</v>
      </c>
      <c r="H265" s="142">
        <f>+F265-G265</f>
        <v>0</v>
      </c>
      <c r="I265" s="168">
        <f>IF(G265&lt;0,IF(H265=0,0,IF(OR(G265=0,F265=0),"N.M.",IF(ABS(H265/G265)&gt;=10,"N.M.",H265/(-G265)))),IF(H265=0,0,IF(OR(G265=0,F265=0),"N.M.",IF(ABS(H265/G265)&gt;=10,"N.M.",H265/G265))))</f>
        <v>0</v>
      </c>
      <c r="J265" s="217"/>
      <c r="K265" s="192">
        <v>0</v>
      </c>
      <c r="L265" s="142">
        <f>+F265-K265</f>
        <v>0</v>
      </c>
      <c r="M265" s="168">
        <f>IF(K265&lt;0,IF(L265=0,0,IF(OR(K265=0,F265=0),"N.M.",IF(ABS(L265/K265)&gt;=10,"N.M.",L265/(-K265)))),IF(L265=0,0,IF(OR(K265=0,F265=0),"N.M.",IF(ABS(L265/K265)&gt;=10,"N.M.",L265/K265))))</f>
        <v>0</v>
      </c>
    </row>
    <row r="266" spans="3:13" s="13" customFormat="1" ht="12.75">
      <c r="C266" s="115" t="s">
        <v>191</v>
      </c>
      <c r="D266" s="34"/>
      <c r="F266" s="150">
        <f>+F265+F263</f>
        <v>0</v>
      </c>
      <c r="G266" s="150"/>
      <c r="H266" s="143">
        <f>+F266-G266</f>
        <v>0</v>
      </c>
      <c r="I266" s="167">
        <f>IF(G266&lt;0,IF(H266=0,0,IF(OR(G266=0,F266=0),"N.M.",IF(ABS(H266/G266)&gt;=10,"N.M.",H266/(-G266)))),IF(H266=0,0,IF(OR(G266=0,F266=0),"N.M.",IF(ABS(H266/G266)&gt;=10,"N.M.",H266/G266))))</f>
        <v>0</v>
      </c>
      <c r="J266" s="219"/>
      <c r="K266" s="193">
        <f>+K265+K263</f>
        <v>0</v>
      </c>
      <c r="L266" s="143">
        <f>+F266-K266</f>
        <v>0</v>
      </c>
      <c r="M266" s="167">
        <f>IF(K266&lt;0,IF(L266=0,0,IF(OR(K266=0,F266=0),"N.M.",IF(ABS(L266/K266)&gt;=10,"N.M.",L266/(-K266)))),IF(L266=0,0,IF(OR(K266=0,F266=0),"N.M.",IF(ABS(L266/K266)&gt;=10,"N.M.",L266/K266))))</f>
        <v>0</v>
      </c>
    </row>
    <row r="267" spans="3:13" ht="12.75">
      <c r="C267" s="108"/>
      <c r="D267" s="111"/>
      <c r="E267" s="110"/>
      <c r="F267" s="151"/>
      <c r="G267" s="151"/>
      <c r="H267" s="151"/>
      <c r="I267" s="171"/>
      <c r="J267" s="217"/>
      <c r="K267" s="194"/>
      <c r="L267" s="151"/>
      <c r="M267" s="171"/>
    </row>
    <row r="268" spans="1:13" s="14" customFormat="1" ht="12.75">
      <c r="A268" s="14" t="s">
        <v>268</v>
      </c>
      <c r="C268" s="114" t="s">
        <v>192</v>
      </c>
      <c r="D268" s="31"/>
      <c r="F268" s="152">
        <v>0</v>
      </c>
      <c r="G268" s="152">
        <v>0</v>
      </c>
      <c r="H268" s="143">
        <f>+F268-G268</f>
        <v>0</v>
      </c>
      <c r="I268" s="167">
        <f>IF(G268&lt;0,IF(H268=0,0,IF(OR(G268=0,F268=0),"N.M.",IF(ABS(H268/G268)&gt;=10,"N.M.",H268/(-G268)))),IF(H268=0,0,IF(OR(G268=0,F268=0),"N.M.",IF(ABS(H268/G268)&gt;=10,"N.M.",H268/G268))))</f>
        <v>0</v>
      </c>
      <c r="J268" s="221"/>
      <c r="K268" s="184">
        <v>0</v>
      </c>
      <c r="L268" s="143">
        <f>+F268-K268</f>
        <v>0</v>
      </c>
      <c r="M268" s="167">
        <f>IF(K268&lt;0,IF(L268=0,0,IF(OR(K268=0,F268=0),"N.M.",IF(ABS(L268/K268)&gt;=10,"N.M.",L268/(-K268)))),IF(L268=0,0,IF(OR(K268=0,F268=0),"N.M.",IF(ABS(L268/K268)&gt;=10,"N.M.",L268/K268))))</f>
        <v>0</v>
      </c>
    </row>
    <row r="269" spans="3:13" ht="12.75">
      <c r="C269" s="108"/>
      <c r="D269" s="111"/>
      <c r="E269" s="110"/>
      <c r="F269" s="151"/>
      <c r="G269" s="151"/>
      <c r="H269" s="151"/>
      <c r="I269" s="171"/>
      <c r="J269" s="217"/>
      <c r="K269" s="194"/>
      <c r="L269" s="151"/>
      <c r="M269" s="171"/>
    </row>
    <row r="270" spans="3:13" ht="0.75" customHeight="1" hidden="1" outlineLevel="1">
      <c r="C270" s="108"/>
      <c r="D270" s="111"/>
      <c r="E270" s="110"/>
      <c r="F270" s="151"/>
      <c r="G270" s="151"/>
      <c r="H270" s="151"/>
      <c r="I270" s="171"/>
      <c r="J270" s="217"/>
      <c r="K270" s="194"/>
      <c r="L270" s="151"/>
      <c r="M270" s="171"/>
    </row>
    <row r="271" spans="1:13" s="15" customFormat="1" ht="12.75" hidden="1" outlineLevel="2">
      <c r="A271" s="15" t="s">
        <v>836</v>
      </c>
      <c r="B271" s="15" t="s">
        <v>837</v>
      </c>
      <c r="C271" s="164" t="s">
        <v>838</v>
      </c>
      <c r="D271" s="16"/>
      <c r="E271" s="16"/>
      <c r="F271" s="16">
        <v>20000000</v>
      </c>
      <c r="G271" s="16">
        <v>20000000</v>
      </c>
      <c r="H271" s="16">
        <f>+F271-G271</f>
        <v>0</v>
      </c>
      <c r="I271" s="54">
        <f>IF(G271&lt;0,IF(H271=0,0,IF(OR(G271=0,F271=0),"N.M.",IF(ABS(H271/G271)&gt;=10,"N.M.",H271/(-G271)))),IF(H271=0,0,IF(OR(G271=0,F271=0),"N.M.",IF(ABS(H271/G271)&gt;=10,"N.M.",H271/G271))))</f>
        <v>0</v>
      </c>
      <c r="J271" s="226"/>
      <c r="K271" s="295">
        <v>20000000</v>
      </c>
      <c r="L271" s="16">
        <f>+F271-K271</f>
        <v>0</v>
      </c>
      <c r="M271" s="54">
        <f>IF(K271&lt;0,IF(L271=0,0,IF(OR(K271=0,F271=0),"N.M.",IF(ABS(L271/K271)&gt;=10,"N.M.",L271/(-K271)))),IF(L271=0,0,IF(OR(K271=0,F271=0),"N.M.",IF(ABS(L271/K271)&gt;=10,"N.M.",L271/K271))))</f>
        <v>0</v>
      </c>
    </row>
    <row r="272" spans="1:13" s="15" customFormat="1" ht="12.75" hidden="1" outlineLevel="2">
      <c r="A272" s="15" t="s">
        <v>839</v>
      </c>
      <c r="B272" s="15" t="s">
        <v>840</v>
      </c>
      <c r="C272" s="164" t="s">
        <v>841</v>
      </c>
      <c r="D272" s="16"/>
      <c r="E272" s="16"/>
      <c r="F272" s="16">
        <v>530000000</v>
      </c>
      <c r="G272" s="16">
        <v>530000000</v>
      </c>
      <c r="H272" s="16">
        <f>+F272-G272</f>
        <v>0</v>
      </c>
      <c r="I272" s="54">
        <f>IF(G272&lt;0,IF(H272=0,0,IF(OR(G272=0,F272=0),"N.M.",IF(ABS(H272/G272)&gt;=10,"N.M.",H272/(-G272)))),IF(H272=0,0,IF(OR(G272=0,F272=0),"N.M.",IF(ABS(H272/G272)&gt;=10,"N.M.",H272/G272))))</f>
        <v>0</v>
      </c>
      <c r="J272" s="226"/>
      <c r="K272" s="295">
        <v>530000000</v>
      </c>
      <c r="L272" s="16">
        <f>+F272-K272</f>
        <v>0</v>
      </c>
      <c r="M272" s="54">
        <f>IF(K272&lt;0,IF(L272=0,0,IF(OR(K272=0,F272=0),"N.M.",IF(ABS(L272/K272)&gt;=10,"N.M.",L272/(-K272)))),IF(L272=0,0,IF(OR(K272=0,F272=0),"N.M.",IF(ABS(L272/K272)&gt;=10,"N.M.",L272/K272))))</f>
        <v>0</v>
      </c>
    </row>
    <row r="273" spans="1:13" s="15" customFormat="1" ht="12.75" hidden="1" outlineLevel="2">
      <c r="A273" s="15" t="s">
        <v>842</v>
      </c>
      <c r="B273" s="15" t="s">
        <v>843</v>
      </c>
      <c r="C273" s="164" t="s">
        <v>844</v>
      </c>
      <c r="D273" s="16"/>
      <c r="E273" s="16"/>
      <c r="F273" s="16">
        <v>-1180968.75</v>
      </c>
      <c r="G273" s="16">
        <v>-1347693.75</v>
      </c>
      <c r="H273" s="16">
        <f>+F273-G273</f>
        <v>166725</v>
      </c>
      <c r="I273" s="54">
        <f>IF(G273&lt;0,IF(H273=0,0,IF(OR(G273=0,F273=0),"N.M.",IF(ABS(H273/G273)&gt;=10,"N.M.",H273/(-G273)))),IF(H273=0,0,IF(OR(G273=0,F273=0),"N.M.",IF(ABS(H273/G273)&gt;=10,"N.M.",H273/G273))))</f>
        <v>0.12371134020618557</v>
      </c>
      <c r="J273" s="226"/>
      <c r="K273" s="295">
        <v>-1278225</v>
      </c>
      <c r="L273" s="16">
        <f>+F273-K273</f>
        <v>97256.25</v>
      </c>
      <c r="M273" s="54">
        <f>IF(K273&lt;0,IF(L273=0,0,IF(OR(K273=0,F273=0),"N.M.",IF(ABS(L273/K273)&gt;=10,"N.M.",L273/(-K273)))),IF(L273=0,0,IF(OR(K273=0,F273=0),"N.M.",IF(ABS(L273/K273)&gt;=10,"N.M.",L273/K273))))</f>
        <v>0.07608695652173914</v>
      </c>
    </row>
    <row r="274" spans="1:13" s="13" customFormat="1" ht="12.75" collapsed="1">
      <c r="A274" s="13" t="s">
        <v>269</v>
      </c>
      <c r="C274" s="114" t="s">
        <v>199</v>
      </c>
      <c r="D274" s="34"/>
      <c r="F274" s="150">
        <v>548819031.25</v>
      </c>
      <c r="G274" s="150">
        <v>548652306.25</v>
      </c>
      <c r="H274" s="143">
        <f>+F274-G274</f>
        <v>166725</v>
      </c>
      <c r="I274" s="167">
        <f>IF(G274&lt;0,IF(H274=0,0,IF(OR(G274=0,F274=0),"N.M.",IF(ABS(H274/G274)&gt;=10,"N.M.",H274/(-G274)))),IF(H274=0,0,IF(OR(G274=0,F274=0),"N.M.",IF(ABS(H274/G274)&gt;=10,"N.M.",H274/G274))))</f>
        <v>0.00030388097908410093</v>
      </c>
      <c r="J274" s="219"/>
      <c r="K274" s="193">
        <v>548721775</v>
      </c>
      <c r="L274" s="143">
        <f>+F274-K274</f>
        <v>97256.25</v>
      </c>
      <c r="M274" s="167">
        <f>IF(K274&lt;0,IF(L274=0,0,IF(OR(K274=0,F274=0),"N.M.",IF(ABS(L274/K274)&gt;=10,"N.M.",L274/(-K274)))),IF(L274=0,0,IF(OR(K274=0,F274=0),"N.M.",IF(ABS(L274/K274)&gt;=10,"N.M.",L274/K274))))</f>
        <v>0.00017724146267022117</v>
      </c>
    </row>
    <row r="275" spans="1:13" ht="12.75">
      <c r="A275" s="11" t="s">
        <v>193</v>
      </c>
      <c r="C275" s="118"/>
      <c r="D275" s="105"/>
      <c r="E275" s="106"/>
      <c r="F275" s="149"/>
      <c r="G275" s="149"/>
      <c r="H275" s="149"/>
      <c r="I275" s="174"/>
      <c r="J275" s="217"/>
      <c r="K275" s="192"/>
      <c r="L275" s="149"/>
      <c r="M275" s="174"/>
    </row>
    <row r="276" spans="1:13" s="13" customFormat="1" ht="12.75">
      <c r="A276" s="13" t="s">
        <v>270</v>
      </c>
      <c r="C276" s="13" t="s">
        <v>188</v>
      </c>
      <c r="D276" s="34"/>
      <c r="F276" s="150">
        <v>979452571.9379998</v>
      </c>
      <c r="G276" s="150">
        <v>981285219.6239998</v>
      </c>
      <c r="H276" s="143">
        <f>+F276-G276</f>
        <v>-1832647.6859999895</v>
      </c>
      <c r="I276" s="167">
        <f>IF(G276&lt;0,IF(H276=0,0,IF(OR(G276=0,F276=0),"N.M.",IF(ABS(H276/G276)&gt;=10,"N.M.",H276/(-G276)))),IF(H276=0,0,IF(OR(G276=0,F276=0),"N.M.",IF(ABS(H276/G276)&gt;=10,"N.M.",H276/G276))))</f>
        <v>-0.0018675993985746643</v>
      </c>
      <c r="J276" s="219"/>
      <c r="K276" s="193">
        <v>980505472.2719994</v>
      </c>
      <c r="L276" s="143">
        <f>+F276-K276</f>
        <v>-1052900.3339995146</v>
      </c>
      <c r="M276" s="167">
        <f>IF(K276&lt;0,IF(L276=0,0,IF(OR(K276=0,F276=0),"N.M.",IF(ABS(L276/K276)&gt;=10,"N.M.",L276/(-K276)))),IF(L276=0,0,IF(OR(K276=0,F276=0),"N.M.",IF(ABS(L276/K276)&gt;=10,"N.M.",L276/K276))))</f>
        <v>-0.0010738342250755256</v>
      </c>
    </row>
    <row r="277" spans="4:13" ht="12.75">
      <c r="D277" s="109"/>
      <c r="E277" s="11"/>
      <c r="F277" s="162" t="str">
        <f>IF(ABS(+F260+F263+F265+F268+F274-F276)&gt;$C$632,$N$183," ")</f>
        <v> </v>
      </c>
      <c r="G277" s="162" t="str">
        <f>IF(ABS(+G260+G263+G265+G268+G274-G276)&gt;$C$632,$N$183," ")</f>
        <v> </v>
      </c>
      <c r="H277" s="162" t="str">
        <f>IF(ABS(+H260+H263+H265+H268+H274-H276)&gt;$C$632,$N$183," ")</f>
        <v> </v>
      </c>
      <c r="I277" s="171"/>
      <c r="J277" s="217"/>
      <c r="K277" s="188" t="str">
        <f>IF(ABS(+K260+K263+K265+K268+K274-K276)&gt;$C$632,$N$183," ")</f>
        <v> </v>
      </c>
      <c r="L277" s="162" t="str">
        <f>IF(ABS(+L260+L263+L265+L268+L274-L276)&gt;$C$632,$N$183," ")</f>
        <v> </v>
      </c>
      <c r="M277" s="171"/>
    </row>
    <row r="278" spans="3:13" ht="0.75" customHeight="1" hidden="1" outlineLevel="1">
      <c r="C278" s="124"/>
      <c r="D278" s="111"/>
      <c r="E278" s="110"/>
      <c r="F278" s="151"/>
      <c r="G278" s="151"/>
      <c r="H278" s="151"/>
      <c r="I278" s="171"/>
      <c r="J278" s="217"/>
      <c r="K278" s="194"/>
      <c r="L278" s="151"/>
      <c r="M278" s="171"/>
    </row>
    <row r="279" spans="1:13" s="15" customFormat="1" ht="12.75" hidden="1" outlineLevel="2">
      <c r="A279" s="15" t="s">
        <v>845</v>
      </c>
      <c r="B279" s="15" t="s">
        <v>846</v>
      </c>
      <c r="C279" s="164" t="s">
        <v>847</v>
      </c>
      <c r="D279" s="16"/>
      <c r="E279" s="16"/>
      <c r="F279" s="16">
        <v>3113275.08</v>
      </c>
      <c r="G279" s="16">
        <v>1231102.18</v>
      </c>
      <c r="H279" s="16">
        <f>+F279-G279</f>
        <v>1882172.9000000001</v>
      </c>
      <c r="I279" s="54">
        <f>IF(G279&lt;0,IF(H279=0,0,IF(OR(G279=0,F279=0),"N.M.",IF(ABS(H279/G279)&gt;=10,"N.M.",H279/(-G279)))),IF(H279=0,0,IF(OR(G279=0,F279=0),"N.M.",IF(ABS(H279/G279)&gt;=10,"N.M.",H279/G279))))</f>
        <v>1.5288518943244827</v>
      </c>
      <c r="J279" s="226"/>
      <c r="K279" s="295">
        <v>1111891.07</v>
      </c>
      <c r="L279" s="16">
        <f>+F279-K279</f>
        <v>2001384.01</v>
      </c>
      <c r="M279" s="54">
        <f>IF(K279&lt;0,IF(L279=0,0,IF(OR(K279=0,F279=0),"N.M.",IF(ABS(L279/K279)&gt;=10,"N.M.",L279/(-K279)))),IF(L279=0,0,IF(OR(K279=0,F279=0),"N.M.",IF(ABS(L279/K279)&gt;=10,"N.M.",L279/K279))))</f>
        <v>1.7999820881734394</v>
      </c>
    </row>
    <row r="280" spans="1:13" s="15" customFormat="1" ht="12.75" hidden="1" outlineLevel="2">
      <c r="A280" s="15" t="s">
        <v>848</v>
      </c>
      <c r="B280" s="15" t="s">
        <v>849</v>
      </c>
      <c r="C280" s="164" t="s">
        <v>850</v>
      </c>
      <c r="D280" s="16"/>
      <c r="E280" s="16"/>
      <c r="F280" s="16">
        <v>2065.03</v>
      </c>
      <c r="G280" s="16">
        <v>14533.07</v>
      </c>
      <c r="H280" s="16">
        <f>+F280-G280</f>
        <v>-12468.039999999999</v>
      </c>
      <c r="I280" s="54">
        <f>IF(G280&lt;0,IF(H280=0,0,IF(OR(G280=0,F280=0),"N.M.",IF(ABS(H280/G280)&gt;=10,"N.M.",H280/(-G280)))),IF(H280=0,0,IF(OR(G280=0,F280=0),"N.M.",IF(ABS(H280/G280)&gt;=10,"N.M.",H280/G280))))</f>
        <v>-0.8579082052174798</v>
      </c>
      <c r="J280" s="226"/>
      <c r="K280" s="295">
        <v>1210.88</v>
      </c>
      <c r="L280" s="16">
        <f>+F280-K280</f>
        <v>854.1500000000001</v>
      </c>
      <c r="M280" s="54">
        <f>IF(K280&lt;0,IF(L280=0,0,IF(OR(K280=0,F280=0),"N.M.",IF(ABS(L280/K280)&gt;=10,"N.M.",L280/(-K280)))),IF(L280=0,0,IF(OR(K280=0,F280=0),"N.M.",IF(ABS(L280/K280)&gt;=10,"N.M.",L280/K280))))</f>
        <v>0.7053960755813954</v>
      </c>
    </row>
    <row r="281" spans="1:13" ht="12.75" collapsed="1">
      <c r="A281" s="11" t="s">
        <v>271</v>
      </c>
      <c r="C281" s="125" t="s">
        <v>202</v>
      </c>
      <c r="D281" s="105"/>
      <c r="E281" s="106"/>
      <c r="F281" s="148">
        <v>3115340.11</v>
      </c>
      <c r="G281" s="148">
        <v>1245635.25</v>
      </c>
      <c r="H281" s="141">
        <f>+F281-G281</f>
        <v>1869704.8599999999</v>
      </c>
      <c r="I281" s="166">
        <f>IF(G281&lt;0,IF(H281=0,0,IF(OR(G281=0,F281=0),"N.M.",IF(ABS(H281/G281)&gt;=10,"N.M.",H281/(-G281)))),IF(H281=0,0,IF(OR(G281=0,F281=0),"N.M.",IF(ABS(H281/G281)&gt;=10,"N.M.",H281/G281))))</f>
        <v>1.5010050975997988</v>
      </c>
      <c r="J281" s="217"/>
      <c r="K281" s="191">
        <v>1113101.95</v>
      </c>
      <c r="L281" s="141">
        <f>+F281-K281</f>
        <v>2002238.16</v>
      </c>
      <c r="M281" s="166">
        <f>IF(K281&lt;0,IF(L281=0,0,IF(OR(K281=0,F281=0),"N.M.",IF(ABS(L281/K281)&gt;=10,"N.M.",L281/(-K281)))),IF(L281=0,0,IF(OR(K281=0,F281=0),"N.M.",IF(ABS(L281/K281)&gt;=10,"N.M.",L281/K281))))</f>
        <v>1.7987913506035993</v>
      </c>
    </row>
    <row r="282" spans="3:13" ht="0.75" customHeight="1" outlineLevel="1">
      <c r="C282" s="125"/>
      <c r="D282" s="105"/>
      <c r="E282" s="106"/>
      <c r="F282" s="148"/>
      <c r="G282" s="148"/>
      <c r="H282" s="141"/>
      <c r="I282" s="166"/>
      <c r="J282" s="217"/>
      <c r="K282" s="191"/>
      <c r="L282" s="141"/>
      <c r="M282" s="166"/>
    </row>
    <row r="283" spans="1:13" ht="12.75">
      <c r="A283" s="11" t="s">
        <v>272</v>
      </c>
      <c r="C283" s="125" t="s">
        <v>203</v>
      </c>
      <c r="E283" s="11"/>
      <c r="F283" s="139">
        <v>0</v>
      </c>
      <c r="G283" s="139">
        <v>0</v>
      </c>
      <c r="H283" s="141">
        <f>+F283-G283</f>
        <v>0</v>
      </c>
      <c r="I283" s="166">
        <f>IF(G283&lt;0,IF(H283=0,0,IF(OR(G283=0,F283=0),"N.M.",IF(ABS(H283/G283)&gt;=10,"N.M.",H283/(-G283)))),IF(H283=0,0,IF(OR(G283=0,F283=0),"N.M.",IF(ABS(H283/G283)&gt;=10,"N.M.",H283/G283))))</f>
        <v>0</v>
      </c>
      <c r="J283" s="217"/>
      <c r="K283" s="182">
        <v>0</v>
      </c>
      <c r="L283" s="141">
        <f>+F283-K283</f>
        <v>0</v>
      </c>
      <c r="M283" s="166">
        <f>IF(K283&lt;0,IF(L283=0,0,IF(OR(K283=0,F283=0),"N.M.",IF(ABS(L283/K283)&gt;=10,"N.M.",L283/(-K283)))),IF(L283=0,0,IF(OR(K283=0,F283=0),"N.M.",IF(ABS(L283/K283)&gt;=10,"N.M.",L283/K283))))</f>
        <v>0</v>
      </c>
    </row>
    <row r="284" spans="3:13" ht="0.75" customHeight="1" hidden="1" outlineLevel="1">
      <c r="C284" s="125"/>
      <c r="E284" s="11"/>
      <c r="F284" s="139"/>
      <c r="G284" s="139"/>
      <c r="H284" s="141"/>
      <c r="I284" s="166"/>
      <c r="J284" s="217"/>
      <c r="K284" s="182"/>
      <c r="L284" s="141"/>
      <c r="M284" s="166"/>
    </row>
    <row r="285" spans="1:13" s="15" customFormat="1" ht="12.75" hidden="1" outlineLevel="2">
      <c r="A285" s="15" t="s">
        <v>851</v>
      </c>
      <c r="B285" s="15" t="s">
        <v>852</v>
      </c>
      <c r="C285" s="164" t="s">
        <v>853</v>
      </c>
      <c r="D285" s="16"/>
      <c r="E285" s="16"/>
      <c r="F285" s="16">
        <v>53258.130000000005</v>
      </c>
      <c r="G285" s="16">
        <v>73979.09</v>
      </c>
      <c r="H285" s="16">
        <f aca="true" t="shared" si="53" ref="H285:H297">+F285-G285</f>
        <v>-20720.959999999992</v>
      </c>
      <c r="I285" s="54">
        <f aca="true" t="shared" si="54" ref="I285:I297">IF(G285&lt;0,IF(H285=0,0,IF(OR(G285=0,F285=0),"N.M.",IF(ABS(H285/G285)&gt;=10,"N.M.",H285/(-G285)))),IF(H285=0,0,IF(OR(G285=0,F285=0),"N.M.",IF(ABS(H285/G285)&gt;=10,"N.M.",H285/G285))))</f>
        <v>-0.2800921179214288</v>
      </c>
      <c r="J285" s="226"/>
      <c r="K285" s="295">
        <v>61505.76</v>
      </c>
      <c r="L285" s="16">
        <f aca="true" t="shared" si="55" ref="L285:L297">+F285-K285</f>
        <v>-8247.629999999997</v>
      </c>
      <c r="M285" s="54">
        <f aca="true" t="shared" si="56" ref="M285:M297">IF(K285&lt;0,IF(L285=0,0,IF(OR(K285=0,F285=0),"N.M.",IF(ABS(L285/K285)&gt;=10,"N.M.",L285/(-K285)))),IF(L285=0,0,IF(OR(K285=0,F285=0),"N.M.",IF(ABS(L285/K285)&gt;=10,"N.M.",L285/K285))))</f>
        <v>-0.13409524571357215</v>
      </c>
    </row>
    <row r="286" spans="1:13" s="15" customFormat="1" ht="12.75" hidden="1" outlineLevel="2">
      <c r="A286" s="15" t="s">
        <v>854</v>
      </c>
      <c r="B286" s="15" t="s">
        <v>855</v>
      </c>
      <c r="C286" s="164" t="s">
        <v>856</v>
      </c>
      <c r="D286" s="16"/>
      <c r="E286" s="16"/>
      <c r="F286" s="16">
        <v>129075.7</v>
      </c>
      <c r="G286" s="16">
        <v>127306.19</v>
      </c>
      <c r="H286" s="16">
        <f t="shared" si="53"/>
        <v>1769.5099999999948</v>
      </c>
      <c r="I286" s="54">
        <f t="shared" si="54"/>
        <v>0.013899638344372687</v>
      </c>
      <c r="J286" s="226"/>
      <c r="K286" s="295">
        <v>128472.79000000001</v>
      </c>
      <c r="L286" s="16">
        <f t="shared" si="55"/>
        <v>602.9099999999889</v>
      </c>
      <c r="M286" s="54">
        <f t="shared" si="56"/>
        <v>0.0046929003409981905</v>
      </c>
    </row>
    <row r="287" spans="1:13" s="15" customFormat="1" ht="12.75" hidden="1" outlineLevel="2">
      <c r="A287" s="15" t="s">
        <v>857</v>
      </c>
      <c r="B287" s="15" t="s">
        <v>858</v>
      </c>
      <c r="C287" s="164" t="s">
        <v>859</v>
      </c>
      <c r="D287" s="16"/>
      <c r="E287" s="16"/>
      <c r="F287" s="16">
        <v>640655.25</v>
      </c>
      <c r="G287" s="16">
        <v>531610.12</v>
      </c>
      <c r="H287" s="16">
        <f t="shared" si="53"/>
        <v>109045.13</v>
      </c>
      <c r="I287" s="54">
        <f t="shared" si="54"/>
        <v>0.20512237426932356</v>
      </c>
      <c r="J287" s="226"/>
      <c r="K287" s="295">
        <v>638495.23</v>
      </c>
      <c r="L287" s="16">
        <f t="shared" si="55"/>
        <v>2160.0200000000186</v>
      </c>
      <c r="M287" s="54">
        <f t="shared" si="56"/>
        <v>0.00338298533569314</v>
      </c>
    </row>
    <row r="288" spans="1:13" s="15" customFormat="1" ht="12.75" hidden="1" outlineLevel="2">
      <c r="A288" s="15" t="s">
        <v>860</v>
      </c>
      <c r="B288" s="15" t="s">
        <v>861</v>
      </c>
      <c r="C288" s="164" t="s">
        <v>862</v>
      </c>
      <c r="D288" s="16"/>
      <c r="E288" s="16"/>
      <c r="F288" s="16">
        <v>5162872.75</v>
      </c>
      <c r="G288" s="16">
        <v>4892284.91</v>
      </c>
      <c r="H288" s="16">
        <f t="shared" si="53"/>
        <v>270587.83999999985</v>
      </c>
      <c r="I288" s="54">
        <f t="shared" si="54"/>
        <v>0.05530909278135231</v>
      </c>
      <c r="J288" s="226"/>
      <c r="K288" s="295">
        <v>5007379.01</v>
      </c>
      <c r="L288" s="16">
        <f t="shared" si="55"/>
        <v>155493.74000000022</v>
      </c>
      <c r="M288" s="54">
        <f t="shared" si="56"/>
        <v>0.031052920038501387</v>
      </c>
    </row>
    <row r="289" spans="1:13" s="15" customFormat="1" ht="12.75" hidden="1" outlineLevel="2">
      <c r="A289" s="15" t="s">
        <v>863</v>
      </c>
      <c r="B289" s="15" t="s">
        <v>864</v>
      </c>
      <c r="C289" s="164" t="s">
        <v>696</v>
      </c>
      <c r="D289" s="16"/>
      <c r="E289" s="16"/>
      <c r="F289" s="16">
        <v>5182903.62</v>
      </c>
      <c r="G289" s="16">
        <v>5663168.3100000005</v>
      </c>
      <c r="H289" s="16">
        <f t="shared" si="53"/>
        <v>-480264.6900000004</v>
      </c>
      <c r="I289" s="54">
        <f t="shared" si="54"/>
        <v>-0.08480494728577127</v>
      </c>
      <c r="J289" s="226"/>
      <c r="K289" s="295">
        <v>6098839.39</v>
      </c>
      <c r="L289" s="16">
        <f t="shared" si="55"/>
        <v>-915935.7699999996</v>
      </c>
      <c r="M289" s="54">
        <f t="shared" si="56"/>
        <v>-0.15018197913226233</v>
      </c>
    </row>
    <row r="290" spans="1:13" s="15" customFormat="1" ht="12.75" hidden="1" outlineLevel="2">
      <c r="A290" s="15" t="s">
        <v>865</v>
      </c>
      <c r="B290" s="15" t="s">
        <v>866</v>
      </c>
      <c r="C290" s="164" t="s">
        <v>867</v>
      </c>
      <c r="D290" s="16"/>
      <c r="E290" s="16"/>
      <c r="F290" s="16">
        <v>-286628.4</v>
      </c>
      <c r="G290" s="16">
        <v>1107708.12</v>
      </c>
      <c r="H290" s="16">
        <f t="shared" si="53"/>
        <v>-1394336.52</v>
      </c>
      <c r="I290" s="54">
        <f t="shared" si="54"/>
        <v>-1.2587580562287473</v>
      </c>
      <c r="J290" s="226"/>
      <c r="K290" s="295">
        <v>0</v>
      </c>
      <c r="L290" s="16">
        <f t="shared" si="55"/>
        <v>-286628.4</v>
      </c>
      <c r="M290" s="54" t="str">
        <f t="shared" si="56"/>
        <v>N.M.</v>
      </c>
    </row>
    <row r="291" spans="1:13" s="15" customFormat="1" ht="12.75" hidden="1" outlineLevel="2">
      <c r="A291" s="15" t="s">
        <v>868</v>
      </c>
      <c r="B291" s="15" t="s">
        <v>869</v>
      </c>
      <c r="C291" s="164" t="s">
        <v>870</v>
      </c>
      <c r="D291" s="16"/>
      <c r="E291" s="16"/>
      <c r="F291" s="16">
        <v>655093.22</v>
      </c>
      <c r="G291" s="16">
        <v>459178.31</v>
      </c>
      <c r="H291" s="16">
        <f t="shared" si="53"/>
        <v>195914.90999999997</v>
      </c>
      <c r="I291" s="54">
        <f t="shared" si="54"/>
        <v>0.4266641209598946</v>
      </c>
      <c r="J291" s="226"/>
      <c r="K291" s="295">
        <v>674441.3</v>
      </c>
      <c r="L291" s="16">
        <f t="shared" si="55"/>
        <v>-19348.080000000075</v>
      </c>
      <c r="M291" s="54">
        <f t="shared" si="56"/>
        <v>-0.028687567027701408</v>
      </c>
    </row>
    <row r="292" spans="1:13" s="15" customFormat="1" ht="12.75" hidden="1" outlineLevel="2">
      <c r="A292" s="15" t="s">
        <v>871</v>
      </c>
      <c r="B292" s="15" t="s">
        <v>872</v>
      </c>
      <c r="C292" s="164" t="s">
        <v>873</v>
      </c>
      <c r="D292" s="16"/>
      <c r="E292" s="16"/>
      <c r="F292" s="16">
        <v>313572.98</v>
      </c>
      <c r="G292" s="16">
        <v>213721.30000000002</v>
      </c>
      <c r="H292" s="16">
        <f t="shared" si="53"/>
        <v>99851.67999999996</v>
      </c>
      <c r="I292" s="54">
        <f t="shared" si="54"/>
        <v>0.4672050937365623</v>
      </c>
      <c r="J292" s="226"/>
      <c r="K292" s="295">
        <v>222622.74</v>
      </c>
      <c r="L292" s="16">
        <f t="shared" si="55"/>
        <v>90950.23999999999</v>
      </c>
      <c r="M292" s="54">
        <f t="shared" si="56"/>
        <v>0.40853975654059416</v>
      </c>
    </row>
    <row r="293" spans="1:13" s="15" customFormat="1" ht="12.75" hidden="1" outlineLevel="2">
      <c r="A293" s="15" t="s">
        <v>874</v>
      </c>
      <c r="B293" s="15" t="s">
        <v>875</v>
      </c>
      <c r="C293" s="164" t="s">
        <v>876</v>
      </c>
      <c r="D293" s="16"/>
      <c r="E293" s="16"/>
      <c r="F293" s="16">
        <v>-122229</v>
      </c>
      <c r="G293" s="16">
        <v>-115227</v>
      </c>
      <c r="H293" s="16">
        <f t="shared" si="53"/>
        <v>-7002</v>
      </c>
      <c r="I293" s="54">
        <f t="shared" si="54"/>
        <v>-0.06076700773256268</v>
      </c>
      <c r="J293" s="226"/>
      <c r="K293" s="295">
        <v>-121511</v>
      </c>
      <c r="L293" s="16">
        <f t="shared" si="55"/>
        <v>-718</v>
      </c>
      <c r="M293" s="54">
        <f t="shared" si="56"/>
        <v>-0.005908930055715121</v>
      </c>
    </row>
    <row r="294" spans="1:13" s="15" customFormat="1" ht="12.75" hidden="1" outlineLevel="2">
      <c r="A294" s="15" t="s">
        <v>877</v>
      </c>
      <c r="B294" s="15" t="s">
        <v>878</v>
      </c>
      <c r="C294" s="164" t="s">
        <v>879</v>
      </c>
      <c r="D294" s="16"/>
      <c r="E294" s="16"/>
      <c r="F294" s="16">
        <v>25766734.84</v>
      </c>
      <c r="G294" s="16">
        <v>23064067.6</v>
      </c>
      <c r="H294" s="16">
        <f t="shared" si="53"/>
        <v>2702667.2399999984</v>
      </c>
      <c r="I294" s="54">
        <f t="shared" si="54"/>
        <v>0.11718085841891993</v>
      </c>
      <c r="J294" s="226"/>
      <c r="K294" s="295">
        <v>26866928.84</v>
      </c>
      <c r="L294" s="16">
        <f t="shared" si="55"/>
        <v>-1100194</v>
      </c>
      <c r="M294" s="54">
        <f t="shared" si="56"/>
        <v>-0.04094974928291804</v>
      </c>
    </row>
    <row r="295" spans="1:13" s="15" customFormat="1" ht="12.75" hidden="1" outlineLevel="2">
      <c r="A295" s="15" t="s">
        <v>880</v>
      </c>
      <c r="B295" s="15" t="s">
        <v>881</v>
      </c>
      <c r="C295" s="164" t="s">
        <v>882</v>
      </c>
      <c r="D295" s="16"/>
      <c r="E295" s="16"/>
      <c r="F295" s="16">
        <v>14656165</v>
      </c>
      <c r="G295" s="16">
        <v>19912887</v>
      </c>
      <c r="H295" s="16">
        <f t="shared" si="53"/>
        <v>-5256722</v>
      </c>
      <c r="I295" s="54">
        <f t="shared" si="54"/>
        <v>-0.26398593031738693</v>
      </c>
      <c r="J295" s="226"/>
      <c r="K295" s="295">
        <v>15266079</v>
      </c>
      <c r="L295" s="16">
        <f t="shared" si="55"/>
        <v>-609914</v>
      </c>
      <c r="M295" s="54">
        <f t="shared" si="56"/>
        <v>-0.03995223658936915</v>
      </c>
    </row>
    <row r="296" spans="1:13" s="15" customFormat="1" ht="12.75" hidden="1" outlineLevel="2">
      <c r="A296" s="15" t="s">
        <v>883</v>
      </c>
      <c r="B296" s="15" t="s">
        <v>884</v>
      </c>
      <c r="C296" s="164" t="s">
        <v>885</v>
      </c>
      <c r="D296" s="16"/>
      <c r="E296" s="16"/>
      <c r="F296" s="16">
        <v>-5203612.81</v>
      </c>
      <c r="G296" s="16">
        <v>-4638662.1</v>
      </c>
      <c r="H296" s="16">
        <f t="shared" si="53"/>
        <v>-564950.71</v>
      </c>
      <c r="I296" s="54">
        <f t="shared" si="54"/>
        <v>-0.1217917360266444</v>
      </c>
      <c r="J296" s="226"/>
      <c r="K296" s="295">
        <v>-5000070.7</v>
      </c>
      <c r="L296" s="16">
        <f t="shared" si="55"/>
        <v>-203542.1099999994</v>
      </c>
      <c r="M296" s="54">
        <f t="shared" si="56"/>
        <v>-0.04070784639105191</v>
      </c>
    </row>
    <row r="297" spans="1:13" s="15" customFormat="1" ht="12.75" hidden="1" outlineLevel="2">
      <c r="A297" s="15" t="s">
        <v>886</v>
      </c>
      <c r="B297" s="15" t="s">
        <v>887</v>
      </c>
      <c r="C297" s="164" t="s">
        <v>888</v>
      </c>
      <c r="D297" s="16"/>
      <c r="E297" s="16"/>
      <c r="F297" s="16">
        <v>3256210.7</v>
      </c>
      <c r="G297" s="16">
        <v>3421049.49</v>
      </c>
      <c r="H297" s="16">
        <f t="shared" si="53"/>
        <v>-164838.79000000004</v>
      </c>
      <c r="I297" s="54">
        <f t="shared" si="54"/>
        <v>-0.04818369055514599</v>
      </c>
      <c r="J297" s="226"/>
      <c r="K297" s="295">
        <v>3505419.4</v>
      </c>
      <c r="L297" s="16">
        <f t="shared" si="55"/>
        <v>-249208.69999999972</v>
      </c>
      <c r="M297" s="54">
        <f t="shared" si="56"/>
        <v>-0.07109240623247527</v>
      </c>
    </row>
    <row r="298" spans="1:13" ht="12.75" collapsed="1">
      <c r="A298" s="11" t="s">
        <v>273</v>
      </c>
      <c r="C298" s="126" t="s">
        <v>204</v>
      </c>
      <c r="D298" s="105"/>
      <c r="E298" s="106"/>
      <c r="F298" s="149">
        <v>50204071.980000004</v>
      </c>
      <c r="G298" s="149">
        <v>54713071.34</v>
      </c>
      <c r="H298" s="142">
        <f>+F298-G298</f>
        <v>-4508999.359999999</v>
      </c>
      <c r="I298" s="168">
        <f>IF(G298&lt;0,IF(H298=0,0,IF(OR(G298=0,F298=0),"N.M.",IF(ABS(H298/G298)&gt;=10,"N.M.",H298/(-G298)))),IF(H298=0,0,IF(OR(G298=0,F298=0),"N.M.",IF(ABS(H298/G298)&gt;=10,"N.M.",H298/G298))))</f>
        <v>-0.08241173908845306</v>
      </c>
      <c r="J298" s="217"/>
      <c r="K298" s="192">
        <v>53348601.76</v>
      </c>
      <c r="L298" s="142">
        <f>+F298-K298</f>
        <v>-3144529.7799999937</v>
      </c>
      <c r="M298" s="168">
        <f>IF(K298&lt;0,IF(L298=0,0,IF(OR(K298=0,F298=0),"N.M.",IF(ABS(L298/K298)&gt;=10,"N.M.",L298/(-K298)))),IF(L298=0,0,IF(OR(K298=0,F298=0),"N.M.",IF(ABS(L298/K298)&gt;=10,"N.M.",L298/K298))))</f>
        <v>-0.05894305897924613</v>
      </c>
    </row>
    <row r="299" spans="1:13" s="13" customFormat="1" ht="12.75">
      <c r="A299" s="13" t="s">
        <v>274</v>
      </c>
      <c r="C299" s="115" t="s">
        <v>201</v>
      </c>
      <c r="D299" s="34"/>
      <c r="F299" s="150">
        <v>53319412.089999996</v>
      </c>
      <c r="G299" s="150">
        <v>55958706.59</v>
      </c>
      <c r="H299" s="143">
        <f>+F299-G299</f>
        <v>-2639294.5000000075</v>
      </c>
      <c r="I299" s="167">
        <f>IF(G299&lt;0,IF(H299=0,0,IF(OR(G299=0,F299=0),"N.M.",IF(ABS(H299/G299)&gt;=10,"N.M.",H299/(-G299)))),IF(H299=0,0,IF(OR(G299=0,F299=0),"N.M.",IF(ABS(H299/G299)&gt;=10,"N.M.",H299/G299))))</f>
        <v>-0.047165037593482506</v>
      </c>
      <c r="J299" s="219"/>
      <c r="K299" s="193">
        <v>54461703.71</v>
      </c>
      <c r="L299" s="143">
        <f>+F299-K299</f>
        <v>-1142291.6200000048</v>
      </c>
      <c r="M299" s="167">
        <f>IF(K299&lt;0,IF(L299=0,0,IF(OR(K299=0,F299=0),"N.M.",IF(ABS(L299/K299)&gt;=10,"N.M.",L299/(-K299)))),IF(L299=0,0,IF(OR(K299=0,F299=0),"N.M.",IF(ABS(L299/K299)&gt;=10,"N.M.",L299/K299))))</f>
        <v>-0.020974217517735542</v>
      </c>
    </row>
    <row r="300" spans="3:13" ht="12.75">
      <c r="C300" s="127"/>
      <c r="D300" s="109"/>
      <c r="E300" s="11"/>
      <c r="F300" s="162" t="str">
        <f>IF(ABS(+F281+F283+F298-F299)&gt;$C$632,$N$183," ")</f>
        <v> </v>
      </c>
      <c r="G300" s="162" t="str">
        <f>IF(ABS(+G281+G283+G298-G299)&gt;$C$632,$N$183," ")</f>
        <v> </v>
      </c>
      <c r="H300" s="162" t="str">
        <f>IF(ABS(+H281+H283+H298-H299)&gt;$C$632,$N$183," ")</f>
        <v> </v>
      </c>
      <c r="I300" s="171"/>
      <c r="J300" s="217"/>
      <c r="K300" s="188" t="str">
        <f>IF(ABS(+K281+K283+K298-K299)&gt;$C$632,$N$183," ")</f>
        <v> </v>
      </c>
      <c r="L300" s="162" t="str">
        <f>IF(ABS(+L281+L283+L298-L299)&gt;$C$632,$N$183," ")</f>
        <v> </v>
      </c>
      <c r="M300" s="171"/>
    </row>
    <row r="301" spans="3:13" ht="0.75" customHeight="1" outlineLevel="1">
      <c r="C301" s="127"/>
      <c r="D301" s="109"/>
      <c r="E301" s="11"/>
      <c r="F301" s="153"/>
      <c r="G301" s="153"/>
      <c r="H301" s="153"/>
      <c r="I301" s="171"/>
      <c r="J301" s="217"/>
      <c r="K301" s="195"/>
      <c r="L301" s="153"/>
      <c r="M301" s="171"/>
    </row>
    <row r="302" spans="1:13" ht="12.75">
      <c r="A302" t="s">
        <v>275</v>
      </c>
      <c r="C302" s="128" t="s">
        <v>205</v>
      </c>
      <c r="D302" s="113"/>
      <c r="E302" s="112"/>
      <c r="F302" s="154">
        <v>0</v>
      </c>
      <c r="G302" s="154">
        <v>0</v>
      </c>
      <c r="H302" s="141">
        <f>+F302-G302</f>
        <v>0</v>
      </c>
      <c r="I302" s="166">
        <f>IF(G302&lt;0,IF(H302=0,0,IF(OR(G302=0,F302=0),"N.M.",IF(ABS(H302/G302)&gt;=10,"N.M.",H302/(-G302)))),IF(H302=0,0,IF(OR(G302=0,F302=0),"N.M.",IF(ABS(H302/G302)&gt;=10,"N.M.",H302/G302))))</f>
        <v>0</v>
      </c>
      <c r="J302" s="222"/>
      <c r="K302" s="196">
        <v>0</v>
      </c>
      <c r="L302" s="141">
        <f>+F302-K302</f>
        <v>0</v>
      </c>
      <c r="M302" s="166">
        <f>IF(K302&lt;0,IF(L302=0,0,IF(OR(K302=0,F302=0),"N.M.",IF(ABS(L302/K302)&gt;=10,"N.M.",L302/(-K302)))),IF(L302=0,0,IF(OR(K302=0,F302=0),"N.M.",IF(ABS(L302/K302)&gt;=10,"N.M.",L302/K302))))</f>
        <v>0</v>
      </c>
    </row>
    <row r="303" spans="3:13" ht="0.75" customHeight="1" outlineLevel="1">
      <c r="C303" s="128"/>
      <c r="D303" s="113"/>
      <c r="E303" s="112"/>
      <c r="F303" s="154"/>
      <c r="G303" s="154"/>
      <c r="H303" s="141"/>
      <c r="I303" s="166"/>
      <c r="J303" s="222"/>
      <c r="K303" s="196"/>
      <c r="L303" s="141"/>
      <c r="M303" s="166"/>
    </row>
    <row r="304" spans="1:13" ht="12.75">
      <c r="A304" s="11" t="s">
        <v>276</v>
      </c>
      <c r="C304" s="128" t="s">
        <v>206</v>
      </c>
      <c r="D304" s="105"/>
      <c r="E304" s="106"/>
      <c r="F304" s="148">
        <v>0</v>
      </c>
      <c r="G304" s="148">
        <v>0</v>
      </c>
      <c r="H304" s="141">
        <f>+F304-G304</f>
        <v>0</v>
      </c>
      <c r="I304" s="166">
        <f>IF(G304&lt;0,IF(H304=0,0,IF(OR(G304=0,F304=0),"N.M.",IF(ABS(H304/G304)&gt;=10,"N.M.",H304/(-G304)))),IF(H304=0,0,IF(OR(G304=0,F304=0),"N.M.",IF(ABS(H304/G304)&gt;=10,"N.M.",H304/G304))))</f>
        <v>0</v>
      </c>
      <c r="J304" s="217"/>
      <c r="K304" s="191">
        <v>0</v>
      </c>
      <c r="L304" s="141">
        <f>+F304-K304</f>
        <v>0</v>
      </c>
      <c r="M304" s="166">
        <f>IF(K304&lt;0,IF(L304=0,0,IF(OR(K304=0,F304=0),"N.M.",IF(ABS(L304/K304)&gt;=10,"N.M.",L304/(-K304)))),IF(L304=0,0,IF(OR(K304=0,F304=0),"N.M.",IF(ABS(L304/K304)&gt;=10,"N.M.",L304/K304))))</f>
        <v>0</v>
      </c>
    </row>
    <row r="305" spans="3:13" ht="0.75" customHeight="1" outlineLevel="1">
      <c r="C305" s="128"/>
      <c r="D305" s="105"/>
      <c r="E305" s="106"/>
      <c r="F305" s="148"/>
      <c r="G305" s="148"/>
      <c r="H305" s="141"/>
      <c r="I305" s="166"/>
      <c r="J305" s="217"/>
      <c r="K305" s="191"/>
      <c r="L305" s="141"/>
      <c r="M305" s="166"/>
    </row>
    <row r="306" spans="1:13" ht="12.75">
      <c r="A306" s="11" t="s">
        <v>277</v>
      </c>
      <c r="C306" s="128" t="s">
        <v>207</v>
      </c>
      <c r="D306" s="105"/>
      <c r="E306" s="106"/>
      <c r="F306" s="148">
        <v>0</v>
      </c>
      <c r="G306" s="148">
        <v>0</v>
      </c>
      <c r="H306" s="141">
        <f>+F306-G306</f>
        <v>0</v>
      </c>
      <c r="I306" s="166">
        <f>IF(G306&lt;0,IF(H306=0,0,IF(OR(G306=0,F306=0),"N.M.",IF(ABS(H306/G306)&gt;=10,"N.M.",H306/(-G306)))),IF(H306=0,0,IF(OR(G306=0,F306=0),"N.M.",IF(ABS(H306/G306)&gt;=10,"N.M.",H306/G306))))</f>
        <v>0</v>
      </c>
      <c r="J306" s="217"/>
      <c r="K306" s="191">
        <v>0</v>
      </c>
      <c r="L306" s="141">
        <f>+F306-K306</f>
        <v>0</v>
      </c>
      <c r="M306" s="166">
        <f>IF(K306&lt;0,IF(L306=0,0,IF(OR(K306=0,F306=0),"N.M.",IF(ABS(L306/K306)&gt;=10,"N.M.",L306/(-K306)))),IF(L306=0,0,IF(OR(K306=0,F306=0),"N.M.",IF(ABS(L306/K306)&gt;=10,"N.M.",L306/K306))))</f>
        <v>0</v>
      </c>
    </row>
    <row r="307" spans="3:13" ht="0.75" customHeight="1" outlineLevel="1">
      <c r="C307" s="128"/>
      <c r="D307" s="105"/>
      <c r="E307" s="106"/>
      <c r="F307" s="148"/>
      <c r="G307" s="148"/>
      <c r="H307" s="141"/>
      <c r="I307" s="166"/>
      <c r="J307" s="217"/>
      <c r="K307" s="191"/>
      <c r="L307" s="141"/>
      <c r="M307" s="166"/>
    </row>
    <row r="308" spans="1:13" ht="12.75">
      <c r="A308" s="11" t="s">
        <v>278</v>
      </c>
      <c r="C308" s="128" t="s">
        <v>208</v>
      </c>
      <c r="D308" s="105"/>
      <c r="E308" s="106"/>
      <c r="F308" s="148">
        <v>0</v>
      </c>
      <c r="G308" s="148">
        <v>0</v>
      </c>
      <c r="H308" s="141">
        <f>+F308-G308</f>
        <v>0</v>
      </c>
      <c r="I308" s="166">
        <f>IF(G308&lt;0,IF(H308=0,0,IF(OR(G308=0,F308=0),"N.M.",IF(ABS(H308/G308)&gt;=10,"N.M.",H308/(-G308)))),IF(H308=0,0,IF(OR(G308=0,F308=0),"N.M.",IF(ABS(H308/G308)&gt;=10,"N.M.",H308/G308))))</f>
        <v>0</v>
      </c>
      <c r="J308" s="217"/>
      <c r="K308" s="191">
        <v>0</v>
      </c>
      <c r="L308" s="141">
        <f>+F308-K308</f>
        <v>0</v>
      </c>
      <c r="M308" s="166">
        <f>IF(K308&lt;0,IF(L308=0,0,IF(OR(K308=0,F308=0),"N.M.",IF(ABS(L308/K308)&gt;=10,"N.M.",L308/(-K308)))),IF(L308=0,0,IF(OR(K308=0,F308=0),"N.M.",IF(ABS(L308/K308)&gt;=10,"N.M.",L308/K308))))</f>
        <v>0</v>
      </c>
    </row>
    <row r="309" spans="3:13" ht="0.75" customHeight="1" hidden="1" outlineLevel="1">
      <c r="C309" s="128"/>
      <c r="D309" s="105"/>
      <c r="E309" s="106"/>
      <c r="F309" s="148"/>
      <c r="G309" s="148"/>
      <c r="H309" s="141"/>
      <c r="I309" s="166"/>
      <c r="J309" s="217"/>
      <c r="K309" s="191"/>
      <c r="L309" s="141"/>
      <c r="M309" s="166"/>
    </row>
    <row r="310" spans="1:13" s="15" customFormat="1" ht="12.75" hidden="1" outlineLevel="2">
      <c r="A310" s="15" t="s">
        <v>889</v>
      </c>
      <c r="B310" s="15" t="s">
        <v>890</v>
      </c>
      <c r="C310" s="164" t="s">
        <v>891</v>
      </c>
      <c r="D310" s="16"/>
      <c r="E310" s="16"/>
      <c r="F310" s="16">
        <v>0</v>
      </c>
      <c r="G310" s="16">
        <v>0</v>
      </c>
      <c r="H310" s="16">
        <f>+F310-G310</f>
        <v>0</v>
      </c>
      <c r="I310" s="54">
        <f>IF(G310&lt;0,IF(H310=0,0,IF(OR(G310=0,F310=0),"N.M.",IF(ABS(H310/G310)&gt;=10,"N.M.",H310/(-G310)))),IF(H310=0,0,IF(OR(G310=0,F310=0),"N.M.",IF(ABS(H310/G310)&gt;=10,"N.M.",H310/G310))))</f>
        <v>0</v>
      </c>
      <c r="J310" s="226"/>
      <c r="K310" s="295">
        <v>485336.84</v>
      </c>
      <c r="L310" s="16">
        <f>+F310-K310</f>
        <v>-485336.84</v>
      </c>
      <c r="M310" s="54" t="str">
        <f>IF(K310&lt;0,IF(L310=0,0,IF(OR(K310=0,F310=0),"N.M.",IF(ABS(L310/K310)&gt;=10,"N.M.",L310/(-K310)))),IF(L310=0,0,IF(OR(K310=0,F310=0),"N.M.",IF(ABS(L310/K310)&gt;=10,"N.M.",L310/K310))))</f>
        <v>N.M.</v>
      </c>
    </row>
    <row r="311" spans="1:13" ht="12.75" collapsed="1">
      <c r="A311" s="11" t="s">
        <v>279</v>
      </c>
      <c r="C311" s="128" t="s">
        <v>209</v>
      </c>
      <c r="D311" s="105"/>
      <c r="E311" s="106"/>
      <c r="F311" s="148">
        <v>0</v>
      </c>
      <c r="G311" s="148">
        <v>0</v>
      </c>
      <c r="H311" s="141">
        <f>+F311-G311</f>
        <v>0</v>
      </c>
      <c r="I311" s="166">
        <f>IF(G311&lt;0,IF(H311=0,0,IF(OR(G311=0,F311=0),"N.M.",IF(ABS(H311/G311)&gt;=10,"N.M.",H311/(-G311)))),IF(H311=0,0,IF(OR(G311=0,F311=0),"N.M.",IF(ABS(H311/G311)&gt;=10,"N.M.",H311/G311))))</f>
        <v>0</v>
      </c>
      <c r="J311" s="217"/>
      <c r="K311" s="191">
        <v>485336.84</v>
      </c>
      <c r="L311" s="141">
        <f>+F311-K311</f>
        <v>-485336.84</v>
      </c>
      <c r="M311" s="166" t="str">
        <f>IF(K311&lt;0,IF(L311=0,0,IF(OR(K311=0,F311=0),"N.M.",IF(ABS(L311/K311)&gt;=10,"N.M.",L311/(-K311)))),IF(L311=0,0,IF(OR(K311=0,F311=0),"N.M.",IF(ABS(L311/K311)&gt;=10,"N.M.",L311/K311))))</f>
        <v>N.M.</v>
      </c>
    </row>
    <row r="312" spans="3:13" ht="0.75" customHeight="1" hidden="1" outlineLevel="1">
      <c r="C312" s="128"/>
      <c r="D312" s="105"/>
      <c r="E312" s="106"/>
      <c r="F312" s="148"/>
      <c r="G312" s="148"/>
      <c r="H312" s="141"/>
      <c r="I312" s="166"/>
      <c r="J312" s="217"/>
      <c r="K312" s="191"/>
      <c r="L312" s="141"/>
      <c r="M312" s="166"/>
    </row>
    <row r="313" spans="1:13" s="15" customFormat="1" ht="12.75" hidden="1" outlineLevel="2">
      <c r="A313" s="15" t="s">
        <v>892</v>
      </c>
      <c r="B313" s="15" t="s">
        <v>893</v>
      </c>
      <c r="C313" s="164" t="s">
        <v>894</v>
      </c>
      <c r="D313" s="16"/>
      <c r="E313" s="16"/>
      <c r="F313" s="16">
        <v>3278675.482</v>
      </c>
      <c r="G313" s="16">
        <v>1420714.802</v>
      </c>
      <c r="H313" s="16">
        <f aca="true" t="shared" si="57" ref="H313:H333">+F313-G313</f>
        <v>1857960.68</v>
      </c>
      <c r="I313" s="54">
        <f aca="true" t="shared" si="58" ref="I313:I333">IF(G313&lt;0,IF(H313=0,0,IF(OR(G313=0,F313=0),"N.M.",IF(ABS(H313/G313)&gt;=10,"N.M.",H313/(-G313)))),IF(H313=0,0,IF(OR(G313=0,F313=0),"N.M.",IF(ABS(H313/G313)&gt;=10,"N.M.",H313/G313))))</f>
        <v>1.3077647092748457</v>
      </c>
      <c r="J313" s="226"/>
      <c r="K313" s="295">
        <v>7623949.072</v>
      </c>
      <c r="L313" s="16">
        <f aca="true" t="shared" si="59" ref="L313:L333">+F313-K313</f>
        <v>-4345273.59</v>
      </c>
      <c r="M313" s="54">
        <f aca="true" t="shared" si="60" ref="M313:M333">IF(K313&lt;0,IF(L313=0,0,IF(OR(K313=0,F313=0),"N.M.",IF(ABS(L313/K313)&gt;=10,"N.M.",L313/(-K313)))),IF(L313=0,0,IF(OR(K313=0,F313=0),"N.M.",IF(ABS(L313/K313)&gt;=10,"N.M.",L313/K313))))</f>
        <v>-0.5699505005822526</v>
      </c>
    </row>
    <row r="314" spans="1:13" s="15" customFormat="1" ht="12.75" hidden="1" outlineLevel="2">
      <c r="A314" s="15" t="s">
        <v>895</v>
      </c>
      <c r="B314" s="15" t="s">
        <v>896</v>
      </c>
      <c r="C314" s="164" t="s">
        <v>897</v>
      </c>
      <c r="D314" s="16"/>
      <c r="E314" s="16"/>
      <c r="F314" s="16">
        <v>3436921.43</v>
      </c>
      <c r="G314" s="16">
        <v>3212037.36</v>
      </c>
      <c r="H314" s="16">
        <f t="shared" si="57"/>
        <v>224884.0700000003</v>
      </c>
      <c r="I314" s="54">
        <f t="shared" si="58"/>
        <v>0.07001290607653465</v>
      </c>
      <c r="J314" s="226"/>
      <c r="K314" s="295">
        <v>19565726.5</v>
      </c>
      <c r="L314" s="16">
        <f t="shared" si="59"/>
        <v>-16128805.07</v>
      </c>
      <c r="M314" s="54">
        <f t="shared" si="60"/>
        <v>-0.8243396977873528</v>
      </c>
    </row>
    <row r="315" spans="1:13" s="15" customFormat="1" ht="12.75" hidden="1" outlineLevel="2">
      <c r="A315" s="15" t="s">
        <v>898</v>
      </c>
      <c r="B315" s="15" t="s">
        <v>899</v>
      </c>
      <c r="C315" s="164" t="s">
        <v>900</v>
      </c>
      <c r="D315" s="16"/>
      <c r="E315" s="16"/>
      <c r="F315" s="16">
        <v>104779.81</v>
      </c>
      <c r="G315" s="16">
        <v>141955.21</v>
      </c>
      <c r="H315" s="16">
        <f t="shared" si="57"/>
        <v>-37175.399999999994</v>
      </c>
      <c r="I315" s="54">
        <f t="shared" si="58"/>
        <v>-0.2618811947796773</v>
      </c>
      <c r="J315" s="226"/>
      <c r="K315" s="295">
        <v>191541.57</v>
      </c>
      <c r="L315" s="16">
        <f t="shared" si="59"/>
        <v>-86761.76000000001</v>
      </c>
      <c r="M315" s="54">
        <f t="shared" si="60"/>
        <v>-0.45296569303467654</v>
      </c>
    </row>
    <row r="316" spans="1:13" s="15" customFormat="1" ht="12.75" hidden="1" outlineLevel="2">
      <c r="A316" s="15" t="s">
        <v>901</v>
      </c>
      <c r="B316" s="15" t="s">
        <v>902</v>
      </c>
      <c r="C316" s="164" t="s">
        <v>903</v>
      </c>
      <c r="D316" s="16"/>
      <c r="E316" s="16"/>
      <c r="F316" s="16">
        <v>0</v>
      </c>
      <c r="G316" s="16">
        <v>0</v>
      </c>
      <c r="H316" s="16">
        <f t="shared" si="57"/>
        <v>0</v>
      </c>
      <c r="I316" s="54">
        <f t="shared" si="58"/>
        <v>0</v>
      </c>
      <c r="J316" s="226"/>
      <c r="K316" s="295">
        <v>441600</v>
      </c>
      <c r="L316" s="16">
        <f t="shared" si="59"/>
        <v>-441600</v>
      </c>
      <c r="M316" s="54" t="str">
        <f t="shared" si="60"/>
        <v>N.M.</v>
      </c>
    </row>
    <row r="317" spans="1:13" s="15" customFormat="1" ht="12.75" hidden="1" outlineLevel="2">
      <c r="A317" s="15" t="s">
        <v>904</v>
      </c>
      <c r="B317" s="15" t="s">
        <v>905</v>
      </c>
      <c r="C317" s="164" t="s">
        <v>906</v>
      </c>
      <c r="D317" s="16"/>
      <c r="E317" s="16"/>
      <c r="F317" s="16">
        <v>6680652.16</v>
      </c>
      <c r="G317" s="16">
        <v>13843301.64</v>
      </c>
      <c r="H317" s="16">
        <f t="shared" si="57"/>
        <v>-7162649.48</v>
      </c>
      <c r="I317" s="54">
        <f t="shared" si="58"/>
        <v>-0.5174090449133636</v>
      </c>
      <c r="J317" s="226"/>
      <c r="K317" s="295">
        <v>8293879.38</v>
      </c>
      <c r="L317" s="16">
        <f t="shared" si="59"/>
        <v>-1613227.2199999997</v>
      </c>
      <c r="M317" s="54">
        <f t="shared" si="60"/>
        <v>-0.19450816030555773</v>
      </c>
    </row>
    <row r="318" spans="1:13" s="15" customFormat="1" ht="12.75" hidden="1" outlineLevel="2">
      <c r="A318" s="15" t="s">
        <v>907</v>
      </c>
      <c r="B318" s="15" t="s">
        <v>908</v>
      </c>
      <c r="C318" s="164" t="s">
        <v>507</v>
      </c>
      <c r="D318" s="16"/>
      <c r="E318" s="16"/>
      <c r="F318" s="16">
        <v>180780.4</v>
      </c>
      <c r="G318" s="16">
        <v>142622.71</v>
      </c>
      <c r="H318" s="16">
        <f t="shared" si="57"/>
        <v>38157.69</v>
      </c>
      <c r="I318" s="54">
        <f t="shared" si="58"/>
        <v>0.2675428758856146</v>
      </c>
      <c r="J318" s="226"/>
      <c r="K318" s="295">
        <v>284612.5</v>
      </c>
      <c r="L318" s="16">
        <f t="shared" si="59"/>
        <v>-103832.1</v>
      </c>
      <c r="M318" s="54">
        <f t="shared" si="60"/>
        <v>-0.364819183978216</v>
      </c>
    </row>
    <row r="319" spans="1:13" s="15" customFormat="1" ht="12.75" hidden="1" outlineLevel="2">
      <c r="A319" s="15" t="s">
        <v>909</v>
      </c>
      <c r="B319" s="15" t="s">
        <v>910</v>
      </c>
      <c r="C319" s="164" t="s">
        <v>911</v>
      </c>
      <c r="D319" s="16"/>
      <c r="E319" s="16"/>
      <c r="F319" s="16">
        <v>5441058.029</v>
      </c>
      <c r="G319" s="16">
        <v>3775669.144</v>
      </c>
      <c r="H319" s="16">
        <f t="shared" si="57"/>
        <v>1665388.8850000002</v>
      </c>
      <c r="I319" s="54">
        <f t="shared" si="58"/>
        <v>0.44108443337693054</v>
      </c>
      <c r="J319" s="226"/>
      <c r="K319" s="295">
        <v>3256899.271</v>
      </c>
      <c r="L319" s="16">
        <f t="shared" si="59"/>
        <v>2184158.758</v>
      </c>
      <c r="M319" s="54">
        <f t="shared" si="60"/>
        <v>0.6706252101341085</v>
      </c>
    </row>
    <row r="320" spans="1:13" s="15" customFormat="1" ht="12.75" hidden="1" outlineLevel="2">
      <c r="A320" s="15" t="s">
        <v>912</v>
      </c>
      <c r="B320" s="15" t="s">
        <v>913</v>
      </c>
      <c r="C320" s="164" t="s">
        <v>914</v>
      </c>
      <c r="D320" s="16"/>
      <c r="E320" s="16"/>
      <c r="F320" s="16">
        <v>784758.13</v>
      </c>
      <c r="G320" s="16">
        <v>1895688.87</v>
      </c>
      <c r="H320" s="16">
        <f t="shared" si="57"/>
        <v>-1110930.7400000002</v>
      </c>
      <c r="I320" s="54">
        <f t="shared" si="58"/>
        <v>-0.5860301010260192</v>
      </c>
      <c r="J320" s="226"/>
      <c r="K320" s="295">
        <v>732586.47</v>
      </c>
      <c r="L320" s="16">
        <f t="shared" si="59"/>
        <v>52171.66000000003</v>
      </c>
      <c r="M320" s="54">
        <f t="shared" si="60"/>
        <v>0.07121570235934065</v>
      </c>
    </row>
    <row r="321" spans="1:13" s="15" customFormat="1" ht="12.75" hidden="1" outlineLevel="2">
      <c r="A321" s="15" t="s">
        <v>915</v>
      </c>
      <c r="B321" s="15" t="s">
        <v>916</v>
      </c>
      <c r="C321" s="164" t="s">
        <v>917</v>
      </c>
      <c r="D321" s="16"/>
      <c r="E321" s="16"/>
      <c r="F321" s="16">
        <v>0</v>
      </c>
      <c r="G321" s="16">
        <v>-1499.99</v>
      </c>
      <c r="H321" s="16">
        <f t="shared" si="57"/>
        <v>1499.99</v>
      </c>
      <c r="I321" s="54" t="str">
        <f t="shared" si="58"/>
        <v>N.M.</v>
      </c>
      <c r="J321" s="226"/>
      <c r="K321" s="295">
        <v>2257.34</v>
      </c>
      <c r="L321" s="16">
        <f t="shared" si="59"/>
        <v>-2257.34</v>
      </c>
      <c r="M321" s="54" t="str">
        <f t="shared" si="60"/>
        <v>N.M.</v>
      </c>
    </row>
    <row r="322" spans="1:13" s="15" customFormat="1" ht="12.75" hidden="1" outlineLevel="2">
      <c r="A322" s="15" t="s">
        <v>918</v>
      </c>
      <c r="B322" s="15" t="s">
        <v>919</v>
      </c>
      <c r="C322" s="164" t="s">
        <v>920</v>
      </c>
      <c r="D322" s="16"/>
      <c r="E322" s="16"/>
      <c r="F322" s="16">
        <v>22370.792</v>
      </c>
      <c r="G322" s="16">
        <v>114769.682</v>
      </c>
      <c r="H322" s="16">
        <f t="shared" si="57"/>
        <v>-92398.89</v>
      </c>
      <c r="I322" s="54">
        <f t="shared" si="58"/>
        <v>-0.8050809969134531</v>
      </c>
      <c r="J322" s="226"/>
      <c r="K322" s="295">
        <v>156.722</v>
      </c>
      <c r="L322" s="16">
        <f t="shared" si="59"/>
        <v>22214.07</v>
      </c>
      <c r="M322" s="54" t="str">
        <f t="shared" si="60"/>
        <v>N.M.</v>
      </c>
    </row>
    <row r="323" spans="1:13" s="15" customFormat="1" ht="12.75" hidden="1" outlineLevel="2">
      <c r="A323" s="15" t="s">
        <v>921</v>
      </c>
      <c r="B323" s="15" t="s">
        <v>922</v>
      </c>
      <c r="C323" s="164" t="s">
        <v>923</v>
      </c>
      <c r="D323" s="16"/>
      <c r="E323" s="16"/>
      <c r="F323" s="16">
        <v>11072.530999999999</v>
      </c>
      <c r="G323" s="16">
        <v>5549.16</v>
      </c>
      <c r="H323" s="16">
        <f t="shared" si="57"/>
        <v>5523.370999999999</v>
      </c>
      <c r="I323" s="54">
        <f t="shared" si="58"/>
        <v>0.9953526299475955</v>
      </c>
      <c r="J323" s="226"/>
      <c r="K323" s="295">
        <v>11607.94</v>
      </c>
      <c r="L323" s="16">
        <f t="shared" si="59"/>
        <v>-535.4090000000015</v>
      </c>
      <c r="M323" s="54">
        <f t="shared" si="60"/>
        <v>-0.046124376935098</v>
      </c>
    </row>
    <row r="324" spans="1:13" s="15" customFormat="1" ht="12.75" hidden="1" outlineLevel="2">
      <c r="A324" s="15" t="s">
        <v>924</v>
      </c>
      <c r="B324" s="15" t="s">
        <v>925</v>
      </c>
      <c r="C324" s="164" t="s">
        <v>926</v>
      </c>
      <c r="D324" s="16"/>
      <c r="E324" s="16"/>
      <c r="F324" s="16">
        <v>0</v>
      </c>
      <c r="G324" s="16">
        <v>0</v>
      </c>
      <c r="H324" s="16">
        <f t="shared" si="57"/>
        <v>0</v>
      </c>
      <c r="I324" s="54">
        <f t="shared" si="58"/>
        <v>0</v>
      </c>
      <c r="J324" s="226"/>
      <c r="K324" s="295">
        <v>1348.53</v>
      </c>
      <c r="L324" s="16">
        <f t="shared" si="59"/>
        <v>-1348.53</v>
      </c>
      <c r="M324" s="54" t="str">
        <f t="shared" si="60"/>
        <v>N.M.</v>
      </c>
    </row>
    <row r="325" spans="1:13" s="15" customFormat="1" ht="12.75" hidden="1" outlineLevel="2">
      <c r="A325" s="15" t="s">
        <v>927</v>
      </c>
      <c r="B325" s="15" t="s">
        <v>928</v>
      </c>
      <c r="C325" s="164" t="s">
        <v>929</v>
      </c>
      <c r="D325" s="16"/>
      <c r="E325" s="16"/>
      <c r="F325" s="16">
        <v>9991.5</v>
      </c>
      <c r="G325" s="16">
        <v>8475</v>
      </c>
      <c r="H325" s="16">
        <f t="shared" si="57"/>
        <v>1516.5</v>
      </c>
      <c r="I325" s="54">
        <f t="shared" si="58"/>
        <v>0.17893805309734515</v>
      </c>
      <c r="J325" s="226"/>
      <c r="K325" s="295">
        <v>11272.5</v>
      </c>
      <c r="L325" s="16">
        <f t="shared" si="59"/>
        <v>-1281</v>
      </c>
      <c r="M325" s="54">
        <f t="shared" si="60"/>
        <v>-0.1136393878908849</v>
      </c>
    </row>
    <row r="326" spans="1:13" s="15" customFormat="1" ht="12.75" hidden="1" outlineLevel="2">
      <c r="A326" s="15" t="s">
        <v>930</v>
      </c>
      <c r="B326" s="15" t="s">
        <v>931</v>
      </c>
      <c r="C326" s="164" t="s">
        <v>932</v>
      </c>
      <c r="D326" s="16"/>
      <c r="E326" s="16"/>
      <c r="F326" s="16">
        <v>115610.46</v>
      </c>
      <c r="G326" s="16">
        <v>133387.05</v>
      </c>
      <c r="H326" s="16">
        <f t="shared" si="57"/>
        <v>-17776.589999999982</v>
      </c>
      <c r="I326" s="54">
        <f t="shared" si="58"/>
        <v>-0.1332707335532196</v>
      </c>
      <c r="J326" s="226"/>
      <c r="K326" s="295">
        <v>483880.39</v>
      </c>
      <c r="L326" s="16">
        <f t="shared" si="59"/>
        <v>-368269.93</v>
      </c>
      <c r="M326" s="54">
        <f t="shared" si="60"/>
        <v>-0.7610763684802353</v>
      </c>
    </row>
    <row r="327" spans="1:13" s="15" customFormat="1" ht="12.75" hidden="1" outlineLevel="2">
      <c r="A327" s="15" t="s">
        <v>933</v>
      </c>
      <c r="B327" s="15" t="s">
        <v>934</v>
      </c>
      <c r="C327" s="164" t="s">
        <v>935</v>
      </c>
      <c r="D327" s="16"/>
      <c r="E327" s="16"/>
      <c r="F327" s="16">
        <v>517687.094</v>
      </c>
      <c r="G327" s="16">
        <v>198866.03399999999</v>
      </c>
      <c r="H327" s="16">
        <f t="shared" si="57"/>
        <v>318821.06</v>
      </c>
      <c r="I327" s="54">
        <f t="shared" si="58"/>
        <v>1.6031951439228682</v>
      </c>
      <c r="J327" s="226"/>
      <c r="K327" s="295">
        <v>911849.894</v>
      </c>
      <c r="L327" s="16">
        <f t="shared" si="59"/>
        <v>-394162.8</v>
      </c>
      <c r="M327" s="54">
        <f t="shared" si="60"/>
        <v>-0.4322671994520186</v>
      </c>
    </row>
    <row r="328" spans="1:13" s="15" customFormat="1" ht="12.75" hidden="1" outlineLevel="2">
      <c r="A328" s="15" t="s">
        <v>936</v>
      </c>
      <c r="B328" s="15" t="s">
        <v>937</v>
      </c>
      <c r="C328" s="164" t="s">
        <v>938</v>
      </c>
      <c r="D328" s="16"/>
      <c r="E328" s="16"/>
      <c r="F328" s="16">
        <v>25.378</v>
      </c>
      <c r="G328" s="16">
        <v>41.618</v>
      </c>
      <c r="H328" s="16">
        <f t="shared" si="57"/>
        <v>-16.240000000000002</v>
      </c>
      <c r="I328" s="54">
        <f t="shared" si="58"/>
        <v>-0.3902157720217214</v>
      </c>
      <c r="J328" s="226"/>
      <c r="K328" s="295">
        <v>39.228</v>
      </c>
      <c r="L328" s="16">
        <f t="shared" si="59"/>
        <v>-13.850000000000001</v>
      </c>
      <c r="M328" s="54">
        <f t="shared" si="60"/>
        <v>-0.3530641378607118</v>
      </c>
    </row>
    <row r="329" spans="1:13" s="15" customFormat="1" ht="12.75" hidden="1" outlineLevel="2">
      <c r="A329" s="15" t="s">
        <v>939</v>
      </c>
      <c r="B329" s="15" t="s">
        <v>940</v>
      </c>
      <c r="C329" s="164" t="s">
        <v>941</v>
      </c>
      <c r="D329" s="16"/>
      <c r="E329" s="16"/>
      <c r="F329" s="16">
        <v>10.84</v>
      </c>
      <c r="G329" s="16">
        <v>0</v>
      </c>
      <c r="H329" s="16">
        <f t="shared" si="57"/>
        <v>10.84</v>
      </c>
      <c r="I329" s="54" t="str">
        <f t="shared" si="58"/>
        <v>N.M.</v>
      </c>
      <c r="J329" s="226"/>
      <c r="K329" s="295">
        <v>9389.47</v>
      </c>
      <c r="L329" s="16">
        <f t="shared" si="59"/>
        <v>-9378.63</v>
      </c>
      <c r="M329" s="54">
        <f t="shared" si="60"/>
        <v>-0.9988455152420743</v>
      </c>
    </row>
    <row r="330" spans="1:13" s="15" customFormat="1" ht="12.75" hidden="1" outlineLevel="2">
      <c r="A330" s="15" t="s">
        <v>942</v>
      </c>
      <c r="B330" s="15" t="s">
        <v>943</v>
      </c>
      <c r="C330" s="164" t="s">
        <v>944</v>
      </c>
      <c r="D330" s="16"/>
      <c r="E330" s="16"/>
      <c r="F330" s="16">
        <v>0</v>
      </c>
      <c r="G330" s="16">
        <v>425528.54000000004</v>
      </c>
      <c r="H330" s="16">
        <f t="shared" si="57"/>
        <v>-425528.54000000004</v>
      </c>
      <c r="I330" s="54" t="str">
        <f t="shared" si="58"/>
        <v>N.M.</v>
      </c>
      <c r="J330" s="226"/>
      <c r="K330" s="295">
        <v>0</v>
      </c>
      <c r="L330" s="16">
        <f t="shared" si="59"/>
        <v>0</v>
      </c>
      <c r="M330" s="54">
        <f t="shared" si="60"/>
        <v>0</v>
      </c>
    </row>
    <row r="331" spans="1:13" s="15" customFormat="1" ht="12.75" hidden="1" outlineLevel="2">
      <c r="A331" s="15" t="s">
        <v>945</v>
      </c>
      <c r="B331" s="15" t="s">
        <v>946</v>
      </c>
      <c r="C331" s="164" t="s">
        <v>947</v>
      </c>
      <c r="D331" s="16"/>
      <c r="E331" s="16"/>
      <c r="F331" s="16">
        <v>-2832.7400000000002</v>
      </c>
      <c r="G331" s="16">
        <v>0</v>
      </c>
      <c r="H331" s="16">
        <f t="shared" si="57"/>
        <v>-2832.7400000000002</v>
      </c>
      <c r="I331" s="54" t="str">
        <f t="shared" si="58"/>
        <v>N.M.</v>
      </c>
      <c r="J331" s="226"/>
      <c r="K331" s="295">
        <v>0</v>
      </c>
      <c r="L331" s="16">
        <f t="shared" si="59"/>
        <v>-2832.7400000000002</v>
      </c>
      <c r="M331" s="54" t="str">
        <f t="shared" si="60"/>
        <v>N.M.</v>
      </c>
    </row>
    <row r="332" spans="1:13" s="15" customFormat="1" ht="12.75" hidden="1" outlineLevel="2">
      <c r="A332" s="15" t="s">
        <v>948</v>
      </c>
      <c r="B332" s="15" t="s">
        <v>949</v>
      </c>
      <c r="C332" s="164" t="s">
        <v>530</v>
      </c>
      <c r="D332" s="16"/>
      <c r="E332" s="16"/>
      <c r="F332" s="16">
        <v>63214.46</v>
      </c>
      <c r="G332" s="16">
        <v>891341.6</v>
      </c>
      <c r="H332" s="16">
        <f t="shared" si="57"/>
        <v>-828127.14</v>
      </c>
      <c r="I332" s="54">
        <f t="shared" si="58"/>
        <v>-0.9290794236463327</v>
      </c>
      <c r="J332" s="226"/>
      <c r="K332" s="295">
        <v>298002.44</v>
      </c>
      <c r="L332" s="16">
        <f t="shared" si="59"/>
        <v>-234787.98</v>
      </c>
      <c r="M332" s="54">
        <f t="shared" si="60"/>
        <v>-0.7878726764787564</v>
      </c>
    </row>
    <row r="333" spans="1:13" s="15" customFormat="1" ht="12.75" hidden="1" outlineLevel="2">
      <c r="A333" s="15" t="s">
        <v>950</v>
      </c>
      <c r="B333" s="15" t="s">
        <v>951</v>
      </c>
      <c r="C333" s="164" t="s">
        <v>952</v>
      </c>
      <c r="D333" s="16"/>
      <c r="E333" s="16"/>
      <c r="F333" s="16">
        <v>1197367.47</v>
      </c>
      <c r="G333" s="16">
        <v>0</v>
      </c>
      <c r="H333" s="16">
        <f t="shared" si="57"/>
        <v>1197367.47</v>
      </c>
      <c r="I333" s="54" t="str">
        <f t="shared" si="58"/>
        <v>N.M.</v>
      </c>
      <c r="J333" s="226"/>
      <c r="K333" s="295">
        <v>474031.38</v>
      </c>
      <c r="L333" s="16">
        <f t="shared" si="59"/>
        <v>723336.09</v>
      </c>
      <c r="M333" s="54">
        <f t="shared" si="60"/>
        <v>1.5259244862650232</v>
      </c>
    </row>
    <row r="334" spans="1:13" ht="12.75" collapsed="1">
      <c r="A334" s="11" t="s">
        <v>280</v>
      </c>
      <c r="C334" s="128" t="s">
        <v>210</v>
      </c>
      <c r="D334" s="105"/>
      <c r="E334" s="106"/>
      <c r="F334" s="148">
        <v>21842143.226</v>
      </c>
      <c r="G334" s="148">
        <v>26208448.430000007</v>
      </c>
      <c r="H334" s="141">
        <f>+F334-G334</f>
        <v>-4366305.204000007</v>
      </c>
      <c r="I334" s="166">
        <f>IF(G334&lt;0,IF(H334=0,0,IF(OR(G334=0,F334=0),"N.M.",IF(ABS(H334/G334)&gt;=10,"N.M.",H334/(-G334)))),IF(H334=0,0,IF(OR(G334=0,F334=0),"N.M.",IF(ABS(H334/G334)&gt;=10,"N.M.",H334/G334))))</f>
        <v>-0.1665991489599984</v>
      </c>
      <c r="J334" s="217"/>
      <c r="K334" s="191">
        <v>42594630.597</v>
      </c>
      <c r="L334" s="141">
        <f>+F334-K334</f>
        <v>-20752487.371000003</v>
      </c>
      <c r="M334" s="166">
        <f>IF(K334&lt;0,IF(L334=0,0,IF(OR(K334=0,F334=0),"N.M.",IF(ABS(L334/K334)&gt;=10,"N.M.",L334/(-K334)))),IF(L334=0,0,IF(OR(K334=0,F334=0),"N.M.",IF(ABS(L334/K334)&gt;=10,"N.M.",L334/K334))))</f>
        <v>-0.4872089998231286</v>
      </c>
    </row>
    <row r="335" spans="3:13" ht="0.75" customHeight="1" hidden="1" outlineLevel="1">
      <c r="C335" s="128"/>
      <c r="D335" s="105"/>
      <c r="E335" s="106"/>
      <c r="F335" s="148"/>
      <c r="G335" s="148"/>
      <c r="H335" s="141"/>
      <c r="I335" s="166"/>
      <c r="J335" s="217"/>
      <c r="K335" s="191"/>
      <c r="L335" s="141"/>
      <c r="M335" s="166"/>
    </row>
    <row r="336" spans="1:13" s="15" customFormat="1" ht="12.75" hidden="1" outlineLevel="2">
      <c r="A336" s="15" t="s">
        <v>953</v>
      </c>
      <c r="B336" s="15" t="s">
        <v>954</v>
      </c>
      <c r="C336" s="164" t="s">
        <v>955</v>
      </c>
      <c r="D336" s="16"/>
      <c r="E336" s="16"/>
      <c r="F336" s="16">
        <v>11815002.05</v>
      </c>
      <c r="G336" s="16">
        <v>12471747.93</v>
      </c>
      <c r="H336" s="16">
        <f aca="true" t="shared" si="61" ref="H336:H347">+F336-G336</f>
        <v>-656745.879999999</v>
      </c>
      <c r="I336" s="54">
        <f aca="true" t="shared" si="62" ref="I336:I347">IF(G336&lt;0,IF(H336=0,0,IF(OR(G336=0,F336=0),"N.M.",IF(ABS(H336/G336)&gt;=10,"N.M.",H336/(-G336)))),IF(H336=0,0,IF(OR(G336=0,F336=0),"N.M.",IF(ABS(H336/G336)&gt;=10,"N.M.",H336/G336))))</f>
        <v>-0.052658687754604014</v>
      </c>
      <c r="J336" s="226"/>
      <c r="K336" s="295">
        <v>12478213.72</v>
      </c>
      <c r="L336" s="16">
        <f aca="true" t="shared" si="63" ref="L336:L347">+F336-K336</f>
        <v>-663211.6699999999</v>
      </c>
      <c r="M336" s="54">
        <f aca="true" t="shared" si="64" ref="M336:M347">IF(K336&lt;0,IF(L336=0,0,IF(OR(K336=0,F336=0),"N.M.",IF(ABS(L336/K336)&gt;=10,"N.M.",L336/(-K336)))),IF(L336=0,0,IF(OR(K336=0,F336=0),"N.M.",IF(ABS(L336/K336)&gt;=10,"N.M.",L336/K336))))</f>
        <v>-0.05314956810981756</v>
      </c>
    </row>
    <row r="337" spans="1:13" s="15" customFormat="1" ht="12.75" hidden="1" outlineLevel="2">
      <c r="A337" s="15" t="s">
        <v>956</v>
      </c>
      <c r="B337" s="15" t="s">
        <v>957</v>
      </c>
      <c r="C337" s="164" t="s">
        <v>958</v>
      </c>
      <c r="D337" s="16"/>
      <c r="E337" s="16"/>
      <c r="F337" s="16">
        <v>0</v>
      </c>
      <c r="G337" s="16">
        <v>0</v>
      </c>
      <c r="H337" s="16">
        <f t="shared" si="61"/>
        <v>0</v>
      </c>
      <c r="I337" s="54">
        <f t="shared" si="62"/>
        <v>0</v>
      </c>
      <c r="J337" s="226"/>
      <c r="K337" s="295">
        <v>6338684.45</v>
      </c>
      <c r="L337" s="16">
        <f t="shared" si="63"/>
        <v>-6338684.45</v>
      </c>
      <c r="M337" s="54" t="str">
        <f t="shared" si="64"/>
        <v>N.M.</v>
      </c>
    </row>
    <row r="338" spans="1:13" s="15" customFormat="1" ht="12.75" hidden="1" outlineLevel="2">
      <c r="A338" s="15" t="s">
        <v>959</v>
      </c>
      <c r="B338" s="15" t="s">
        <v>960</v>
      </c>
      <c r="C338" s="164" t="s">
        <v>961</v>
      </c>
      <c r="D338" s="16"/>
      <c r="E338" s="16"/>
      <c r="F338" s="16">
        <v>3541572</v>
      </c>
      <c r="G338" s="16">
        <v>7294803</v>
      </c>
      <c r="H338" s="16">
        <f t="shared" si="61"/>
        <v>-3753231</v>
      </c>
      <c r="I338" s="54">
        <f t="shared" si="62"/>
        <v>-0.5145075199426221</v>
      </c>
      <c r="J338" s="226"/>
      <c r="K338" s="295">
        <v>4464362</v>
      </c>
      <c r="L338" s="16">
        <f t="shared" si="63"/>
        <v>-922790</v>
      </c>
      <c r="M338" s="54">
        <f t="shared" si="64"/>
        <v>-0.2067014278860003</v>
      </c>
    </row>
    <row r="339" spans="1:13" s="15" customFormat="1" ht="12.75" hidden="1" outlineLevel="2">
      <c r="A339" s="15" t="s">
        <v>962</v>
      </c>
      <c r="B339" s="15" t="s">
        <v>963</v>
      </c>
      <c r="C339" s="164" t="s">
        <v>964</v>
      </c>
      <c r="D339" s="16"/>
      <c r="E339" s="16"/>
      <c r="F339" s="16">
        <v>39559.23</v>
      </c>
      <c r="G339" s="16">
        <v>49573.41</v>
      </c>
      <c r="H339" s="16">
        <f t="shared" si="61"/>
        <v>-10014.18</v>
      </c>
      <c r="I339" s="54">
        <f t="shared" si="62"/>
        <v>-0.20200708403960912</v>
      </c>
      <c r="J339" s="226"/>
      <c r="K339" s="295">
        <v>39405.61</v>
      </c>
      <c r="L339" s="16">
        <f t="shared" si="63"/>
        <v>153.62000000000262</v>
      </c>
      <c r="M339" s="54">
        <f t="shared" si="64"/>
        <v>0.0038984296905948826</v>
      </c>
    </row>
    <row r="340" spans="1:13" s="15" customFormat="1" ht="12.75" hidden="1" outlineLevel="2">
      <c r="A340" s="15" t="s">
        <v>965</v>
      </c>
      <c r="B340" s="15" t="s">
        <v>966</v>
      </c>
      <c r="C340" s="164" t="s">
        <v>967</v>
      </c>
      <c r="D340" s="16"/>
      <c r="E340" s="16"/>
      <c r="F340" s="16">
        <v>132421.86000000002</v>
      </c>
      <c r="G340" s="16">
        <v>159088.72</v>
      </c>
      <c r="H340" s="16">
        <f t="shared" si="61"/>
        <v>-26666.859999999986</v>
      </c>
      <c r="I340" s="54">
        <f t="shared" si="62"/>
        <v>-0.16762256934369693</v>
      </c>
      <c r="J340" s="226"/>
      <c r="K340" s="295">
        <v>586843.51</v>
      </c>
      <c r="L340" s="16">
        <f t="shared" si="63"/>
        <v>-454421.65</v>
      </c>
      <c r="M340" s="54">
        <f t="shared" si="64"/>
        <v>-0.7743489401459003</v>
      </c>
    </row>
    <row r="341" spans="1:13" s="15" customFormat="1" ht="12.75" hidden="1" outlineLevel="2">
      <c r="A341" s="15" t="s">
        <v>968</v>
      </c>
      <c r="B341" s="15" t="s">
        <v>969</v>
      </c>
      <c r="C341" s="164" t="s">
        <v>970</v>
      </c>
      <c r="D341" s="16"/>
      <c r="E341" s="16"/>
      <c r="F341" s="16">
        <v>2572183.09</v>
      </c>
      <c r="G341" s="16">
        <v>2578207.52</v>
      </c>
      <c r="H341" s="16">
        <f t="shared" si="61"/>
        <v>-6024.430000000168</v>
      </c>
      <c r="I341" s="54">
        <f t="shared" si="62"/>
        <v>-0.002336673814371687</v>
      </c>
      <c r="J341" s="226"/>
      <c r="K341" s="295">
        <v>3389351.642</v>
      </c>
      <c r="L341" s="16">
        <f t="shared" si="63"/>
        <v>-817168.5520000001</v>
      </c>
      <c r="M341" s="54">
        <f t="shared" si="64"/>
        <v>-0.2410987818064822</v>
      </c>
    </row>
    <row r="342" spans="1:13" s="15" customFormat="1" ht="12.75" hidden="1" outlineLevel="2">
      <c r="A342" s="15" t="s">
        <v>971</v>
      </c>
      <c r="B342" s="15" t="s">
        <v>972</v>
      </c>
      <c r="C342" s="164" t="s">
        <v>973</v>
      </c>
      <c r="D342" s="16"/>
      <c r="E342" s="16"/>
      <c r="F342" s="16">
        <v>3137.55</v>
      </c>
      <c r="G342" s="16">
        <v>4582.27</v>
      </c>
      <c r="H342" s="16">
        <f t="shared" si="61"/>
        <v>-1444.7200000000003</v>
      </c>
      <c r="I342" s="54">
        <f t="shared" si="62"/>
        <v>-0.3152847824331609</v>
      </c>
      <c r="J342" s="226"/>
      <c r="K342" s="295">
        <v>29898.81</v>
      </c>
      <c r="L342" s="16">
        <f t="shared" si="63"/>
        <v>-26761.260000000002</v>
      </c>
      <c r="M342" s="54">
        <f t="shared" si="64"/>
        <v>-0.8950610408909251</v>
      </c>
    </row>
    <row r="343" spans="1:13" s="15" customFormat="1" ht="12.75" hidden="1" outlineLevel="2">
      <c r="A343" s="15" t="s">
        <v>974</v>
      </c>
      <c r="B343" s="15" t="s">
        <v>975</v>
      </c>
      <c r="C343" s="164" t="s">
        <v>976</v>
      </c>
      <c r="D343" s="16"/>
      <c r="E343" s="16"/>
      <c r="F343" s="16">
        <v>50</v>
      </c>
      <c r="G343" s="16">
        <v>105.18</v>
      </c>
      <c r="H343" s="16">
        <f t="shared" si="61"/>
        <v>-55.18000000000001</v>
      </c>
      <c r="I343" s="54">
        <f t="shared" si="62"/>
        <v>-0.5246244533181214</v>
      </c>
      <c r="J343" s="226"/>
      <c r="K343" s="295">
        <v>383.29</v>
      </c>
      <c r="L343" s="16">
        <f t="shared" si="63"/>
        <v>-333.29</v>
      </c>
      <c r="M343" s="54">
        <f t="shared" si="64"/>
        <v>-0.8695504709228</v>
      </c>
    </row>
    <row r="344" spans="1:13" s="15" customFormat="1" ht="12.75" hidden="1" outlineLevel="2">
      <c r="A344" s="15" t="s">
        <v>977</v>
      </c>
      <c r="B344" s="15" t="s">
        <v>978</v>
      </c>
      <c r="C344" s="164" t="s">
        <v>979</v>
      </c>
      <c r="D344" s="16"/>
      <c r="E344" s="16"/>
      <c r="F344" s="16">
        <v>15988.32</v>
      </c>
      <c r="G344" s="16">
        <v>14795.460000000001</v>
      </c>
      <c r="H344" s="16">
        <f t="shared" si="61"/>
        <v>1192.8599999999988</v>
      </c>
      <c r="I344" s="54">
        <f t="shared" si="62"/>
        <v>0.08062338041534353</v>
      </c>
      <c r="J344" s="226"/>
      <c r="K344" s="295">
        <v>742.42</v>
      </c>
      <c r="L344" s="16">
        <f t="shared" si="63"/>
        <v>15245.9</v>
      </c>
      <c r="M344" s="54" t="str">
        <f t="shared" si="64"/>
        <v>N.M.</v>
      </c>
    </row>
    <row r="345" spans="1:13" s="15" customFormat="1" ht="12.75" hidden="1" outlineLevel="2">
      <c r="A345" s="15" t="s">
        <v>980</v>
      </c>
      <c r="B345" s="15" t="s">
        <v>981</v>
      </c>
      <c r="C345" s="164" t="s">
        <v>982</v>
      </c>
      <c r="D345" s="16"/>
      <c r="E345" s="16"/>
      <c r="F345" s="16">
        <v>1958.29</v>
      </c>
      <c r="G345" s="16">
        <v>41351.36</v>
      </c>
      <c r="H345" s="16">
        <f t="shared" si="61"/>
        <v>-39393.07</v>
      </c>
      <c r="I345" s="54">
        <f t="shared" si="62"/>
        <v>-0.95264267003552</v>
      </c>
      <c r="J345" s="226"/>
      <c r="K345" s="295">
        <v>12713.64</v>
      </c>
      <c r="L345" s="16">
        <f t="shared" si="63"/>
        <v>-10755.349999999999</v>
      </c>
      <c r="M345" s="54">
        <f t="shared" si="64"/>
        <v>-0.8459693683319647</v>
      </c>
    </row>
    <row r="346" spans="1:13" s="15" customFormat="1" ht="12.75" hidden="1" outlineLevel="2">
      <c r="A346" s="15" t="s">
        <v>983</v>
      </c>
      <c r="B346" s="15" t="s">
        <v>984</v>
      </c>
      <c r="C346" s="164" t="s">
        <v>985</v>
      </c>
      <c r="D346" s="16"/>
      <c r="E346" s="16"/>
      <c r="F346" s="16">
        <v>175000</v>
      </c>
      <c r="G346" s="16">
        <v>175000</v>
      </c>
      <c r="H346" s="16">
        <f t="shared" si="61"/>
        <v>0</v>
      </c>
      <c r="I346" s="54">
        <f t="shared" si="62"/>
        <v>0</v>
      </c>
      <c r="J346" s="226"/>
      <c r="K346" s="295">
        <v>87500</v>
      </c>
      <c r="L346" s="16">
        <f t="shared" si="63"/>
        <v>87500</v>
      </c>
      <c r="M346" s="54">
        <f t="shared" si="64"/>
        <v>1</v>
      </c>
    </row>
    <row r="347" spans="1:13" s="15" customFormat="1" ht="12.75" hidden="1" outlineLevel="2">
      <c r="A347" s="15" t="s">
        <v>986</v>
      </c>
      <c r="B347" s="15" t="s">
        <v>987</v>
      </c>
      <c r="C347" s="164" t="s">
        <v>988</v>
      </c>
      <c r="D347" s="16"/>
      <c r="E347" s="16"/>
      <c r="F347" s="16">
        <v>45</v>
      </c>
      <c r="G347" s="16">
        <v>0</v>
      </c>
      <c r="H347" s="16">
        <f t="shared" si="61"/>
        <v>45</v>
      </c>
      <c r="I347" s="54" t="str">
        <f t="shared" si="62"/>
        <v>N.M.</v>
      </c>
      <c r="J347" s="226"/>
      <c r="K347" s="295">
        <v>0</v>
      </c>
      <c r="L347" s="16">
        <f t="shared" si="63"/>
        <v>45</v>
      </c>
      <c r="M347" s="54" t="str">
        <f t="shared" si="64"/>
        <v>N.M.</v>
      </c>
    </row>
    <row r="348" spans="1:13" ht="12.75" collapsed="1">
      <c r="A348" s="11" t="s">
        <v>281</v>
      </c>
      <c r="C348" s="128" t="s">
        <v>211</v>
      </c>
      <c r="D348" s="105"/>
      <c r="E348" s="106"/>
      <c r="F348" s="148">
        <v>18296917.39</v>
      </c>
      <c r="G348" s="148">
        <v>22789254.849999998</v>
      </c>
      <c r="H348" s="141">
        <f>+F348-G348</f>
        <v>-4492337.459999997</v>
      </c>
      <c r="I348" s="166">
        <f>IF(G348&lt;0,IF(H348=0,0,IF(OR(G348=0,F348=0),"N.M.",IF(ABS(H348/G348)&gt;=10,"N.M.",H348/(-G348)))),IF(H348=0,0,IF(OR(G348=0,F348=0),"N.M.",IF(ABS(H348/G348)&gt;=10,"N.M.",H348/G348))))</f>
        <v>-0.19712524562864317</v>
      </c>
      <c r="J348" s="217"/>
      <c r="K348" s="191">
        <v>27428099.092000004</v>
      </c>
      <c r="L348" s="141">
        <f>+F348-K348</f>
        <v>-9131181.702000003</v>
      </c>
      <c r="M348" s="166">
        <f>IF(K348&lt;0,IF(L348=0,0,IF(OR(K348=0,F348=0),"N.M.",IF(ABS(L348/K348)&gt;=10,"N.M.",L348/(-K348)))),IF(L348=0,0,IF(OR(K348=0,F348=0),"N.M.",IF(ABS(L348/K348)&gt;=10,"N.M.",L348/K348))))</f>
        <v>-0.3329133991886193</v>
      </c>
    </row>
    <row r="349" spans="3:13" ht="0.75" customHeight="1" hidden="1" outlineLevel="1">
      <c r="C349" s="128"/>
      <c r="D349" s="105"/>
      <c r="E349" s="106"/>
      <c r="F349" s="148"/>
      <c r="G349" s="148"/>
      <c r="H349" s="141"/>
      <c r="I349" s="166"/>
      <c r="J349" s="217"/>
      <c r="K349" s="191"/>
      <c r="L349" s="141"/>
      <c r="M349" s="166"/>
    </row>
    <row r="350" spans="1:13" s="15" customFormat="1" ht="12.75" hidden="1" outlineLevel="2">
      <c r="A350" s="15" t="s">
        <v>989</v>
      </c>
      <c r="B350" s="15" t="s">
        <v>990</v>
      </c>
      <c r="C350" s="164" t="s">
        <v>991</v>
      </c>
      <c r="D350" s="16"/>
      <c r="E350" s="16"/>
      <c r="F350" s="16">
        <v>18708759.05</v>
      </c>
      <c r="G350" s="16">
        <v>16936442.23</v>
      </c>
      <c r="H350" s="16">
        <f>+F350-G350</f>
        <v>1772316.8200000003</v>
      </c>
      <c r="I350" s="54">
        <f>IF(G350&lt;0,IF(H350=0,0,IF(OR(G350=0,F350=0),"N.M.",IF(ABS(H350/G350)&gt;=10,"N.M.",H350/(-G350)))),IF(H350=0,0,IF(OR(G350=0,F350=0),"N.M.",IF(ABS(H350/G350)&gt;=10,"N.M.",H350/G350))))</f>
        <v>0.10464516667264659</v>
      </c>
      <c r="J350" s="226"/>
      <c r="K350" s="295">
        <v>18049036.2</v>
      </c>
      <c r="L350" s="16">
        <f>+F350-K350</f>
        <v>659722.8500000015</v>
      </c>
      <c r="M350" s="54">
        <f>IF(K350&lt;0,IF(L350=0,0,IF(OR(K350=0,F350=0),"N.M.",IF(ABS(L350/K350)&gt;=10,"N.M.",L350/(-K350)))),IF(L350=0,0,IF(OR(K350=0,F350=0),"N.M.",IF(ABS(L350/K350)&gt;=10,"N.M.",L350/K350))))</f>
        <v>0.03655169410098482</v>
      </c>
    </row>
    <row r="351" spans="1:13" s="15" customFormat="1" ht="12.75" hidden="1" outlineLevel="2">
      <c r="A351" s="15" t="s">
        <v>992</v>
      </c>
      <c r="B351" s="15" t="s">
        <v>993</v>
      </c>
      <c r="C351" s="164" t="s">
        <v>994</v>
      </c>
      <c r="D351" s="16"/>
      <c r="E351" s="16"/>
      <c r="F351" s="16">
        <v>1681399.28</v>
      </c>
      <c r="G351" s="16">
        <v>4857402.376</v>
      </c>
      <c r="H351" s="16">
        <f>+F351-G351</f>
        <v>-3176003.096</v>
      </c>
      <c r="I351" s="54">
        <f>IF(G351&lt;0,IF(H351=0,0,IF(OR(G351=0,F351=0),"N.M.",IF(ABS(H351/G351)&gt;=10,"N.M.",H351/(-G351)))),IF(H351=0,0,IF(OR(G351=0,F351=0),"N.M.",IF(ABS(H351/G351)&gt;=10,"N.M.",H351/G351))))</f>
        <v>-0.6538480550205915</v>
      </c>
      <c r="J351" s="226"/>
      <c r="K351" s="295">
        <v>972831.178</v>
      </c>
      <c r="L351" s="16">
        <f>+F351-K351</f>
        <v>708568.1020000001</v>
      </c>
      <c r="M351" s="54">
        <f>IF(K351&lt;0,IF(L351=0,0,IF(OR(K351=0,F351=0),"N.M.",IF(ABS(L351/K351)&gt;=10,"N.M.",L351/(-K351)))),IF(L351=0,0,IF(OR(K351=0,F351=0),"N.M.",IF(ABS(L351/K351)&gt;=10,"N.M.",L351/K351))))</f>
        <v>0.7283566954101055</v>
      </c>
    </row>
    <row r="352" spans="1:13" s="15" customFormat="1" ht="12.75" hidden="1" outlineLevel="2">
      <c r="A352" s="15" t="s">
        <v>995</v>
      </c>
      <c r="B352" s="15" t="s">
        <v>996</v>
      </c>
      <c r="C352" s="164" t="s">
        <v>997</v>
      </c>
      <c r="D352" s="16"/>
      <c r="E352" s="16"/>
      <c r="F352" s="16">
        <v>-1228452</v>
      </c>
      <c r="G352" s="16">
        <v>-3910545</v>
      </c>
      <c r="H352" s="16">
        <f>+F352-G352</f>
        <v>2682093</v>
      </c>
      <c r="I352" s="54">
        <f>IF(G352&lt;0,IF(H352=0,0,IF(OR(G352=0,F352=0),"N.M.",IF(ABS(H352/G352)&gt;=10,"N.M.",H352/(-G352)))),IF(H352=0,0,IF(OR(G352=0,F352=0),"N.M.",IF(ABS(H352/G352)&gt;=10,"N.M.",H352/G352))))</f>
        <v>0.68586168935532</v>
      </c>
      <c r="J352" s="226"/>
      <c r="K352" s="295">
        <v>-763538</v>
      </c>
      <c r="L352" s="16">
        <f>+F352-K352</f>
        <v>-464914</v>
      </c>
      <c r="M352" s="54">
        <f>IF(K352&lt;0,IF(L352=0,0,IF(OR(K352=0,F352=0),"N.M.",IF(ABS(L352/K352)&gt;=10,"N.M.",L352/(-K352)))),IF(L352=0,0,IF(OR(K352=0,F352=0),"N.M.",IF(ABS(L352/K352)&gt;=10,"N.M.",L352/K352))))</f>
        <v>-0.6088943837765769</v>
      </c>
    </row>
    <row r="353" spans="1:13" ht="12.75" collapsed="1">
      <c r="A353" s="11" t="s">
        <v>282</v>
      </c>
      <c r="C353" s="128" t="s">
        <v>212</v>
      </c>
      <c r="D353" s="105"/>
      <c r="E353" s="106"/>
      <c r="F353" s="148">
        <v>19161706.330000002</v>
      </c>
      <c r="G353" s="148">
        <v>17883299.606</v>
      </c>
      <c r="H353" s="141">
        <f>+F353-G353</f>
        <v>1278406.7240000032</v>
      </c>
      <c r="I353" s="166">
        <f>IF(G353&lt;0,IF(H353=0,0,IF(OR(G353=0,F353=0),"N.M.",IF(ABS(H353/G353)&gt;=10,"N.M.",H353/(-G353)))),IF(H353=0,0,IF(OR(G353=0,F353=0),"N.M.",IF(ABS(H353/G353)&gt;=10,"N.M.",H353/G353))))</f>
        <v>0.07148606533276929</v>
      </c>
      <c r="J353" s="217"/>
      <c r="K353" s="191">
        <v>18258329.378</v>
      </c>
      <c r="L353" s="141">
        <f>+F353-K353</f>
        <v>903376.9520000033</v>
      </c>
      <c r="M353" s="166">
        <f>IF(K353&lt;0,IF(L353=0,0,IF(OR(K353=0,F353=0),"N.M.",IF(ABS(L353/K353)&gt;=10,"N.M.",L353/(-K353)))),IF(L353=0,0,IF(OR(K353=0,F353=0),"N.M.",IF(ABS(L353/K353)&gt;=10,"N.M.",L353/K353))))</f>
        <v>0.049477525204935174</v>
      </c>
    </row>
    <row r="354" spans="3:13" ht="0.75" customHeight="1" hidden="1" outlineLevel="1">
      <c r="C354" s="128"/>
      <c r="D354" s="105"/>
      <c r="E354" s="106"/>
      <c r="F354" s="148"/>
      <c r="G354" s="148"/>
      <c r="H354" s="141"/>
      <c r="I354" s="166"/>
      <c r="J354" s="217"/>
      <c r="K354" s="191"/>
      <c r="L354" s="141"/>
      <c r="M354" s="166"/>
    </row>
    <row r="355" spans="1:13" s="15" customFormat="1" ht="12.75" hidden="1" outlineLevel="2">
      <c r="A355" s="15" t="s">
        <v>998</v>
      </c>
      <c r="B355" s="15" t="s">
        <v>999</v>
      </c>
      <c r="C355" s="164" t="s">
        <v>1000</v>
      </c>
      <c r="D355" s="16"/>
      <c r="E355" s="16"/>
      <c r="F355" s="16">
        <v>-25271410.09</v>
      </c>
      <c r="G355" s="16">
        <v>-1992556.4</v>
      </c>
      <c r="H355" s="16">
        <f aca="true" t="shared" si="65" ref="H355:H383">+F355-G355</f>
        <v>-23278853.69</v>
      </c>
      <c r="I355" s="54" t="str">
        <f aca="true" t="shared" si="66" ref="I355:I383">IF(G355&lt;0,IF(H355=0,0,IF(OR(G355=0,F355=0),"N.M.",IF(ABS(H355/G355)&gt;=10,"N.M.",H355/(-G355)))),IF(H355=0,0,IF(OR(G355=0,F355=0),"N.M.",IF(ABS(H355/G355)&gt;=10,"N.M.",H355/G355))))</f>
        <v>N.M.</v>
      </c>
      <c r="J355" s="226"/>
      <c r="K355" s="295">
        <v>-24771724.67</v>
      </c>
      <c r="L355" s="16">
        <f aca="true" t="shared" si="67" ref="L355:L383">+F355-K355</f>
        <v>-499685.41999999806</v>
      </c>
      <c r="M355" s="54">
        <f aca="true" t="shared" si="68" ref="M355:M383">IF(K355&lt;0,IF(L355=0,0,IF(OR(K355=0,F355=0),"N.M.",IF(ABS(L355/K355)&gt;=10,"N.M.",L355/(-K355)))),IF(L355=0,0,IF(OR(K355=0,F355=0),"N.M.",IF(ABS(L355/K355)&gt;=10,"N.M.",L355/K355))))</f>
        <v>-0.020171603982226807</v>
      </c>
    </row>
    <row r="356" spans="1:13" s="15" customFormat="1" ht="12.75" hidden="1" outlineLevel="2">
      <c r="A356" s="15" t="s">
        <v>1001</v>
      </c>
      <c r="B356" s="15" t="s">
        <v>1002</v>
      </c>
      <c r="C356" s="164" t="s">
        <v>1003</v>
      </c>
      <c r="D356" s="16"/>
      <c r="E356" s="16"/>
      <c r="F356" s="16">
        <v>0</v>
      </c>
      <c r="G356" s="16">
        <v>-207108.06</v>
      </c>
      <c r="H356" s="16">
        <f t="shared" si="65"/>
        <v>207108.06</v>
      </c>
      <c r="I356" s="54" t="str">
        <f t="shared" si="66"/>
        <v>N.M.</v>
      </c>
      <c r="J356" s="226"/>
      <c r="K356" s="295">
        <v>0</v>
      </c>
      <c r="L356" s="16">
        <f t="shared" si="67"/>
        <v>0</v>
      </c>
      <c r="M356" s="54">
        <f t="shared" si="68"/>
        <v>0</v>
      </c>
    </row>
    <row r="357" spans="1:13" s="15" customFormat="1" ht="12.75" hidden="1" outlineLevel="2">
      <c r="A357" s="15" t="s">
        <v>1004</v>
      </c>
      <c r="B357" s="15" t="s">
        <v>1005</v>
      </c>
      <c r="C357" s="164" t="s">
        <v>1003</v>
      </c>
      <c r="D357" s="16"/>
      <c r="E357" s="16"/>
      <c r="F357" s="16">
        <v>-4725396.5600000005</v>
      </c>
      <c r="G357" s="16">
        <v>-47255.54</v>
      </c>
      <c r="H357" s="16">
        <f t="shared" si="65"/>
        <v>-4678141.0200000005</v>
      </c>
      <c r="I357" s="54" t="str">
        <f t="shared" si="66"/>
        <v>N.M.</v>
      </c>
      <c r="J357" s="226"/>
      <c r="K357" s="295">
        <v>-4725396.5600000005</v>
      </c>
      <c r="L357" s="16">
        <f t="shared" si="67"/>
        <v>0</v>
      </c>
      <c r="M357" s="54">
        <f t="shared" si="68"/>
        <v>0</v>
      </c>
    </row>
    <row r="358" spans="1:13" s="15" customFormat="1" ht="12.75" hidden="1" outlineLevel="2">
      <c r="A358" s="15" t="s">
        <v>1006</v>
      </c>
      <c r="B358" s="15" t="s">
        <v>1007</v>
      </c>
      <c r="C358" s="164" t="s">
        <v>1003</v>
      </c>
      <c r="D358" s="16"/>
      <c r="E358" s="16"/>
      <c r="F358" s="16">
        <v>407337.38</v>
      </c>
      <c r="G358" s="16">
        <v>0</v>
      </c>
      <c r="H358" s="16">
        <f t="shared" si="65"/>
        <v>407337.38</v>
      </c>
      <c r="I358" s="54" t="str">
        <f t="shared" si="66"/>
        <v>N.M.</v>
      </c>
      <c r="J358" s="226"/>
      <c r="K358" s="295">
        <v>0</v>
      </c>
      <c r="L358" s="16">
        <f t="shared" si="67"/>
        <v>407337.38</v>
      </c>
      <c r="M358" s="54" t="str">
        <f t="shared" si="68"/>
        <v>N.M.</v>
      </c>
    </row>
    <row r="359" spans="1:13" s="15" customFormat="1" ht="12.75" hidden="1" outlineLevel="2">
      <c r="A359" s="15" t="s">
        <v>1008</v>
      </c>
      <c r="B359" s="15" t="s">
        <v>1009</v>
      </c>
      <c r="C359" s="164" t="s">
        <v>1010</v>
      </c>
      <c r="D359" s="16"/>
      <c r="E359" s="16"/>
      <c r="F359" s="16">
        <v>149596.84</v>
      </c>
      <c r="G359" s="16">
        <v>149663.59</v>
      </c>
      <c r="H359" s="16">
        <f t="shared" si="65"/>
        <v>-66.75</v>
      </c>
      <c r="I359" s="54">
        <f t="shared" si="66"/>
        <v>-0.00044600025964899013</v>
      </c>
      <c r="J359" s="226"/>
      <c r="K359" s="295">
        <v>170270.83000000002</v>
      </c>
      <c r="L359" s="16">
        <f t="shared" si="67"/>
        <v>-20673.99000000002</v>
      </c>
      <c r="M359" s="54">
        <f t="shared" si="68"/>
        <v>-0.1214182722900923</v>
      </c>
    </row>
    <row r="360" spans="1:13" s="15" customFormat="1" ht="12.75" hidden="1" outlineLevel="2">
      <c r="A360" s="15" t="s">
        <v>1011</v>
      </c>
      <c r="B360" s="15" t="s">
        <v>1012</v>
      </c>
      <c r="C360" s="164" t="s">
        <v>1013</v>
      </c>
      <c r="D360" s="16"/>
      <c r="E360" s="16"/>
      <c r="F360" s="16">
        <v>968.94</v>
      </c>
      <c r="G360" s="16">
        <v>37.02</v>
      </c>
      <c r="H360" s="16">
        <f t="shared" si="65"/>
        <v>931.9200000000001</v>
      </c>
      <c r="I360" s="54" t="str">
        <f t="shared" si="66"/>
        <v>N.M.</v>
      </c>
      <c r="J360" s="226"/>
      <c r="K360" s="295">
        <v>5059.02</v>
      </c>
      <c r="L360" s="16">
        <f t="shared" si="67"/>
        <v>-4090.0800000000004</v>
      </c>
      <c r="M360" s="54">
        <f t="shared" si="68"/>
        <v>-0.8084727872196591</v>
      </c>
    </row>
    <row r="361" spans="1:13" s="15" customFormat="1" ht="12.75" hidden="1" outlineLevel="2">
      <c r="A361" s="15" t="s">
        <v>1014</v>
      </c>
      <c r="B361" s="15" t="s">
        <v>1015</v>
      </c>
      <c r="C361" s="164" t="s">
        <v>1016</v>
      </c>
      <c r="D361" s="16"/>
      <c r="E361" s="16"/>
      <c r="F361" s="16">
        <v>826.58</v>
      </c>
      <c r="G361" s="16">
        <v>45.5</v>
      </c>
      <c r="H361" s="16">
        <f t="shared" si="65"/>
        <v>781.08</v>
      </c>
      <c r="I361" s="54" t="str">
        <f t="shared" si="66"/>
        <v>N.M.</v>
      </c>
      <c r="J361" s="226"/>
      <c r="K361" s="295">
        <v>4809.54</v>
      </c>
      <c r="L361" s="16">
        <f t="shared" si="67"/>
        <v>-3982.96</v>
      </c>
      <c r="M361" s="54">
        <f t="shared" si="68"/>
        <v>-0.8281374102305002</v>
      </c>
    </row>
    <row r="362" spans="1:13" s="15" customFormat="1" ht="12.75" hidden="1" outlineLevel="2">
      <c r="A362" s="15" t="s">
        <v>1017</v>
      </c>
      <c r="B362" s="15" t="s">
        <v>1018</v>
      </c>
      <c r="C362" s="164" t="s">
        <v>1019</v>
      </c>
      <c r="D362" s="16"/>
      <c r="E362" s="16"/>
      <c r="F362" s="16">
        <v>0</v>
      </c>
      <c r="G362" s="16">
        <v>227000</v>
      </c>
      <c r="H362" s="16">
        <f t="shared" si="65"/>
        <v>-227000</v>
      </c>
      <c r="I362" s="54" t="str">
        <f t="shared" si="66"/>
        <v>N.M.</v>
      </c>
      <c r="J362" s="226"/>
      <c r="K362" s="295">
        <v>0</v>
      </c>
      <c r="L362" s="16">
        <f t="shared" si="67"/>
        <v>0</v>
      </c>
      <c r="M362" s="54">
        <f t="shared" si="68"/>
        <v>0</v>
      </c>
    </row>
    <row r="363" spans="1:13" s="15" customFormat="1" ht="12.75" hidden="1" outlineLevel="2">
      <c r="A363" s="15" t="s">
        <v>1020</v>
      </c>
      <c r="B363" s="15" t="s">
        <v>1021</v>
      </c>
      <c r="C363" s="164" t="s">
        <v>1019</v>
      </c>
      <c r="D363" s="16"/>
      <c r="E363" s="16"/>
      <c r="F363" s="16">
        <v>0</v>
      </c>
      <c r="G363" s="16">
        <v>21569.86</v>
      </c>
      <c r="H363" s="16">
        <f t="shared" si="65"/>
        <v>-21569.86</v>
      </c>
      <c r="I363" s="54" t="str">
        <f t="shared" si="66"/>
        <v>N.M.</v>
      </c>
      <c r="J363" s="226"/>
      <c r="K363" s="295">
        <v>65729.17</v>
      </c>
      <c r="L363" s="16">
        <f t="shared" si="67"/>
        <v>-65729.17</v>
      </c>
      <c r="M363" s="54" t="str">
        <f t="shared" si="68"/>
        <v>N.M.</v>
      </c>
    </row>
    <row r="364" spans="1:13" s="15" customFormat="1" ht="12.75" hidden="1" outlineLevel="2">
      <c r="A364" s="15" t="s">
        <v>1022</v>
      </c>
      <c r="B364" s="15" t="s">
        <v>1023</v>
      </c>
      <c r="C364" s="164" t="s">
        <v>1019</v>
      </c>
      <c r="D364" s="16"/>
      <c r="E364" s="16"/>
      <c r="F364" s="16">
        <v>23832.62</v>
      </c>
      <c r="G364" s="16">
        <v>0</v>
      </c>
      <c r="H364" s="16">
        <f t="shared" si="65"/>
        <v>23832.62</v>
      </c>
      <c r="I364" s="54" t="str">
        <f t="shared" si="66"/>
        <v>N.M.</v>
      </c>
      <c r="J364" s="226"/>
      <c r="K364" s="295">
        <v>0</v>
      </c>
      <c r="L364" s="16">
        <f t="shared" si="67"/>
        <v>23832.62</v>
      </c>
      <c r="M364" s="54" t="str">
        <f t="shared" si="68"/>
        <v>N.M.</v>
      </c>
    </row>
    <row r="365" spans="1:13" s="15" customFormat="1" ht="12.75" hidden="1" outlineLevel="2">
      <c r="A365" s="15" t="s">
        <v>1024</v>
      </c>
      <c r="B365" s="15" t="s">
        <v>1025</v>
      </c>
      <c r="C365" s="164" t="s">
        <v>1026</v>
      </c>
      <c r="D365" s="16"/>
      <c r="E365" s="16"/>
      <c r="F365" s="16">
        <v>1680385.9</v>
      </c>
      <c r="G365" s="16">
        <v>9055354.92</v>
      </c>
      <c r="H365" s="16">
        <f t="shared" si="65"/>
        <v>-7374969.02</v>
      </c>
      <c r="I365" s="54">
        <f t="shared" si="66"/>
        <v>-0.8144318014207663</v>
      </c>
      <c r="J365" s="226"/>
      <c r="K365" s="295">
        <v>2477010.54</v>
      </c>
      <c r="L365" s="16">
        <f t="shared" si="67"/>
        <v>-796624.6400000001</v>
      </c>
      <c r="M365" s="54">
        <f t="shared" si="68"/>
        <v>-0.32160728714541525</v>
      </c>
    </row>
    <row r="366" spans="1:13" s="15" customFormat="1" ht="12.75" hidden="1" outlineLevel="2">
      <c r="A366" s="15" t="s">
        <v>1027</v>
      </c>
      <c r="B366" s="15" t="s">
        <v>1028</v>
      </c>
      <c r="C366" s="164" t="s">
        <v>1026</v>
      </c>
      <c r="D366" s="16"/>
      <c r="E366" s="16"/>
      <c r="F366" s="16">
        <v>9323500</v>
      </c>
      <c r="G366" s="16">
        <v>0</v>
      </c>
      <c r="H366" s="16">
        <f t="shared" si="65"/>
        <v>9323500</v>
      </c>
      <c r="I366" s="54" t="str">
        <f t="shared" si="66"/>
        <v>N.M.</v>
      </c>
      <c r="J366" s="226"/>
      <c r="K366" s="295">
        <v>9323500</v>
      </c>
      <c r="L366" s="16">
        <f t="shared" si="67"/>
        <v>0</v>
      </c>
      <c r="M366" s="54">
        <f t="shared" si="68"/>
        <v>0</v>
      </c>
    </row>
    <row r="367" spans="1:13" s="15" customFormat="1" ht="12.75" hidden="1" outlineLevel="2">
      <c r="A367" s="15" t="s">
        <v>1029</v>
      </c>
      <c r="B367" s="15" t="s">
        <v>1030</v>
      </c>
      <c r="C367" s="164" t="s">
        <v>1031</v>
      </c>
      <c r="D367" s="16"/>
      <c r="E367" s="16"/>
      <c r="F367" s="16">
        <v>0</v>
      </c>
      <c r="G367" s="16">
        <v>-41123</v>
      </c>
      <c r="H367" s="16">
        <f t="shared" si="65"/>
        <v>41123</v>
      </c>
      <c r="I367" s="54" t="str">
        <f t="shared" si="66"/>
        <v>N.M.</v>
      </c>
      <c r="J367" s="226"/>
      <c r="K367" s="295">
        <v>0</v>
      </c>
      <c r="L367" s="16">
        <f t="shared" si="67"/>
        <v>0</v>
      </c>
      <c r="M367" s="54">
        <f t="shared" si="68"/>
        <v>0</v>
      </c>
    </row>
    <row r="368" spans="1:13" s="15" customFormat="1" ht="12.75" hidden="1" outlineLevel="2">
      <c r="A368" s="15" t="s">
        <v>1032</v>
      </c>
      <c r="B368" s="15" t="s">
        <v>1033</v>
      </c>
      <c r="C368" s="164" t="s">
        <v>1031</v>
      </c>
      <c r="D368" s="16"/>
      <c r="E368" s="16"/>
      <c r="F368" s="16">
        <v>-25500</v>
      </c>
      <c r="G368" s="16">
        <v>46000</v>
      </c>
      <c r="H368" s="16">
        <f t="shared" si="65"/>
        <v>-71500</v>
      </c>
      <c r="I368" s="54">
        <f t="shared" si="66"/>
        <v>-1.5543478260869565</v>
      </c>
      <c r="J368" s="226"/>
      <c r="K368" s="295">
        <v>-25500</v>
      </c>
      <c r="L368" s="16">
        <f t="shared" si="67"/>
        <v>0</v>
      </c>
      <c r="M368" s="54">
        <f t="shared" si="68"/>
        <v>0</v>
      </c>
    </row>
    <row r="369" spans="1:13" s="15" customFormat="1" ht="12.75" hidden="1" outlineLevel="2">
      <c r="A369" s="15" t="s">
        <v>1034</v>
      </c>
      <c r="B369" s="15" t="s">
        <v>1035</v>
      </c>
      <c r="C369" s="164" t="s">
        <v>1031</v>
      </c>
      <c r="D369" s="16"/>
      <c r="E369" s="16"/>
      <c r="F369" s="16">
        <v>80100</v>
      </c>
      <c r="G369" s="16">
        <v>0</v>
      </c>
      <c r="H369" s="16">
        <f t="shared" si="65"/>
        <v>80100</v>
      </c>
      <c r="I369" s="54" t="str">
        <f t="shared" si="66"/>
        <v>N.M.</v>
      </c>
      <c r="J369" s="226"/>
      <c r="K369" s="295">
        <v>0</v>
      </c>
      <c r="L369" s="16">
        <f t="shared" si="67"/>
        <v>80100</v>
      </c>
      <c r="M369" s="54" t="str">
        <f t="shared" si="68"/>
        <v>N.M.</v>
      </c>
    </row>
    <row r="370" spans="1:13" s="15" customFormat="1" ht="12.75" hidden="1" outlineLevel="2">
      <c r="A370" s="15" t="s">
        <v>1036</v>
      </c>
      <c r="B370" s="15" t="s">
        <v>1037</v>
      </c>
      <c r="C370" s="164" t="s">
        <v>1038</v>
      </c>
      <c r="D370" s="16"/>
      <c r="E370" s="16"/>
      <c r="F370" s="16">
        <v>0</v>
      </c>
      <c r="G370" s="16">
        <v>55668</v>
      </c>
      <c r="H370" s="16">
        <f t="shared" si="65"/>
        <v>-55668</v>
      </c>
      <c r="I370" s="54" t="str">
        <f t="shared" si="66"/>
        <v>N.M.</v>
      </c>
      <c r="J370" s="226"/>
      <c r="K370" s="295">
        <v>41747</v>
      </c>
      <c r="L370" s="16">
        <f t="shared" si="67"/>
        <v>-41747</v>
      </c>
      <c r="M370" s="54" t="str">
        <f t="shared" si="68"/>
        <v>N.M.</v>
      </c>
    </row>
    <row r="371" spans="1:13" s="15" customFormat="1" ht="12.75" hidden="1" outlineLevel="2">
      <c r="A371" s="15" t="s">
        <v>1039</v>
      </c>
      <c r="B371" s="15" t="s">
        <v>1040</v>
      </c>
      <c r="C371" s="164" t="s">
        <v>1038</v>
      </c>
      <c r="D371" s="16"/>
      <c r="E371" s="16"/>
      <c r="F371" s="16">
        <v>86288</v>
      </c>
      <c r="G371" s="16">
        <v>0</v>
      </c>
      <c r="H371" s="16">
        <f t="shared" si="65"/>
        <v>86288</v>
      </c>
      <c r="I371" s="54" t="str">
        <f t="shared" si="66"/>
        <v>N.M.</v>
      </c>
      <c r="J371" s="226"/>
      <c r="K371" s="295">
        <v>0</v>
      </c>
      <c r="L371" s="16">
        <f t="shared" si="67"/>
        <v>86288</v>
      </c>
      <c r="M371" s="54" t="str">
        <f t="shared" si="68"/>
        <v>N.M.</v>
      </c>
    </row>
    <row r="372" spans="1:13" s="15" customFormat="1" ht="12.75" hidden="1" outlineLevel="2">
      <c r="A372" s="15" t="s">
        <v>1041</v>
      </c>
      <c r="B372" s="15" t="s">
        <v>1042</v>
      </c>
      <c r="C372" s="164" t="s">
        <v>1043</v>
      </c>
      <c r="D372" s="16"/>
      <c r="E372" s="16"/>
      <c r="F372" s="16">
        <v>-3247.67</v>
      </c>
      <c r="G372" s="16">
        <v>33000</v>
      </c>
      <c r="H372" s="16">
        <f t="shared" si="65"/>
        <v>-36247.67</v>
      </c>
      <c r="I372" s="54">
        <f t="shared" si="66"/>
        <v>-1.0984142424242425</v>
      </c>
      <c r="J372" s="226"/>
      <c r="K372" s="295">
        <v>-2776.35</v>
      </c>
      <c r="L372" s="16">
        <f t="shared" si="67"/>
        <v>-471.32000000000016</v>
      </c>
      <c r="M372" s="54">
        <f t="shared" si="68"/>
        <v>-0.1697624579033624</v>
      </c>
    </row>
    <row r="373" spans="1:13" s="15" customFormat="1" ht="12.75" hidden="1" outlineLevel="2">
      <c r="A373" s="15" t="s">
        <v>1044</v>
      </c>
      <c r="B373" s="15" t="s">
        <v>1045</v>
      </c>
      <c r="C373" s="164" t="s">
        <v>1043</v>
      </c>
      <c r="D373" s="16"/>
      <c r="E373" s="16"/>
      <c r="F373" s="16">
        <v>106300</v>
      </c>
      <c r="G373" s="16">
        <v>0</v>
      </c>
      <c r="H373" s="16">
        <f t="shared" si="65"/>
        <v>106300</v>
      </c>
      <c r="I373" s="54" t="str">
        <f t="shared" si="66"/>
        <v>N.M.</v>
      </c>
      <c r="J373" s="226"/>
      <c r="K373" s="295">
        <v>0</v>
      </c>
      <c r="L373" s="16">
        <f t="shared" si="67"/>
        <v>106300</v>
      </c>
      <c r="M373" s="54" t="str">
        <f t="shared" si="68"/>
        <v>N.M.</v>
      </c>
    </row>
    <row r="374" spans="1:13" s="15" customFormat="1" ht="12.75" hidden="1" outlineLevel="2">
      <c r="A374" s="15" t="s">
        <v>1046</v>
      </c>
      <c r="B374" s="15" t="s">
        <v>1047</v>
      </c>
      <c r="C374" s="164" t="s">
        <v>1048</v>
      </c>
      <c r="D374" s="16"/>
      <c r="E374" s="16"/>
      <c r="F374" s="16">
        <v>-14699.81</v>
      </c>
      <c r="G374" s="16">
        <v>7014</v>
      </c>
      <c r="H374" s="16">
        <f t="shared" si="65"/>
        <v>-21713.809999999998</v>
      </c>
      <c r="I374" s="54">
        <f t="shared" si="66"/>
        <v>-3.0957812945537495</v>
      </c>
      <c r="J374" s="226"/>
      <c r="K374" s="295">
        <v>-14660.81</v>
      </c>
      <c r="L374" s="16">
        <f t="shared" si="67"/>
        <v>-39</v>
      </c>
      <c r="M374" s="54">
        <f t="shared" si="68"/>
        <v>-0.002660153156612766</v>
      </c>
    </row>
    <row r="375" spans="1:13" s="15" customFormat="1" ht="12.75" hidden="1" outlineLevel="2">
      <c r="A375" s="15" t="s">
        <v>1049</v>
      </c>
      <c r="B375" s="15" t="s">
        <v>1050</v>
      </c>
      <c r="C375" s="164" t="s">
        <v>1048</v>
      </c>
      <c r="D375" s="16"/>
      <c r="E375" s="16"/>
      <c r="F375" s="16">
        <v>15575</v>
      </c>
      <c r="G375" s="16">
        <v>0</v>
      </c>
      <c r="H375" s="16">
        <f t="shared" si="65"/>
        <v>15575</v>
      </c>
      <c r="I375" s="54" t="str">
        <f t="shared" si="66"/>
        <v>N.M.</v>
      </c>
      <c r="J375" s="226"/>
      <c r="K375" s="295">
        <v>0</v>
      </c>
      <c r="L375" s="16">
        <f t="shared" si="67"/>
        <v>15575</v>
      </c>
      <c r="M375" s="54" t="str">
        <f t="shared" si="68"/>
        <v>N.M.</v>
      </c>
    </row>
    <row r="376" spans="1:13" s="15" customFormat="1" ht="12.75" hidden="1" outlineLevel="2">
      <c r="A376" s="15" t="s">
        <v>1051</v>
      </c>
      <c r="B376" s="15" t="s">
        <v>1052</v>
      </c>
      <c r="C376" s="164" t="s">
        <v>1053</v>
      </c>
      <c r="D376" s="16"/>
      <c r="E376" s="16"/>
      <c r="F376" s="16">
        <v>0</v>
      </c>
      <c r="G376" s="16">
        <v>45210.88</v>
      </c>
      <c r="H376" s="16">
        <f t="shared" si="65"/>
        <v>-45210.88</v>
      </c>
      <c r="I376" s="54" t="str">
        <f t="shared" si="66"/>
        <v>N.M.</v>
      </c>
      <c r="J376" s="226"/>
      <c r="K376" s="295">
        <v>40894.76</v>
      </c>
      <c r="L376" s="16">
        <f t="shared" si="67"/>
        <v>-40894.76</v>
      </c>
      <c r="M376" s="54" t="str">
        <f t="shared" si="68"/>
        <v>N.M.</v>
      </c>
    </row>
    <row r="377" spans="1:13" s="15" customFormat="1" ht="12.75" hidden="1" outlineLevel="2">
      <c r="A377" s="15" t="s">
        <v>1054</v>
      </c>
      <c r="B377" s="15" t="s">
        <v>1055</v>
      </c>
      <c r="C377" s="164" t="s">
        <v>1056</v>
      </c>
      <c r="D377" s="16"/>
      <c r="E377" s="16"/>
      <c r="F377" s="16">
        <v>137528.44</v>
      </c>
      <c r="G377" s="16">
        <v>0</v>
      </c>
      <c r="H377" s="16">
        <f t="shared" si="65"/>
        <v>137528.44</v>
      </c>
      <c r="I377" s="54" t="str">
        <f t="shared" si="66"/>
        <v>N.M.</v>
      </c>
      <c r="J377" s="226"/>
      <c r="K377" s="295">
        <v>0</v>
      </c>
      <c r="L377" s="16">
        <f t="shared" si="67"/>
        <v>137528.44</v>
      </c>
      <c r="M377" s="54" t="str">
        <f t="shared" si="68"/>
        <v>N.M.</v>
      </c>
    </row>
    <row r="378" spans="1:13" s="15" customFormat="1" ht="12.75" hidden="1" outlineLevel="2">
      <c r="A378" s="15" t="s">
        <v>1057</v>
      </c>
      <c r="B378" s="15" t="s">
        <v>1058</v>
      </c>
      <c r="C378" s="164" t="s">
        <v>1059</v>
      </c>
      <c r="D378" s="16"/>
      <c r="E378" s="16"/>
      <c r="F378" s="16">
        <v>495839</v>
      </c>
      <c r="G378" s="16">
        <v>0</v>
      </c>
      <c r="H378" s="16">
        <f t="shared" si="65"/>
        <v>495839</v>
      </c>
      <c r="I378" s="54" t="str">
        <f t="shared" si="66"/>
        <v>N.M.</v>
      </c>
      <c r="J378" s="226"/>
      <c r="K378" s="295">
        <v>495839</v>
      </c>
      <c r="L378" s="16">
        <f t="shared" si="67"/>
        <v>0</v>
      </c>
      <c r="M378" s="54">
        <f t="shared" si="68"/>
        <v>0</v>
      </c>
    </row>
    <row r="379" spans="1:13" s="15" customFormat="1" ht="12.75" hidden="1" outlineLevel="2">
      <c r="A379" s="15" t="s">
        <v>1060</v>
      </c>
      <c r="B379" s="15" t="s">
        <v>1061</v>
      </c>
      <c r="C379" s="164" t="s">
        <v>1062</v>
      </c>
      <c r="D379" s="16"/>
      <c r="E379" s="16"/>
      <c r="F379" s="16">
        <v>211473</v>
      </c>
      <c r="G379" s="16">
        <v>0</v>
      </c>
      <c r="H379" s="16">
        <f t="shared" si="65"/>
        <v>211473</v>
      </c>
      <c r="I379" s="54" t="str">
        <f t="shared" si="66"/>
        <v>N.M.</v>
      </c>
      <c r="J379" s="226"/>
      <c r="K379" s="295">
        <v>0</v>
      </c>
      <c r="L379" s="16">
        <f t="shared" si="67"/>
        <v>211473</v>
      </c>
      <c r="M379" s="54" t="str">
        <f t="shared" si="68"/>
        <v>N.M.</v>
      </c>
    </row>
    <row r="380" spans="1:13" s="15" customFormat="1" ht="12.75" hidden="1" outlineLevel="2">
      <c r="A380" s="15" t="s">
        <v>1063</v>
      </c>
      <c r="B380" s="15" t="s">
        <v>1064</v>
      </c>
      <c r="C380" s="164" t="s">
        <v>1065</v>
      </c>
      <c r="D380" s="16"/>
      <c r="E380" s="16"/>
      <c r="F380" s="16">
        <v>1242187.06</v>
      </c>
      <c r="G380" s="16">
        <v>2463842</v>
      </c>
      <c r="H380" s="16">
        <f t="shared" si="65"/>
        <v>-1221654.94</v>
      </c>
      <c r="I380" s="54">
        <f t="shared" si="66"/>
        <v>-0.4958333123633739</v>
      </c>
      <c r="J380" s="226"/>
      <c r="K380" s="295">
        <v>1242187.06</v>
      </c>
      <c r="L380" s="16">
        <f t="shared" si="67"/>
        <v>0</v>
      </c>
      <c r="M380" s="54">
        <f t="shared" si="68"/>
        <v>0</v>
      </c>
    </row>
    <row r="381" spans="1:13" s="15" customFormat="1" ht="12.75" hidden="1" outlineLevel="2">
      <c r="A381" s="15" t="s">
        <v>1066</v>
      </c>
      <c r="B381" s="15" t="s">
        <v>1067</v>
      </c>
      <c r="C381" s="164" t="s">
        <v>1068</v>
      </c>
      <c r="D381" s="16"/>
      <c r="E381" s="16"/>
      <c r="F381" s="16">
        <v>749937</v>
      </c>
      <c r="G381" s="16">
        <v>1167731</v>
      </c>
      <c r="H381" s="16">
        <f t="shared" si="65"/>
        <v>-417794</v>
      </c>
      <c r="I381" s="54">
        <f t="shared" si="66"/>
        <v>-0.35778274277209393</v>
      </c>
      <c r="J381" s="226"/>
      <c r="K381" s="295">
        <v>965474</v>
      </c>
      <c r="L381" s="16">
        <f t="shared" si="67"/>
        <v>-215537</v>
      </c>
      <c r="M381" s="54">
        <f t="shared" si="68"/>
        <v>-0.22324474817550757</v>
      </c>
    </row>
    <row r="382" spans="1:13" s="15" customFormat="1" ht="12.75" hidden="1" outlineLevel="2">
      <c r="A382" s="15" t="s">
        <v>1069</v>
      </c>
      <c r="B382" s="15" t="s">
        <v>1070</v>
      </c>
      <c r="C382" s="164" t="s">
        <v>1071</v>
      </c>
      <c r="D382" s="16"/>
      <c r="E382" s="16"/>
      <c r="F382" s="16">
        <v>-1809347</v>
      </c>
      <c r="G382" s="16">
        <v>-2096780</v>
      </c>
      <c r="H382" s="16">
        <f t="shared" si="65"/>
        <v>287433</v>
      </c>
      <c r="I382" s="54">
        <f t="shared" si="66"/>
        <v>0.13708305115462757</v>
      </c>
      <c r="J382" s="226"/>
      <c r="K382" s="295">
        <v>-1809347</v>
      </c>
      <c r="L382" s="16">
        <f t="shared" si="67"/>
        <v>0</v>
      </c>
      <c r="M382" s="54">
        <f t="shared" si="68"/>
        <v>0</v>
      </c>
    </row>
    <row r="383" spans="1:13" s="15" customFormat="1" ht="12.75" hidden="1" outlineLevel="2">
      <c r="A383" s="15" t="s">
        <v>1072</v>
      </c>
      <c r="B383" s="15" t="s">
        <v>1073</v>
      </c>
      <c r="C383" s="164" t="s">
        <v>1074</v>
      </c>
      <c r="D383" s="16"/>
      <c r="E383" s="16"/>
      <c r="F383" s="16">
        <v>-256032</v>
      </c>
      <c r="G383" s="16">
        <v>-303394</v>
      </c>
      <c r="H383" s="16">
        <f t="shared" si="65"/>
        <v>47362</v>
      </c>
      <c r="I383" s="54">
        <f t="shared" si="66"/>
        <v>0.15610724009044344</v>
      </c>
      <c r="J383" s="226"/>
      <c r="K383" s="295">
        <v>-260095</v>
      </c>
      <c r="L383" s="16">
        <f t="shared" si="67"/>
        <v>4063</v>
      </c>
      <c r="M383" s="54">
        <f t="shared" si="68"/>
        <v>0.015621215325169649</v>
      </c>
    </row>
    <row r="384" spans="1:13" ht="12.75" collapsed="1">
      <c r="A384" s="11" t="s">
        <v>283</v>
      </c>
      <c r="C384" s="128" t="s">
        <v>213</v>
      </c>
      <c r="D384" s="105"/>
      <c r="E384" s="106"/>
      <c r="F384" s="148">
        <v>-17393957.369999997</v>
      </c>
      <c r="G384" s="148">
        <v>8583919.77</v>
      </c>
      <c r="H384" s="141">
        <f>+F384-G384</f>
        <v>-25977877.139999997</v>
      </c>
      <c r="I384" s="166">
        <f>IF(G384&lt;0,IF(H384=0,0,IF(OR(G384=0,F384=0),"N.M.",IF(ABS(H384/G384)&gt;=10,"N.M.",H384/(-G384)))),IF(H384=0,0,IF(OR(G384=0,F384=0),"N.M.",IF(ABS(H384/G384)&gt;=10,"N.M.",H384/G384))))</f>
        <v>-3.026342025095605</v>
      </c>
      <c r="J384" s="217"/>
      <c r="K384" s="191">
        <v>-16776979.470000004</v>
      </c>
      <c r="L384" s="141">
        <f>+F384-K384</f>
        <v>-616977.8999999929</v>
      </c>
      <c r="M384" s="166">
        <f>IF(K384&lt;0,IF(L384=0,0,IF(OR(K384=0,F384=0),"N.M.",IF(ABS(L384/K384)&gt;=10,"N.M.",L384/(-K384)))),IF(L384=0,0,IF(OR(K384=0,F384=0),"N.M.",IF(ABS(L384/K384)&gt;=10,"N.M.",L384/K384))))</f>
        <v>-0.03677526703202151</v>
      </c>
    </row>
    <row r="385" spans="3:13" ht="0.75" customHeight="1" hidden="1" outlineLevel="1">
      <c r="C385" s="128"/>
      <c r="D385" s="105"/>
      <c r="E385" s="106"/>
      <c r="F385" s="148"/>
      <c r="G385" s="148"/>
      <c r="H385" s="141"/>
      <c r="I385" s="166"/>
      <c r="J385" s="217"/>
      <c r="K385" s="191"/>
      <c r="L385" s="141"/>
      <c r="M385" s="166"/>
    </row>
    <row r="386" spans="1:13" s="15" customFormat="1" ht="12.75" hidden="1" outlineLevel="2">
      <c r="A386" s="15" t="s">
        <v>1075</v>
      </c>
      <c r="B386" s="15" t="s">
        <v>1076</v>
      </c>
      <c r="C386" s="164" t="s">
        <v>1255</v>
      </c>
      <c r="D386" s="16"/>
      <c r="E386" s="16"/>
      <c r="F386" s="16">
        <v>9286572.25</v>
      </c>
      <c r="G386" s="16">
        <v>9286572.22</v>
      </c>
      <c r="H386" s="16">
        <f aca="true" t="shared" si="69" ref="H386:H391">+F386-G386</f>
        <v>0.029999999329447746</v>
      </c>
      <c r="I386" s="54">
        <f aca="true" t="shared" si="70" ref="I386:I391">IF(G386&lt;0,IF(H386=0,0,IF(OR(G386=0,F386=0),"N.M.",IF(ABS(H386/G386)&gt;=10,"N.M.",H386/(-G386)))),IF(H386=0,0,IF(OR(G386=0,F386=0),"N.M.",IF(ABS(H386/G386)&gt;=10,"N.M.",H386/G386))))</f>
        <v>3.230470685926324E-09</v>
      </c>
      <c r="J386" s="226"/>
      <c r="K386" s="295">
        <v>6461093.06</v>
      </c>
      <c r="L386" s="16">
        <f aca="true" t="shared" si="71" ref="L386:L391">+F386-K386</f>
        <v>2825479.1900000004</v>
      </c>
      <c r="M386" s="54">
        <f aca="true" t="shared" si="72" ref="M386:M391">IF(K386&lt;0,IF(L386=0,0,IF(OR(K386=0,F386=0),"N.M.",IF(ABS(L386/K386)&gt;=10,"N.M.",L386/(-K386)))),IF(L386=0,0,IF(OR(K386=0,F386=0),"N.M.",IF(ABS(L386/K386)&gt;=10,"N.M.",L386/K386))))</f>
        <v>0.4373066853799503</v>
      </c>
    </row>
    <row r="387" spans="1:13" s="15" customFormat="1" ht="12.75" hidden="1" outlineLevel="2">
      <c r="A387" s="15" t="s">
        <v>1077</v>
      </c>
      <c r="B387" s="15" t="s">
        <v>1078</v>
      </c>
      <c r="C387" s="164" t="s">
        <v>1256</v>
      </c>
      <c r="D387" s="16"/>
      <c r="E387" s="16"/>
      <c r="F387" s="16">
        <v>592146.53</v>
      </c>
      <c r="G387" s="16">
        <v>520457.12</v>
      </c>
      <c r="H387" s="16">
        <f t="shared" si="69"/>
        <v>71689.41000000003</v>
      </c>
      <c r="I387" s="54">
        <f t="shared" si="70"/>
        <v>0.13774316316395102</v>
      </c>
      <c r="J387" s="226"/>
      <c r="K387" s="295">
        <v>915060.68</v>
      </c>
      <c r="L387" s="16">
        <f t="shared" si="71"/>
        <v>-322914.15</v>
      </c>
      <c r="M387" s="54">
        <f t="shared" si="72"/>
        <v>-0.35288823687626925</v>
      </c>
    </row>
    <row r="388" spans="1:13" s="15" customFormat="1" ht="12.75" hidden="1" outlineLevel="2">
      <c r="A388" s="15" t="s">
        <v>1079</v>
      </c>
      <c r="B388" s="15" t="s">
        <v>1080</v>
      </c>
      <c r="C388" s="164" t="s">
        <v>1257</v>
      </c>
      <c r="D388" s="16"/>
      <c r="E388" s="16"/>
      <c r="F388" s="16">
        <v>2709.284</v>
      </c>
      <c r="G388" s="16">
        <v>2130.304</v>
      </c>
      <c r="H388" s="16">
        <f t="shared" si="69"/>
        <v>578.98</v>
      </c>
      <c r="I388" s="54">
        <f t="shared" si="70"/>
        <v>0.2717828065853512</v>
      </c>
      <c r="J388" s="226"/>
      <c r="K388" s="295">
        <v>2466.694</v>
      </c>
      <c r="L388" s="16">
        <f t="shared" si="71"/>
        <v>242.59000000000015</v>
      </c>
      <c r="M388" s="54">
        <f t="shared" si="72"/>
        <v>0.09834620751499787</v>
      </c>
    </row>
    <row r="389" spans="1:13" s="15" customFormat="1" ht="12.75" hidden="1" outlineLevel="2">
      <c r="A389" s="15" t="s">
        <v>1081</v>
      </c>
      <c r="B389" s="15" t="s">
        <v>1082</v>
      </c>
      <c r="C389" s="164" t="s">
        <v>1258</v>
      </c>
      <c r="D389" s="16"/>
      <c r="E389" s="16"/>
      <c r="F389" s="16">
        <v>727519</v>
      </c>
      <c r="G389" s="16">
        <v>615062</v>
      </c>
      <c r="H389" s="16">
        <f t="shared" si="69"/>
        <v>112457</v>
      </c>
      <c r="I389" s="54">
        <f t="shared" si="70"/>
        <v>0.1828384780721293</v>
      </c>
      <c r="J389" s="226"/>
      <c r="K389" s="295">
        <v>0</v>
      </c>
      <c r="L389" s="16">
        <f t="shared" si="71"/>
        <v>727519</v>
      </c>
      <c r="M389" s="54" t="str">
        <f t="shared" si="72"/>
        <v>N.M.</v>
      </c>
    </row>
    <row r="390" spans="1:13" s="15" customFormat="1" ht="12.75" hidden="1" outlineLevel="2">
      <c r="A390" s="15" t="s">
        <v>1083</v>
      </c>
      <c r="B390" s="15" t="s">
        <v>1084</v>
      </c>
      <c r="C390" s="164" t="s">
        <v>1259</v>
      </c>
      <c r="D390" s="16"/>
      <c r="E390" s="16"/>
      <c r="F390" s="16">
        <v>433934</v>
      </c>
      <c r="G390" s="16">
        <v>113342</v>
      </c>
      <c r="H390" s="16">
        <f t="shared" si="69"/>
        <v>320592</v>
      </c>
      <c r="I390" s="54">
        <f t="shared" si="70"/>
        <v>2.8285366413156643</v>
      </c>
      <c r="J390" s="226"/>
      <c r="K390" s="295">
        <v>388706</v>
      </c>
      <c r="L390" s="16">
        <f t="shared" si="71"/>
        <v>45228</v>
      </c>
      <c r="M390" s="54">
        <f t="shared" si="72"/>
        <v>0.11635529166002069</v>
      </c>
    </row>
    <row r="391" spans="1:13" ht="12.75" collapsed="1">
      <c r="A391" s="11" t="s">
        <v>284</v>
      </c>
      <c r="C391" s="128" t="s">
        <v>214</v>
      </c>
      <c r="D391" s="105"/>
      <c r="E391" s="106"/>
      <c r="F391" s="148">
        <v>11042881.064</v>
      </c>
      <c r="G391" s="148">
        <v>10537563.644</v>
      </c>
      <c r="H391" s="141">
        <f t="shared" si="69"/>
        <v>505317.4199999999</v>
      </c>
      <c r="I391" s="166">
        <f t="shared" si="70"/>
        <v>0.047953913928455695</v>
      </c>
      <c r="J391" s="217"/>
      <c r="K391" s="191">
        <v>7767326.433999999</v>
      </c>
      <c r="L391" s="141">
        <f t="shared" si="71"/>
        <v>3275554.63</v>
      </c>
      <c r="M391" s="166">
        <f t="shared" si="72"/>
        <v>0.4217094077135577</v>
      </c>
    </row>
    <row r="392" spans="3:13" ht="0.75" customHeight="1" outlineLevel="1">
      <c r="C392" s="128"/>
      <c r="D392" s="105"/>
      <c r="E392" s="106"/>
      <c r="F392" s="148"/>
      <c r="G392" s="148"/>
      <c r="H392" s="141"/>
      <c r="I392" s="166"/>
      <c r="J392" s="217"/>
      <c r="K392" s="191"/>
      <c r="L392" s="141"/>
      <c r="M392" s="166"/>
    </row>
    <row r="393" spans="1:13" ht="12.75">
      <c r="A393" s="11" t="s">
        <v>285</v>
      </c>
      <c r="C393" s="128" t="s">
        <v>215</v>
      </c>
      <c r="E393" s="11"/>
      <c r="F393" s="139">
        <v>0</v>
      </c>
      <c r="G393" s="139">
        <v>0</v>
      </c>
      <c r="H393" s="141">
        <f>+F393-G393</f>
        <v>0</v>
      </c>
      <c r="I393" s="166">
        <f>IF(G393&lt;0,IF(H393=0,0,IF(OR(G393=0,F393=0),"N.M.",IF(ABS(H393/G393)&gt;=10,"N.M.",H393/(-G393)))),IF(H393=0,0,IF(OR(G393=0,F393=0),"N.M.",IF(ABS(H393/G393)&gt;=10,"N.M.",H393/G393))))</f>
        <v>0</v>
      </c>
      <c r="J393" s="217"/>
      <c r="K393" s="182">
        <v>0</v>
      </c>
      <c r="L393" s="141">
        <f>+F393-K393</f>
        <v>0</v>
      </c>
      <c r="M393" s="166">
        <f>IF(K393&lt;0,IF(L393=0,0,IF(OR(K393=0,F393=0),"N.M.",IF(ABS(L393/K393)&gt;=10,"N.M.",L393/(-K393)))),IF(L393=0,0,IF(OR(K393=0,F393=0),"N.M.",IF(ABS(L393/K393)&gt;=10,"N.M.",L393/K393))))</f>
        <v>0</v>
      </c>
    </row>
    <row r="394" spans="3:13" ht="0.75" customHeight="1" hidden="1" outlineLevel="1">
      <c r="C394" s="128"/>
      <c r="E394" s="11"/>
      <c r="F394" s="139"/>
      <c r="G394" s="139"/>
      <c r="H394" s="141"/>
      <c r="I394" s="166"/>
      <c r="J394" s="217"/>
      <c r="K394" s="182"/>
      <c r="L394" s="141"/>
      <c r="M394" s="166"/>
    </row>
    <row r="395" spans="1:13" s="15" customFormat="1" ht="12.75" hidden="1" outlineLevel="2">
      <c r="A395" s="15" t="s">
        <v>1085</v>
      </c>
      <c r="B395" s="15" t="s">
        <v>1086</v>
      </c>
      <c r="C395" s="164" t="s">
        <v>1260</v>
      </c>
      <c r="D395" s="16"/>
      <c r="E395" s="16"/>
      <c r="F395" s="16">
        <v>1801212.33</v>
      </c>
      <c r="G395" s="16">
        <v>780612.71</v>
      </c>
      <c r="H395" s="16">
        <f>+F395-G395</f>
        <v>1020599.6200000001</v>
      </c>
      <c r="I395" s="54">
        <f>IF(G395&lt;0,IF(H395=0,0,IF(OR(G395=0,F395=0),"N.M.",IF(ABS(H395/G395)&gt;=10,"N.M.",H395/(-G395)))),IF(H395=0,0,IF(OR(G395=0,F395=0),"N.M.",IF(ABS(H395/G395)&gt;=10,"N.M.",H395/G395))))</f>
        <v>1.3074340283288497</v>
      </c>
      <c r="J395" s="226"/>
      <c r="K395" s="295">
        <v>639400.16</v>
      </c>
      <c r="L395" s="16">
        <f>+F395-K395</f>
        <v>1161812.17</v>
      </c>
      <c r="M395" s="54">
        <f>IF(K395&lt;0,IF(L395=0,0,IF(OR(K395=0,F395=0),"N.M.",IF(ABS(L395/K395)&gt;=10,"N.M.",L395/(-K395)))),IF(L395=0,0,IF(OR(K395=0,F395=0),"N.M.",IF(ABS(L395/K395)&gt;=10,"N.M.",L395/K395))))</f>
        <v>1.8170345312394038</v>
      </c>
    </row>
    <row r="396" spans="1:13" s="15" customFormat="1" ht="12.75" hidden="1" outlineLevel="2">
      <c r="A396" s="15" t="s">
        <v>1087</v>
      </c>
      <c r="B396" s="15" t="s">
        <v>1088</v>
      </c>
      <c r="C396" s="164" t="s">
        <v>1261</v>
      </c>
      <c r="D396" s="16"/>
      <c r="E396" s="16"/>
      <c r="F396" s="16">
        <v>724.63</v>
      </c>
      <c r="G396" s="16">
        <v>8461.65</v>
      </c>
      <c r="H396" s="16">
        <f>+F396-G396</f>
        <v>-7737.0199999999995</v>
      </c>
      <c r="I396" s="54">
        <f>IF(G396&lt;0,IF(H396=0,0,IF(OR(G396=0,F396=0),"N.M.",IF(ABS(H396/G396)&gt;=10,"N.M.",H396/(-G396)))),IF(H396=0,0,IF(OR(G396=0,F396=0),"N.M.",IF(ABS(H396/G396)&gt;=10,"N.M.",H396/G396))))</f>
        <v>-0.9143630379417725</v>
      </c>
      <c r="J396" s="226"/>
      <c r="K396" s="295">
        <v>302.72</v>
      </c>
      <c r="L396" s="16">
        <f>+F396-K396</f>
        <v>421.90999999999997</v>
      </c>
      <c r="M396" s="54">
        <f>IF(K396&lt;0,IF(L396=0,0,IF(OR(K396=0,F396=0),"N.M.",IF(ABS(L396/K396)&gt;=10,"N.M.",L396/(-K396)))),IF(L396=0,0,IF(OR(K396=0,F396=0),"N.M.",IF(ABS(L396/K396)&gt;=10,"N.M.",L396/K396))))</f>
        <v>1.3937301797040167</v>
      </c>
    </row>
    <row r="397" spans="1:13" ht="12.75" collapsed="1">
      <c r="A397" s="11" t="s">
        <v>286</v>
      </c>
      <c r="C397" s="128" t="s">
        <v>216</v>
      </c>
      <c r="E397" s="11"/>
      <c r="F397" s="139">
        <v>1801936.96</v>
      </c>
      <c r="G397" s="139">
        <v>789074.36</v>
      </c>
      <c r="H397" s="141">
        <f>+F397-G397</f>
        <v>1012862.6</v>
      </c>
      <c r="I397" s="166">
        <f>IF(G397&lt;0,IF(H397=0,0,IF(OR(G397=0,F397=0),"N.M.",IF(ABS(H397/G397)&gt;=10,"N.M.",H397/(-G397)))),IF(H397=0,0,IF(OR(G397=0,F397=0),"N.M.",IF(ABS(H397/G397)&gt;=10,"N.M.",H397/G397))))</f>
        <v>1.2836085562329005</v>
      </c>
      <c r="J397" s="217"/>
      <c r="K397" s="182">
        <v>639702.88</v>
      </c>
      <c r="L397" s="141">
        <f>+F397-K397</f>
        <v>1162234.08</v>
      </c>
      <c r="M397" s="166">
        <f>IF(K397&lt;0,IF(L397=0,0,IF(OR(K397=0,F397=0),"N.M.",IF(ABS(L397/K397)&gt;=10,"N.M.",L397/(-K397)))),IF(L397=0,0,IF(OR(K397=0,F397=0),"N.M.",IF(ABS(L397/K397)&gt;=10,"N.M.",L397/K397))))</f>
        <v>1.8168342152844459</v>
      </c>
    </row>
    <row r="398" spans="3:13" ht="0.75" customHeight="1" hidden="1" outlineLevel="1">
      <c r="C398" s="128"/>
      <c r="E398" s="11"/>
      <c r="F398" s="139"/>
      <c r="G398" s="139"/>
      <c r="H398" s="141"/>
      <c r="I398" s="166"/>
      <c r="J398" s="217"/>
      <c r="K398" s="182"/>
      <c r="L398" s="141"/>
      <c r="M398" s="166"/>
    </row>
    <row r="399" spans="1:13" s="15" customFormat="1" ht="12.75" hidden="1" outlineLevel="2">
      <c r="A399" s="15" t="s">
        <v>1089</v>
      </c>
      <c r="B399" s="15" t="s">
        <v>1090</v>
      </c>
      <c r="C399" s="164" t="s">
        <v>1262</v>
      </c>
      <c r="D399" s="16"/>
      <c r="E399" s="16"/>
      <c r="F399" s="16">
        <v>7810678.52</v>
      </c>
      <c r="G399" s="16">
        <v>11213793.22</v>
      </c>
      <c r="H399" s="16">
        <f aca="true" t="shared" si="73" ref="H399:H404">+F399-G399</f>
        <v>-3403114.700000001</v>
      </c>
      <c r="I399" s="54">
        <f aca="true" t="shared" si="74" ref="I399:I404">IF(G399&lt;0,IF(H399=0,0,IF(OR(G399=0,F399=0),"N.M.",IF(ABS(H399/G399)&gt;=10,"N.M.",H399/(-G399)))),IF(H399=0,0,IF(OR(G399=0,F399=0),"N.M.",IF(ABS(H399/G399)&gt;=10,"N.M.",H399/G399))))</f>
        <v>-0.3034757849761743</v>
      </c>
      <c r="J399" s="226"/>
      <c r="K399" s="295">
        <v>8456385.992</v>
      </c>
      <c r="L399" s="16">
        <f aca="true" t="shared" si="75" ref="L399:L404">+F399-K399</f>
        <v>-645707.472000001</v>
      </c>
      <c r="M399" s="54">
        <f aca="true" t="shared" si="76" ref="M399:M404">IF(K399&lt;0,IF(L399=0,0,IF(OR(K399=0,F399=0),"N.M.",IF(ABS(L399/K399)&gt;=10,"N.M.",L399/(-K399)))),IF(L399=0,0,IF(OR(K399=0,F399=0),"N.M.",IF(ABS(L399/K399)&gt;=10,"N.M.",L399/K399))))</f>
        <v>-0.07635737921741746</v>
      </c>
    </row>
    <row r="400" spans="1:13" s="15" customFormat="1" ht="12.75" hidden="1" outlineLevel="2">
      <c r="A400" s="15" t="s">
        <v>1091</v>
      </c>
      <c r="B400" s="15" t="s">
        <v>1092</v>
      </c>
      <c r="C400" s="164" t="s">
        <v>1263</v>
      </c>
      <c r="D400" s="16"/>
      <c r="E400" s="16"/>
      <c r="F400" s="16">
        <v>51050</v>
      </c>
      <c r="G400" s="16">
        <v>157524.25</v>
      </c>
      <c r="H400" s="16">
        <f t="shared" si="73"/>
        <v>-106474.25</v>
      </c>
      <c r="I400" s="54">
        <f t="shared" si="74"/>
        <v>-0.6759229134561822</v>
      </c>
      <c r="J400" s="226"/>
      <c r="K400" s="295">
        <v>108999.26000000001</v>
      </c>
      <c r="L400" s="16">
        <f t="shared" si="75"/>
        <v>-57949.26000000001</v>
      </c>
      <c r="M400" s="54">
        <f t="shared" si="76"/>
        <v>-0.531648196510692</v>
      </c>
    </row>
    <row r="401" spans="1:13" s="15" customFormat="1" ht="12.75" hidden="1" outlineLevel="2">
      <c r="A401" s="15" t="s">
        <v>1093</v>
      </c>
      <c r="B401" s="15" t="s">
        <v>1094</v>
      </c>
      <c r="C401" s="164" t="s">
        <v>1264</v>
      </c>
      <c r="D401" s="16"/>
      <c r="E401" s="16"/>
      <c r="F401" s="16">
        <v>20664.18</v>
      </c>
      <c r="G401" s="16">
        <v>11933.880000000001</v>
      </c>
      <c r="H401" s="16">
        <f t="shared" si="73"/>
        <v>8730.3</v>
      </c>
      <c r="I401" s="54">
        <f t="shared" si="74"/>
        <v>0.7315558728594554</v>
      </c>
      <c r="J401" s="226"/>
      <c r="K401" s="295">
        <v>23583.87</v>
      </c>
      <c r="L401" s="16">
        <f t="shared" si="75"/>
        <v>-2919.6899999999987</v>
      </c>
      <c r="M401" s="54">
        <f t="shared" si="76"/>
        <v>-0.12380029231843624</v>
      </c>
    </row>
    <row r="402" spans="1:13" s="15" customFormat="1" ht="12.75" hidden="1" outlineLevel="2">
      <c r="A402" s="15" t="s">
        <v>1095</v>
      </c>
      <c r="B402" s="15" t="s">
        <v>1096</v>
      </c>
      <c r="C402" s="164" t="s">
        <v>1265</v>
      </c>
      <c r="D402" s="16"/>
      <c r="E402" s="16"/>
      <c r="F402" s="16">
        <v>-3653755</v>
      </c>
      <c r="G402" s="16">
        <v>-4635425</v>
      </c>
      <c r="H402" s="16">
        <f t="shared" si="73"/>
        <v>981670</v>
      </c>
      <c r="I402" s="54">
        <f t="shared" si="74"/>
        <v>0.21177561927978555</v>
      </c>
      <c r="J402" s="226"/>
      <c r="K402" s="295">
        <v>-4096078</v>
      </c>
      <c r="L402" s="16">
        <f t="shared" si="75"/>
        <v>442323</v>
      </c>
      <c r="M402" s="54">
        <f t="shared" si="76"/>
        <v>0.10798695727962211</v>
      </c>
    </row>
    <row r="403" spans="1:13" s="15" customFormat="1" ht="12.75" hidden="1" outlineLevel="2">
      <c r="A403" s="15" t="s">
        <v>1097</v>
      </c>
      <c r="B403" s="15" t="s">
        <v>1098</v>
      </c>
      <c r="C403" s="164" t="s">
        <v>1266</v>
      </c>
      <c r="D403" s="16"/>
      <c r="E403" s="16"/>
      <c r="F403" s="16">
        <v>565980</v>
      </c>
      <c r="G403" s="16">
        <v>464937.41000000003</v>
      </c>
      <c r="H403" s="16">
        <f t="shared" si="73"/>
        <v>101042.58999999997</v>
      </c>
      <c r="I403" s="54">
        <f t="shared" si="74"/>
        <v>0.2173251449049883</v>
      </c>
      <c r="J403" s="226"/>
      <c r="K403" s="295">
        <v>697404.62</v>
      </c>
      <c r="L403" s="16">
        <f t="shared" si="75"/>
        <v>-131424.62</v>
      </c>
      <c r="M403" s="54">
        <f t="shared" si="76"/>
        <v>-0.18844816370731815</v>
      </c>
    </row>
    <row r="404" spans="1:13" ht="12.75" collapsed="1">
      <c r="A404" s="11" t="s">
        <v>287</v>
      </c>
      <c r="C404" s="128" t="s">
        <v>217</v>
      </c>
      <c r="E404" s="11"/>
      <c r="F404" s="139">
        <v>4794617.699999999</v>
      </c>
      <c r="G404" s="139">
        <v>7212763.760000002</v>
      </c>
      <c r="H404" s="141">
        <f t="shared" si="73"/>
        <v>-2418146.0600000024</v>
      </c>
      <c r="I404" s="166">
        <f t="shared" si="74"/>
        <v>-0.33525929039993985</v>
      </c>
      <c r="J404" s="217"/>
      <c r="K404" s="182">
        <v>5190295.742</v>
      </c>
      <c r="L404" s="141">
        <f t="shared" si="75"/>
        <v>-395678.04200000037</v>
      </c>
      <c r="M404" s="166">
        <f t="shared" si="76"/>
        <v>-0.07623419968117887</v>
      </c>
    </row>
    <row r="405" spans="3:13" ht="0.75" customHeight="1" hidden="1" outlineLevel="1">
      <c r="C405" s="128"/>
      <c r="E405" s="11"/>
      <c r="F405" s="139"/>
      <c r="G405" s="139"/>
      <c r="H405" s="139"/>
      <c r="I405" s="171"/>
      <c r="J405" s="217"/>
      <c r="K405" s="182"/>
      <c r="L405" s="139"/>
      <c r="M405" s="171"/>
    </row>
    <row r="406" spans="1:13" s="15" customFormat="1" ht="12.75" hidden="1" outlineLevel="2">
      <c r="A406" s="15" t="s">
        <v>1099</v>
      </c>
      <c r="B406" s="15" t="s">
        <v>1100</v>
      </c>
      <c r="C406" s="164" t="s">
        <v>1267</v>
      </c>
      <c r="D406" s="16"/>
      <c r="E406" s="16"/>
      <c r="F406" s="16">
        <v>184066.31</v>
      </c>
      <c r="G406" s="16">
        <v>170413.32</v>
      </c>
      <c r="H406" s="16">
        <f aca="true" t="shared" si="77" ref="H406:H413">+F406-G406</f>
        <v>13652.98999999999</v>
      </c>
      <c r="I406" s="54">
        <f aca="true" t="shared" si="78" ref="I406:I413">IF(G406&lt;0,IF(H406=0,0,IF(OR(G406=0,F406=0),"N.M.",IF(ABS(H406/G406)&gt;=10,"N.M.",H406/(-G406)))),IF(H406=0,0,IF(OR(G406=0,F406=0),"N.M.",IF(ABS(H406/G406)&gt;=10,"N.M.",H406/G406))))</f>
        <v>0.08011691809067502</v>
      </c>
      <c r="J406" s="226"/>
      <c r="K406" s="295">
        <v>308741.29</v>
      </c>
      <c r="L406" s="16">
        <f aca="true" t="shared" si="79" ref="L406:L413">+F406-K406</f>
        <v>-124674.97999999998</v>
      </c>
      <c r="M406" s="54">
        <f aca="true" t="shared" si="80" ref="M406:M413">IF(K406&lt;0,IF(L406=0,0,IF(OR(K406=0,F406=0),"N.M.",IF(ABS(L406/K406)&gt;=10,"N.M.",L406/(-K406)))),IF(L406=0,0,IF(OR(K406=0,F406=0),"N.M.",IF(ABS(L406/K406)&gt;=10,"N.M.",L406/K406))))</f>
        <v>-0.40381699512883423</v>
      </c>
    </row>
    <row r="407" spans="1:13" s="15" customFormat="1" ht="12.75" hidden="1" outlineLevel="2">
      <c r="A407" s="15" t="s">
        <v>1101</v>
      </c>
      <c r="B407" s="15" t="s">
        <v>1102</v>
      </c>
      <c r="C407" s="164" t="s">
        <v>1268</v>
      </c>
      <c r="D407" s="16"/>
      <c r="E407" s="16"/>
      <c r="F407" s="16">
        <v>174038.72</v>
      </c>
      <c r="G407" s="16">
        <v>138763.4</v>
      </c>
      <c r="H407" s="16">
        <f t="shared" si="77"/>
        <v>35275.32000000001</v>
      </c>
      <c r="I407" s="54">
        <f t="shared" si="78"/>
        <v>0.2542119896168587</v>
      </c>
      <c r="J407" s="226"/>
      <c r="K407" s="295">
        <v>180727.34</v>
      </c>
      <c r="L407" s="16">
        <f t="shared" si="79"/>
        <v>-6688.619999999995</v>
      </c>
      <c r="M407" s="54">
        <f t="shared" si="80"/>
        <v>-0.03700945302465026</v>
      </c>
    </row>
    <row r="408" spans="1:13" s="15" customFormat="1" ht="12.75" hidden="1" outlineLevel="2">
      <c r="A408" s="15" t="s">
        <v>1103</v>
      </c>
      <c r="B408" s="15" t="s">
        <v>1104</v>
      </c>
      <c r="C408" s="164" t="s">
        <v>1269</v>
      </c>
      <c r="D408" s="16"/>
      <c r="E408" s="16"/>
      <c r="F408" s="16">
        <v>19637.53</v>
      </c>
      <c r="G408" s="16">
        <v>10023.97</v>
      </c>
      <c r="H408" s="16">
        <f t="shared" si="77"/>
        <v>9613.56</v>
      </c>
      <c r="I408" s="54">
        <f t="shared" si="78"/>
        <v>0.9590571400353353</v>
      </c>
      <c r="J408" s="226"/>
      <c r="K408" s="295">
        <v>24296.58</v>
      </c>
      <c r="L408" s="16">
        <f t="shared" si="79"/>
        <v>-4659.050000000003</v>
      </c>
      <c r="M408" s="54">
        <f t="shared" si="80"/>
        <v>-0.19175744075915221</v>
      </c>
    </row>
    <row r="409" spans="1:13" s="15" customFormat="1" ht="12.75" hidden="1" outlineLevel="2">
      <c r="A409" s="15" t="s">
        <v>1105</v>
      </c>
      <c r="B409" s="15" t="s">
        <v>1106</v>
      </c>
      <c r="C409" s="164" t="s">
        <v>1270</v>
      </c>
      <c r="D409" s="16"/>
      <c r="E409" s="16"/>
      <c r="F409" s="16">
        <v>816212.53</v>
      </c>
      <c r="G409" s="16">
        <v>818521.34</v>
      </c>
      <c r="H409" s="16">
        <f t="shared" si="77"/>
        <v>-2308.8099999999395</v>
      </c>
      <c r="I409" s="54">
        <f t="shared" si="78"/>
        <v>-0.00282070837639974</v>
      </c>
      <c r="J409" s="226"/>
      <c r="K409" s="295">
        <v>657728.64</v>
      </c>
      <c r="L409" s="16">
        <f t="shared" si="79"/>
        <v>158483.89</v>
      </c>
      <c r="M409" s="54">
        <f t="shared" si="80"/>
        <v>0.2409563463740913</v>
      </c>
    </row>
    <row r="410" spans="1:13" s="15" customFormat="1" ht="12.75" hidden="1" outlineLevel="2">
      <c r="A410" s="15" t="s">
        <v>1107</v>
      </c>
      <c r="B410" s="15" t="s">
        <v>1108</v>
      </c>
      <c r="C410" s="164" t="s">
        <v>1271</v>
      </c>
      <c r="D410" s="16"/>
      <c r="E410" s="16"/>
      <c r="F410" s="16">
        <v>99867</v>
      </c>
      <c r="G410" s="16">
        <v>99775.73</v>
      </c>
      <c r="H410" s="16">
        <f t="shared" si="77"/>
        <v>91.27000000000407</v>
      </c>
      <c r="I410" s="54">
        <f t="shared" si="78"/>
        <v>0.0009147515132187365</v>
      </c>
      <c r="J410" s="226"/>
      <c r="K410" s="295">
        <v>124630.26000000001</v>
      </c>
      <c r="L410" s="16">
        <f t="shared" si="79"/>
        <v>-24763.26000000001</v>
      </c>
      <c r="M410" s="54">
        <f t="shared" si="80"/>
        <v>-0.19869380036597858</v>
      </c>
    </row>
    <row r="411" spans="1:13" s="15" customFormat="1" ht="12.75" hidden="1" outlineLevel="2">
      <c r="A411" s="15" t="s">
        <v>1109</v>
      </c>
      <c r="B411" s="15" t="s">
        <v>1110</v>
      </c>
      <c r="C411" s="164" t="s">
        <v>1272</v>
      </c>
      <c r="D411" s="16"/>
      <c r="E411" s="16"/>
      <c r="F411" s="16">
        <v>0</v>
      </c>
      <c r="G411" s="16">
        <v>927125.25</v>
      </c>
      <c r="H411" s="16">
        <f t="shared" si="77"/>
        <v>-927125.25</v>
      </c>
      <c r="I411" s="54" t="str">
        <f t="shared" si="78"/>
        <v>N.M.</v>
      </c>
      <c r="J411" s="226"/>
      <c r="K411" s="295">
        <v>878196.0800000001</v>
      </c>
      <c r="L411" s="16">
        <f t="shared" si="79"/>
        <v>-878196.0800000001</v>
      </c>
      <c r="M411" s="54" t="str">
        <f t="shared" si="80"/>
        <v>N.M.</v>
      </c>
    </row>
    <row r="412" spans="1:13" s="15" customFormat="1" ht="12.75" hidden="1" outlineLevel="2">
      <c r="A412" s="15" t="s">
        <v>1111</v>
      </c>
      <c r="B412" s="15" t="s">
        <v>1112</v>
      </c>
      <c r="C412" s="164" t="s">
        <v>1273</v>
      </c>
      <c r="D412" s="16"/>
      <c r="E412" s="16"/>
      <c r="F412" s="16">
        <v>94458.62</v>
      </c>
      <c r="G412" s="16">
        <v>82920.55</v>
      </c>
      <c r="H412" s="16">
        <f t="shared" si="77"/>
        <v>11538.069999999992</v>
      </c>
      <c r="I412" s="54">
        <f t="shared" si="78"/>
        <v>0.1391460862234994</v>
      </c>
      <c r="J412" s="226"/>
      <c r="K412" s="295">
        <v>137579.28</v>
      </c>
      <c r="L412" s="16">
        <f t="shared" si="79"/>
        <v>-43120.66</v>
      </c>
      <c r="M412" s="54">
        <f t="shared" si="80"/>
        <v>-0.31342408537099486</v>
      </c>
    </row>
    <row r="413" spans="1:13" s="15" customFormat="1" ht="12.75" hidden="1" outlineLevel="2">
      <c r="A413" s="15" t="s">
        <v>1113</v>
      </c>
      <c r="B413" s="15" t="s">
        <v>1114</v>
      </c>
      <c r="C413" s="164" t="s">
        <v>1274</v>
      </c>
      <c r="D413" s="16"/>
      <c r="E413" s="16"/>
      <c r="F413" s="16">
        <v>1048944.71</v>
      </c>
      <c r="G413" s="16">
        <v>0</v>
      </c>
      <c r="H413" s="16">
        <f t="shared" si="77"/>
        <v>1048944.71</v>
      </c>
      <c r="I413" s="54" t="str">
        <f t="shared" si="78"/>
        <v>N.M.</v>
      </c>
      <c r="J413" s="226"/>
      <c r="K413" s="295">
        <v>0</v>
      </c>
      <c r="L413" s="16">
        <f t="shared" si="79"/>
        <v>1048944.71</v>
      </c>
      <c r="M413" s="54" t="str">
        <f t="shared" si="80"/>
        <v>N.M.</v>
      </c>
    </row>
    <row r="414" spans="1:13" s="1" customFormat="1" ht="12.75" hidden="1" outlineLevel="1" collapsed="1">
      <c r="A414" s="1" t="s">
        <v>288</v>
      </c>
      <c r="B414" s="32"/>
      <c r="C414" s="119" t="s">
        <v>219</v>
      </c>
      <c r="D414" s="107"/>
      <c r="E414" s="33"/>
      <c r="F414" s="155">
        <v>2437225.42</v>
      </c>
      <c r="G414" s="155">
        <v>2247543.5599999996</v>
      </c>
      <c r="H414" s="141">
        <f aca="true" t="shared" si="81" ref="H414:H434">+F414-G414</f>
        <v>189681.86000000034</v>
      </c>
      <c r="I414" s="166">
        <f aca="true" t="shared" si="82" ref="I414:I434">IF(G414&lt;0,IF(H414=0,0,IF(OR(G414=0,F414=0),"N.M.",IF(ABS(H414/G414)&gt;=10,"N.M.",H414/(-G414)))),IF(H414=0,0,IF(OR(G414=0,F414=0),"N.M.",IF(ABS(H414/G414)&gt;=10,"N.M.",H414/G414))))</f>
        <v>0.08439518742853659</v>
      </c>
      <c r="J414" s="218"/>
      <c r="K414" s="197">
        <v>2311899.47</v>
      </c>
      <c r="L414" s="141">
        <f aca="true" t="shared" si="83" ref="L414:L434">+F414-K414</f>
        <v>125325.94999999972</v>
      </c>
      <c r="M414" s="166">
        <f aca="true" t="shared" si="84" ref="M414:M434">IF(K414&lt;0,IF(L414=0,0,IF(OR(K414=0,F414=0),"N.M.",IF(ABS(L414/K414)&gt;=10,"N.M.",L414/(-K414)))),IF(L414=0,0,IF(OR(K414=0,F414=0),"N.M.",IF(ABS(L414/K414)&gt;=10,"N.M.",L414/K414))))</f>
        <v>0.05420908288888518</v>
      </c>
    </row>
    <row r="415" spans="1:13" s="15" customFormat="1" ht="12.75" hidden="1" outlineLevel="2">
      <c r="A415" s="15" t="s">
        <v>1115</v>
      </c>
      <c r="B415" s="15" t="s">
        <v>1116</v>
      </c>
      <c r="C415" s="164" t="s">
        <v>1275</v>
      </c>
      <c r="D415" s="16"/>
      <c r="E415" s="16"/>
      <c r="F415" s="16">
        <v>2029246.11</v>
      </c>
      <c r="G415" s="16">
        <v>2921718.0300000003</v>
      </c>
      <c r="H415" s="16">
        <f t="shared" si="81"/>
        <v>-892471.9200000002</v>
      </c>
      <c r="I415" s="54">
        <f t="shared" si="82"/>
        <v>-0.3054613452893673</v>
      </c>
      <c r="J415" s="226"/>
      <c r="K415" s="295">
        <v>2428009.0300000003</v>
      </c>
      <c r="L415" s="16">
        <f t="shared" si="83"/>
        <v>-398762.92000000016</v>
      </c>
      <c r="M415" s="54">
        <f t="shared" si="84"/>
        <v>-0.16423452922660675</v>
      </c>
    </row>
    <row r="416" spans="1:13" s="1" customFormat="1" ht="12.75" hidden="1" outlineLevel="1">
      <c r="A416" s="1" t="s">
        <v>289</v>
      </c>
      <c r="B416" s="32"/>
      <c r="C416" s="119" t="s">
        <v>220</v>
      </c>
      <c r="D416" s="107"/>
      <c r="E416" s="33"/>
      <c r="F416" s="155">
        <v>2029246.11</v>
      </c>
      <c r="G416" s="155">
        <v>2921718.0300000003</v>
      </c>
      <c r="H416" s="141">
        <f t="shared" si="81"/>
        <v>-892471.9200000002</v>
      </c>
      <c r="I416" s="166">
        <f t="shared" si="82"/>
        <v>-0.3054613452893673</v>
      </c>
      <c r="J416" s="218"/>
      <c r="K416" s="197">
        <v>2428009.0300000003</v>
      </c>
      <c r="L416" s="141">
        <f t="shared" si="83"/>
        <v>-398762.92000000016</v>
      </c>
      <c r="M416" s="166">
        <f t="shared" si="84"/>
        <v>-0.16423452922660675</v>
      </c>
    </row>
    <row r="417" spans="1:13" s="1" customFormat="1" ht="12.75" hidden="1" outlineLevel="1">
      <c r="A417" s="1" t="s">
        <v>290</v>
      </c>
      <c r="B417" s="32"/>
      <c r="C417" s="129" t="s">
        <v>221</v>
      </c>
      <c r="D417" s="107"/>
      <c r="E417" s="33"/>
      <c r="F417" s="155">
        <v>0</v>
      </c>
      <c r="G417" s="155">
        <v>0</v>
      </c>
      <c r="H417" s="141">
        <f t="shared" si="81"/>
        <v>0</v>
      </c>
      <c r="I417" s="166">
        <f t="shared" si="82"/>
        <v>0</v>
      </c>
      <c r="J417" s="218"/>
      <c r="K417" s="197">
        <v>0</v>
      </c>
      <c r="L417" s="141">
        <f t="shared" si="83"/>
        <v>0</v>
      </c>
      <c r="M417" s="166">
        <f t="shared" si="84"/>
        <v>0</v>
      </c>
    </row>
    <row r="418" spans="1:13" s="15" customFormat="1" ht="12.75" hidden="1" outlineLevel="2">
      <c r="A418" s="15" t="s">
        <v>1117</v>
      </c>
      <c r="B418" s="15" t="s">
        <v>1118</v>
      </c>
      <c r="C418" s="164" t="s">
        <v>1276</v>
      </c>
      <c r="D418" s="16"/>
      <c r="E418" s="16"/>
      <c r="F418" s="16">
        <v>5458.47</v>
      </c>
      <c r="G418" s="16">
        <v>5401.57</v>
      </c>
      <c r="H418" s="16">
        <f t="shared" si="81"/>
        <v>56.900000000000546</v>
      </c>
      <c r="I418" s="54">
        <f t="shared" si="82"/>
        <v>0.010533974381522511</v>
      </c>
      <c r="J418" s="226"/>
      <c r="K418" s="295">
        <v>475</v>
      </c>
      <c r="L418" s="16">
        <f t="shared" si="83"/>
        <v>4983.47</v>
      </c>
      <c r="M418" s="54" t="str">
        <f t="shared" si="84"/>
        <v>N.M.</v>
      </c>
    </row>
    <row r="419" spans="1:13" s="1" customFormat="1" ht="12.75" hidden="1" outlineLevel="1" collapsed="1">
      <c r="A419" s="1" t="s">
        <v>291</v>
      </c>
      <c r="B419" s="89"/>
      <c r="C419" s="130" t="s">
        <v>222</v>
      </c>
      <c r="D419" s="107"/>
      <c r="E419" s="33"/>
      <c r="F419" s="156">
        <v>5458.47</v>
      </c>
      <c r="G419" s="156">
        <v>5401.57</v>
      </c>
      <c r="H419" s="142">
        <f t="shared" si="81"/>
        <v>56.900000000000546</v>
      </c>
      <c r="I419" s="168">
        <f t="shared" si="82"/>
        <v>0.010533974381522511</v>
      </c>
      <c r="J419" s="218"/>
      <c r="K419" s="198">
        <v>475</v>
      </c>
      <c r="L419" s="142">
        <f t="shared" si="83"/>
        <v>4983.47</v>
      </c>
      <c r="M419" s="168" t="str">
        <f t="shared" si="84"/>
        <v>N.M.</v>
      </c>
    </row>
    <row r="420" spans="1:13" s="1" customFormat="1" ht="12.75" hidden="1" outlineLevel="1">
      <c r="A420" s="1" t="s">
        <v>292</v>
      </c>
      <c r="B420" s="89"/>
      <c r="C420" s="119" t="s">
        <v>223</v>
      </c>
      <c r="D420" s="107"/>
      <c r="E420" s="33"/>
      <c r="F420" s="155">
        <v>5458.47</v>
      </c>
      <c r="G420" s="155">
        <v>5401.57</v>
      </c>
      <c r="H420" s="141">
        <f t="shared" si="81"/>
        <v>56.900000000000546</v>
      </c>
      <c r="I420" s="166">
        <f t="shared" si="82"/>
        <v>0.010533974381522511</v>
      </c>
      <c r="J420" s="218"/>
      <c r="K420" s="197">
        <v>475</v>
      </c>
      <c r="L420" s="141">
        <f t="shared" si="83"/>
        <v>4983.47</v>
      </c>
      <c r="M420" s="166" t="str">
        <f t="shared" si="84"/>
        <v>N.M.</v>
      </c>
    </row>
    <row r="421" spans="1:13" s="15" customFormat="1" ht="12.75" hidden="1" outlineLevel="2">
      <c r="A421" s="15" t="s">
        <v>1119</v>
      </c>
      <c r="B421" s="15" t="s">
        <v>1120</v>
      </c>
      <c r="C421" s="164" t="s">
        <v>1277</v>
      </c>
      <c r="D421" s="16"/>
      <c r="E421" s="16"/>
      <c r="F421" s="16">
        <v>1756446.7000000002</v>
      </c>
      <c r="G421" s="16">
        <v>1971856.1</v>
      </c>
      <c r="H421" s="16">
        <f t="shared" si="81"/>
        <v>-215409.3999999999</v>
      </c>
      <c r="I421" s="54">
        <f t="shared" si="82"/>
        <v>-0.10924194721917076</v>
      </c>
      <c r="J421" s="226"/>
      <c r="K421" s="295">
        <v>0</v>
      </c>
      <c r="L421" s="16">
        <f t="shared" si="83"/>
        <v>1756446.7000000002</v>
      </c>
      <c r="M421" s="54" t="str">
        <f t="shared" si="84"/>
        <v>N.M.</v>
      </c>
    </row>
    <row r="422" spans="1:13" s="15" customFormat="1" ht="12.75" hidden="1" outlineLevel="2">
      <c r="A422" s="15" t="s">
        <v>1121</v>
      </c>
      <c r="B422" s="15" t="s">
        <v>1122</v>
      </c>
      <c r="C422" s="164" t="s">
        <v>1278</v>
      </c>
      <c r="D422" s="16"/>
      <c r="E422" s="16"/>
      <c r="F422" s="16">
        <v>1370896.281</v>
      </c>
      <c r="G422" s="16">
        <v>1533187.791</v>
      </c>
      <c r="H422" s="16">
        <f t="shared" si="81"/>
        <v>-162291.51</v>
      </c>
      <c r="I422" s="54">
        <f t="shared" si="82"/>
        <v>-0.1058523365191603</v>
      </c>
      <c r="J422" s="226"/>
      <c r="K422" s="295">
        <v>3349606.111</v>
      </c>
      <c r="L422" s="16">
        <f t="shared" si="83"/>
        <v>-1978709.83</v>
      </c>
      <c r="M422" s="54">
        <f t="shared" si="84"/>
        <v>-0.5907291079694356</v>
      </c>
    </row>
    <row r="423" spans="1:13" s="1" customFormat="1" ht="12.75" hidden="1" outlineLevel="1" collapsed="1">
      <c r="A423" s="1" t="s">
        <v>293</v>
      </c>
      <c r="B423" s="32"/>
      <c r="C423" s="129" t="s">
        <v>224</v>
      </c>
      <c r="D423" s="107"/>
      <c r="E423" s="33"/>
      <c r="F423" s="155">
        <v>3127342.981</v>
      </c>
      <c r="G423" s="155">
        <v>3505043.891</v>
      </c>
      <c r="H423" s="141">
        <f t="shared" si="81"/>
        <v>-377700.9099999997</v>
      </c>
      <c r="I423" s="166">
        <f t="shared" si="82"/>
        <v>-0.10775925259305111</v>
      </c>
      <c r="J423" s="218"/>
      <c r="K423" s="197">
        <v>3349606.111</v>
      </c>
      <c r="L423" s="141">
        <f t="shared" si="83"/>
        <v>-222263.1299999999</v>
      </c>
      <c r="M423" s="166">
        <f t="shared" si="84"/>
        <v>-0.06635500492732409</v>
      </c>
    </row>
    <row r="424" spans="1:13" s="15" customFormat="1" ht="12.75" hidden="1" outlineLevel="2">
      <c r="A424" s="15" t="s">
        <v>1123</v>
      </c>
      <c r="B424" s="15" t="s">
        <v>1124</v>
      </c>
      <c r="C424" s="164" t="s">
        <v>1279</v>
      </c>
      <c r="D424" s="16"/>
      <c r="E424" s="16"/>
      <c r="F424" s="16">
        <v>129424.206</v>
      </c>
      <c r="G424" s="16">
        <v>31323.113</v>
      </c>
      <c r="H424" s="16">
        <f t="shared" si="81"/>
        <v>98101.09300000001</v>
      </c>
      <c r="I424" s="54">
        <f t="shared" si="82"/>
        <v>3.1319075150672284</v>
      </c>
      <c r="J424" s="226"/>
      <c r="K424" s="295">
        <v>32059.222999999998</v>
      </c>
      <c r="L424" s="16">
        <f t="shared" si="83"/>
        <v>97364.98300000001</v>
      </c>
      <c r="M424" s="54">
        <f t="shared" si="84"/>
        <v>3.0370350210920587</v>
      </c>
    </row>
    <row r="425" spans="1:13" s="15" customFormat="1" ht="12.75" hidden="1" outlineLevel="2">
      <c r="A425" s="15" t="s">
        <v>1125</v>
      </c>
      <c r="B425" s="15" t="s">
        <v>1126</v>
      </c>
      <c r="C425" s="164" t="s">
        <v>870</v>
      </c>
      <c r="D425" s="16"/>
      <c r="E425" s="16"/>
      <c r="F425" s="16">
        <v>0</v>
      </c>
      <c r="G425" s="16">
        <v>0</v>
      </c>
      <c r="H425" s="16">
        <f t="shared" si="81"/>
        <v>0</v>
      </c>
      <c r="I425" s="54">
        <f t="shared" si="82"/>
        <v>0</v>
      </c>
      <c r="J425" s="226"/>
      <c r="K425" s="295">
        <v>62724.11</v>
      </c>
      <c r="L425" s="16">
        <f t="shared" si="83"/>
        <v>-62724.11</v>
      </c>
      <c r="M425" s="54" t="str">
        <f t="shared" si="84"/>
        <v>N.M.</v>
      </c>
    </row>
    <row r="426" spans="1:13" s="1" customFormat="1" ht="12.75" hidden="1" outlineLevel="1" collapsed="1">
      <c r="A426" s="1" t="s">
        <v>294</v>
      </c>
      <c r="B426" s="32"/>
      <c r="C426" s="130" t="s">
        <v>225</v>
      </c>
      <c r="D426" s="107"/>
      <c r="E426" s="33"/>
      <c r="F426" s="156">
        <v>129424.206</v>
      </c>
      <c r="G426" s="156">
        <v>31323.113</v>
      </c>
      <c r="H426" s="142">
        <f t="shared" si="81"/>
        <v>98101.09300000001</v>
      </c>
      <c r="I426" s="168">
        <f t="shared" si="82"/>
        <v>3.1319075150672284</v>
      </c>
      <c r="J426" s="218"/>
      <c r="K426" s="198">
        <v>94783.333</v>
      </c>
      <c r="L426" s="142">
        <f t="shared" si="83"/>
        <v>34640.87300000001</v>
      </c>
      <c r="M426" s="168">
        <f t="shared" si="84"/>
        <v>0.3654743075979403</v>
      </c>
    </row>
    <row r="427" spans="1:13" s="1" customFormat="1" ht="12.75" hidden="1" outlineLevel="1">
      <c r="A427" s="1" t="s">
        <v>295</v>
      </c>
      <c r="B427" s="32"/>
      <c r="C427" s="119" t="s">
        <v>226</v>
      </c>
      <c r="D427" s="107"/>
      <c r="E427" s="33"/>
      <c r="F427" s="155">
        <v>3256767.187</v>
      </c>
      <c r="G427" s="155">
        <v>3536367.0039999997</v>
      </c>
      <c r="H427" s="141">
        <f t="shared" si="81"/>
        <v>-279599.8169999998</v>
      </c>
      <c r="I427" s="166">
        <f t="shared" si="82"/>
        <v>-0.07906414031228752</v>
      </c>
      <c r="J427" s="218"/>
      <c r="K427" s="197">
        <v>3444389.444</v>
      </c>
      <c r="L427" s="141">
        <f t="shared" si="83"/>
        <v>-187622.25700000022</v>
      </c>
      <c r="M427" s="166">
        <f t="shared" si="84"/>
        <v>-0.0544718476381442</v>
      </c>
    </row>
    <row r="428" spans="1:13" s="15" customFormat="1" ht="12.75" hidden="1" outlineLevel="2">
      <c r="A428" s="15" t="s">
        <v>1127</v>
      </c>
      <c r="B428" s="15" t="s">
        <v>1128</v>
      </c>
      <c r="C428" s="164" t="s">
        <v>1280</v>
      </c>
      <c r="D428" s="16"/>
      <c r="E428" s="16"/>
      <c r="F428" s="16">
        <v>87565.17</v>
      </c>
      <c r="G428" s="16">
        <v>89053.89</v>
      </c>
      <c r="H428" s="16">
        <f t="shared" si="81"/>
        <v>-1488.7200000000012</v>
      </c>
      <c r="I428" s="54">
        <f t="shared" si="82"/>
        <v>-0.0167170687322025</v>
      </c>
      <c r="J428" s="226"/>
      <c r="K428" s="295">
        <v>87634.66</v>
      </c>
      <c r="L428" s="16">
        <f t="shared" si="83"/>
        <v>-69.49000000000524</v>
      </c>
      <c r="M428" s="54">
        <f t="shared" si="84"/>
        <v>-0.0007929510994851265</v>
      </c>
    </row>
    <row r="429" spans="1:13" s="15" customFormat="1" ht="12.75" hidden="1" outlineLevel="2">
      <c r="A429" s="15" t="s">
        <v>1129</v>
      </c>
      <c r="B429" s="15" t="s">
        <v>1130</v>
      </c>
      <c r="C429" s="164" t="s">
        <v>1281</v>
      </c>
      <c r="D429" s="16"/>
      <c r="E429" s="16"/>
      <c r="F429" s="16">
        <v>7613.55</v>
      </c>
      <c r="G429" s="16">
        <v>7350.28</v>
      </c>
      <c r="H429" s="16">
        <f t="shared" si="81"/>
        <v>263.27000000000044</v>
      </c>
      <c r="I429" s="54">
        <f t="shared" si="82"/>
        <v>0.0358176831358806</v>
      </c>
      <c r="J429" s="226"/>
      <c r="K429" s="295">
        <v>7238.32</v>
      </c>
      <c r="L429" s="16">
        <f t="shared" si="83"/>
        <v>375.2300000000005</v>
      </c>
      <c r="M429" s="54">
        <f t="shared" si="84"/>
        <v>0.051839377093027175</v>
      </c>
    </row>
    <row r="430" spans="1:13" s="15" customFormat="1" ht="12.75" hidden="1" outlineLevel="2">
      <c r="A430" s="15" t="s">
        <v>1131</v>
      </c>
      <c r="B430" s="15" t="s">
        <v>1132</v>
      </c>
      <c r="C430" s="164" t="s">
        <v>1282</v>
      </c>
      <c r="D430" s="16"/>
      <c r="E430" s="16"/>
      <c r="F430" s="16">
        <v>0</v>
      </c>
      <c r="G430" s="16">
        <v>440</v>
      </c>
      <c r="H430" s="16">
        <f t="shared" si="81"/>
        <v>-440</v>
      </c>
      <c r="I430" s="54" t="str">
        <f t="shared" si="82"/>
        <v>N.M.</v>
      </c>
      <c r="J430" s="226"/>
      <c r="K430" s="295">
        <v>0</v>
      </c>
      <c r="L430" s="16">
        <f t="shared" si="83"/>
        <v>0</v>
      </c>
      <c r="M430" s="54">
        <f t="shared" si="84"/>
        <v>0</v>
      </c>
    </row>
    <row r="431" spans="1:13" s="15" customFormat="1" ht="12.75" hidden="1" outlineLevel="2">
      <c r="A431" s="15" t="s">
        <v>1133</v>
      </c>
      <c r="B431" s="15" t="s">
        <v>1134</v>
      </c>
      <c r="C431" s="164" t="s">
        <v>1283</v>
      </c>
      <c r="D431" s="16"/>
      <c r="E431" s="16"/>
      <c r="F431" s="16">
        <v>56473.8</v>
      </c>
      <c r="G431" s="16">
        <v>26330.06</v>
      </c>
      <c r="H431" s="16">
        <f t="shared" si="81"/>
        <v>30143.74</v>
      </c>
      <c r="I431" s="54">
        <f t="shared" si="82"/>
        <v>1.1448412954622966</v>
      </c>
      <c r="J431" s="226"/>
      <c r="K431" s="295">
        <v>27682.89</v>
      </c>
      <c r="L431" s="16">
        <f t="shared" si="83"/>
        <v>28790.910000000003</v>
      </c>
      <c r="M431" s="54">
        <f t="shared" si="84"/>
        <v>1.040025445320196</v>
      </c>
    </row>
    <row r="432" spans="1:13" s="1" customFormat="1" ht="12.75" hidden="1" outlineLevel="1" collapsed="1">
      <c r="A432" s="1" t="s">
        <v>296</v>
      </c>
      <c r="B432" s="32"/>
      <c r="C432" s="119" t="s">
        <v>227</v>
      </c>
      <c r="D432" s="107"/>
      <c r="E432" s="33"/>
      <c r="F432" s="155">
        <v>151652.52000000002</v>
      </c>
      <c r="G432" s="155">
        <v>123174.23</v>
      </c>
      <c r="H432" s="141">
        <f t="shared" si="81"/>
        <v>28478.290000000023</v>
      </c>
      <c r="I432" s="166">
        <f t="shared" si="82"/>
        <v>0.23120331257601548</v>
      </c>
      <c r="J432" s="218"/>
      <c r="K432" s="197">
        <v>122555.87000000001</v>
      </c>
      <c r="L432" s="141">
        <f t="shared" si="83"/>
        <v>29096.65000000001</v>
      </c>
      <c r="M432" s="166">
        <f t="shared" si="84"/>
        <v>0.23741539266948214</v>
      </c>
    </row>
    <row r="433" spans="1:13" s="15" customFormat="1" ht="12.75" hidden="1" outlineLevel="2">
      <c r="A433" s="15" t="s">
        <v>1135</v>
      </c>
      <c r="B433" s="15" t="s">
        <v>1136</v>
      </c>
      <c r="C433" s="164" t="s">
        <v>1284</v>
      </c>
      <c r="D433" s="16"/>
      <c r="E433" s="16"/>
      <c r="F433" s="16">
        <v>619661.98</v>
      </c>
      <c r="G433" s="16">
        <v>1419004.55</v>
      </c>
      <c r="H433" s="16">
        <f t="shared" si="81"/>
        <v>-799342.5700000001</v>
      </c>
      <c r="I433" s="54">
        <f t="shared" si="82"/>
        <v>-0.5633121965676573</v>
      </c>
      <c r="J433" s="226"/>
      <c r="K433" s="295">
        <v>1350278.04</v>
      </c>
      <c r="L433" s="16">
        <f t="shared" si="83"/>
        <v>-730616.06</v>
      </c>
      <c r="M433" s="54">
        <f t="shared" si="84"/>
        <v>-0.5410856418875034</v>
      </c>
    </row>
    <row r="434" spans="1:13" s="1" customFormat="1" ht="12.75" hidden="1" outlineLevel="1" collapsed="1">
      <c r="A434" s="1" t="s">
        <v>297</v>
      </c>
      <c r="B434" s="32"/>
      <c r="C434" s="119" t="s">
        <v>228</v>
      </c>
      <c r="D434" s="107"/>
      <c r="E434" s="33"/>
      <c r="F434" s="155">
        <v>619661.98</v>
      </c>
      <c r="G434" s="155">
        <v>1419004.55</v>
      </c>
      <c r="H434" s="141">
        <f t="shared" si="81"/>
        <v>-799342.5700000001</v>
      </c>
      <c r="I434" s="166">
        <f t="shared" si="82"/>
        <v>-0.5633121965676573</v>
      </c>
      <c r="J434" s="218"/>
      <c r="K434" s="197">
        <v>1350278.04</v>
      </c>
      <c r="L434" s="141">
        <f t="shared" si="83"/>
        <v>-730616.06</v>
      </c>
      <c r="M434" s="166">
        <f t="shared" si="84"/>
        <v>-0.5410856418875034</v>
      </c>
    </row>
    <row r="435" spans="1:13" s="15" customFormat="1" ht="12.75" hidden="1" outlineLevel="2">
      <c r="A435" s="15" t="s">
        <v>1137</v>
      </c>
      <c r="B435" s="15" t="s">
        <v>1138</v>
      </c>
      <c r="C435" s="164" t="s">
        <v>1285</v>
      </c>
      <c r="D435" s="16"/>
      <c r="E435" s="16"/>
      <c r="F435" s="16">
        <v>1273428</v>
      </c>
      <c r="G435" s="16">
        <v>977963</v>
      </c>
      <c r="H435" s="16">
        <f aca="true" t="shared" si="85" ref="H435:H459">+F435-G435</f>
        <v>295465</v>
      </c>
      <c r="I435" s="54">
        <f aca="true" t="shared" si="86" ref="I435:I459">IF(G435&lt;0,IF(H435=0,0,IF(OR(G435=0,F435=0),"N.M.",IF(ABS(H435/G435)&gt;=10,"N.M.",H435/(-G435)))),IF(H435=0,0,IF(OR(G435=0,F435=0),"N.M.",IF(ABS(H435/G435)&gt;=10,"N.M.",H435/G435))))</f>
        <v>0.3021228819495216</v>
      </c>
      <c r="J435" s="226"/>
      <c r="K435" s="295">
        <v>977963</v>
      </c>
      <c r="L435" s="16">
        <f aca="true" t="shared" si="87" ref="L435:L459">+F435-K435</f>
        <v>295465</v>
      </c>
      <c r="M435" s="54">
        <f aca="true" t="shared" si="88" ref="M435:M459">IF(K435&lt;0,IF(L435=0,0,IF(OR(K435=0,F435=0),"N.M.",IF(ABS(L435/K435)&gt;=10,"N.M.",L435/(-K435)))),IF(L435=0,0,IF(OR(K435=0,F435=0),"N.M.",IF(ABS(L435/K435)&gt;=10,"N.M.",L435/K435))))</f>
        <v>0.3021228819495216</v>
      </c>
    </row>
    <row r="436" spans="1:13" s="15" customFormat="1" ht="12.75" hidden="1" outlineLevel="2">
      <c r="A436" s="15" t="s">
        <v>1139</v>
      </c>
      <c r="B436" s="15" t="s">
        <v>1140</v>
      </c>
      <c r="C436" s="164" t="s">
        <v>1286</v>
      </c>
      <c r="D436" s="16"/>
      <c r="E436" s="16"/>
      <c r="F436" s="16">
        <v>194</v>
      </c>
      <c r="G436" s="16">
        <v>123</v>
      </c>
      <c r="H436" s="16">
        <f t="shared" si="85"/>
        <v>71</v>
      </c>
      <c r="I436" s="54">
        <f t="shared" si="86"/>
        <v>0.5772357723577236</v>
      </c>
      <c r="J436" s="226"/>
      <c r="K436" s="295">
        <v>194</v>
      </c>
      <c r="L436" s="16">
        <f t="shared" si="87"/>
        <v>0</v>
      </c>
      <c r="M436" s="54">
        <f t="shared" si="88"/>
        <v>0</v>
      </c>
    </row>
    <row r="437" spans="1:13" s="15" customFormat="1" ht="12.75" hidden="1" outlineLevel="2">
      <c r="A437" s="15" t="s">
        <v>1141</v>
      </c>
      <c r="B437" s="15" t="s">
        <v>1142</v>
      </c>
      <c r="C437" s="164" t="s">
        <v>1287</v>
      </c>
      <c r="D437" s="16"/>
      <c r="E437" s="16"/>
      <c r="F437" s="16">
        <v>3691.52</v>
      </c>
      <c r="G437" s="16">
        <v>4403.46</v>
      </c>
      <c r="H437" s="16">
        <f t="shared" si="85"/>
        <v>-711.94</v>
      </c>
      <c r="I437" s="54">
        <f t="shared" si="86"/>
        <v>-0.16167740821989982</v>
      </c>
      <c r="J437" s="226"/>
      <c r="K437" s="295">
        <v>4296.21</v>
      </c>
      <c r="L437" s="16">
        <f t="shared" si="87"/>
        <v>-604.69</v>
      </c>
      <c r="M437" s="54">
        <f t="shared" si="88"/>
        <v>-0.14074963747116645</v>
      </c>
    </row>
    <row r="438" spans="1:13" s="15" customFormat="1" ht="12.75" hidden="1" outlineLevel="2">
      <c r="A438" s="15" t="s">
        <v>1143</v>
      </c>
      <c r="B438" s="15" t="s">
        <v>1144</v>
      </c>
      <c r="C438" s="164" t="s">
        <v>1288</v>
      </c>
      <c r="D438" s="16"/>
      <c r="E438" s="16"/>
      <c r="F438" s="16">
        <v>2241.07</v>
      </c>
      <c r="G438" s="16">
        <v>-2250</v>
      </c>
      <c r="H438" s="16">
        <f t="shared" si="85"/>
        <v>4491.07</v>
      </c>
      <c r="I438" s="54">
        <f t="shared" si="86"/>
        <v>1.996031111111111</v>
      </c>
      <c r="J438" s="226"/>
      <c r="K438" s="295">
        <v>0</v>
      </c>
      <c r="L438" s="16">
        <f t="shared" si="87"/>
        <v>2241.07</v>
      </c>
      <c r="M438" s="54" t="str">
        <f t="shared" si="88"/>
        <v>N.M.</v>
      </c>
    </row>
    <row r="439" spans="1:13" s="15" customFormat="1" ht="12.75" hidden="1" outlineLevel="2">
      <c r="A439" s="15" t="s">
        <v>1145</v>
      </c>
      <c r="B439" s="15" t="s">
        <v>1146</v>
      </c>
      <c r="C439" s="164" t="s">
        <v>1289</v>
      </c>
      <c r="D439" s="16"/>
      <c r="E439" s="16"/>
      <c r="F439" s="16">
        <v>0</v>
      </c>
      <c r="G439" s="16">
        <v>23065.09</v>
      </c>
      <c r="H439" s="16">
        <f t="shared" si="85"/>
        <v>-23065.09</v>
      </c>
      <c r="I439" s="54" t="str">
        <f t="shared" si="86"/>
        <v>N.M.</v>
      </c>
      <c r="J439" s="226"/>
      <c r="K439" s="295">
        <v>20801.15</v>
      </c>
      <c r="L439" s="16">
        <f t="shared" si="87"/>
        <v>-20801.15</v>
      </c>
      <c r="M439" s="54" t="str">
        <f t="shared" si="88"/>
        <v>N.M.</v>
      </c>
    </row>
    <row r="440" spans="1:13" s="15" customFormat="1" ht="12.75" hidden="1" outlineLevel="2">
      <c r="A440" s="15" t="s">
        <v>1147</v>
      </c>
      <c r="B440" s="15" t="s">
        <v>1148</v>
      </c>
      <c r="C440" s="164" t="s">
        <v>1290</v>
      </c>
      <c r="D440" s="16"/>
      <c r="E440" s="16"/>
      <c r="F440" s="16">
        <v>231174</v>
      </c>
      <c r="G440" s="16">
        <v>0</v>
      </c>
      <c r="H440" s="16">
        <f t="shared" si="85"/>
        <v>231174</v>
      </c>
      <c r="I440" s="54" t="str">
        <f t="shared" si="86"/>
        <v>N.M.</v>
      </c>
      <c r="J440" s="226"/>
      <c r="K440" s="295">
        <v>505228</v>
      </c>
      <c r="L440" s="16">
        <f t="shared" si="87"/>
        <v>-274054</v>
      </c>
      <c r="M440" s="54">
        <f t="shared" si="88"/>
        <v>-0.5424362861915808</v>
      </c>
    </row>
    <row r="441" spans="1:13" s="15" customFormat="1" ht="12.75" hidden="1" outlineLevel="2">
      <c r="A441" s="15" t="s">
        <v>1149</v>
      </c>
      <c r="B441" s="15" t="s">
        <v>1150</v>
      </c>
      <c r="C441" s="164" t="s">
        <v>1291</v>
      </c>
      <c r="D441" s="16"/>
      <c r="E441" s="16"/>
      <c r="F441" s="16">
        <v>986572.022</v>
      </c>
      <c r="G441" s="16">
        <v>906091.642</v>
      </c>
      <c r="H441" s="16">
        <f t="shared" si="85"/>
        <v>80480.38</v>
      </c>
      <c r="I441" s="54">
        <f t="shared" si="86"/>
        <v>0.08882145720090419</v>
      </c>
      <c r="J441" s="226"/>
      <c r="K441" s="295">
        <v>1243360.152</v>
      </c>
      <c r="L441" s="16">
        <f t="shared" si="87"/>
        <v>-256788.13</v>
      </c>
      <c r="M441" s="54">
        <f t="shared" si="88"/>
        <v>-0.2065275532491088</v>
      </c>
    </row>
    <row r="442" spans="1:13" s="15" customFormat="1" ht="12.75" hidden="1" outlineLevel="2">
      <c r="A442" s="15" t="s">
        <v>1151</v>
      </c>
      <c r="B442" s="15" t="s">
        <v>1152</v>
      </c>
      <c r="C442" s="164" t="s">
        <v>1292</v>
      </c>
      <c r="D442" s="16"/>
      <c r="E442" s="16"/>
      <c r="F442" s="16">
        <v>32533.424</v>
      </c>
      <c r="G442" s="16">
        <v>33076.204</v>
      </c>
      <c r="H442" s="16">
        <f t="shared" si="85"/>
        <v>-542.7799999999988</v>
      </c>
      <c r="I442" s="54">
        <f t="shared" si="86"/>
        <v>-0.016409984652410503</v>
      </c>
      <c r="J442" s="226"/>
      <c r="K442" s="295">
        <v>513.544</v>
      </c>
      <c r="L442" s="16">
        <f t="shared" si="87"/>
        <v>32019.879999999997</v>
      </c>
      <c r="M442" s="54" t="str">
        <f t="shared" si="88"/>
        <v>N.M.</v>
      </c>
    </row>
    <row r="443" spans="1:13" s="15" customFormat="1" ht="12.75" hidden="1" outlineLevel="2">
      <c r="A443" s="15" t="s">
        <v>1153</v>
      </c>
      <c r="B443" s="15" t="s">
        <v>1154</v>
      </c>
      <c r="C443" s="164" t="s">
        <v>1293</v>
      </c>
      <c r="D443" s="16"/>
      <c r="E443" s="16"/>
      <c r="F443" s="16">
        <v>62185.46</v>
      </c>
      <c r="G443" s="16">
        <v>57051.17</v>
      </c>
      <c r="H443" s="16">
        <f t="shared" si="85"/>
        <v>5134.290000000001</v>
      </c>
      <c r="I443" s="54">
        <f t="shared" si="86"/>
        <v>0.08999447338240392</v>
      </c>
      <c r="J443" s="226"/>
      <c r="K443" s="295">
        <v>81474.54000000001</v>
      </c>
      <c r="L443" s="16">
        <f t="shared" si="87"/>
        <v>-19289.08000000001</v>
      </c>
      <c r="M443" s="54">
        <f t="shared" si="88"/>
        <v>-0.23674978711140937</v>
      </c>
    </row>
    <row r="444" spans="1:13" s="15" customFormat="1" ht="12.75" hidden="1" outlineLevel="2">
      <c r="A444" s="15" t="s">
        <v>1155</v>
      </c>
      <c r="B444" s="15" t="s">
        <v>1156</v>
      </c>
      <c r="C444" s="164" t="s">
        <v>1294</v>
      </c>
      <c r="D444" s="16"/>
      <c r="E444" s="16"/>
      <c r="F444" s="16">
        <v>1603902.9300000002</v>
      </c>
      <c r="G444" s="16">
        <v>833055.12</v>
      </c>
      <c r="H444" s="16">
        <f t="shared" si="85"/>
        <v>770847.8100000002</v>
      </c>
      <c r="I444" s="54">
        <f t="shared" si="86"/>
        <v>0.9253262977364574</v>
      </c>
      <c r="J444" s="226"/>
      <c r="K444" s="295">
        <v>1056510.93</v>
      </c>
      <c r="L444" s="16">
        <f t="shared" si="87"/>
        <v>547392.0000000002</v>
      </c>
      <c r="M444" s="54">
        <f t="shared" si="88"/>
        <v>0.5181129550642701</v>
      </c>
    </row>
    <row r="445" spans="1:13" s="15" customFormat="1" ht="12.75" hidden="1" outlineLevel="2">
      <c r="A445" s="15" t="s">
        <v>1157</v>
      </c>
      <c r="B445" s="15" t="s">
        <v>1158</v>
      </c>
      <c r="C445" s="164" t="s">
        <v>1295</v>
      </c>
      <c r="D445" s="16"/>
      <c r="E445" s="16"/>
      <c r="F445" s="16">
        <v>0</v>
      </c>
      <c r="G445" s="16">
        <v>3818.05</v>
      </c>
      <c r="H445" s="16">
        <f t="shared" si="85"/>
        <v>-3818.05</v>
      </c>
      <c r="I445" s="54" t="str">
        <f t="shared" si="86"/>
        <v>N.M.</v>
      </c>
      <c r="J445" s="226"/>
      <c r="K445" s="295">
        <v>3454.5</v>
      </c>
      <c r="L445" s="16">
        <f t="shared" si="87"/>
        <v>-3454.5</v>
      </c>
      <c r="M445" s="54" t="str">
        <f t="shared" si="88"/>
        <v>N.M.</v>
      </c>
    </row>
    <row r="446" spans="1:13" s="15" customFormat="1" ht="12.75" hidden="1" outlineLevel="2">
      <c r="A446" s="15" t="s">
        <v>1159</v>
      </c>
      <c r="B446" s="15" t="s">
        <v>1160</v>
      </c>
      <c r="C446" s="164" t="s">
        <v>1296</v>
      </c>
      <c r="D446" s="16"/>
      <c r="E446" s="16"/>
      <c r="F446" s="16">
        <v>2905.8</v>
      </c>
      <c r="G446" s="16">
        <v>0</v>
      </c>
      <c r="H446" s="16">
        <f t="shared" si="85"/>
        <v>2905.8</v>
      </c>
      <c r="I446" s="54" t="str">
        <f t="shared" si="86"/>
        <v>N.M.</v>
      </c>
      <c r="J446" s="226"/>
      <c r="K446" s="295">
        <v>0</v>
      </c>
      <c r="L446" s="16">
        <f t="shared" si="87"/>
        <v>2905.8</v>
      </c>
      <c r="M446" s="54" t="str">
        <f t="shared" si="88"/>
        <v>N.M.</v>
      </c>
    </row>
    <row r="447" spans="1:13" s="15" customFormat="1" ht="12.75" hidden="1" outlineLevel="2">
      <c r="A447" s="15" t="s">
        <v>1161</v>
      </c>
      <c r="B447" s="15" t="s">
        <v>1162</v>
      </c>
      <c r="C447" s="164" t="s">
        <v>1297</v>
      </c>
      <c r="D447" s="16"/>
      <c r="E447" s="16"/>
      <c r="F447" s="16">
        <v>0</v>
      </c>
      <c r="G447" s="16">
        <v>66763.17</v>
      </c>
      <c r="H447" s="16">
        <f t="shared" si="85"/>
        <v>-66763.17</v>
      </c>
      <c r="I447" s="54" t="str">
        <f t="shared" si="86"/>
        <v>N.M.</v>
      </c>
      <c r="J447" s="226"/>
      <c r="K447" s="295">
        <v>0</v>
      </c>
      <c r="L447" s="16">
        <f t="shared" si="87"/>
        <v>0</v>
      </c>
      <c r="M447" s="54">
        <f t="shared" si="88"/>
        <v>0</v>
      </c>
    </row>
    <row r="448" spans="1:13" s="15" customFormat="1" ht="12.75" hidden="1" outlineLevel="2">
      <c r="A448" s="15" t="s">
        <v>1163</v>
      </c>
      <c r="B448" s="15" t="s">
        <v>1164</v>
      </c>
      <c r="C448" s="164" t="s">
        <v>1298</v>
      </c>
      <c r="D448" s="16"/>
      <c r="E448" s="16"/>
      <c r="F448" s="16">
        <v>515365.75</v>
      </c>
      <c r="G448" s="16">
        <v>586126.9400000001</v>
      </c>
      <c r="H448" s="16">
        <f t="shared" si="85"/>
        <v>-70761.19000000006</v>
      </c>
      <c r="I448" s="54">
        <f t="shared" si="86"/>
        <v>-0.12072673199426741</v>
      </c>
      <c r="J448" s="226"/>
      <c r="K448" s="295">
        <v>909950.4400000001</v>
      </c>
      <c r="L448" s="16">
        <f t="shared" si="87"/>
        <v>-394584.69000000006</v>
      </c>
      <c r="M448" s="54">
        <f t="shared" si="88"/>
        <v>-0.4336331657798858</v>
      </c>
    </row>
    <row r="449" spans="1:13" s="15" customFormat="1" ht="12.75" hidden="1" outlineLevel="2">
      <c r="A449" s="15" t="s">
        <v>1165</v>
      </c>
      <c r="B449" s="15" t="s">
        <v>1166</v>
      </c>
      <c r="C449" s="164" t="s">
        <v>1299</v>
      </c>
      <c r="D449" s="16"/>
      <c r="E449" s="16"/>
      <c r="F449" s="16">
        <v>0</v>
      </c>
      <c r="G449" s="16">
        <v>309480.02</v>
      </c>
      <c r="H449" s="16">
        <f t="shared" si="85"/>
        <v>-309480.02</v>
      </c>
      <c r="I449" s="54" t="str">
        <f t="shared" si="86"/>
        <v>N.M.</v>
      </c>
      <c r="J449" s="226"/>
      <c r="K449" s="295">
        <v>324067.19</v>
      </c>
      <c r="L449" s="16">
        <f t="shared" si="87"/>
        <v>-324067.19</v>
      </c>
      <c r="M449" s="54" t="str">
        <f t="shared" si="88"/>
        <v>N.M.</v>
      </c>
    </row>
    <row r="450" spans="1:13" s="15" customFormat="1" ht="12.75" hidden="1" outlineLevel="2">
      <c r="A450" s="15" t="s">
        <v>1167</v>
      </c>
      <c r="B450" s="15" t="s">
        <v>1168</v>
      </c>
      <c r="C450" s="164" t="s">
        <v>1300</v>
      </c>
      <c r="D450" s="16"/>
      <c r="E450" s="16"/>
      <c r="F450" s="16">
        <v>0</v>
      </c>
      <c r="G450" s="16">
        <v>36730</v>
      </c>
      <c r="H450" s="16">
        <f t="shared" si="85"/>
        <v>-36730</v>
      </c>
      <c r="I450" s="54" t="str">
        <f t="shared" si="86"/>
        <v>N.M.</v>
      </c>
      <c r="J450" s="226"/>
      <c r="K450" s="295">
        <v>38330</v>
      </c>
      <c r="L450" s="16">
        <f t="shared" si="87"/>
        <v>-38330</v>
      </c>
      <c r="M450" s="54" t="str">
        <f t="shared" si="88"/>
        <v>N.M.</v>
      </c>
    </row>
    <row r="451" spans="1:13" s="15" customFormat="1" ht="12.75" hidden="1" outlineLevel="2">
      <c r="A451" s="15" t="s">
        <v>1169</v>
      </c>
      <c r="B451" s="15" t="s">
        <v>1170</v>
      </c>
      <c r="C451" s="164" t="s">
        <v>1301</v>
      </c>
      <c r="D451" s="16"/>
      <c r="E451" s="16"/>
      <c r="F451" s="16">
        <v>0</v>
      </c>
      <c r="G451" s="16">
        <v>184580</v>
      </c>
      <c r="H451" s="16">
        <f t="shared" si="85"/>
        <v>-184580</v>
      </c>
      <c r="I451" s="54" t="str">
        <f t="shared" si="86"/>
        <v>N.M.</v>
      </c>
      <c r="J451" s="226"/>
      <c r="K451" s="295">
        <v>127820</v>
      </c>
      <c r="L451" s="16">
        <f t="shared" si="87"/>
        <v>-127820</v>
      </c>
      <c r="M451" s="54" t="str">
        <f t="shared" si="88"/>
        <v>N.M.</v>
      </c>
    </row>
    <row r="452" spans="1:13" s="15" customFormat="1" ht="12.75" hidden="1" outlineLevel="2">
      <c r="A452" s="15" t="s">
        <v>1171</v>
      </c>
      <c r="B452" s="15" t="s">
        <v>1172</v>
      </c>
      <c r="C452" s="164" t="s">
        <v>1302</v>
      </c>
      <c r="D452" s="16"/>
      <c r="E452" s="16"/>
      <c r="F452" s="16">
        <v>51538.75</v>
      </c>
      <c r="G452" s="16">
        <v>112771.81</v>
      </c>
      <c r="H452" s="16">
        <f t="shared" si="85"/>
        <v>-61233.06</v>
      </c>
      <c r="I452" s="54">
        <f t="shared" si="86"/>
        <v>-0.542981973952533</v>
      </c>
      <c r="J452" s="226"/>
      <c r="K452" s="295">
        <v>15300.75</v>
      </c>
      <c r="L452" s="16">
        <f t="shared" si="87"/>
        <v>36238</v>
      </c>
      <c r="M452" s="54">
        <f t="shared" si="88"/>
        <v>2.3683806349361958</v>
      </c>
    </row>
    <row r="453" spans="1:13" s="15" customFormat="1" ht="12.75" hidden="1" outlineLevel="2">
      <c r="A453" s="15" t="s">
        <v>1173</v>
      </c>
      <c r="B453" s="15" t="s">
        <v>1174</v>
      </c>
      <c r="C453" s="164" t="s">
        <v>1303</v>
      </c>
      <c r="D453" s="16"/>
      <c r="E453" s="16"/>
      <c r="F453" s="16">
        <v>1863454.01</v>
      </c>
      <c r="G453" s="16">
        <v>0</v>
      </c>
      <c r="H453" s="16">
        <f t="shared" si="85"/>
        <v>1863454.01</v>
      </c>
      <c r="I453" s="54" t="str">
        <f t="shared" si="86"/>
        <v>N.M.</v>
      </c>
      <c r="J453" s="226"/>
      <c r="K453" s="295">
        <v>0</v>
      </c>
      <c r="L453" s="16">
        <f t="shared" si="87"/>
        <v>1863454.01</v>
      </c>
      <c r="M453" s="54" t="str">
        <f t="shared" si="88"/>
        <v>N.M.</v>
      </c>
    </row>
    <row r="454" spans="1:13" s="15" customFormat="1" ht="12.75" hidden="1" outlineLevel="2">
      <c r="A454" s="15" t="s">
        <v>1175</v>
      </c>
      <c r="B454" s="15" t="s">
        <v>1176</v>
      </c>
      <c r="C454" s="164" t="s">
        <v>1304</v>
      </c>
      <c r="D454" s="16"/>
      <c r="E454" s="16"/>
      <c r="F454" s="16">
        <v>336819</v>
      </c>
      <c r="G454" s="16">
        <v>0</v>
      </c>
      <c r="H454" s="16">
        <f t="shared" si="85"/>
        <v>336819</v>
      </c>
      <c r="I454" s="54" t="str">
        <f t="shared" si="86"/>
        <v>N.M.</v>
      </c>
      <c r="J454" s="226"/>
      <c r="K454" s="295">
        <v>0</v>
      </c>
      <c r="L454" s="16">
        <f t="shared" si="87"/>
        <v>336819</v>
      </c>
      <c r="M454" s="54" t="str">
        <f t="shared" si="88"/>
        <v>N.M.</v>
      </c>
    </row>
    <row r="455" spans="1:13" s="15" customFormat="1" ht="12.75" hidden="1" outlineLevel="2">
      <c r="A455" s="15" t="s">
        <v>1177</v>
      </c>
      <c r="B455" s="15" t="s">
        <v>1178</v>
      </c>
      <c r="C455" s="164" t="s">
        <v>1305</v>
      </c>
      <c r="D455" s="16"/>
      <c r="E455" s="16"/>
      <c r="F455" s="16">
        <v>296451.4</v>
      </c>
      <c r="G455" s="16">
        <v>289321.9</v>
      </c>
      <c r="H455" s="16">
        <f t="shared" si="85"/>
        <v>7129.5</v>
      </c>
      <c r="I455" s="54">
        <f t="shared" si="86"/>
        <v>0.02464210279277165</v>
      </c>
      <c r="J455" s="226"/>
      <c r="K455" s="295">
        <v>457034.9</v>
      </c>
      <c r="L455" s="16">
        <f t="shared" si="87"/>
        <v>-160583.5</v>
      </c>
      <c r="M455" s="54">
        <f t="shared" si="88"/>
        <v>-0.3513593819640469</v>
      </c>
    </row>
    <row r="456" spans="1:13" s="15" customFormat="1" ht="12.75" hidden="1" outlineLevel="2">
      <c r="A456" s="15" t="s">
        <v>1179</v>
      </c>
      <c r="B456" s="15" t="s">
        <v>1180</v>
      </c>
      <c r="C456" s="164" t="s">
        <v>1306</v>
      </c>
      <c r="D456" s="16"/>
      <c r="E456" s="16"/>
      <c r="F456" s="16">
        <v>42482</v>
      </c>
      <c r="G456" s="16">
        <v>11448.56</v>
      </c>
      <c r="H456" s="16">
        <f t="shared" si="85"/>
        <v>31033.440000000002</v>
      </c>
      <c r="I456" s="54">
        <f t="shared" si="86"/>
        <v>2.7106850119141623</v>
      </c>
      <c r="J456" s="226"/>
      <c r="K456" s="295">
        <v>42482</v>
      </c>
      <c r="L456" s="16">
        <f t="shared" si="87"/>
        <v>0</v>
      </c>
      <c r="M456" s="54">
        <f t="shared" si="88"/>
        <v>0</v>
      </c>
    </row>
    <row r="457" spans="1:13" s="15" customFormat="1" ht="12.75" hidden="1" outlineLevel="2">
      <c r="A457" s="15" t="s">
        <v>1181</v>
      </c>
      <c r="B457" s="15" t="s">
        <v>1182</v>
      </c>
      <c r="C457" s="164" t="s">
        <v>1307</v>
      </c>
      <c r="D457" s="16"/>
      <c r="E457" s="16"/>
      <c r="F457" s="16">
        <v>0</v>
      </c>
      <c r="G457" s="16">
        <v>55240</v>
      </c>
      <c r="H457" s="16">
        <f t="shared" si="85"/>
        <v>-55240</v>
      </c>
      <c r="I457" s="54" t="str">
        <f t="shared" si="86"/>
        <v>N.M.</v>
      </c>
      <c r="J457" s="226"/>
      <c r="K457" s="295">
        <v>43030</v>
      </c>
      <c r="L457" s="16">
        <f t="shared" si="87"/>
        <v>-43030</v>
      </c>
      <c r="M457" s="54" t="str">
        <f t="shared" si="88"/>
        <v>N.M.</v>
      </c>
    </row>
    <row r="458" spans="1:13" s="15" customFormat="1" ht="12.75" hidden="1" outlineLevel="2">
      <c r="A458" s="15" t="s">
        <v>1183</v>
      </c>
      <c r="B458" s="15" t="s">
        <v>1184</v>
      </c>
      <c r="C458" s="164" t="s">
        <v>1308</v>
      </c>
      <c r="D458" s="16"/>
      <c r="E458" s="16"/>
      <c r="F458" s="16">
        <v>0</v>
      </c>
      <c r="G458" s="16">
        <v>4960</v>
      </c>
      <c r="H458" s="16">
        <f t="shared" si="85"/>
        <v>-4960</v>
      </c>
      <c r="I458" s="54" t="str">
        <f t="shared" si="86"/>
        <v>N.M.</v>
      </c>
      <c r="J458" s="226"/>
      <c r="K458" s="295">
        <v>4230</v>
      </c>
      <c r="L458" s="16">
        <f t="shared" si="87"/>
        <v>-4230</v>
      </c>
      <c r="M458" s="54" t="str">
        <f t="shared" si="88"/>
        <v>N.M.</v>
      </c>
    </row>
    <row r="459" spans="1:13" s="15" customFormat="1" ht="12.75" hidden="1" outlineLevel="2">
      <c r="A459" s="15" t="s">
        <v>1185</v>
      </c>
      <c r="B459" s="15" t="s">
        <v>1186</v>
      </c>
      <c r="C459" s="164" t="s">
        <v>1309</v>
      </c>
      <c r="D459" s="16"/>
      <c r="E459" s="16"/>
      <c r="F459" s="16">
        <v>334682.43</v>
      </c>
      <c r="G459" s="16">
        <v>40090.33</v>
      </c>
      <c r="H459" s="16">
        <f t="shared" si="85"/>
        <v>294592.1</v>
      </c>
      <c r="I459" s="54">
        <f t="shared" si="86"/>
        <v>7.348208408361816</v>
      </c>
      <c r="J459" s="226"/>
      <c r="K459" s="295">
        <v>345407.3</v>
      </c>
      <c r="L459" s="16">
        <f t="shared" si="87"/>
        <v>-10724.869999999995</v>
      </c>
      <c r="M459" s="54">
        <f t="shared" si="88"/>
        <v>-0.031049922801284154</v>
      </c>
    </row>
    <row r="460" spans="1:13" s="1" customFormat="1" ht="12.75" hidden="1" outlineLevel="1" collapsed="1">
      <c r="A460" s="1" t="s">
        <v>298</v>
      </c>
      <c r="B460" s="32"/>
      <c r="C460" s="120" t="s">
        <v>229</v>
      </c>
      <c r="D460" s="107"/>
      <c r="E460" s="33"/>
      <c r="F460" s="156">
        <v>7639621.566000001</v>
      </c>
      <c r="G460" s="156">
        <v>4533909.465999999</v>
      </c>
      <c r="H460" s="142">
        <f>+F460-G460</f>
        <v>3105712.1000000015</v>
      </c>
      <c r="I460" s="168">
        <f>IF(G460&lt;0,IF(H460=0,0,IF(OR(G460=0,F460=0),"N.M.",IF(ABS(H460/G460)&gt;=10,"N.M.",H460/(-G460)))),IF(H460=0,0,IF(OR(G460=0,F460=0),"N.M.",IF(ABS(H460/G460)&gt;=10,"N.M.",H460/G460))))</f>
        <v>0.6849964965753911</v>
      </c>
      <c r="J460" s="218"/>
      <c r="K460" s="198">
        <v>6201448.606000002</v>
      </c>
      <c r="L460" s="142">
        <f>+F460-K460</f>
        <v>1438172.959999999</v>
      </c>
      <c r="M460" s="168">
        <f>IF(K460&lt;0,IF(L460=0,0,IF(OR(K460=0,F460=0),"N.M.",IF(ABS(L460/K460)&gt;=10,"N.M.",L460/(-K460)))),IF(L460=0,0,IF(OR(K460=0,F460=0),"N.M.",IF(ABS(L460/K460)&gt;=10,"N.M.",L460/K460))))</f>
        <v>0.23190919595923823</v>
      </c>
    </row>
    <row r="461" spans="1:13" s="15" customFormat="1" ht="12.75" hidden="1" outlineLevel="2">
      <c r="A461" s="15" t="s">
        <v>1099</v>
      </c>
      <c r="B461" s="15" t="s">
        <v>1100</v>
      </c>
      <c r="C461" s="164" t="s">
        <v>1267</v>
      </c>
      <c r="D461" s="16"/>
      <c r="E461" s="16"/>
      <c r="F461" s="16">
        <v>184066.31</v>
      </c>
      <c r="G461" s="16">
        <v>170413.32</v>
      </c>
      <c r="H461" s="16">
        <f aca="true" t="shared" si="89" ref="H461:H504">+F461-G461</f>
        <v>13652.98999999999</v>
      </c>
      <c r="I461" s="54">
        <f aca="true" t="shared" si="90" ref="I461:I504">IF(G461&lt;0,IF(H461=0,0,IF(OR(G461=0,F461=0),"N.M.",IF(ABS(H461/G461)&gt;=10,"N.M.",H461/(-G461)))),IF(H461=0,0,IF(OR(G461=0,F461=0),"N.M.",IF(ABS(H461/G461)&gt;=10,"N.M.",H461/G461))))</f>
        <v>0.08011691809067502</v>
      </c>
      <c r="J461" s="226"/>
      <c r="K461" s="295">
        <v>308741.29</v>
      </c>
      <c r="L461" s="16">
        <f aca="true" t="shared" si="91" ref="L461:L504">+F461-K461</f>
        <v>-124674.97999999998</v>
      </c>
      <c r="M461" s="54">
        <f aca="true" t="shared" si="92" ref="M461:M504">IF(K461&lt;0,IF(L461=0,0,IF(OR(K461=0,F461=0),"N.M.",IF(ABS(L461/K461)&gt;=10,"N.M.",L461/(-K461)))),IF(L461=0,0,IF(OR(K461=0,F461=0),"N.M.",IF(ABS(L461/K461)&gt;=10,"N.M.",L461/K461))))</f>
        <v>-0.40381699512883423</v>
      </c>
    </row>
    <row r="462" spans="1:13" s="15" customFormat="1" ht="12.75" hidden="1" outlineLevel="2">
      <c r="A462" s="15" t="s">
        <v>1101</v>
      </c>
      <c r="B462" s="15" t="s">
        <v>1102</v>
      </c>
      <c r="C462" s="164" t="s">
        <v>1268</v>
      </c>
      <c r="D462" s="16"/>
      <c r="E462" s="16"/>
      <c r="F462" s="16">
        <v>174038.72</v>
      </c>
      <c r="G462" s="16">
        <v>138763.4</v>
      </c>
      <c r="H462" s="16">
        <f t="shared" si="89"/>
        <v>35275.32000000001</v>
      </c>
      <c r="I462" s="54">
        <f t="shared" si="90"/>
        <v>0.2542119896168587</v>
      </c>
      <c r="J462" s="226"/>
      <c r="K462" s="295">
        <v>180727.34</v>
      </c>
      <c r="L462" s="16">
        <f t="shared" si="91"/>
        <v>-6688.619999999995</v>
      </c>
      <c r="M462" s="54">
        <f t="shared" si="92"/>
        <v>-0.03700945302465026</v>
      </c>
    </row>
    <row r="463" spans="1:13" s="15" customFormat="1" ht="12.75" hidden="1" outlineLevel="2">
      <c r="A463" s="15" t="s">
        <v>1103</v>
      </c>
      <c r="B463" s="15" t="s">
        <v>1104</v>
      </c>
      <c r="C463" s="164" t="s">
        <v>1269</v>
      </c>
      <c r="D463" s="16"/>
      <c r="E463" s="16"/>
      <c r="F463" s="16">
        <v>19637.53</v>
      </c>
      <c r="G463" s="16">
        <v>10023.97</v>
      </c>
      <c r="H463" s="16">
        <f t="shared" si="89"/>
        <v>9613.56</v>
      </c>
      <c r="I463" s="54">
        <f t="shared" si="90"/>
        <v>0.9590571400353353</v>
      </c>
      <c r="J463" s="226"/>
      <c r="K463" s="295">
        <v>24296.58</v>
      </c>
      <c r="L463" s="16">
        <f t="shared" si="91"/>
        <v>-4659.050000000003</v>
      </c>
      <c r="M463" s="54">
        <f t="shared" si="92"/>
        <v>-0.19175744075915221</v>
      </c>
    </row>
    <row r="464" spans="1:13" s="15" customFormat="1" ht="12.75" hidden="1" outlineLevel="2">
      <c r="A464" s="15" t="s">
        <v>1105</v>
      </c>
      <c r="B464" s="15" t="s">
        <v>1106</v>
      </c>
      <c r="C464" s="164" t="s">
        <v>1270</v>
      </c>
      <c r="D464" s="16"/>
      <c r="E464" s="16"/>
      <c r="F464" s="16">
        <v>816212.53</v>
      </c>
      <c r="G464" s="16">
        <v>818521.34</v>
      </c>
      <c r="H464" s="16">
        <f t="shared" si="89"/>
        <v>-2308.8099999999395</v>
      </c>
      <c r="I464" s="54">
        <f t="shared" si="90"/>
        <v>-0.00282070837639974</v>
      </c>
      <c r="J464" s="226"/>
      <c r="K464" s="295">
        <v>657728.64</v>
      </c>
      <c r="L464" s="16">
        <f t="shared" si="91"/>
        <v>158483.89</v>
      </c>
      <c r="M464" s="54">
        <f t="shared" si="92"/>
        <v>0.2409563463740913</v>
      </c>
    </row>
    <row r="465" spans="1:13" s="15" customFormat="1" ht="12.75" hidden="1" outlineLevel="2">
      <c r="A465" s="15" t="s">
        <v>1107</v>
      </c>
      <c r="B465" s="15" t="s">
        <v>1108</v>
      </c>
      <c r="C465" s="164" t="s">
        <v>1271</v>
      </c>
      <c r="D465" s="16"/>
      <c r="E465" s="16"/>
      <c r="F465" s="16">
        <v>99867</v>
      </c>
      <c r="G465" s="16">
        <v>99775.73</v>
      </c>
      <c r="H465" s="16">
        <f t="shared" si="89"/>
        <v>91.27000000000407</v>
      </c>
      <c r="I465" s="54">
        <f t="shared" si="90"/>
        <v>0.0009147515132187365</v>
      </c>
      <c r="J465" s="226"/>
      <c r="K465" s="295">
        <v>124630.26000000001</v>
      </c>
      <c r="L465" s="16">
        <f t="shared" si="91"/>
        <v>-24763.26000000001</v>
      </c>
      <c r="M465" s="54">
        <f t="shared" si="92"/>
        <v>-0.19869380036597858</v>
      </c>
    </row>
    <row r="466" spans="1:13" s="15" customFormat="1" ht="12.75" hidden="1" outlineLevel="2">
      <c r="A466" s="15" t="s">
        <v>1109</v>
      </c>
      <c r="B466" s="15" t="s">
        <v>1110</v>
      </c>
      <c r="C466" s="164" t="s">
        <v>1272</v>
      </c>
      <c r="D466" s="16"/>
      <c r="E466" s="16"/>
      <c r="F466" s="16">
        <v>0</v>
      </c>
      <c r="G466" s="16">
        <v>927125.25</v>
      </c>
      <c r="H466" s="16">
        <f t="shared" si="89"/>
        <v>-927125.25</v>
      </c>
      <c r="I466" s="54" t="str">
        <f t="shared" si="90"/>
        <v>N.M.</v>
      </c>
      <c r="J466" s="226"/>
      <c r="K466" s="295">
        <v>878196.0800000001</v>
      </c>
      <c r="L466" s="16">
        <f t="shared" si="91"/>
        <v>-878196.0800000001</v>
      </c>
      <c r="M466" s="54" t="str">
        <f t="shared" si="92"/>
        <v>N.M.</v>
      </c>
    </row>
    <row r="467" spans="1:13" s="15" customFormat="1" ht="12.75" hidden="1" outlineLevel="2">
      <c r="A467" s="15" t="s">
        <v>1111</v>
      </c>
      <c r="B467" s="15" t="s">
        <v>1112</v>
      </c>
      <c r="C467" s="164" t="s">
        <v>1273</v>
      </c>
      <c r="D467" s="16"/>
      <c r="E467" s="16"/>
      <c r="F467" s="16">
        <v>94458.62</v>
      </c>
      <c r="G467" s="16">
        <v>82920.55</v>
      </c>
      <c r="H467" s="16">
        <f t="shared" si="89"/>
        <v>11538.069999999992</v>
      </c>
      <c r="I467" s="54">
        <f t="shared" si="90"/>
        <v>0.1391460862234994</v>
      </c>
      <c r="J467" s="226"/>
      <c r="K467" s="295">
        <v>137579.28</v>
      </c>
      <c r="L467" s="16">
        <f t="shared" si="91"/>
        <v>-43120.66</v>
      </c>
      <c r="M467" s="54">
        <f t="shared" si="92"/>
        <v>-0.31342408537099486</v>
      </c>
    </row>
    <row r="468" spans="1:13" s="15" customFormat="1" ht="12.75" hidden="1" outlineLevel="2">
      <c r="A468" s="15" t="s">
        <v>1113</v>
      </c>
      <c r="B468" s="15" t="s">
        <v>1114</v>
      </c>
      <c r="C468" s="164" t="s">
        <v>1274</v>
      </c>
      <c r="D468" s="16"/>
      <c r="E468" s="16"/>
      <c r="F468" s="16">
        <v>1048944.71</v>
      </c>
      <c r="G468" s="16">
        <v>0</v>
      </c>
      <c r="H468" s="16">
        <f t="shared" si="89"/>
        <v>1048944.71</v>
      </c>
      <c r="I468" s="54" t="str">
        <f t="shared" si="90"/>
        <v>N.M.</v>
      </c>
      <c r="J468" s="226"/>
      <c r="K468" s="295">
        <v>0</v>
      </c>
      <c r="L468" s="16">
        <f t="shared" si="91"/>
        <v>1048944.71</v>
      </c>
      <c r="M468" s="54" t="str">
        <f t="shared" si="92"/>
        <v>N.M.</v>
      </c>
    </row>
    <row r="469" spans="1:13" s="15" customFormat="1" ht="12.75" hidden="1" outlineLevel="2">
      <c r="A469" s="15" t="s">
        <v>1127</v>
      </c>
      <c r="B469" s="15" t="s">
        <v>1128</v>
      </c>
      <c r="C469" s="164" t="s">
        <v>1280</v>
      </c>
      <c r="D469" s="16"/>
      <c r="E469" s="16"/>
      <c r="F469" s="16">
        <v>87565.17</v>
      </c>
      <c r="G469" s="16">
        <v>89053.89</v>
      </c>
      <c r="H469" s="16">
        <f t="shared" si="89"/>
        <v>-1488.7200000000012</v>
      </c>
      <c r="I469" s="54">
        <f t="shared" si="90"/>
        <v>-0.0167170687322025</v>
      </c>
      <c r="J469" s="226"/>
      <c r="K469" s="295">
        <v>87634.66</v>
      </c>
      <c r="L469" s="16">
        <f t="shared" si="91"/>
        <v>-69.49000000000524</v>
      </c>
      <c r="M469" s="54">
        <f t="shared" si="92"/>
        <v>-0.0007929510994851265</v>
      </c>
    </row>
    <row r="470" spans="1:13" s="15" customFormat="1" ht="12.75" hidden="1" outlineLevel="2">
      <c r="A470" s="15" t="s">
        <v>1129</v>
      </c>
      <c r="B470" s="15" t="s">
        <v>1130</v>
      </c>
      <c r="C470" s="164" t="s">
        <v>1281</v>
      </c>
      <c r="D470" s="16"/>
      <c r="E470" s="16"/>
      <c r="F470" s="16">
        <v>7613.55</v>
      </c>
      <c r="G470" s="16">
        <v>7350.28</v>
      </c>
      <c r="H470" s="16">
        <f t="shared" si="89"/>
        <v>263.27000000000044</v>
      </c>
      <c r="I470" s="54">
        <f t="shared" si="90"/>
        <v>0.0358176831358806</v>
      </c>
      <c r="J470" s="226"/>
      <c r="K470" s="295">
        <v>7238.32</v>
      </c>
      <c r="L470" s="16">
        <f t="shared" si="91"/>
        <v>375.2300000000005</v>
      </c>
      <c r="M470" s="54">
        <f t="shared" si="92"/>
        <v>0.051839377093027175</v>
      </c>
    </row>
    <row r="471" spans="1:13" s="15" customFormat="1" ht="12.75" hidden="1" outlineLevel="2">
      <c r="A471" s="15" t="s">
        <v>1131</v>
      </c>
      <c r="B471" s="15" t="s">
        <v>1132</v>
      </c>
      <c r="C471" s="164" t="s">
        <v>1282</v>
      </c>
      <c r="D471" s="16"/>
      <c r="E471" s="16"/>
      <c r="F471" s="16">
        <v>0</v>
      </c>
      <c r="G471" s="16">
        <v>440</v>
      </c>
      <c r="H471" s="16">
        <f t="shared" si="89"/>
        <v>-440</v>
      </c>
      <c r="I471" s="54" t="str">
        <f t="shared" si="90"/>
        <v>N.M.</v>
      </c>
      <c r="J471" s="226"/>
      <c r="K471" s="295">
        <v>0</v>
      </c>
      <c r="L471" s="16">
        <f t="shared" si="91"/>
        <v>0</v>
      </c>
      <c r="M471" s="54">
        <f t="shared" si="92"/>
        <v>0</v>
      </c>
    </row>
    <row r="472" spans="1:13" s="15" customFormat="1" ht="12.75" hidden="1" outlineLevel="2">
      <c r="A472" s="15" t="s">
        <v>1119</v>
      </c>
      <c r="B472" s="15" t="s">
        <v>1120</v>
      </c>
      <c r="C472" s="164" t="s">
        <v>1277</v>
      </c>
      <c r="D472" s="16"/>
      <c r="E472" s="16"/>
      <c r="F472" s="16">
        <v>1756446.7000000002</v>
      </c>
      <c r="G472" s="16">
        <v>1971856.1</v>
      </c>
      <c r="H472" s="16">
        <f t="shared" si="89"/>
        <v>-215409.3999999999</v>
      </c>
      <c r="I472" s="54">
        <f t="shared" si="90"/>
        <v>-0.10924194721917076</v>
      </c>
      <c r="J472" s="226"/>
      <c r="K472" s="295">
        <v>0</v>
      </c>
      <c r="L472" s="16">
        <f t="shared" si="91"/>
        <v>1756446.7000000002</v>
      </c>
      <c r="M472" s="54" t="str">
        <f t="shared" si="92"/>
        <v>N.M.</v>
      </c>
    </row>
    <row r="473" spans="1:13" s="15" customFormat="1" ht="12.75" hidden="1" outlineLevel="2">
      <c r="A473" s="15" t="s">
        <v>1121</v>
      </c>
      <c r="B473" s="15" t="s">
        <v>1122</v>
      </c>
      <c r="C473" s="164" t="s">
        <v>1278</v>
      </c>
      <c r="D473" s="16"/>
      <c r="E473" s="16"/>
      <c r="F473" s="16">
        <v>1370896.281</v>
      </c>
      <c r="G473" s="16">
        <v>1533187.791</v>
      </c>
      <c r="H473" s="16">
        <f t="shared" si="89"/>
        <v>-162291.51</v>
      </c>
      <c r="I473" s="54">
        <f t="shared" si="90"/>
        <v>-0.1058523365191603</v>
      </c>
      <c r="J473" s="226"/>
      <c r="K473" s="295">
        <v>3349606.111</v>
      </c>
      <c r="L473" s="16">
        <f t="shared" si="91"/>
        <v>-1978709.83</v>
      </c>
      <c r="M473" s="54">
        <f t="shared" si="92"/>
        <v>-0.5907291079694356</v>
      </c>
    </row>
    <row r="474" spans="1:13" s="15" customFormat="1" ht="12.75" hidden="1" outlineLevel="2">
      <c r="A474" s="15" t="s">
        <v>1137</v>
      </c>
      <c r="B474" s="15" t="s">
        <v>1138</v>
      </c>
      <c r="C474" s="164" t="s">
        <v>1285</v>
      </c>
      <c r="D474" s="16"/>
      <c r="E474" s="16"/>
      <c r="F474" s="16">
        <v>1273428</v>
      </c>
      <c r="G474" s="16">
        <v>977963</v>
      </c>
      <c r="H474" s="16">
        <f t="shared" si="89"/>
        <v>295465</v>
      </c>
      <c r="I474" s="54">
        <f t="shared" si="90"/>
        <v>0.3021228819495216</v>
      </c>
      <c r="J474" s="226"/>
      <c r="K474" s="295">
        <v>977963</v>
      </c>
      <c r="L474" s="16">
        <f t="shared" si="91"/>
        <v>295465</v>
      </c>
      <c r="M474" s="54">
        <f t="shared" si="92"/>
        <v>0.3021228819495216</v>
      </c>
    </row>
    <row r="475" spans="1:13" s="15" customFormat="1" ht="12.75" hidden="1" outlineLevel="2">
      <c r="A475" s="15" t="s">
        <v>1133</v>
      </c>
      <c r="B475" s="15" t="s">
        <v>1134</v>
      </c>
      <c r="C475" s="164" t="s">
        <v>1283</v>
      </c>
      <c r="D475" s="16"/>
      <c r="E475" s="16"/>
      <c r="F475" s="16">
        <v>56473.8</v>
      </c>
      <c r="G475" s="16">
        <v>26330.06</v>
      </c>
      <c r="H475" s="16">
        <f t="shared" si="89"/>
        <v>30143.74</v>
      </c>
      <c r="I475" s="54">
        <f t="shared" si="90"/>
        <v>1.1448412954622966</v>
      </c>
      <c r="J475" s="226"/>
      <c r="K475" s="295">
        <v>27682.89</v>
      </c>
      <c r="L475" s="16">
        <f t="shared" si="91"/>
        <v>28790.910000000003</v>
      </c>
      <c r="M475" s="54">
        <f t="shared" si="92"/>
        <v>1.040025445320196</v>
      </c>
    </row>
    <row r="476" spans="1:13" s="15" customFormat="1" ht="12.75" hidden="1" outlineLevel="2">
      <c r="A476" s="15" t="s">
        <v>1139</v>
      </c>
      <c r="B476" s="15" t="s">
        <v>1140</v>
      </c>
      <c r="C476" s="164" t="s">
        <v>1286</v>
      </c>
      <c r="D476" s="16"/>
      <c r="E476" s="16"/>
      <c r="F476" s="16">
        <v>194</v>
      </c>
      <c r="G476" s="16">
        <v>123</v>
      </c>
      <c r="H476" s="16">
        <f t="shared" si="89"/>
        <v>71</v>
      </c>
      <c r="I476" s="54">
        <f t="shared" si="90"/>
        <v>0.5772357723577236</v>
      </c>
      <c r="J476" s="226"/>
      <c r="K476" s="295">
        <v>194</v>
      </c>
      <c r="L476" s="16">
        <f t="shared" si="91"/>
        <v>0</v>
      </c>
      <c r="M476" s="54">
        <f t="shared" si="92"/>
        <v>0</v>
      </c>
    </row>
    <row r="477" spans="1:13" s="15" customFormat="1" ht="12.75" hidden="1" outlineLevel="2">
      <c r="A477" s="15" t="s">
        <v>1123</v>
      </c>
      <c r="B477" s="15" t="s">
        <v>1124</v>
      </c>
      <c r="C477" s="164" t="s">
        <v>1279</v>
      </c>
      <c r="D477" s="16"/>
      <c r="E477" s="16"/>
      <c r="F477" s="16">
        <v>129424.206</v>
      </c>
      <c r="G477" s="16">
        <v>31323.113</v>
      </c>
      <c r="H477" s="16">
        <f t="shared" si="89"/>
        <v>98101.09300000001</v>
      </c>
      <c r="I477" s="54">
        <f t="shared" si="90"/>
        <v>3.1319075150672284</v>
      </c>
      <c r="J477" s="226"/>
      <c r="K477" s="295">
        <v>32059.222999999998</v>
      </c>
      <c r="L477" s="16">
        <f t="shared" si="91"/>
        <v>97364.98300000001</v>
      </c>
      <c r="M477" s="54">
        <f t="shared" si="92"/>
        <v>3.0370350210920587</v>
      </c>
    </row>
    <row r="478" spans="1:13" s="15" customFormat="1" ht="12.75" hidden="1" outlineLevel="2">
      <c r="A478" s="15" t="s">
        <v>1125</v>
      </c>
      <c r="B478" s="15" t="s">
        <v>1126</v>
      </c>
      <c r="C478" s="164" t="s">
        <v>870</v>
      </c>
      <c r="D478" s="16"/>
      <c r="E478" s="16"/>
      <c r="F478" s="16">
        <v>0</v>
      </c>
      <c r="G478" s="16">
        <v>0</v>
      </c>
      <c r="H478" s="16">
        <f t="shared" si="89"/>
        <v>0</v>
      </c>
      <c r="I478" s="54">
        <f t="shared" si="90"/>
        <v>0</v>
      </c>
      <c r="J478" s="226"/>
      <c r="K478" s="295">
        <v>62724.11</v>
      </c>
      <c r="L478" s="16">
        <f t="shared" si="91"/>
        <v>-62724.11</v>
      </c>
      <c r="M478" s="54" t="str">
        <f t="shared" si="92"/>
        <v>N.M.</v>
      </c>
    </row>
    <row r="479" spans="1:13" s="15" customFormat="1" ht="12.75" hidden="1" outlineLevel="2">
      <c r="A479" s="15" t="s">
        <v>1141</v>
      </c>
      <c r="B479" s="15" t="s">
        <v>1142</v>
      </c>
      <c r="C479" s="164" t="s">
        <v>1287</v>
      </c>
      <c r="D479" s="16"/>
      <c r="E479" s="16"/>
      <c r="F479" s="16">
        <v>3691.52</v>
      </c>
      <c r="G479" s="16">
        <v>4403.46</v>
      </c>
      <c r="H479" s="16">
        <f t="shared" si="89"/>
        <v>-711.94</v>
      </c>
      <c r="I479" s="54">
        <f t="shared" si="90"/>
        <v>-0.16167740821989982</v>
      </c>
      <c r="J479" s="226"/>
      <c r="K479" s="295">
        <v>4296.21</v>
      </c>
      <c r="L479" s="16">
        <f t="shared" si="91"/>
        <v>-604.69</v>
      </c>
      <c r="M479" s="54">
        <f t="shared" si="92"/>
        <v>-0.14074963747116645</v>
      </c>
    </row>
    <row r="480" spans="1:13" s="15" customFormat="1" ht="12.75" hidden="1" outlineLevel="2">
      <c r="A480" s="15" t="s">
        <v>1143</v>
      </c>
      <c r="B480" s="15" t="s">
        <v>1144</v>
      </c>
      <c r="C480" s="164" t="s">
        <v>1288</v>
      </c>
      <c r="D480" s="16"/>
      <c r="E480" s="16"/>
      <c r="F480" s="16">
        <v>2241.07</v>
      </c>
      <c r="G480" s="16">
        <v>-2250</v>
      </c>
      <c r="H480" s="16">
        <f t="shared" si="89"/>
        <v>4491.07</v>
      </c>
      <c r="I480" s="54">
        <f t="shared" si="90"/>
        <v>1.996031111111111</v>
      </c>
      <c r="J480" s="226"/>
      <c r="K480" s="295">
        <v>0</v>
      </c>
      <c r="L480" s="16">
        <f t="shared" si="91"/>
        <v>2241.07</v>
      </c>
      <c r="M480" s="54" t="str">
        <f t="shared" si="92"/>
        <v>N.M.</v>
      </c>
    </row>
    <row r="481" spans="1:13" s="15" customFormat="1" ht="12.75" hidden="1" outlineLevel="2">
      <c r="A481" s="15" t="s">
        <v>1145</v>
      </c>
      <c r="B481" s="15" t="s">
        <v>1146</v>
      </c>
      <c r="C481" s="164" t="s">
        <v>1289</v>
      </c>
      <c r="D481" s="16"/>
      <c r="E481" s="16"/>
      <c r="F481" s="16">
        <v>0</v>
      </c>
      <c r="G481" s="16">
        <v>23065.09</v>
      </c>
      <c r="H481" s="16">
        <f t="shared" si="89"/>
        <v>-23065.09</v>
      </c>
      <c r="I481" s="54" t="str">
        <f t="shared" si="90"/>
        <v>N.M.</v>
      </c>
      <c r="J481" s="226"/>
      <c r="K481" s="295">
        <v>20801.15</v>
      </c>
      <c r="L481" s="16">
        <f t="shared" si="91"/>
        <v>-20801.15</v>
      </c>
      <c r="M481" s="54" t="str">
        <f t="shared" si="92"/>
        <v>N.M.</v>
      </c>
    </row>
    <row r="482" spans="1:13" s="15" customFormat="1" ht="12.75" hidden="1" outlineLevel="2">
      <c r="A482" s="15" t="s">
        <v>1147</v>
      </c>
      <c r="B482" s="15" t="s">
        <v>1148</v>
      </c>
      <c r="C482" s="164" t="s">
        <v>1290</v>
      </c>
      <c r="D482" s="16"/>
      <c r="E482" s="16"/>
      <c r="F482" s="16">
        <v>231174</v>
      </c>
      <c r="G482" s="16">
        <v>0</v>
      </c>
      <c r="H482" s="16">
        <f t="shared" si="89"/>
        <v>231174</v>
      </c>
      <c r="I482" s="54" t="str">
        <f t="shared" si="90"/>
        <v>N.M.</v>
      </c>
      <c r="J482" s="226"/>
      <c r="K482" s="295">
        <v>505228</v>
      </c>
      <c r="L482" s="16">
        <f t="shared" si="91"/>
        <v>-274054</v>
      </c>
      <c r="M482" s="54">
        <f t="shared" si="92"/>
        <v>-0.5424362861915808</v>
      </c>
    </row>
    <row r="483" spans="1:13" s="15" customFormat="1" ht="12.75" hidden="1" outlineLevel="2">
      <c r="A483" s="15" t="s">
        <v>1117</v>
      </c>
      <c r="B483" s="15" t="s">
        <v>1118</v>
      </c>
      <c r="C483" s="164" t="s">
        <v>1276</v>
      </c>
      <c r="D483" s="16"/>
      <c r="E483" s="16"/>
      <c r="F483" s="16">
        <v>5458.47</v>
      </c>
      <c r="G483" s="16">
        <v>5401.57</v>
      </c>
      <c r="H483" s="16">
        <f t="shared" si="89"/>
        <v>56.900000000000546</v>
      </c>
      <c r="I483" s="54">
        <f t="shared" si="90"/>
        <v>0.010533974381522511</v>
      </c>
      <c r="J483" s="226"/>
      <c r="K483" s="295">
        <v>475</v>
      </c>
      <c r="L483" s="16">
        <f t="shared" si="91"/>
        <v>4983.47</v>
      </c>
      <c r="M483" s="54" t="str">
        <f t="shared" si="92"/>
        <v>N.M.</v>
      </c>
    </row>
    <row r="484" spans="1:13" s="15" customFormat="1" ht="12.75" hidden="1" outlineLevel="2">
      <c r="A484" s="15" t="s">
        <v>1149</v>
      </c>
      <c r="B484" s="15" t="s">
        <v>1150</v>
      </c>
      <c r="C484" s="164" t="s">
        <v>1291</v>
      </c>
      <c r="D484" s="16"/>
      <c r="E484" s="16"/>
      <c r="F484" s="16">
        <v>986572.022</v>
      </c>
      <c r="G484" s="16">
        <v>906091.642</v>
      </c>
      <c r="H484" s="16">
        <f t="shared" si="89"/>
        <v>80480.38</v>
      </c>
      <c r="I484" s="54">
        <f t="shared" si="90"/>
        <v>0.08882145720090419</v>
      </c>
      <c r="J484" s="226"/>
      <c r="K484" s="295">
        <v>1243360.152</v>
      </c>
      <c r="L484" s="16">
        <f t="shared" si="91"/>
        <v>-256788.13</v>
      </c>
      <c r="M484" s="54">
        <f t="shared" si="92"/>
        <v>-0.2065275532491088</v>
      </c>
    </row>
    <row r="485" spans="1:13" s="15" customFormat="1" ht="12.75" hidden="1" outlineLevel="2">
      <c r="A485" s="15" t="s">
        <v>1151</v>
      </c>
      <c r="B485" s="15" t="s">
        <v>1152</v>
      </c>
      <c r="C485" s="164" t="s">
        <v>1292</v>
      </c>
      <c r="D485" s="16"/>
      <c r="E485" s="16"/>
      <c r="F485" s="16">
        <v>32533.424</v>
      </c>
      <c r="G485" s="16">
        <v>33076.204</v>
      </c>
      <c r="H485" s="16">
        <f t="shared" si="89"/>
        <v>-542.7799999999988</v>
      </c>
      <c r="I485" s="54">
        <f t="shared" si="90"/>
        <v>-0.016409984652410503</v>
      </c>
      <c r="J485" s="226"/>
      <c r="K485" s="295">
        <v>513.544</v>
      </c>
      <c r="L485" s="16">
        <f t="shared" si="91"/>
        <v>32019.879999999997</v>
      </c>
      <c r="M485" s="54" t="str">
        <f t="shared" si="92"/>
        <v>N.M.</v>
      </c>
    </row>
    <row r="486" spans="1:13" s="15" customFormat="1" ht="12.75" hidden="1" outlineLevel="2">
      <c r="A486" s="15" t="s">
        <v>1115</v>
      </c>
      <c r="B486" s="15" t="s">
        <v>1116</v>
      </c>
      <c r="C486" s="164" t="s">
        <v>1275</v>
      </c>
      <c r="D486" s="16"/>
      <c r="E486" s="16"/>
      <c r="F486" s="16">
        <v>2029246.11</v>
      </c>
      <c r="G486" s="16">
        <v>2921718.0300000003</v>
      </c>
      <c r="H486" s="16">
        <f t="shared" si="89"/>
        <v>-892471.9200000002</v>
      </c>
      <c r="I486" s="54">
        <f t="shared" si="90"/>
        <v>-0.3054613452893673</v>
      </c>
      <c r="J486" s="226"/>
      <c r="K486" s="295">
        <v>2428009.0300000003</v>
      </c>
      <c r="L486" s="16">
        <f t="shared" si="91"/>
        <v>-398762.92000000016</v>
      </c>
      <c r="M486" s="54">
        <f t="shared" si="92"/>
        <v>-0.16423452922660675</v>
      </c>
    </row>
    <row r="487" spans="1:13" s="15" customFormat="1" ht="12.75" hidden="1" outlineLevel="2">
      <c r="A487" s="15" t="s">
        <v>1135</v>
      </c>
      <c r="B487" s="15" t="s">
        <v>1136</v>
      </c>
      <c r="C487" s="164" t="s">
        <v>1284</v>
      </c>
      <c r="D487" s="16"/>
      <c r="E487" s="16"/>
      <c r="F487" s="16">
        <v>619661.98</v>
      </c>
      <c r="G487" s="16">
        <v>1419004.55</v>
      </c>
      <c r="H487" s="16">
        <f t="shared" si="89"/>
        <v>-799342.5700000001</v>
      </c>
      <c r="I487" s="54">
        <f t="shared" si="90"/>
        <v>-0.5633121965676573</v>
      </c>
      <c r="J487" s="226"/>
      <c r="K487" s="295">
        <v>1350278.04</v>
      </c>
      <c r="L487" s="16">
        <f t="shared" si="91"/>
        <v>-730616.06</v>
      </c>
      <c r="M487" s="54">
        <f t="shared" si="92"/>
        <v>-0.5410856418875034</v>
      </c>
    </row>
    <row r="488" spans="1:13" s="15" customFormat="1" ht="12.75" hidden="1" outlineLevel="2">
      <c r="A488" s="15" t="s">
        <v>1153</v>
      </c>
      <c r="B488" s="15" t="s">
        <v>1154</v>
      </c>
      <c r="C488" s="164" t="s">
        <v>1293</v>
      </c>
      <c r="D488" s="16"/>
      <c r="E488" s="16"/>
      <c r="F488" s="16">
        <v>62185.46</v>
      </c>
      <c r="G488" s="16">
        <v>57051.17</v>
      </c>
      <c r="H488" s="16">
        <f t="shared" si="89"/>
        <v>5134.290000000001</v>
      </c>
      <c r="I488" s="54">
        <f t="shared" si="90"/>
        <v>0.08999447338240392</v>
      </c>
      <c r="J488" s="226"/>
      <c r="K488" s="295">
        <v>81474.54000000001</v>
      </c>
      <c r="L488" s="16">
        <f t="shared" si="91"/>
        <v>-19289.08000000001</v>
      </c>
      <c r="M488" s="54">
        <f t="shared" si="92"/>
        <v>-0.23674978711140937</v>
      </c>
    </row>
    <row r="489" spans="1:13" s="15" customFormat="1" ht="12.75" hidden="1" outlineLevel="2">
      <c r="A489" s="15" t="s">
        <v>1155</v>
      </c>
      <c r="B489" s="15" t="s">
        <v>1156</v>
      </c>
      <c r="C489" s="164" t="s">
        <v>1294</v>
      </c>
      <c r="D489" s="16"/>
      <c r="E489" s="16"/>
      <c r="F489" s="16">
        <v>1603902.9300000002</v>
      </c>
      <c r="G489" s="16">
        <v>833055.12</v>
      </c>
      <c r="H489" s="16">
        <f t="shared" si="89"/>
        <v>770847.8100000002</v>
      </c>
      <c r="I489" s="54">
        <f t="shared" si="90"/>
        <v>0.9253262977364574</v>
      </c>
      <c r="J489" s="226"/>
      <c r="K489" s="295">
        <v>1056510.93</v>
      </c>
      <c r="L489" s="16">
        <f t="shared" si="91"/>
        <v>547392.0000000002</v>
      </c>
      <c r="M489" s="54">
        <f t="shared" si="92"/>
        <v>0.5181129550642701</v>
      </c>
    </row>
    <row r="490" spans="1:13" s="15" customFormat="1" ht="12.75" hidden="1" outlineLevel="2">
      <c r="A490" s="15" t="s">
        <v>1157</v>
      </c>
      <c r="B490" s="15" t="s">
        <v>1158</v>
      </c>
      <c r="C490" s="164" t="s">
        <v>1295</v>
      </c>
      <c r="D490" s="16"/>
      <c r="E490" s="16"/>
      <c r="F490" s="16">
        <v>0</v>
      </c>
      <c r="G490" s="16">
        <v>3818.05</v>
      </c>
      <c r="H490" s="16">
        <f t="shared" si="89"/>
        <v>-3818.05</v>
      </c>
      <c r="I490" s="54" t="str">
        <f t="shared" si="90"/>
        <v>N.M.</v>
      </c>
      <c r="J490" s="226"/>
      <c r="K490" s="295">
        <v>3454.5</v>
      </c>
      <c r="L490" s="16">
        <f t="shared" si="91"/>
        <v>-3454.5</v>
      </c>
      <c r="M490" s="54" t="str">
        <f t="shared" si="92"/>
        <v>N.M.</v>
      </c>
    </row>
    <row r="491" spans="1:13" s="15" customFormat="1" ht="12.75" hidden="1" outlineLevel="2">
      <c r="A491" s="15" t="s">
        <v>1159</v>
      </c>
      <c r="B491" s="15" t="s">
        <v>1160</v>
      </c>
      <c r="C491" s="164" t="s">
        <v>1296</v>
      </c>
      <c r="D491" s="16"/>
      <c r="E491" s="16"/>
      <c r="F491" s="16">
        <v>2905.8</v>
      </c>
      <c r="G491" s="16">
        <v>0</v>
      </c>
      <c r="H491" s="16">
        <f t="shared" si="89"/>
        <v>2905.8</v>
      </c>
      <c r="I491" s="54" t="str">
        <f t="shared" si="90"/>
        <v>N.M.</v>
      </c>
      <c r="J491" s="226"/>
      <c r="K491" s="295">
        <v>0</v>
      </c>
      <c r="L491" s="16">
        <f t="shared" si="91"/>
        <v>2905.8</v>
      </c>
      <c r="M491" s="54" t="str">
        <f t="shared" si="92"/>
        <v>N.M.</v>
      </c>
    </row>
    <row r="492" spans="1:13" s="15" customFormat="1" ht="12.75" hidden="1" outlineLevel="2">
      <c r="A492" s="15" t="s">
        <v>1161</v>
      </c>
      <c r="B492" s="15" t="s">
        <v>1162</v>
      </c>
      <c r="C492" s="164" t="s">
        <v>1297</v>
      </c>
      <c r="D492" s="16"/>
      <c r="E492" s="16"/>
      <c r="F492" s="16">
        <v>0</v>
      </c>
      <c r="G492" s="16">
        <v>66763.17</v>
      </c>
      <c r="H492" s="16">
        <f t="shared" si="89"/>
        <v>-66763.17</v>
      </c>
      <c r="I492" s="54" t="str">
        <f t="shared" si="90"/>
        <v>N.M.</v>
      </c>
      <c r="J492" s="226"/>
      <c r="K492" s="295">
        <v>0</v>
      </c>
      <c r="L492" s="16">
        <f t="shared" si="91"/>
        <v>0</v>
      </c>
      <c r="M492" s="54">
        <f t="shared" si="92"/>
        <v>0</v>
      </c>
    </row>
    <row r="493" spans="1:13" s="15" customFormat="1" ht="12.75" hidden="1" outlineLevel="2">
      <c r="A493" s="15" t="s">
        <v>1163</v>
      </c>
      <c r="B493" s="15" t="s">
        <v>1164</v>
      </c>
      <c r="C493" s="164" t="s">
        <v>1298</v>
      </c>
      <c r="D493" s="16"/>
      <c r="E493" s="16"/>
      <c r="F493" s="16">
        <v>515365.75</v>
      </c>
      <c r="G493" s="16">
        <v>586126.9400000001</v>
      </c>
      <c r="H493" s="16">
        <f t="shared" si="89"/>
        <v>-70761.19000000006</v>
      </c>
      <c r="I493" s="54">
        <f t="shared" si="90"/>
        <v>-0.12072673199426741</v>
      </c>
      <c r="J493" s="226"/>
      <c r="K493" s="295">
        <v>909950.4400000001</v>
      </c>
      <c r="L493" s="16">
        <f t="shared" si="91"/>
        <v>-394584.69000000006</v>
      </c>
      <c r="M493" s="54">
        <f t="shared" si="92"/>
        <v>-0.4336331657798858</v>
      </c>
    </row>
    <row r="494" spans="1:13" s="15" customFormat="1" ht="12.75" hidden="1" outlineLevel="2">
      <c r="A494" s="15" t="s">
        <v>1165</v>
      </c>
      <c r="B494" s="15" t="s">
        <v>1166</v>
      </c>
      <c r="C494" s="164" t="s">
        <v>1299</v>
      </c>
      <c r="D494" s="16"/>
      <c r="E494" s="16"/>
      <c r="F494" s="16">
        <v>0</v>
      </c>
      <c r="G494" s="16">
        <v>309480.02</v>
      </c>
      <c r="H494" s="16">
        <f t="shared" si="89"/>
        <v>-309480.02</v>
      </c>
      <c r="I494" s="54" t="str">
        <f t="shared" si="90"/>
        <v>N.M.</v>
      </c>
      <c r="J494" s="226"/>
      <c r="K494" s="295">
        <v>324067.19</v>
      </c>
      <c r="L494" s="16">
        <f t="shared" si="91"/>
        <v>-324067.19</v>
      </c>
      <c r="M494" s="54" t="str">
        <f t="shared" si="92"/>
        <v>N.M.</v>
      </c>
    </row>
    <row r="495" spans="1:13" s="15" customFormat="1" ht="12.75" hidden="1" outlineLevel="2">
      <c r="A495" s="15" t="s">
        <v>1167</v>
      </c>
      <c r="B495" s="15" t="s">
        <v>1168</v>
      </c>
      <c r="C495" s="164" t="s">
        <v>1300</v>
      </c>
      <c r="D495" s="16"/>
      <c r="E495" s="16"/>
      <c r="F495" s="16">
        <v>0</v>
      </c>
      <c r="G495" s="16">
        <v>36730</v>
      </c>
      <c r="H495" s="16">
        <f t="shared" si="89"/>
        <v>-36730</v>
      </c>
      <c r="I495" s="54" t="str">
        <f t="shared" si="90"/>
        <v>N.M.</v>
      </c>
      <c r="J495" s="226"/>
      <c r="K495" s="295">
        <v>38330</v>
      </c>
      <c r="L495" s="16">
        <f t="shared" si="91"/>
        <v>-38330</v>
      </c>
      <c r="M495" s="54" t="str">
        <f t="shared" si="92"/>
        <v>N.M.</v>
      </c>
    </row>
    <row r="496" spans="1:13" s="15" customFormat="1" ht="12.75" hidden="1" outlineLevel="2">
      <c r="A496" s="15" t="s">
        <v>1169</v>
      </c>
      <c r="B496" s="15" t="s">
        <v>1170</v>
      </c>
      <c r="C496" s="164" t="s">
        <v>1301</v>
      </c>
      <c r="D496" s="16"/>
      <c r="E496" s="16"/>
      <c r="F496" s="16">
        <v>0</v>
      </c>
      <c r="G496" s="16">
        <v>184580</v>
      </c>
      <c r="H496" s="16">
        <f t="shared" si="89"/>
        <v>-184580</v>
      </c>
      <c r="I496" s="54" t="str">
        <f t="shared" si="90"/>
        <v>N.M.</v>
      </c>
      <c r="J496" s="226"/>
      <c r="K496" s="295">
        <v>127820</v>
      </c>
      <c r="L496" s="16">
        <f t="shared" si="91"/>
        <v>-127820</v>
      </c>
      <c r="M496" s="54" t="str">
        <f t="shared" si="92"/>
        <v>N.M.</v>
      </c>
    </row>
    <row r="497" spans="1:13" s="15" customFormat="1" ht="12.75" hidden="1" outlineLevel="2">
      <c r="A497" s="15" t="s">
        <v>1171</v>
      </c>
      <c r="B497" s="15" t="s">
        <v>1172</v>
      </c>
      <c r="C497" s="164" t="s">
        <v>1302</v>
      </c>
      <c r="D497" s="16"/>
      <c r="E497" s="16"/>
      <c r="F497" s="16">
        <v>51538.75</v>
      </c>
      <c r="G497" s="16">
        <v>112771.81</v>
      </c>
      <c r="H497" s="16">
        <f t="shared" si="89"/>
        <v>-61233.06</v>
      </c>
      <c r="I497" s="54">
        <f t="shared" si="90"/>
        <v>-0.542981973952533</v>
      </c>
      <c r="J497" s="226"/>
      <c r="K497" s="295">
        <v>15300.75</v>
      </c>
      <c r="L497" s="16">
        <f t="shared" si="91"/>
        <v>36238</v>
      </c>
      <c r="M497" s="54">
        <f t="shared" si="92"/>
        <v>2.3683806349361958</v>
      </c>
    </row>
    <row r="498" spans="1:13" s="15" customFormat="1" ht="12.75" hidden="1" outlineLevel="2">
      <c r="A498" s="15" t="s">
        <v>1173</v>
      </c>
      <c r="B498" s="15" t="s">
        <v>1174</v>
      </c>
      <c r="C498" s="164" t="s">
        <v>1303</v>
      </c>
      <c r="D498" s="16"/>
      <c r="E498" s="16"/>
      <c r="F498" s="16">
        <v>1863454.01</v>
      </c>
      <c r="G498" s="16">
        <v>0</v>
      </c>
      <c r="H498" s="16">
        <f t="shared" si="89"/>
        <v>1863454.01</v>
      </c>
      <c r="I498" s="54" t="str">
        <f t="shared" si="90"/>
        <v>N.M.</v>
      </c>
      <c r="J498" s="226"/>
      <c r="K498" s="295">
        <v>0</v>
      </c>
      <c r="L498" s="16">
        <f t="shared" si="91"/>
        <v>1863454.01</v>
      </c>
      <c r="M498" s="54" t="str">
        <f t="shared" si="92"/>
        <v>N.M.</v>
      </c>
    </row>
    <row r="499" spans="1:13" s="15" customFormat="1" ht="12.75" hidden="1" outlineLevel="2">
      <c r="A499" s="15" t="s">
        <v>1175</v>
      </c>
      <c r="B499" s="15" t="s">
        <v>1176</v>
      </c>
      <c r="C499" s="164" t="s">
        <v>1304</v>
      </c>
      <c r="D499" s="16"/>
      <c r="E499" s="16"/>
      <c r="F499" s="16">
        <v>336819</v>
      </c>
      <c r="G499" s="16">
        <v>0</v>
      </c>
      <c r="H499" s="16">
        <f t="shared" si="89"/>
        <v>336819</v>
      </c>
      <c r="I499" s="54" t="str">
        <f t="shared" si="90"/>
        <v>N.M.</v>
      </c>
      <c r="J499" s="226"/>
      <c r="K499" s="295">
        <v>0</v>
      </c>
      <c r="L499" s="16">
        <f t="shared" si="91"/>
        <v>336819</v>
      </c>
      <c r="M499" s="54" t="str">
        <f t="shared" si="92"/>
        <v>N.M.</v>
      </c>
    </row>
    <row r="500" spans="1:13" s="15" customFormat="1" ht="12.75" hidden="1" outlineLevel="2">
      <c r="A500" s="15" t="s">
        <v>1177</v>
      </c>
      <c r="B500" s="15" t="s">
        <v>1178</v>
      </c>
      <c r="C500" s="164" t="s">
        <v>1305</v>
      </c>
      <c r="D500" s="16"/>
      <c r="E500" s="16"/>
      <c r="F500" s="16">
        <v>296451.4</v>
      </c>
      <c r="G500" s="16">
        <v>289321.9</v>
      </c>
      <c r="H500" s="16">
        <f t="shared" si="89"/>
        <v>7129.5</v>
      </c>
      <c r="I500" s="54">
        <f t="shared" si="90"/>
        <v>0.02464210279277165</v>
      </c>
      <c r="J500" s="226"/>
      <c r="K500" s="295">
        <v>457034.9</v>
      </c>
      <c r="L500" s="16">
        <f t="shared" si="91"/>
        <v>-160583.5</v>
      </c>
      <c r="M500" s="54">
        <f t="shared" si="92"/>
        <v>-0.3513593819640469</v>
      </c>
    </row>
    <row r="501" spans="1:13" s="15" customFormat="1" ht="12.75" hidden="1" outlineLevel="2">
      <c r="A501" s="15" t="s">
        <v>1179</v>
      </c>
      <c r="B501" s="15" t="s">
        <v>1180</v>
      </c>
      <c r="C501" s="164" t="s">
        <v>1306</v>
      </c>
      <c r="D501" s="16"/>
      <c r="E501" s="16"/>
      <c r="F501" s="16">
        <v>42482</v>
      </c>
      <c r="G501" s="16">
        <v>11448.56</v>
      </c>
      <c r="H501" s="16">
        <f t="shared" si="89"/>
        <v>31033.440000000002</v>
      </c>
      <c r="I501" s="54">
        <f t="shared" si="90"/>
        <v>2.7106850119141623</v>
      </c>
      <c r="J501" s="226"/>
      <c r="K501" s="295">
        <v>42482</v>
      </c>
      <c r="L501" s="16">
        <f t="shared" si="91"/>
        <v>0</v>
      </c>
      <c r="M501" s="54">
        <f t="shared" si="92"/>
        <v>0</v>
      </c>
    </row>
    <row r="502" spans="1:13" s="15" customFormat="1" ht="12.75" hidden="1" outlineLevel="2">
      <c r="A502" s="15" t="s">
        <v>1181</v>
      </c>
      <c r="B502" s="15" t="s">
        <v>1182</v>
      </c>
      <c r="C502" s="164" t="s">
        <v>1307</v>
      </c>
      <c r="D502" s="16"/>
      <c r="E502" s="16"/>
      <c r="F502" s="16">
        <v>0</v>
      </c>
      <c r="G502" s="16">
        <v>55240</v>
      </c>
      <c r="H502" s="16">
        <f t="shared" si="89"/>
        <v>-55240</v>
      </c>
      <c r="I502" s="54" t="str">
        <f t="shared" si="90"/>
        <v>N.M.</v>
      </c>
      <c r="J502" s="226"/>
      <c r="K502" s="295">
        <v>43030</v>
      </c>
      <c r="L502" s="16">
        <f t="shared" si="91"/>
        <v>-43030</v>
      </c>
      <c r="M502" s="54" t="str">
        <f t="shared" si="92"/>
        <v>N.M.</v>
      </c>
    </row>
    <row r="503" spans="1:13" s="15" customFormat="1" ht="12.75" hidden="1" outlineLevel="2">
      <c r="A503" s="15" t="s">
        <v>1183</v>
      </c>
      <c r="B503" s="15" t="s">
        <v>1184</v>
      </c>
      <c r="C503" s="164" t="s">
        <v>1308</v>
      </c>
      <c r="D503" s="16"/>
      <c r="E503" s="16"/>
      <c r="F503" s="16">
        <v>0</v>
      </c>
      <c r="G503" s="16">
        <v>4960</v>
      </c>
      <c r="H503" s="16">
        <f t="shared" si="89"/>
        <v>-4960</v>
      </c>
      <c r="I503" s="54" t="str">
        <f t="shared" si="90"/>
        <v>N.M.</v>
      </c>
      <c r="J503" s="226"/>
      <c r="K503" s="295">
        <v>4230</v>
      </c>
      <c r="L503" s="16">
        <f t="shared" si="91"/>
        <v>-4230</v>
      </c>
      <c r="M503" s="54" t="str">
        <f t="shared" si="92"/>
        <v>N.M.</v>
      </c>
    </row>
    <row r="504" spans="1:13" s="15" customFormat="1" ht="12.75" hidden="1" outlineLevel="2">
      <c r="A504" s="15" t="s">
        <v>1185</v>
      </c>
      <c r="B504" s="15" t="s">
        <v>1186</v>
      </c>
      <c r="C504" s="164" t="s">
        <v>1309</v>
      </c>
      <c r="D504" s="16"/>
      <c r="E504" s="16"/>
      <c r="F504" s="16">
        <v>334682.43</v>
      </c>
      <c r="G504" s="16">
        <v>40090.33</v>
      </c>
      <c r="H504" s="16">
        <f t="shared" si="89"/>
        <v>294592.1</v>
      </c>
      <c r="I504" s="54">
        <f t="shared" si="90"/>
        <v>7.348208408361816</v>
      </c>
      <c r="J504" s="226"/>
      <c r="K504" s="295">
        <v>345407.3</v>
      </c>
      <c r="L504" s="16">
        <f t="shared" si="91"/>
        <v>-10724.869999999995</v>
      </c>
      <c r="M504" s="54">
        <f t="shared" si="92"/>
        <v>-0.031049922801284154</v>
      </c>
    </row>
    <row r="505" spans="1:13" ht="12.75" collapsed="1">
      <c r="A505" s="11" t="s">
        <v>299</v>
      </c>
      <c r="C505" s="131" t="s">
        <v>218</v>
      </c>
      <c r="D505" s="122"/>
      <c r="E505" s="123"/>
      <c r="F505" s="157">
        <v>16139633.253</v>
      </c>
      <c r="G505" s="157">
        <v>14787118.41</v>
      </c>
      <c r="H505" s="142">
        <f>+F505-G505</f>
        <v>1352514.8430000003</v>
      </c>
      <c r="I505" s="168">
        <f>IF(G505&lt;0,IF(H505=0,0,IF(OR(G505=0,F505=0),"N.M.",IF(ABS(H505/G505)&gt;=10,"N.M.",H505/(-G505)))),IF(H505=0,0,IF(OR(G505=0,F505=0),"N.M.",IF(ABS(H505/G505)&gt;=10,"N.M.",H505/G505))))</f>
        <v>0.09146574778797624</v>
      </c>
      <c r="J505" s="217"/>
      <c r="K505" s="199">
        <v>15859055.459999999</v>
      </c>
      <c r="L505" s="142">
        <f>+F505-K505</f>
        <v>280577.79300000146</v>
      </c>
      <c r="M505" s="168">
        <f>IF(K505&lt;0,IF(L505=0,0,IF(OR(K505=0,F505=0),"N.M.",IF(ABS(L505/K505)&gt;=10,"N.M.",L505/(-K505)))),IF(L505=0,0,IF(OR(K505=0,F505=0),"N.M.",IF(ABS(L505/K505)&gt;=10,"N.M.",L505/K505))))</f>
        <v>0.01769196114533302</v>
      </c>
    </row>
    <row r="506" spans="1:13" s="13" customFormat="1" ht="12.75">
      <c r="A506" s="13" t="s">
        <v>300</v>
      </c>
      <c r="C506" s="115" t="s">
        <v>239</v>
      </c>
      <c r="D506" s="34"/>
      <c r="F506" s="150">
        <v>75685878.55300002</v>
      </c>
      <c r="G506" s="150">
        <v>108791442.83000003</v>
      </c>
      <c r="H506" s="143">
        <f>+F506-G506</f>
        <v>-33105564.27700001</v>
      </c>
      <c r="I506" s="167">
        <f>IF(G506&lt;0,IF(H506=0,0,IF(OR(G506=0,F506=0),"N.M.",IF(ABS(H506/G506)&gt;=10,"N.M.",H506/(-G506)))),IF(H506=0,0,IF(OR(G506=0,F506=0),"N.M.",IF(ABS(H506/G506)&gt;=10,"N.M.",H506/G506))))</f>
        <v>-0.30430301700044105</v>
      </c>
      <c r="J506" s="219"/>
      <c r="K506" s="193">
        <v>101445796.95300002</v>
      </c>
      <c r="L506" s="143">
        <f>+F506-K506</f>
        <v>-25759918.400000006</v>
      </c>
      <c r="M506" s="167">
        <f>IF(K506&lt;0,IF(L506=0,0,IF(OR(K506=0,F506=0),"N.M.",IF(ABS(L506/K506)&gt;=10,"N.M.",L506/(-K506)))),IF(L506=0,0,IF(OR(K506=0,F506=0),"N.M.",IF(ABS(L506/K506)&gt;=10,"N.M.",L506/K506))))</f>
        <v>-0.2539279021282135</v>
      </c>
    </row>
    <row r="507" spans="3:13" ht="12.75">
      <c r="C507" s="132"/>
      <c r="D507" s="109"/>
      <c r="E507" s="11"/>
      <c r="F507" s="162" t="str">
        <f>IF(ABS(+F302+F304+F306+F308+F334+F348+F311+F353+F384+F391+F393+F397+F404+F505-F506)&gt;$C$632,$N$183," ")</f>
        <v> </v>
      </c>
      <c r="G507" s="162" t="str">
        <f>IF(ABS(+G302+G304+G306+G308+G334+G348+G311+G353+G384+G391+G393+G397+G404+G505-G506)&gt;$C$632,$N$183," ")</f>
        <v> </v>
      </c>
      <c r="H507" s="162" t="str">
        <f>IF(ABS(+H302+H304+H306+H308+H334+H348+H311+H353+H384+H391+H393+H397+H404+H505-H506)&gt;$C$632,$N$183," ")</f>
        <v> </v>
      </c>
      <c r="I507" s="171"/>
      <c r="J507" s="217"/>
      <c r="K507" s="188" t="str">
        <f>IF(ABS(+K302+K304+K306+K308+K334+K348+K311+K353+K384+K391+K393+K397+K404+K505-K506)&gt;$C$632,$N$183," ")</f>
        <v> </v>
      </c>
      <c r="L507" s="162" t="str">
        <f>IF(ABS(+L302+L304+L306+L308+L334+L348+L311+L353+L384+L391+L393+L397+L404+L505-L506)&gt;$C$632,$N$183," ")</f>
        <v> </v>
      </c>
      <c r="M507" s="171"/>
    </row>
    <row r="508" spans="3:13" ht="12.75">
      <c r="C508" s="133"/>
      <c r="D508" s="105"/>
      <c r="E508" s="106"/>
      <c r="F508" s="148"/>
      <c r="G508" s="148"/>
      <c r="H508" s="148"/>
      <c r="I508" s="171"/>
      <c r="J508" s="217"/>
      <c r="K508" s="191"/>
      <c r="L508" s="148"/>
      <c r="M508" s="171"/>
    </row>
    <row r="509" spans="3:13" ht="0.75" customHeight="1" hidden="1" outlineLevel="1">
      <c r="C509" s="133"/>
      <c r="D509" s="105"/>
      <c r="E509" s="106"/>
      <c r="F509" s="148"/>
      <c r="G509" s="148"/>
      <c r="H509" s="148"/>
      <c r="I509" s="171"/>
      <c r="J509" s="217"/>
      <c r="K509" s="191"/>
      <c r="L509" s="148"/>
      <c r="M509" s="171"/>
    </row>
    <row r="510" spans="1:13" s="15" customFormat="1" ht="12.75" hidden="1" outlineLevel="2">
      <c r="A510" s="15" t="s">
        <v>1187</v>
      </c>
      <c r="B510" s="15" t="s">
        <v>1188</v>
      </c>
      <c r="C510" s="164" t="s">
        <v>1310</v>
      </c>
      <c r="D510" s="16"/>
      <c r="E510" s="16"/>
      <c r="F510" s="16">
        <v>30414038.9</v>
      </c>
      <c r="G510" s="16">
        <v>31878528.85</v>
      </c>
      <c r="H510" s="16">
        <f aca="true" t="shared" si="93" ref="H510:H518">+F510-G510</f>
        <v>-1464489.950000003</v>
      </c>
      <c r="I510" s="54">
        <f aca="true" t="shared" si="94" ref="I510:I518">IF(G510&lt;0,IF(H510=0,0,IF(OR(G510=0,F510=0),"N.M.",IF(ABS(H510/G510)&gt;=10,"N.M.",H510/(-G510)))),IF(H510=0,0,IF(OR(G510=0,F510=0),"N.M.",IF(ABS(H510/G510)&gt;=10,"N.M.",H510/G510))))</f>
        <v>-0.04593969680630362</v>
      </c>
      <c r="J510" s="226"/>
      <c r="K510" s="295">
        <v>31362188.9</v>
      </c>
      <c r="L510" s="16">
        <f aca="true" t="shared" si="95" ref="L510:L518">+F510-K510</f>
        <v>-948150</v>
      </c>
      <c r="M510" s="54">
        <f aca="true" t="shared" si="96" ref="M510:M518">IF(K510&lt;0,IF(L510=0,0,IF(OR(K510=0,F510=0),"N.M.",IF(ABS(L510/K510)&gt;=10,"N.M.",L510/(-K510)))),IF(L510=0,0,IF(OR(K510=0,F510=0),"N.M.",IF(ABS(L510/K510)&gt;=10,"N.M.",L510/K510))))</f>
        <v>-0.030232264814909014</v>
      </c>
    </row>
    <row r="511" spans="1:13" s="15" customFormat="1" ht="12.75" hidden="1" outlineLevel="2">
      <c r="A511" s="15" t="s">
        <v>1189</v>
      </c>
      <c r="B511" s="15" t="s">
        <v>1190</v>
      </c>
      <c r="C511" s="164" t="s">
        <v>1311</v>
      </c>
      <c r="D511" s="16"/>
      <c r="E511" s="16"/>
      <c r="F511" s="16">
        <v>166678252.52</v>
      </c>
      <c r="G511" s="16">
        <v>138866544.78</v>
      </c>
      <c r="H511" s="16">
        <f t="shared" si="93"/>
        <v>27811707.74000001</v>
      </c>
      <c r="I511" s="54">
        <f t="shared" si="94"/>
        <v>0.20027651572998265</v>
      </c>
      <c r="J511" s="226"/>
      <c r="K511" s="295">
        <v>162185879.69</v>
      </c>
      <c r="L511" s="16">
        <f t="shared" si="95"/>
        <v>4492372.830000013</v>
      </c>
      <c r="M511" s="54">
        <f t="shared" si="96"/>
        <v>0.027698914594702553</v>
      </c>
    </row>
    <row r="512" spans="1:13" s="15" customFormat="1" ht="12.75" hidden="1" outlineLevel="2">
      <c r="A512" s="15" t="s">
        <v>1191</v>
      </c>
      <c r="B512" s="15" t="s">
        <v>1192</v>
      </c>
      <c r="C512" s="164" t="s">
        <v>1312</v>
      </c>
      <c r="D512" s="16"/>
      <c r="E512" s="16"/>
      <c r="F512" s="16">
        <v>50674963.79</v>
      </c>
      <c r="G512" s="16">
        <v>52998831.78</v>
      </c>
      <c r="H512" s="16">
        <f t="shared" si="93"/>
        <v>-2323867.990000002</v>
      </c>
      <c r="I512" s="54">
        <f t="shared" si="94"/>
        <v>-0.04384753233140042</v>
      </c>
      <c r="J512" s="226"/>
      <c r="K512" s="295">
        <v>51641596.78</v>
      </c>
      <c r="L512" s="16">
        <f t="shared" si="95"/>
        <v>-966632.9900000021</v>
      </c>
      <c r="M512" s="54">
        <f t="shared" si="96"/>
        <v>-0.018718108080933007</v>
      </c>
    </row>
    <row r="513" spans="1:13" s="15" customFormat="1" ht="12.75" hidden="1" outlineLevel="2">
      <c r="A513" s="15" t="s">
        <v>1193</v>
      </c>
      <c r="B513" s="15" t="s">
        <v>1194</v>
      </c>
      <c r="C513" s="164" t="s">
        <v>1313</v>
      </c>
      <c r="D513" s="16"/>
      <c r="E513" s="16"/>
      <c r="F513" s="16">
        <v>-746851</v>
      </c>
      <c r="G513" s="16">
        <v>-856637</v>
      </c>
      <c r="H513" s="16">
        <f t="shared" si="93"/>
        <v>109786</v>
      </c>
      <c r="I513" s="54">
        <f t="shared" si="94"/>
        <v>0.12815930201473902</v>
      </c>
      <c r="J513" s="226"/>
      <c r="K513" s="295">
        <v>-798259</v>
      </c>
      <c r="L513" s="16">
        <f t="shared" si="95"/>
        <v>51408</v>
      </c>
      <c r="M513" s="54">
        <f t="shared" si="96"/>
        <v>0.06440015082823995</v>
      </c>
    </row>
    <row r="514" spans="1:13" s="15" customFormat="1" ht="12.75" hidden="1" outlineLevel="2">
      <c r="A514" s="15" t="s">
        <v>1195</v>
      </c>
      <c r="B514" s="15" t="s">
        <v>1196</v>
      </c>
      <c r="C514" s="164" t="s">
        <v>808</v>
      </c>
      <c r="D514" s="16"/>
      <c r="E514" s="16"/>
      <c r="F514" s="16">
        <v>15114.24</v>
      </c>
      <c r="G514" s="16">
        <v>411012.60000000003</v>
      </c>
      <c r="H514" s="16">
        <f t="shared" si="93"/>
        <v>-395898.36000000004</v>
      </c>
      <c r="I514" s="54">
        <f t="shared" si="94"/>
        <v>-0.9632268207835964</v>
      </c>
      <c r="J514" s="226"/>
      <c r="K514" s="295">
        <v>178797.73</v>
      </c>
      <c r="L514" s="16">
        <f t="shared" si="95"/>
        <v>-163683.49000000002</v>
      </c>
      <c r="M514" s="54">
        <f t="shared" si="96"/>
        <v>-0.9154673831709161</v>
      </c>
    </row>
    <row r="515" spans="1:13" s="15" customFormat="1" ht="12.75" hidden="1" outlineLevel="2">
      <c r="A515" s="15" t="s">
        <v>1197</v>
      </c>
      <c r="B515" s="15" t="s">
        <v>1198</v>
      </c>
      <c r="C515" s="164" t="s">
        <v>814</v>
      </c>
      <c r="D515" s="16"/>
      <c r="E515" s="16"/>
      <c r="F515" s="16">
        <v>18314564.47</v>
      </c>
      <c r="G515" s="16">
        <v>23278898.47</v>
      </c>
      <c r="H515" s="16">
        <f t="shared" si="93"/>
        <v>-4964334</v>
      </c>
      <c r="I515" s="54">
        <f t="shared" si="94"/>
        <v>-0.21325467811106444</v>
      </c>
      <c r="J515" s="226"/>
      <c r="K515" s="295">
        <v>21654672.13</v>
      </c>
      <c r="L515" s="16">
        <f t="shared" si="95"/>
        <v>-3340107.66</v>
      </c>
      <c r="M515" s="54">
        <f t="shared" si="96"/>
        <v>-0.1542442037426498</v>
      </c>
    </row>
    <row r="516" spans="1:13" s="15" customFormat="1" ht="12.75" hidden="1" outlineLevel="2">
      <c r="A516" s="15" t="s">
        <v>1199</v>
      </c>
      <c r="B516" s="15" t="s">
        <v>1200</v>
      </c>
      <c r="C516" s="164" t="s">
        <v>1314</v>
      </c>
      <c r="D516" s="16"/>
      <c r="E516" s="16"/>
      <c r="F516" s="16">
        <v>112808.19</v>
      </c>
      <c r="G516" s="16">
        <v>1651595.22</v>
      </c>
      <c r="H516" s="16">
        <f t="shared" si="93"/>
        <v>-1538787.03</v>
      </c>
      <c r="I516" s="54">
        <f t="shared" si="94"/>
        <v>-0.9316974349199194</v>
      </c>
      <c r="J516" s="226"/>
      <c r="K516" s="295">
        <v>292452.69</v>
      </c>
      <c r="L516" s="16">
        <f t="shared" si="95"/>
        <v>-179644.5</v>
      </c>
      <c r="M516" s="54">
        <f t="shared" si="96"/>
        <v>-0.614268584775199</v>
      </c>
    </row>
    <row r="517" spans="1:13" s="15" customFormat="1" ht="12.75" hidden="1" outlineLevel="2">
      <c r="A517" s="15" t="s">
        <v>1201</v>
      </c>
      <c r="B517" s="15" t="s">
        <v>1202</v>
      </c>
      <c r="C517" s="164" t="s">
        <v>1315</v>
      </c>
      <c r="D517" s="16"/>
      <c r="E517" s="16"/>
      <c r="F517" s="16">
        <v>41094579.54</v>
      </c>
      <c r="G517" s="16">
        <v>39445906.34</v>
      </c>
      <c r="H517" s="16">
        <f t="shared" si="93"/>
        <v>1648673.1999999955</v>
      </c>
      <c r="I517" s="54">
        <f t="shared" si="94"/>
        <v>0.04179579969057939</v>
      </c>
      <c r="J517" s="226"/>
      <c r="K517" s="295">
        <v>40623807.62</v>
      </c>
      <c r="L517" s="16">
        <f t="shared" si="95"/>
        <v>470771.9200000018</v>
      </c>
      <c r="M517" s="54">
        <f t="shared" si="96"/>
        <v>0.011588572011852242</v>
      </c>
    </row>
    <row r="518" spans="1:13" s="15" customFormat="1" ht="12.75" hidden="1" outlineLevel="2">
      <c r="A518" s="15" t="s">
        <v>1203</v>
      </c>
      <c r="B518" s="15" t="s">
        <v>1204</v>
      </c>
      <c r="C518" s="164" t="s">
        <v>1316</v>
      </c>
      <c r="D518" s="16"/>
      <c r="E518" s="16"/>
      <c r="F518" s="16">
        <v>37315143</v>
      </c>
      <c r="G518" s="16">
        <v>31165925</v>
      </c>
      <c r="H518" s="16">
        <f t="shared" si="93"/>
        <v>6149218</v>
      </c>
      <c r="I518" s="54">
        <f t="shared" si="94"/>
        <v>0.19730580754461804</v>
      </c>
      <c r="J518" s="226"/>
      <c r="K518" s="295">
        <v>36824251</v>
      </c>
      <c r="L518" s="16">
        <f t="shared" si="95"/>
        <v>490892</v>
      </c>
      <c r="M518" s="54">
        <f t="shared" si="96"/>
        <v>0.01333067168155029</v>
      </c>
    </row>
    <row r="519" spans="1:13" s="13" customFormat="1" ht="12.75" collapsed="1">
      <c r="A519" s="13" t="s">
        <v>301</v>
      </c>
      <c r="C519" s="115" t="s">
        <v>230</v>
      </c>
      <c r="D519" s="34"/>
      <c r="F519" s="150">
        <v>343872613.65000004</v>
      </c>
      <c r="G519" s="150">
        <v>318840606.03999996</v>
      </c>
      <c r="H519" s="143">
        <f>+F519-G519</f>
        <v>25032007.610000074</v>
      </c>
      <c r="I519" s="167">
        <f>IF(G519&lt;0,IF(H519=0,0,IF(OR(G519=0,F519=0),"N.M.",IF(ABS(H519/G519)&gt;=10,"N.M.",H519/(-G519)))),IF(H519=0,0,IF(OR(G519=0,F519=0),"N.M.",IF(ABS(H519/G519)&gt;=10,"N.M.",H519/G519))))</f>
        <v>0.07850947192986987</v>
      </c>
      <c r="J519" s="219"/>
      <c r="K519" s="193">
        <v>343965387.53999996</v>
      </c>
      <c r="L519" s="143">
        <f>+F519-K519</f>
        <v>-92773.88999992609</v>
      </c>
      <c r="M519" s="167">
        <f>IF(K519&lt;0,IF(L519=0,0,IF(OR(K519=0,F519=0),"N.M.",IF(ABS(L519/K519)&gt;=10,"N.M.",L519/(-K519)))),IF(L519=0,0,IF(OR(K519=0,F519=0),"N.M.",IF(ABS(L519/K519)&gt;=10,"N.M.",L519/K519))))</f>
        <v>-0.0002697186791480214</v>
      </c>
    </row>
    <row r="520" spans="3:13" s="13" customFormat="1" ht="0.75" customHeight="1" hidden="1" outlineLevel="1">
      <c r="C520" s="115"/>
      <c r="D520" s="34"/>
      <c r="F520" s="150"/>
      <c r="G520" s="150"/>
      <c r="H520" s="143"/>
      <c r="I520" s="167"/>
      <c r="J520" s="219"/>
      <c r="K520" s="193"/>
      <c r="L520" s="143"/>
      <c r="M520" s="167"/>
    </row>
    <row r="521" spans="1:13" s="15" customFormat="1" ht="12.75" hidden="1" outlineLevel="2">
      <c r="A521" s="15" t="s">
        <v>1205</v>
      </c>
      <c r="B521" s="15" t="s">
        <v>1206</v>
      </c>
      <c r="C521" s="164" t="s">
        <v>1317</v>
      </c>
      <c r="D521" s="16"/>
      <c r="E521" s="16"/>
      <c r="F521" s="16">
        <v>1286555</v>
      </c>
      <c r="G521" s="16">
        <v>2039848</v>
      </c>
      <c r="H521" s="16">
        <f>+F521-G521</f>
        <v>-753293</v>
      </c>
      <c r="I521" s="54">
        <f>IF(G521&lt;0,IF(H521=0,0,IF(OR(G521=0,F521=0),"N.M.",IF(ABS(H521/G521)&gt;=10,"N.M.",H521/(-G521)))),IF(H521=0,0,IF(OR(G521=0,F521=0),"N.M.",IF(ABS(H521/G521)&gt;=10,"N.M.",H521/G521))))</f>
        <v>-0.3692887901451481</v>
      </c>
      <c r="J521" s="226"/>
      <c r="K521" s="295">
        <v>1697364</v>
      </c>
      <c r="L521" s="16">
        <f>+F521-K521</f>
        <v>-410809</v>
      </c>
      <c r="M521" s="54">
        <f>IF(K521&lt;0,IF(L521=0,0,IF(OR(K521=0,F521=0),"N.M.",IF(ABS(L521/K521)&gt;=10,"N.M.",L521/(-K521)))),IF(L521=0,0,IF(OR(K521=0,F521=0),"N.M.",IF(ABS(L521/K521)&gt;=10,"N.M.",L521/K521))))</f>
        <v>-0.24202763814950712</v>
      </c>
    </row>
    <row r="522" spans="1:13" s="13" customFormat="1" ht="12.75" collapsed="1">
      <c r="A522" s="13" t="s">
        <v>302</v>
      </c>
      <c r="C522" s="115" t="s">
        <v>231</v>
      </c>
      <c r="D522" s="34"/>
      <c r="F522" s="150">
        <v>1286555</v>
      </c>
      <c r="G522" s="150">
        <v>2039848</v>
      </c>
      <c r="H522" s="143">
        <f>+F522-G522</f>
        <v>-753293</v>
      </c>
      <c r="I522" s="167">
        <f>IF(G522&lt;0,IF(H522=0,0,IF(OR(G522=0,F522=0),"N.M.",IF(ABS(H522/G522)&gt;=10,"N.M.",H522/(-G522)))),IF(H522=0,0,IF(OR(G522=0,F522=0),"N.M.",IF(ABS(H522/G522)&gt;=10,"N.M.",H522/G522))))</f>
        <v>-0.3692887901451481</v>
      </c>
      <c r="J522" s="219"/>
      <c r="K522" s="193">
        <v>1697364</v>
      </c>
      <c r="L522" s="143">
        <f>+F522-K522</f>
        <v>-410809</v>
      </c>
      <c r="M522" s="167">
        <f>IF(K522&lt;0,IF(L522=0,0,IF(OR(K522=0,F522=0),"N.M.",IF(ABS(L522/K522)&gt;=10,"N.M.",L522/(-K522)))),IF(L522=0,0,IF(OR(K522=0,F522=0),"N.M.",IF(ABS(L522/K522)&gt;=10,"N.M.",L522/K522))))</f>
        <v>-0.24202763814950712</v>
      </c>
    </row>
    <row r="523" spans="3:13" s="13" customFormat="1" ht="0.75" customHeight="1" hidden="1" outlineLevel="1">
      <c r="C523" s="115"/>
      <c r="D523" s="34"/>
      <c r="F523" s="150"/>
      <c r="G523" s="150"/>
      <c r="H523" s="143"/>
      <c r="I523" s="167"/>
      <c r="J523" s="219"/>
      <c r="K523" s="193"/>
      <c r="L523" s="143"/>
      <c r="M523" s="167"/>
    </row>
    <row r="524" spans="1:13" s="15" customFormat="1" ht="12.75" hidden="1" outlineLevel="2">
      <c r="A524" s="15" t="s">
        <v>1207</v>
      </c>
      <c r="B524" s="15" t="s">
        <v>1208</v>
      </c>
      <c r="C524" s="164" t="s">
        <v>1318</v>
      </c>
      <c r="D524" s="16"/>
      <c r="E524" s="16"/>
      <c r="F524" s="16">
        <v>6157451.88</v>
      </c>
      <c r="G524" s="16">
        <v>0</v>
      </c>
      <c r="H524" s="16">
        <f>+F524-G524</f>
        <v>6157451.88</v>
      </c>
      <c r="I524" s="54" t="str">
        <f>IF(G524&lt;0,IF(H524=0,0,IF(OR(G524=0,F524=0),"N.M.",IF(ABS(H524/G524)&gt;=10,"N.M.",H524/(-G524)))),IF(H524=0,0,IF(OR(G524=0,F524=0),"N.M.",IF(ABS(H524/G524)&gt;=10,"N.M.",H524/G524))))</f>
        <v>N.M.</v>
      </c>
      <c r="J524" s="226"/>
      <c r="K524" s="295">
        <v>1786709.88</v>
      </c>
      <c r="L524" s="16">
        <f aca="true" t="shared" si="97" ref="L524:L535">+F524-K524</f>
        <v>4370742</v>
      </c>
      <c r="M524" s="54">
        <f aca="true" t="shared" si="98" ref="M524:M535">IF(K524&lt;0,IF(L524=0,0,IF(OR(K524=0,F524=0),"N.M.",IF(ABS(L524/K524)&gt;=10,"N.M.",L524/(-K524)))),IF(L524=0,0,IF(OR(K524=0,F524=0),"N.M.",IF(ABS(L524/K524)&gt;=10,"N.M.",L524/K524))))</f>
        <v>2.4462516544655815</v>
      </c>
    </row>
    <row r="525" spans="1:13" s="13" customFormat="1" ht="12.75" hidden="1" outlineLevel="1" collapsed="1">
      <c r="A525" s="11" t="s">
        <v>303</v>
      </c>
      <c r="B525" s="11"/>
      <c r="C525" s="128" t="s">
        <v>242</v>
      </c>
      <c r="D525" s="18"/>
      <c r="E525" s="11"/>
      <c r="F525" s="139">
        <v>6157451.88</v>
      </c>
      <c r="G525" s="139">
        <v>0</v>
      </c>
      <c r="H525" s="141">
        <f aca="true" t="shared" si="99" ref="H525:H535">+F525-G525</f>
        <v>6157451.88</v>
      </c>
      <c r="I525" s="166" t="str">
        <f aca="true" t="shared" si="100" ref="I525:I535">IF(G525&lt;0,IF(H525=0,0,IF(OR(G525=0,F525=0),"N.M.",IF(ABS(H525/G525)&gt;=10,"N.M.",H525/(-G525)))),IF(H525=0,0,IF(OR(G525=0,F525=0),"N.M.",IF(ABS(H525/G525)&gt;=10,"N.M.",H525/G525))))</f>
        <v>N.M.</v>
      </c>
      <c r="J525" s="219"/>
      <c r="K525" s="182">
        <v>1786709.88</v>
      </c>
      <c r="L525" s="141">
        <f t="shared" si="97"/>
        <v>4370742</v>
      </c>
      <c r="M525" s="166">
        <f t="shared" si="98"/>
        <v>2.4462516544655815</v>
      </c>
    </row>
    <row r="526" spans="1:13" s="13" customFormat="1" ht="12.75" hidden="1" outlineLevel="1">
      <c r="A526" s="11" t="s">
        <v>304</v>
      </c>
      <c r="B526" s="11"/>
      <c r="C526" s="128" t="s">
        <v>243</v>
      </c>
      <c r="D526" s="18"/>
      <c r="E526" s="11"/>
      <c r="F526" s="139">
        <v>0</v>
      </c>
      <c r="G526" s="139">
        <v>0</v>
      </c>
      <c r="H526" s="141">
        <f t="shared" si="99"/>
        <v>0</v>
      </c>
      <c r="I526" s="166">
        <f t="shared" si="100"/>
        <v>0</v>
      </c>
      <c r="J526" s="219"/>
      <c r="K526" s="182">
        <v>0</v>
      </c>
      <c r="L526" s="141">
        <f t="shared" si="97"/>
        <v>0</v>
      </c>
      <c r="M526" s="166">
        <f t="shared" si="98"/>
        <v>0</v>
      </c>
    </row>
    <row r="527" spans="1:13" s="13" customFormat="1" ht="12.75" hidden="1" outlineLevel="1">
      <c r="A527" s="11" t="s">
        <v>305</v>
      </c>
      <c r="B527" s="11"/>
      <c r="C527" s="128" t="s">
        <v>244</v>
      </c>
      <c r="D527" s="18"/>
      <c r="E527" s="11"/>
      <c r="F527" s="139">
        <v>0</v>
      </c>
      <c r="G527" s="139">
        <v>0</v>
      </c>
      <c r="H527" s="141">
        <f t="shared" si="99"/>
        <v>0</v>
      </c>
      <c r="I527" s="166">
        <f t="shared" si="100"/>
        <v>0</v>
      </c>
      <c r="J527" s="219"/>
      <c r="K527" s="182">
        <v>0</v>
      </c>
      <c r="L527" s="141">
        <f t="shared" si="97"/>
        <v>0</v>
      </c>
      <c r="M527" s="166">
        <f t="shared" si="98"/>
        <v>0</v>
      </c>
    </row>
    <row r="528" spans="1:13" s="15" customFormat="1" ht="12.75" hidden="1" outlineLevel="2">
      <c r="A528" s="15" t="s">
        <v>1209</v>
      </c>
      <c r="B528" s="15" t="s">
        <v>1210</v>
      </c>
      <c r="C528" s="164" t="s">
        <v>1319</v>
      </c>
      <c r="D528" s="16"/>
      <c r="E528" s="16"/>
      <c r="F528" s="16">
        <v>8116657.09</v>
      </c>
      <c r="G528" s="16">
        <v>12355018.49</v>
      </c>
      <c r="H528" s="16">
        <f>+F528-G528</f>
        <v>-4238361.4</v>
      </c>
      <c r="I528" s="54">
        <f>IF(G528&lt;0,IF(H528=0,0,IF(OR(G528=0,F528=0),"N.M.",IF(ABS(H528/G528)&gt;=10,"N.M.",H528/(-G528)))),IF(H528=0,0,IF(OR(G528=0,F528=0),"N.M.",IF(ABS(H528/G528)&gt;=10,"N.M.",H528/G528))))</f>
        <v>-0.3430477585630874</v>
      </c>
      <c r="J528" s="226"/>
      <c r="K528" s="295">
        <v>8977202.37</v>
      </c>
      <c r="L528" s="16">
        <f t="shared" si="97"/>
        <v>-860545.2799999993</v>
      </c>
      <c r="M528" s="54">
        <f t="shared" si="98"/>
        <v>-0.09585895967721171</v>
      </c>
    </row>
    <row r="529" spans="1:13" s="15" customFormat="1" ht="12.75" hidden="1" outlineLevel="2">
      <c r="A529" s="15" t="s">
        <v>1211</v>
      </c>
      <c r="B529" s="15" t="s">
        <v>1212</v>
      </c>
      <c r="C529" s="164" t="s">
        <v>1320</v>
      </c>
      <c r="D529" s="16"/>
      <c r="E529" s="16"/>
      <c r="F529" s="16">
        <v>53625.26</v>
      </c>
      <c r="G529" s="16">
        <v>31296.36</v>
      </c>
      <c r="H529" s="16">
        <f>+F529-G529</f>
        <v>22328.9</v>
      </c>
      <c r="I529" s="54">
        <f>IF(G529&lt;0,IF(H529=0,0,IF(OR(G529=0,F529=0),"N.M.",IF(ABS(H529/G529)&gt;=10,"N.M.",H529/(-G529)))),IF(H529=0,0,IF(OR(G529=0,F529=0),"N.M.",IF(ABS(H529/G529)&gt;=10,"N.M.",H529/G529))))</f>
        <v>0.7134663583880042</v>
      </c>
      <c r="J529" s="226"/>
      <c r="K529" s="295">
        <v>23529.72</v>
      </c>
      <c r="L529" s="16">
        <f t="shared" si="97"/>
        <v>30095.54</v>
      </c>
      <c r="M529" s="54">
        <f t="shared" si="98"/>
        <v>1.2790436945276016</v>
      </c>
    </row>
    <row r="530" spans="1:13" s="15" customFormat="1" ht="12.75" hidden="1" outlineLevel="2">
      <c r="A530" s="15" t="s">
        <v>1213</v>
      </c>
      <c r="B530" s="15" t="s">
        <v>1214</v>
      </c>
      <c r="C530" s="164" t="s">
        <v>1321</v>
      </c>
      <c r="D530" s="16"/>
      <c r="E530" s="16"/>
      <c r="F530" s="16">
        <v>552</v>
      </c>
      <c r="G530" s="16">
        <v>346</v>
      </c>
      <c r="H530" s="16">
        <f>+F530-G530</f>
        <v>206</v>
      </c>
      <c r="I530" s="54">
        <f>IF(G530&lt;0,IF(H530=0,0,IF(OR(G530=0,F530=0),"N.M.",IF(ABS(H530/G530)&gt;=10,"N.M.",H530/(-G530)))),IF(H530=0,0,IF(OR(G530=0,F530=0),"N.M.",IF(ABS(H530/G530)&gt;=10,"N.M.",H530/G530))))</f>
        <v>0.5953757225433526</v>
      </c>
      <c r="J530" s="226"/>
      <c r="K530" s="295">
        <v>520</v>
      </c>
      <c r="L530" s="16">
        <f t="shared" si="97"/>
        <v>32</v>
      </c>
      <c r="M530" s="54">
        <f t="shared" si="98"/>
        <v>0.06153846153846154</v>
      </c>
    </row>
    <row r="531" spans="1:13" s="13" customFormat="1" ht="12.75" hidden="1" outlineLevel="1" collapsed="1">
      <c r="A531" s="11" t="s">
        <v>306</v>
      </c>
      <c r="B531" s="11"/>
      <c r="C531" s="128" t="s">
        <v>245</v>
      </c>
      <c r="D531" s="18"/>
      <c r="E531" s="11"/>
      <c r="F531" s="139">
        <v>8170834.35</v>
      </c>
      <c r="G531" s="139">
        <v>12386660.85</v>
      </c>
      <c r="H531" s="141">
        <f t="shared" si="99"/>
        <v>-4215826.5</v>
      </c>
      <c r="I531" s="166">
        <f t="shared" si="100"/>
        <v>-0.34035213775954803</v>
      </c>
      <c r="J531" s="219"/>
      <c r="K531" s="182">
        <v>9001252.09</v>
      </c>
      <c r="L531" s="141">
        <f t="shared" si="97"/>
        <v>-830417.7400000002</v>
      </c>
      <c r="M531" s="166">
        <f t="shared" si="98"/>
        <v>-0.09225580304795132</v>
      </c>
    </row>
    <row r="532" spans="1:13" s="15" customFormat="1" ht="12.75" hidden="1" outlineLevel="2">
      <c r="A532" s="15" t="s">
        <v>1215</v>
      </c>
      <c r="B532" s="15" t="s">
        <v>1216</v>
      </c>
      <c r="C532" s="164" t="s">
        <v>1322</v>
      </c>
      <c r="D532" s="16"/>
      <c r="E532" s="16"/>
      <c r="F532" s="16">
        <v>692760.38</v>
      </c>
      <c r="G532" s="16">
        <v>1098379.69</v>
      </c>
      <c r="H532" s="16">
        <f>+F532-G532</f>
        <v>-405619.30999999994</v>
      </c>
      <c r="I532" s="54">
        <f>IF(G532&lt;0,IF(H532=0,0,IF(OR(G532=0,F532=0),"N.M.",IF(ABS(H532/G532)&gt;=10,"N.M.",H532/(-G532)))),IF(H532=0,0,IF(OR(G532=0,F532=0),"N.M.",IF(ABS(H532/G532)&gt;=10,"N.M.",H532/G532))))</f>
        <v>-0.3692887930220195</v>
      </c>
      <c r="J532" s="226"/>
      <c r="K532" s="295">
        <v>913965.23</v>
      </c>
      <c r="L532" s="16">
        <f t="shared" si="97"/>
        <v>-221204.84999999998</v>
      </c>
      <c r="M532" s="54">
        <f t="shared" si="98"/>
        <v>-0.2420276425614134</v>
      </c>
    </row>
    <row r="533" spans="1:13" s="15" customFormat="1" ht="12.75" hidden="1" outlineLevel="2">
      <c r="A533" s="15" t="s">
        <v>1217</v>
      </c>
      <c r="B533" s="15" t="s">
        <v>1218</v>
      </c>
      <c r="C533" s="164" t="s">
        <v>1323</v>
      </c>
      <c r="D533" s="16"/>
      <c r="E533" s="16"/>
      <c r="F533" s="16">
        <v>1149001.53</v>
      </c>
      <c r="G533" s="16">
        <v>1317903.08</v>
      </c>
      <c r="H533" s="16">
        <f>+F533-G533</f>
        <v>-168901.55000000005</v>
      </c>
      <c r="I533" s="54">
        <f>IF(G533&lt;0,IF(H533=0,0,IF(OR(G533=0,F533=0),"N.M.",IF(ABS(H533/G533)&gt;=10,"N.M.",H533/(-G533)))),IF(H533=0,0,IF(OR(G533=0,F533=0),"N.M.",IF(ABS(H533/G533)&gt;=10,"N.M.",H533/G533))))</f>
        <v>-0.1281593104706911</v>
      </c>
      <c r="J533" s="226"/>
      <c r="K533" s="295">
        <v>1228090.75</v>
      </c>
      <c r="L533" s="16">
        <f t="shared" si="97"/>
        <v>-79089.21999999997</v>
      </c>
      <c r="M533" s="54">
        <f t="shared" si="98"/>
        <v>-0.06440014306760308</v>
      </c>
    </row>
    <row r="534" spans="1:13" s="13" customFormat="1" ht="12.75" hidden="1" outlineLevel="1" collapsed="1">
      <c r="A534" s="11" t="s">
        <v>307</v>
      </c>
      <c r="B534" s="11"/>
      <c r="C534" s="128" t="s">
        <v>246</v>
      </c>
      <c r="D534" s="18"/>
      <c r="E534" s="11"/>
      <c r="F534" s="139">
        <v>1841761.9100000001</v>
      </c>
      <c r="G534" s="139">
        <v>2416282.77</v>
      </c>
      <c r="H534" s="141">
        <f>+F534-G534</f>
        <v>-574520.8599999999</v>
      </c>
      <c r="I534" s="166">
        <f>IF(G534&lt;0,IF(H534=0,0,IF(OR(G534=0,F534=0),"N.M.",IF(ABS(H534/G534)&gt;=10,"N.M.",H534/(-G534)))),IF(H534=0,0,IF(OR(G534=0,F534=0),"N.M.",IF(ABS(H534/G534)&gt;=10,"N.M.",H534/G534))))</f>
        <v>-0.23777054040740433</v>
      </c>
      <c r="J534" s="219"/>
      <c r="K534" s="182">
        <v>2142055.98</v>
      </c>
      <c r="L534" s="141">
        <f t="shared" si="97"/>
        <v>-300294.06999999983</v>
      </c>
      <c r="M534" s="166">
        <f t="shared" si="98"/>
        <v>-0.14018964621083332</v>
      </c>
    </row>
    <row r="535" spans="1:13" s="13" customFormat="1" ht="12.75" hidden="1" outlineLevel="1">
      <c r="A535" s="11" t="s">
        <v>308</v>
      </c>
      <c r="B535" s="11"/>
      <c r="C535" s="128" t="s">
        <v>247</v>
      </c>
      <c r="D535" s="18"/>
      <c r="E535" s="11"/>
      <c r="F535" s="139">
        <v>0</v>
      </c>
      <c r="G535" s="139">
        <v>0</v>
      </c>
      <c r="H535" s="141">
        <f t="shared" si="99"/>
        <v>0</v>
      </c>
      <c r="I535" s="166">
        <f t="shared" si="100"/>
        <v>0</v>
      </c>
      <c r="J535" s="219"/>
      <c r="K535" s="182">
        <v>0</v>
      </c>
      <c r="L535" s="141">
        <f t="shared" si="97"/>
        <v>0</v>
      </c>
      <c r="M535" s="166">
        <f t="shared" si="98"/>
        <v>0</v>
      </c>
    </row>
    <row r="536" spans="1:13" s="15" customFormat="1" ht="12.75" hidden="1" outlineLevel="2">
      <c r="A536" s="15" t="s">
        <v>1207</v>
      </c>
      <c r="B536" s="15" t="s">
        <v>1208</v>
      </c>
      <c r="C536" s="164" t="s">
        <v>1318</v>
      </c>
      <c r="D536" s="16"/>
      <c r="E536" s="16"/>
      <c r="F536" s="16">
        <v>6157451.88</v>
      </c>
      <c r="G536" s="16">
        <v>0</v>
      </c>
      <c r="H536" s="16">
        <f aca="true" t="shared" si="101" ref="H536:H541">+F536-G536</f>
        <v>6157451.88</v>
      </c>
      <c r="I536" s="54" t="str">
        <f aca="true" t="shared" si="102" ref="I536:I541">IF(G536&lt;0,IF(H536=0,0,IF(OR(G536=0,F536=0),"N.M.",IF(ABS(H536/G536)&gt;=10,"N.M.",H536/(-G536)))),IF(H536=0,0,IF(OR(G536=0,F536=0),"N.M.",IF(ABS(H536/G536)&gt;=10,"N.M.",H536/G536))))</f>
        <v>N.M.</v>
      </c>
      <c r="J536" s="226"/>
      <c r="K536" s="295">
        <v>1786709.88</v>
      </c>
      <c r="L536" s="16">
        <f aca="true" t="shared" si="103" ref="L536:L541">+F536-K536</f>
        <v>4370742</v>
      </c>
      <c r="M536" s="54">
        <f aca="true" t="shared" si="104" ref="M536:M541">IF(K536&lt;0,IF(L536=0,0,IF(OR(K536=0,F536=0),"N.M.",IF(ABS(L536/K536)&gt;=10,"N.M.",L536/(-K536)))),IF(L536=0,0,IF(OR(K536=0,F536=0),"N.M.",IF(ABS(L536/K536)&gt;=10,"N.M.",L536/K536))))</f>
        <v>2.4462516544655815</v>
      </c>
    </row>
    <row r="537" spans="1:13" s="15" customFormat="1" ht="12.75" hidden="1" outlineLevel="2">
      <c r="A537" s="15" t="s">
        <v>1209</v>
      </c>
      <c r="B537" s="15" t="s">
        <v>1210</v>
      </c>
      <c r="C537" s="164" t="s">
        <v>1319</v>
      </c>
      <c r="D537" s="16"/>
      <c r="E537" s="16"/>
      <c r="F537" s="16">
        <v>8116657.09</v>
      </c>
      <c r="G537" s="16">
        <v>12355018.49</v>
      </c>
      <c r="H537" s="16">
        <f t="shared" si="101"/>
        <v>-4238361.4</v>
      </c>
      <c r="I537" s="54">
        <f t="shared" si="102"/>
        <v>-0.3430477585630874</v>
      </c>
      <c r="J537" s="226"/>
      <c r="K537" s="295">
        <v>8977202.37</v>
      </c>
      <c r="L537" s="16">
        <f t="shared" si="103"/>
        <v>-860545.2799999993</v>
      </c>
      <c r="M537" s="54">
        <f t="shared" si="104"/>
        <v>-0.09585895967721171</v>
      </c>
    </row>
    <row r="538" spans="1:13" s="15" customFormat="1" ht="12.75" hidden="1" outlineLevel="2">
      <c r="A538" s="15" t="s">
        <v>1211</v>
      </c>
      <c r="B538" s="15" t="s">
        <v>1212</v>
      </c>
      <c r="C538" s="164" t="s">
        <v>1320</v>
      </c>
      <c r="D538" s="16"/>
      <c r="E538" s="16"/>
      <c r="F538" s="16">
        <v>53625.26</v>
      </c>
      <c r="G538" s="16">
        <v>31296.36</v>
      </c>
      <c r="H538" s="16">
        <f t="shared" si="101"/>
        <v>22328.9</v>
      </c>
      <c r="I538" s="54">
        <f t="shared" si="102"/>
        <v>0.7134663583880042</v>
      </c>
      <c r="J538" s="226"/>
      <c r="K538" s="295">
        <v>23529.72</v>
      </c>
      <c r="L538" s="16">
        <f t="shared" si="103"/>
        <v>30095.54</v>
      </c>
      <c r="M538" s="54">
        <f t="shared" si="104"/>
        <v>1.2790436945276016</v>
      </c>
    </row>
    <row r="539" spans="1:13" s="15" customFormat="1" ht="12.75" hidden="1" outlineLevel="2">
      <c r="A539" s="15" t="s">
        <v>1213</v>
      </c>
      <c r="B539" s="15" t="s">
        <v>1214</v>
      </c>
      <c r="C539" s="164" t="s">
        <v>1321</v>
      </c>
      <c r="D539" s="16"/>
      <c r="E539" s="16"/>
      <c r="F539" s="16">
        <v>552</v>
      </c>
      <c r="G539" s="16">
        <v>346</v>
      </c>
      <c r="H539" s="16">
        <f t="shared" si="101"/>
        <v>206</v>
      </c>
      <c r="I539" s="54">
        <f t="shared" si="102"/>
        <v>0.5953757225433526</v>
      </c>
      <c r="J539" s="226"/>
      <c r="K539" s="295">
        <v>520</v>
      </c>
      <c r="L539" s="16">
        <f t="shared" si="103"/>
        <v>32</v>
      </c>
      <c r="M539" s="54">
        <f t="shared" si="104"/>
        <v>0.06153846153846154</v>
      </c>
    </row>
    <row r="540" spans="1:13" s="15" customFormat="1" ht="12.75" hidden="1" outlineLevel="2">
      <c r="A540" s="15" t="s">
        <v>1215</v>
      </c>
      <c r="B540" s="15" t="s">
        <v>1216</v>
      </c>
      <c r="C540" s="164" t="s">
        <v>1322</v>
      </c>
      <c r="D540" s="16"/>
      <c r="E540" s="16"/>
      <c r="F540" s="16">
        <v>692760.38</v>
      </c>
      <c r="G540" s="16">
        <v>1098379.69</v>
      </c>
      <c r="H540" s="16">
        <f t="shared" si="101"/>
        <v>-405619.30999999994</v>
      </c>
      <c r="I540" s="54">
        <f t="shared" si="102"/>
        <v>-0.3692887930220195</v>
      </c>
      <c r="J540" s="226"/>
      <c r="K540" s="295">
        <v>913965.23</v>
      </c>
      <c r="L540" s="16">
        <f t="shared" si="103"/>
        <v>-221204.84999999998</v>
      </c>
      <c r="M540" s="54">
        <f t="shared" si="104"/>
        <v>-0.2420276425614134</v>
      </c>
    </row>
    <row r="541" spans="1:13" s="15" customFormat="1" ht="12.75" hidden="1" outlineLevel="2">
      <c r="A541" s="15" t="s">
        <v>1217</v>
      </c>
      <c r="B541" s="15" t="s">
        <v>1218</v>
      </c>
      <c r="C541" s="164" t="s">
        <v>1323</v>
      </c>
      <c r="D541" s="16"/>
      <c r="E541" s="16"/>
      <c r="F541" s="16">
        <v>1149001.53</v>
      </c>
      <c r="G541" s="16">
        <v>1317903.08</v>
      </c>
      <c r="H541" s="16">
        <f t="shared" si="101"/>
        <v>-168901.55000000005</v>
      </c>
      <c r="I541" s="54">
        <f t="shared" si="102"/>
        <v>-0.1281593104706911</v>
      </c>
      <c r="J541" s="226"/>
      <c r="K541" s="295">
        <v>1228090.75</v>
      </c>
      <c r="L541" s="16">
        <f t="shared" si="103"/>
        <v>-79089.21999999997</v>
      </c>
      <c r="M541" s="54">
        <f t="shared" si="104"/>
        <v>-0.06440014306760308</v>
      </c>
    </row>
    <row r="542" spans="1:13" s="13" customFormat="1" ht="12.75" collapsed="1">
      <c r="A542" s="13" t="s">
        <v>309</v>
      </c>
      <c r="C542" s="115" t="s">
        <v>232</v>
      </c>
      <c r="D542" s="34"/>
      <c r="F542" s="150">
        <v>16170048.139999999</v>
      </c>
      <c r="G542" s="150">
        <v>14802943.62</v>
      </c>
      <c r="H542" s="143">
        <f>+F542-G542</f>
        <v>1367104.5199999996</v>
      </c>
      <c r="I542" s="167">
        <f>IF(G542&lt;0,IF(H542=0,0,IF(OR(G542=0,F542=0),"N.M.",IF(ABS(H542/G542)&gt;=10,"N.M.",H542/(-G542)))),IF(H542=0,0,IF(OR(G542=0,F542=0),"N.M.",IF(ABS(H542/G542)&gt;=10,"N.M.",H542/G542))))</f>
        <v>0.09235355852824627</v>
      </c>
      <c r="J542" s="219"/>
      <c r="K542" s="193">
        <v>12930017.950000001</v>
      </c>
      <c r="L542" s="143">
        <f>+F542-K542</f>
        <v>3240030.1899999976</v>
      </c>
      <c r="M542" s="167">
        <f>IF(K542&lt;0,IF(L542=0,0,IF(OR(K542=0,F542=0),"N.M.",IF(ABS(L542/K542)&gt;=10,"N.M.",L542/(-K542)))),IF(L542=0,0,IF(OR(K542=0,F542=0),"N.M.",IF(ABS(L542/K542)&gt;=10,"N.M.",L542/K542))))</f>
        <v>0.250582033414733</v>
      </c>
    </row>
    <row r="543" spans="3:13" ht="12.75">
      <c r="C543" s="132"/>
      <c r="E543" s="11"/>
      <c r="F543" s="139"/>
      <c r="G543" s="139"/>
      <c r="H543" s="139"/>
      <c r="I543" s="171"/>
      <c r="J543" s="217"/>
      <c r="K543" s="182"/>
      <c r="L543" s="139"/>
      <c r="M543" s="171"/>
    </row>
    <row r="544" spans="3:13" ht="0.75" customHeight="1" hidden="1" outlineLevel="1">
      <c r="C544" s="132"/>
      <c r="E544" s="11"/>
      <c r="F544" s="139"/>
      <c r="G544" s="139"/>
      <c r="H544" s="139"/>
      <c r="I544" s="171"/>
      <c r="J544" s="217"/>
      <c r="K544" s="182"/>
      <c r="L544" s="139"/>
      <c r="M544" s="171"/>
    </row>
    <row r="545" spans="1:13" s="15" customFormat="1" ht="12.75" hidden="1" outlineLevel="2">
      <c r="A545" s="15" t="s">
        <v>1219</v>
      </c>
      <c r="B545" s="15" t="s">
        <v>1220</v>
      </c>
      <c r="C545" s="164" t="s">
        <v>1324</v>
      </c>
      <c r="D545" s="16"/>
      <c r="E545" s="16"/>
      <c r="F545" s="16">
        <v>7209416.32</v>
      </c>
      <c r="G545" s="16">
        <v>9661203.11</v>
      </c>
      <c r="H545" s="16">
        <f aca="true" t="shared" si="105" ref="H545:H550">+F545-G545</f>
        <v>-2451786.789999999</v>
      </c>
      <c r="I545" s="54">
        <f aca="true" t="shared" si="106" ref="I545:I550">IF(G545&lt;0,IF(H545=0,0,IF(OR(G545=0,F545=0),"N.M.",IF(ABS(H545/G545)&gt;=10,"N.M.",H545/(-G545)))),IF(H545=0,0,IF(OR(G545=0,F545=0),"N.M.",IF(ABS(H545/G545)&gt;=10,"N.M.",H545/G545))))</f>
        <v>-0.2537765495750973</v>
      </c>
      <c r="J545" s="226"/>
      <c r="K545" s="295">
        <v>6097603.01</v>
      </c>
      <c r="L545" s="16">
        <f aca="true" t="shared" si="107" ref="L545:L550">+F545-K545</f>
        <v>1111813.3100000005</v>
      </c>
      <c r="M545" s="54">
        <f aca="true" t="shared" si="108" ref="M545:M550">IF(K545&lt;0,IF(L545=0,0,IF(OR(K545=0,F545=0),"N.M.",IF(ABS(L545/K545)&gt;=10,"N.M.",L545/(-K545)))),IF(L545=0,0,IF(OR(K545=0,F545=0),"N.M.",IF(ABS(L545/K545)&gt;=10,"N.M.",L545/K545))))</f>
        <v>0.18233612588038928</v>
      </c>
    </row>
    <row r="546" spans="1:13" s="15" customFormat="1" ht="12.75" hidden="1" outlineLevel="2">
      <c r="A546" s="15" t="s">
        <v>1221</v>
      </c>
      <c r="B546" s="15" t="s">
        <v>1222</v>
      </c>
      <c r="C546" s="164" t="s">
        <v>1325</v>
      </c>
      <c r="D546" s="16"/>
      <c r="E546" s="16"/>
      <c r="F546" s="16">
        <v>66710</v>
      </c>
      <c r="G546" s="16">
        <v>58277.86</v>
      </c>
      <c r="H546" s="16">
        <f t="shared" si="105"/>
        <v>8432.14</v>
      </c>
      <c r="I546" s="54">
        <f t="shared" si="106"/>
        <v>0.14468856612099346</v>
      </c>
      <c r="J546" s="226"/>
      <c r="K546" s="295">
        <v>297632</v>
      </c>
      <c r="L546" s="16">
        <f t="shared" si="107"/>
        <v>-230922</v>
      </c>
      <c r="M546" s="54">
        <f t="shared" si="108"/>
        <v>-0.7758641543920008</v>
      </c>
    </row>
    <row r="547" spans="1:13" s="15" customFormat="1" ht="12.75" hidden="1" outlineLevel="2">
      <c r="A547" s="15" t="s">
        <v>1223</v>
      </c>
      <c r="B547" s="15" t="s">
        <v>1224</v>
      </c>
      <c r="C547" s="164" t="s">
        <v>1326</v>
      </c>
      <c r="D547" s="16"/>
      <c r="E547" s="16"/>
      <c r="F547" s="16">
        <v>4568.29</v>
      </c>
      <c r="G547" s="16">
        <v>12247.93</v>
      </c>
      <c r="H547" s="16">
        <f t="shared" si="105"/>
        <v>-7679.64</v>
      </c>
      <c r="I547" s="54">
        <f t="shared" si="106"/>
        <v>-0.6270153405514238</v>
      </c>
      <c r="J547" s="226"/>
      <c r="K547" s="295">
        <v>0</v>
      </c>
      <c r="L547" s="16">
        <f t="shared" si="107"/>
        <v>4568.29</v>
      </c>
      <c r="M547" s="54" t="str">
        <f t="shared" si="108"/>
        <v>N.M.</v>
      </c>
    </row>
    <row r="548" spans="1:13" s="15" customFormat="1" ht="12.75" hidden="1" outlineLevel="2">
      <c r="A548" s="15" t="s">
        <v>1225</v>
      </c>
      <c r="B548" s="15" t="s">
        <v>1226</v>
      </c>
      <c r="C548" s="164" t="s">
        <v>1327</v>
      </c>
      <c r="D548" s="16"/>
      <c r="E548" s="16"/>
      <c r="F548" s="16">
        <v>-3344389</v>
      </c>
      <c r="G548" s="16">
        <v>-4790811</v>
      </c>
      <c r="H548" s="16">
        <f t="shared" si="105"/>
        <v>1446422</v>
      </c>
      <c r="I548" s="54">
        <f t="shared" si="106"/>
        <v>0.30191589691181725</v>
      </c>
      <c r="J548" s="226"/>
      <c r="K548" s="295">
        <v>-2310049</v>
      </c>
      <c r="L548" s="16">
        <f t="shared" si="107"/>
        <v>-1034340</v>
      </c>
      <c r="M548" s="54">
        <f t="shared" si="108"/>
        <v>-0.4477567358960784</v>
      </c>
    </row>
    <row r="549" spans="1:13" s="15" customFormat="1" ht="12.75" hidden="1" outlineLevel="2">
      <c r="A549" s="15" t="s">
        <v>1227</v>
      </c>
      <c r="B549" s="15" t="s">
        <v>1228</v>
      </c>
      <c r="C549" s="164" t="s">
        <v>1328</v>
      </c>
      <c r="D549" s="16"/>
      <c r="E549" s="16"/>
      <c r="F549" s="16">
        <v>40672</v>
      </c>
      <c r="G549" s="16">
        <v>304200</v>
      </c>
      <c r="H549" s="16">
        <f t="shared" si="105"/>
        <v>-263528</v>
      </c>
      <c r="I549" s="54">
        <f t="shared" si="106"/>
        <v>-0.8662984878369494</v>
      </c>
      <c r="J549" s="226"/>
      <c r="K549" s="295">
        <v>16187</v>
      </c>
      <c r="L549" s="16">
        <f t="shared" si="107"/>
        <v>24485</v>
      </c>
      <c r="M549" s="54">
        <f t="shared" si="108"/>
        <v>1.5126335948600729</v>
      </c>
    </row>
    <row r="550" spans="1:13" ht="12.75" collapsed="1">
      <c r="A550" s="11" t="s">
        <v>310</v>
      </c>
      <c r="C550" s="134" t="s">
        <v>233</v>
      </c>
      <c r="E550" s="11"/>
      <c r="F550" s="139">
        <v>3976977.6100000003</v>
      </c>
      <c r="G550" s="139">
        <v>5245117.8999999985</v>
      </c>
      <c r="H550" s="141">
        <f t="shared" si="105"/>
        <v>-1268140.2899999982</v>
      </c>
      <c r="I550" s="166">
        <f t="shared" si="106"/>
        <v>-0.24177536409620048</v>
      </c>
      <c r="J550" s="217"/>
      <c r="K550" s="182">
        <v>4101373.01</v>
      </c>
      <c r="L550" s="141">
        <f t="shared" si="107"/>
        <v>-124395.39999999944</v>
      </c>
      <c r="M550" s="166">
        <f t="shared" si="108"/>
        <v>-0.030330184476441816</v>
      </c>
    </row>
    <row r="551" spans="3:13" ht="0.75" customHeight="1" hidden="1" outlineLevel="1">
      <c r="C551" s="134"/>
      <c r="E551" s="11"/>
      <c r="F551" s="139"/>
      <c r="G551" s="139"/>
      <c r="H551" s="141"/>
      <c r="I551" s="166"/>
      <c r="J551" s="217"/>
      <c r="K551" s="182"/>
      <c r="L551" s="141"/>
      <c r="M551" s="166"/>
    </row>
    <row r="552" spans="1:13" s="15" customFormat="1" ht="12.75" hidden="1" outlineLevel="2">
      <c r="A552" s="15" t="s">
        <v>1229</v>
      </c>
      <c r="B552" s="15" t="s">
        <v>1230</v>
      </c>
      <c r="C552" s="164" t="s">
        <v>1329</v>
      </c>
      <c r="D552" s="16"/>
      <c r="E552" s="16"/>
      <c r="F552" s="16">
        <v>80867.68000000001</v>
      </c>
      <c r="G552" s="16">
        <v>60025.28</v>
      </c>
      <c r="H552" s="16">
        <f>+F552-G552</f>
        <v>20842.40000000001</v>
      </c>
      <c r="I552" s="54">
        <f>IF(G552&lt;0,IF(H552=0,0,IF(OR(G552=0,F552=0),"N.M.",IF(ABS(H552/G552)&gt;=10,"N.M.",H552/(-G552)))),IF(H552=0,0,IF(OR(G552=0,F552=0),"N.M.",IF(ABS(H552/G552)&gt;=10,"N.M.",H552/G552))))</f>
        <v>0.34722703500924956</v>
      </c>
      <c r="J552" s="226"/>
      <c r="K552" s="295">
        <v>55422.520000000004</v>
      </c>
      <c r="L552" s="16">
        <f>+F552-K552</f>
        <v>25445.160000000003</v>
      </c>
      <c r="M552" s="54">
        <f>IF(K552&lt;0,IF(L552=0,0,IF(OR(K552=0,F552=0),"N.M.",IF(ABS(L552/K552)&gt;=10,"N.M.",L552/(-K552)))),IF(L552=0,0,IF(OR(K552=0,F552=0),"N.M.",IF(ABS(L552/K552)&gt;=10,"N.M.",L552/K552))))</f>
        <v>0.459112288650895</v>
      </c>
    </row>
    <row r="553" spans="1:13" ht="12.75" collapsed="1">
      <c r="A553" s="11" t="s">
        <v>311</v>
      </c>
      <c r="C553" s="134" t="s">
        <v>234</v>
      </c>
      <c r="E553" s="11"/>
      <c r="F553" s="139">
        <v>80867.68000000001</v>
      </c>
      <c r="G553" s="139">
        <v>60025.28</v>
      </c>
      <c r="H553" s="141">
        <f>+F553-G553</f>
        <v>20842.40000000001</v>
      </c>
      <c r="I553" s="166">
        <f>IF(G553&lt;0,IF(H553=0,0,IF(OR(G553=0,F553=0),"N.M.",IF(ABS(H553/G553)&gt;=10,"N.M.",H553/(-G553)))),IF(H553=0,0,IF(OR(G553=0,F553=0),"N.M.",IF(ABS(H553/G553)&gt;=10,"N.M.",H553/G553))))</f>
        <v>0.34722703500924956</v>
      </c>
      <c r="J553" s="217"/>
      <c r="K553" s="182">
        <v>55422.520000000004</v>
      </c>
      <c r="L553" s="141">
        <f>+F553-K553</f>
        <v>25445.160000000003</v>
      </c>
      <c r="M553" s="166">
        <f>IF(K553&lt;0,IF(L553=0,0,IF(OR(K553=0,F553=0),"N.M.",IF(ABS(L553/K553)&gt;=10,"N.M.",L553/(-K553)))),IF(L553=0,0,IF(OR(K553=0,F553=0),"N.M.",IF(ABS(L553/K553)&gt;=10,"N.M.",L553/K553))))</f>
        <v>0.459112288650895</v>
      </c>
    </row>
    <row r="554" spans="3:13" ht="0.75" customHeight="1" outlineLevel="1">
      <c r="C554" s="134"/>
      <c r="E554" s="11"/>
      <c r="F554" s="139"/>
      <c r="G554" s="139"/>
      <c r="H554" s="141"/>
      <c r="I554" s="166"/>
      <c r="J554" s="217"/>
      <c r="K554" s="182"/>
      <c r="L554" s="141"/>
      <c r="M554" s="166"/>
    </row>
    <row r="555" spans="1:13" ht="12.75">
      <c r="A555" s="11" t="s">
        <v>312</v>
      </c>
      <c r="C555" s="134" t="s">
        <v>235</v>
      </c>
      <c r="E555" s="11"/>
      <c r="F555" s="139">
        <v>0</v>
      </c>
      <c r="G555" s="139">
        <v>0</v>
      </c>
      <c r="H555" s="141">
        <f>+F555-G555</f>
        <v>0</v>
      </c>
      <c r="I555" s="166">
        <f>IF(G555&lt;0,IF(H555=0,0,IF(OR(G555=0,F555=0),"N.M.",IF(ABS(H555/G555)&gt;=10,"N.M.",H555/(-G555)))),IF(H555=0,0,IF(OR(G555=0,F555=0),"N.M.",IF(ABS(H555/G555)&gt;=10,"N.M.",H555/G555))))</f>
        <v>0</v>
      </c>
      <c r="J555" s="217"/>
      <c r="K555" s="182">
        <v>0</v>
      </c>
      <c r="L555" s="141">
        <f>+F555-K555</f>
        <v>0</v>
      </c>
      <c r="M555" s="166">
        <f>IF(K555&lt;0,IF(L555=0,0,IF(OR(K555=0,F555=0),"N.M.",IF(ABS(L555/K555)&gt;=10,"N.M.",L555/(-K555)))),IF(L555=0,0,IF(OR(K555=0,F555=0),"N.M.",IF(ABS(L555/K555)&gt;=10,"N.M.",L555/K555))))</f>
        <v>0</v>
      </c>
    </row>
    <row r="556" spans="3:13" ht="0.75" customHeight="1" outlineLevel="1">
      <c r="C556" s="134"/>
      <c r="E556" s="11"/>
      <c r="F556" s="139"/>
      <c r="G556" s="139"/>
      <c r="H556" s="141"/>
      <c r="I556" s="166"/>
      <c r="J556" s="217"/>
      <c r="K556" s="182"/>
      <c r="L556" s="141"/>
      <c r="M556" s="166"/>
    </row>
    <row r="557" spans="1:13" ht="12.75">
      <c r="A557" s="11" t="s">
        <v>313</v>
      </c>
      <c r="C557" s="134" t="s">
        <v>236</v>
      </c>
      <c r="E557" s="11"/>
      <c r="F557" s="139">
        <v>0</v>
      </c>
      <c r="G557" s="139">
        <v>0</v>
      </c>
      <c r="H557" s="141">
        <f>+F557-G557</f>
        <v>0</v>
      </c>
      <c r="I557" s="166">
        <f>IF(G557&lt;0,IF(H557=0,0,IF(OR(G557=0,F557=0),"N.M.",IF(ABS(H557/G557)&gt;=10,"N.M.",H557/(-G557)))),IF(H557=0,0,IF(OR(G557=0,F557=0),"N.M.",IF(ABS(H557/G557)&gt;=10,"N.M.",H557/G557))))</f>
        <v>0</v>
      </c>
      <c r="J557" s="217"/>
      <c r="K557" s="182">
        <v>0</v>
      </c>
      <c r="L557" s="141">
        <f>+F557-K557</f>
        <v>0</v>
      </c>
      <c r="M557" s="166">
        <f>IF(K557&lt;0,IF(L557=0,0,IF(OR(K557=0,F557=0),"N.M.",IF(ABS(L557/K557)&gt;=10,"N.M.",L557/(-K557)))),IF(L557=0,0,IF(OR(K557=0,F557=0),"N.M.",IF(ABS(L557/K557)&gt;=10,"N.M.",L557/K557))))</f>
        <v>0</v>
      </c>
    </row>
    <row r="558" spans="3:13" ht="0.75" customHeight="1" hidden="1" outlineLevel="1">
      <c r="C558" s="134"/>
      <c r="E558" s="11"/>
      <c r="F558" s="139"/>
      <c r="G558" s="139"/>
      <c r="H558" s="141"/>
      <c r="I558" s="166"/>
      <c r="J558" s="217"/>
      <c r="K558" s="182"/>
      <c r="L558" s="141"/>
      <c r="M558" s="166"/>
    </row>
    <row r="559" spans="1:13" s="15" customFormat="1" ht="12.75" hidden="1" outlineLevel="2">
      <c r="A559" s="15" t="s">
        <v>1231</v>
      </c>
      <c r="B559" s="15" t="s">
        <v>1232</v>
      </c>
      <c r="C559" s="164" t="s">
        <v>237</v>
      </c>
      <c r="D559" s="16"/>
      <c r="E559" s="16"/>
      <c r="F559" s="16">
        <v>295032.14</v>
      </c>
      <c r="G559" s="16">
        <v>8800.57</v>
      </c>
      <c r="H559" s="16">
        <f aca="true" t="shared" si="109" ref="H559:H569">+F559-G559</f>
        <v>286231.57</v>
      </c>
      <c r="I559" s="54" t="str">
        <f aca="true" t="shared" si="110" ref="I559:I569">IF(G559&lt;0,IF(H559=0,0,IF(OR(G559=0,F559=0),"N.M.",IF(ABS(H559/G559)&gt;=10,"N.M.",H559/(-G559)))),IF(H559=0,0,IF(OR(G559=0,F559=0),"N.M.",IF(ABS(H559/G559)&gt;=10,"N.M.",H559/G559))))</f>
        <v>N.M.</v>
      </c>
      <c r="J559" s="226"/>
      <c r="K559" s="295">
        <v>295032.14</v>
      </c>
      <c r="L559" s="16">
        <f aca="true" t="shared" si="111" ref="L559:L569">+F559-K559</f>
        <v>0</v>
      </c>
      <c r="M559" s="54">
        <f aca="true" t="shared" si="112" ref="M559:M569">IF(K559&lt;0,IF(L559=0,0,IF(OR(K559=0,F559=0),"N.M.",IF(ABS(L559/K559)&gt;=10,"N.M.",L559/(-K559)))),IF(L559=0,0,IF(OR(K559=0,F559=0),"N.M.",IF(ABS(L559/K559)&gt;=10,"N.M.",L559/K559))))</f>
        <v>0</v>
      </c>
    </row>
    <row r="560" spans="1:13" s="15" customFormat="1" ht="12.75" hidden="1" outlineLevel="2">
      <c r="A560" s="15" t="s">
        <v>1233</v>
      </c>
      <c r="B560" s="15" t="s">
        <v>1234</v>
      </c>
      <c r="C560" s="164" t="s">
        <v>1330</v>
      </c>
      <c r="D560" s="16"/>
      <c r="E560" s="16"/>
      <c r="F560" s="16">
        <v>989404.0700000001</v>
      </c>
      <c r="G560" s="16">
        <v>606572.52</v>
      </c>
      <c r="H560" s="16">
        <f t="shared" si="109"/>
        <v>382831.55000000005</v>
      </c>
      <c r="I560" s="54">
        <f t="shared" si="110"/>
        <v>0.631138960927541</v>
      </c>
      <c r="J560" s="226"/>
      <c r="K560" s="295">
        <v>1816076.08</v>
      </c>
      <c r="L560" s="16">
        <f t="shared" si="111"/>
        <v>-826672.01</v>
      </c>
      <c r="M560" s="54">
        <f t="shared" si="112"/>
        <v>-0.4551967943986135</v>
      </c>
    </row>
    <row r="561" spans="1:13" s="15" customFormat="1" ht="12.75" hidden="1" outlineLevel="2">
      <c r="A561" s="15" t="s">
        <v>1235</v>
      </c>
      <c r="B561" s="15" t="s">
        <v>1236</v>
      </c>
      <c r="C561" s="164" t="s">
        <v>1331</v>
      </c>
      <c r="D561" s="16"/>
      <c r="E561" s="16"/>
      <c r="F561" s="16">
        <v>135791.73</v>
      </c>
      <c r="G561" s="16">
        <v>0</v>
      </c>
      <c r="H561" s="16">
        <f t="shared" si="109"/>
        <v>135791.73</v>
      </c>
      <c r="I561" s="54" t="str">
        <f t="shared" si="110"/>
        <v>N.M.</v>
      </c>
      <c r="J561" s="226"/>
      <c r="K561" s="295">
        <v>49051.520000000004</v>
      </c>
      <c r="L561" s="16">
        <f t="shared" si="111"/>
        <v>86740.21</v>
      </c>
      <c r="M561" s="54">
        <f t="shared" si="112"/>
        <v>1.7683490746056392</v>
      </c>
    </row>
    <row r="562" spans="1:13" s="15" customFormat="1" ht="12.75" hidden="1" outlineLevel="2">
      <c r="A562" s="15" t="s">
        <v>1237</v>
      </c>
      <c r="B562" s="15" t="s">
        <v>1238</v>
      </c>
      <c r="C562" s="164" t="s">
        <v>1332</v>
      </c>
      <c r="D562" s="16"/>
      <c r="E562" s="16"/>
      <c r="F562" s="16">
        <v>240687.34</v>
      </c>
      <c r="G562" s="16">
        <v>233021.36000000002</v>
      </c>
      <c r="H562" s="16">
        <f t="shared" si="109"/>
        <v>7665.979999999981</v>
      </c>
      <c r="I562" s="54">
        <f t="shared" si="110"/>
        <v>0.03289818581438191</v>
      </c>
      <c r="J562" s="226"/>
      <c r="K562" s="295">
        <v>236193.37</v>
      </c>
      <c r="L562" s="16">
        <f t="shared" si="111"/>
        <v>4493.970000000001</v>
      </c>
      <c r="M562" s="54">
        <f t="shared" si="112"/>
        <v>0.019026655998007062</v>
      </c>
    </row>
    <row r="563" spans="1:13" s="15" customFormat="1" ht="12.75" hidden="1" outlineLevel="2">
      <c r="A563" s="15" t="s">
        <v>1239</v>
      </c>
      <c r="B563" s="15" t="s">
        <v>1240</v>
      </c>
      <c r="C563" s="164" t="s">
        <v>1333</v>
      </c>
      <c r="D563" s="16"/>
      <c r="E563" s="16"/>
      <c r="F563" s="16">
        <v>173616</v>
      </c>
      <c r="G563" s="16">
        <v>177526.21</v>
      </c>
      <c r="H563" s="16">
        <f t="shared" si="109"/>
        <v>-3910.209999999992</v>
      </c>
      <c r="I563" s="54">
        <f t="shared" si="110"/>
        <v>-0.022026099695363247</v>
      </c>
      <c r="J563" s="226"/>
      <c r="K563" s="295">
        <v>176281.21</v>
      </c>
      <c r="L563" s="16">
        <f t="shared" si="111"/>
        <v>-2665.209999999992</v>
      </c>
      <c r="M563" s="54">
        <f t="shared" si="112"/>
        <v>-0.015119081608300692</v>
      </c>
    </row>
    <row r="564" spans="1:13" s="15" customFormat="1" ht="12.75" hidden="1" outlineLevel="2">
      <c r="A564" s="15" t="s">
        <v>1241</v>
      </c>
      <c r="B564" s="15" t="s">
        <v>1242</v>
      </c>
      <c r="C564" s="164" t="s">
        <v>1334</v>
      </c>
      <c r="D564" s="16"/>
      <c r="E564" s="16"/>
      <c r="F564" s="16">
        <v>0</v>
      </c>
      <c r="G564" s="16">
        <v>0</v>
      </c>
      <c r="H564" s="16">
        <f t="shared" si="109"/>
        <v>0</v>
      </c>
      <c r="I564" s="54">
        <f t="shared" si="110"/>
        <v>0</v>
      </c>
      <c r="J564" s="226"/>
      <c r="K564" s="295">
        <v>170</v>
      </c>
      <c r="L564" s="16">
        <f t="shared" si="111"/>
        <v>-170</v>
      </c>
      <c r="M564" s="54" t="str">
        <f t="shared" si="112"/>
        <v>N.M.</v>
      </c>
    </row>
    <row r="565" spans="1:13" s="15" customFormat="1" ht="12.75" hidden="1" outlineLevel="2">
      <c r="A565" s="15" t="s">
        <v>1243</v>
      </c>
      <c r="B565" s="15" t="s">
        <v>1244</v>
      </c>
      <c r="C565" s="164" t="s">
        <v>1335</v>
      </c>
      <c r="D565" s="16"/>
      <c r="E565" s="16"/>
      <c r="F565" s="16">
        <v>16.92</v>
      </c>
      <c r="G565" s="16">
        <v>0</v>
      </c>
      <c r="H565" s="16">
        <f t="shared" si="109"/>
        <v>16.92</v>
      </c>
      <c r="I565" s="54" t="str">
        <f t="shared" si="110"/>
        <v>N.M.</v>
      </c>
      <c r="J565" s="226"/>
      <c r="K565" s="295">
        <v>30689</v>
      </c>
      <c r="L565" s="16">
        <f t="shared" si="111"/>
        <v>-30672.08</v>
      </c>
      <c r="M565" s="54">
        <f t="shared" si="112"/>
        <v>-0.9994486623871747</v>
      </c>
    </row>
    <row r="566" spans="1:13" s="15" customFormat="1" ht="12.75" hidden="1" outlineLevel="2">
      <c r="A566" s="15" t="s">
        <v>1245</v>
      </c>
      <c r="B566" s="15" t="s">
        <v>1246</v>
      </c>
      <c r="C566" s="164" t="s">
        <v>1336</v>
      </c>
      <c r="D566" s="16"/>
      <c r="E566" s="16"/>
      <c r="F566" s="16">
        <v>468849.52</v>
      </c>
      <c r="G566" s="16">
        <v>977760</v>
      </c>
      <c r="H566" s="16">
        <f t="shared" si="109"/>
        <v>-508910.48</v>
      </c>
      <c r="I566" s="54">
        <f t="shared" si="110"/>
        <v>-0.5204860906561938</v>
      </c>
      <c r="J566" s="226"/>
      <c r="K566" s="295">
        <v>651840</v>
      </c>
      <c r="L566" s="16">
        <f t="shared" si="111"/>
        <v>-182990.47999999998</v>
      </c>
      <c r="M566" s="54">
        <f t="shared" si="112"/>
        <v>-0.2807291359842906</v>
      </c>
    </row>
    <row r="567" spans="1:13" s="15" customFormat="1" ht="12.75" hidden="1" outlineLevel="2">
      <c r="A567" s="15" t="s">
        <v>1247</v>
      </c>
      <c r="B567" s="15" t="s">
        <v>1248</v>
      </c>
      <c r="C567" s="164" t="s">
        <v>1337</v>
      </c>
      <c r="D567" s="16"/>
      <c r="E567" s="16"/>
      <c r="F567" s="16">
        <v>1425492.6</v>
      </c>
      <c r="G567" s="16">
        <v>1627155.6</v>
      </c>
      <c r="H567" s="16">
        <f t="shared" si="109"/>
        <v>-201663</v>
      </c>
      <c r="I567" s="54">
        <f t="shared" si="110"/>
        <v>-0.12393590385578367</v>
      </c>
      <c r="J567" s="226"/>
      <c r="K567" s="295">
        <v>1425492.6</v>
      </c>
      <c r="L567" s="16">
        <f t="shared" si="111"/>
        <v>0</v>
      </c>
      <c r="M567" s="54">
        <f t="shared" si="112"/>
        <v>0</v>
      </c>
    </row>
    <row r="568" spans="1:13" s="15" customFormat="1" ht="12.75" hidden="1" outlineLevel="2">
      <c r="A568" s="15" t="s">
        <v>1249</v>
      </c>
      <c r="B568" s="15" t="s">
        <v>1250</v>
      </c>
      <c r="C568" s="164" t="s">
        <v>1338</v>
      </c>
      <c r="D568" s="16"/>
      <c r="E568" s="16"/>
      <c r="F568" s="16">
        <v>149489.27</v>
      </c>
      <c r="G568" s="16">
        <v>163045.07</v>
      </c>
      <c r="H568" s="16">
        <f t="shared" si="109"/>
        <v>-13555.800000000017</v>
      </c>
      <c r="I568" s="54">
        <f t="shared" si="110"/>
        <v>-0.08314142831794924</v>
      </c>
      <c r="J568" s="226"/>
      <c r="K568" s="295">
        <v>157396.82</v>
      </c>
      <c r="L568" s="16">
        <f t="shared" si="111"/>
        <v>-7907.5500000000175</v>
      </c>
      <c r="M568" s="54">
        <f t="shared" si="112"/>
        <v>-0.05023957917320068</v>
      </c>
    </row>
    <row r="569" spans="1:13" s="15" customFormat="1" ht="12.75" hidden="1" outlineLevel="2">
      <c r="A569" s="15" t="s">
        <v>1251</v>
      </c>
      <c r="B569" s="15" t="s">
        <v>1252</v>
      </c>
      <c r="C569" s="164" t="s">
        <v>1339</v>
      </c>
      <c r="D569" s="16"/>
      <c r="E569" s="16"/>
      <c r="F569" s="16">
        <v>333340</v>
      </c>
      <c r="G569" s="16">
        <v>333340</v>
      </c>
      <c r="H569" s="16">
        <f t="shared" si="109"/>
        <v>0</v>
      </c>
      <c r="I569" s="54">
        <f t="shared" si="110"/>
        <v>0</v>
      </c>
      <c r="J569" s="226"/>
      <c r="K569" s="295">
        <v>333340</v>
      </c>
      <c r="L569" s="16">
        <f t="shared" si="111"/>
        <v>0</v>
      </c>
      <c r="M569" s="54">
        <f t="shared" si="112"/>
        <v>0</v>
      </c>
    </row>
    <row r="570" spans="1:13" ht="12.75" collapsed="1">
      <c r="A570" s="11" t="s">
        <v>314</v>
      </c>
      <c r="C570" s="135" t="s">
        <v>237</v>
      </c>
      <c r="E570" s="11"/>
      <c r="F570" s="157">
        <v>4211719.59</v>
      </c>
      <c r="G570" s="157">
        <v>4127221.3299999996</v>
      </c>
      <c r="H570" s="142">
        <f>+F570-G570</f>
        <v>84498.26000000024</v>
      </c>
      <c r="I570" s="168">
        <f>IF(G570&lt;0,IF(H570=0,0,IF(OR(G570=0,F570=0),"N.M.",IF(ABS(H570/G570)&gt;=10,"N.M.",H570/(-G570)))),IF(H570=0,0,IF(OR(G570=0,F570=0),"N.M.",IF(ABS(H570/G570)&gt;=10,"N.M.",H570/G570))))</f>
        <v>0.02047340165301972</v>
      </c>
      <c r="J570" s="217"/>
      <c r="K570" s="199">
        <v>5171562.74</v>
      </c>
      <c r="L570" s="142">
        <f>+F570-K570</f>
        <v>-959843.1500000004</v>
      </c>
      <c r="M570" s="168">
        <f>IF(K570&lt;0,IF(L570=0,0,IF(OR(K570=0,F570=0),"N.M.",IF(ABS(L570/K570)&gt;=10,"N.M.",L570/(-K570)))),IF(L570=0,0,IF(OR(K570=0,F570=0),"N.M.",IF(ABS(L570/K570)&gt;=10,"N.M.",L570/K570))))</f>
        <v>-0.18560021375666427</v>
      </c>
    </row>
    <row r="571" spans="1:13" s="13" customFormat="1" ht="12.75">
      <c r="A571" s="13" t="s">
        <v>315</v>
      </c>
      <c r="C571" s="136" t="s">
        <v>238</v>
      </c>
      <c r="D571" s="34"/>
      <c r="F571" s="158">
        <v>8269564.88</v>
      </c>
      <c r="G571" s="158">
        <v>9432364.510000002</v>
      </c>
      <c r="H571" s="159">
        <f>+F571-G571</f>
        <v>-1162799.6300000018</v>
      </c>
      <c r="I571" s="175">
        <f>IF(G571&lt;0,IF(H571=0,0,IF(OR(G571=0,F571=0),"N.M.",IF(ABS(H571/G571)&gt;=10,"N.M.",H571/(-G571)))),IF(H571=0,0,IF(OR(G571=0,F571=0),"N.M.",IF(ABS(H571/G571)&gt;=10,"N.M.",H571/G571))))</f>
        <v>-0.12327763932015405</v>
      </c>
      <c r="J571" s="219"/>
      <c r="K571" s="200">
        <v>9328358.27</v>
      </c>
      <c r="L571" s="159">
        <f>+F571-K571</f>
        <v>-1058793.3899999997</v>
      </c>
      <c r="M571" s="175">
        <f>IF(K571&lt;0,IF(L571=0,0,IF(OR(K571=0,F571=0),"N.M.",IF(ABS(L571/K571)&gt;=10,"N.M.",L571/(-K571)))),IF(L571=0,0,IF(OR(K571=0,F571=0),"N.M.",IF(ABS(L571/K571)&gt;=10,"N.M.",L571/K571))))</f>
        <v>-0.11350265066523862</v>
      </c>
    </row>
    <row r="572" spans="1:13" s="110" customFormat="1" ht="12" customHeight="1">
      <c r="A572" s="110" t="s">
        <v>316</v>
      </c>
      <c r="C572" s="124" t="s">
        <v>240</v>
      </c>
      <c r="D572" s="111"/>
      <c r="F572" s="151">
        <v>369598781.67</v>
      </c>
      <c r="G572" s="151">
        <v>345115762.16999996</v>
      </c>
      <c r="H572" s="141">
        <f>+F572-G572</f>
        <v>24483019.50000006</v>
      </c>
      <c r="I572" s="166">
        <f>IF(G572&lt;0,IF(H572=0,0,IF(OR(G572=0,F572=0),"N.M.",IF(ABS(H572/G572)&gt;=10,"N.M.",H572/(-G572)))),IF(H572=0,0,IF(OR(G572=0,F572=0),"N.M.",IF(ABS(H572/G572)&gt;=10,"N.M.",H572/G572))))</f>
        <v>0.0709414700332928</v>
      </c>
      <c r="J572" s="223"/>
      <c r="K572" s="194">
        <v>367921127.76</v>
      </c>
      <c r="L572" s="141">
        <f>+F572-K572</f>
        <v>1677653.9100000262</v>
      </c>
      <c r="M572" s="166">
        <f>IF(K572&lt;0,IF(L572=0,0,IF(OR(K572=0,F572=0),"N.M.",IF(ABS(L572/K572)&gt;=10,"N.M.",L572/(-K572)))),IF(L572=0,0,IF(OR(K572=0,F572=0),"N.M.",IF(ABS(L572/K572)&gt;=10,"N.M.",L572/K572))))</f>
        <v>0.004559819437970365</v>
      </c>
    </row>
    <row r="573" spans="3:13" ht="12" customHeight="1">
      <c r="C573" s="133"/>
      <c r="D573" s="109"/>
      <c r="E573" s="106"/>
      <c r="F573" s="162" t="str">
        <f>IF(ABS(+F519+F522+F542+F550+F553+F555+F557+F570-F572)&gt;$C$632,$N$183," ")</f>
        <v> </v>
      </c>
      <c r="G573" s="162" t="str">
        <f>IF(ABS(+G519+G522+G542+G550+G553+G555+G557+G570-G572)&gt;$C$632,$N$183," ")</f>
        <v> </v>
      </c>
      <c r="H573" s="162" t="str">
        <f>IF(ABS(+H519+H522+H542+H550+H553+H555+H557+H570-H572)&gt;$C$632,$N$183," ")</f>
        <v> </v>
      </c>
      <c r="I573" s="171"/>
      <c r="J573" s="217"/>
      <c r="K573" s="188" t="str">
        <f>IF(ABS(+K519+K522+K542+K550+K553+K555+K557+K570-K572)&gt;$C$632,$N$183," ")</f>
        <v> </v>
      </c>
      <c r="L573" s="162" t="str">
        <f>IF(ABS(+L519+L522+L542+L550+L553+L555+L557+L570-L572)&gt;$C$632,$N$183," ")</f>
        <v> </v>
      </c>
      <c r="M573" s="171"/>
    </row>
    <row r="574" spans="1:13" s="110" customFormat="1" ht="13.5" thickBot="1">
      <c r="A574" s="110" t="s">
        <v>317</v>
      </c>
      <c r="C574" s="121" t="s">
        <v>241</v>
      </c>
      <c r="D574" s="111"/>
      <c r="F574" s="160">
        <v>1478056644.250999</v>
      </c>
      <c r="G574" s="160">
        <v>1491151131.2139983</v>
      </c>
      <c r="H574" s="161">
        <f>+F574-G574</f>
        <v>-13094486.962999344</v>
      </c>
      <c r="I574" s="176">
        <f>IF(G574&lt;0,IF(H574=0,0,IF(OR(G574=0,F574=0),"N.M.",IF(ABS(H574/G574)&gt;=10,"N.M.",H574/(-G574)))),IF(H574=0,0,IF(OR(G574=0,F574=0),"N.M.",IF(ABS(H574/G574)&gt;=10,"N.M.",H574/G574))))</f>
        <v>-0.008781461978531085</v>
      </c>
      <c r="J574" s="223"/>
      <c r="K574" s="201">
        <v>1504334100.6950006</v>
      </c>
      <c r="L574" s="161">
        <f>+F574-K574</f>
        <v>-26277456.444001675</v>
      </c>
      <c r="M574" s="176">
        <f>IF(K574&lt;0,IF(L574=0,0,IF(OR(K574=0,F574=0),"N.M.",IF(ABS(L574/K574)&gt;=10,"N.M.",L574/(-K574)))),IF(L574=0,0,IF(OR(K574=0,F574=0),"N.M.",IF(ABS(L574/K574)&gt;=10,"N.M.",L574/K574))))</f>
        <v>-0.017467832732011804</v>
      </c>
    </row>
    <row r="575" spans="4:13" ht="12" customHeight="1" thickTop="1">
      <c r="D575" s="109"/>
      <c r="E575" s="110"/>
      <c r="F575" s="162" t="str">
        <f>IF(ABS(+F276+F299+F506+F572-F574)&gt;$C$632,$N$183," ")</f>
        <v> </v>
      </c>
      <c r="G575" s="162" t="str">
        <f>IF(ABS(+G276+G299+G506+G572-G574)&gt;$C$632,$N$183," ")</f>
        <v> </v>
      </c>
      <c r="H575" s="162" t="str">
        <f>IF(ABS(+H276+H299+H506+H572-H574)&gt;$C$632,$N$183," ")</f>
        <v> </v>
      </c>
      <c r="I575" s="171"/>
      <c r="J575" s="227"/>
      <c r="K575" s="188" t="str">
        <f>IF(ABS(+K276+K299+K506+K572-K574)&gt;$C$632,$N$183," ")</f>
        <v> </v>
      </c>
      <c r="L575" s="162" t="str">
        <f>IF(ABS(+L276+L299+L506+L572-L574)&gt;$C$632,$N$183," ")</f>
        <v> </v>
      </c>
      <c r="M575" s="171"/>
    </row>
    <row r="576" spans="4:13" ht="12" customHeight="1">
      <c r="D576" s="109"/>
      <c r="E576" s="110"/>
      <c r="F576" s="162"/>
      <c r="G576" s="162"/>
      <c r="H576" s="162"/>
      <c r="I576" s="171"/>
      <c r="J576" s="227"/>
      <c r="K576" s="188"/>
      <c r="L576" s="162"/>
      <c r="M576" s="171"/>
    </row>
    <row r="577" spans="3:13" s="64" customFormat="1" ht="12.75">
      <c r="C577" s="63" t="s">
        <v>330</v>
      </c>
      <c r="D577" s="65"/>
      <c r="E577" s="65"/>
      <c r="F577" s="137"/>
      <c r="G577" s="137"/>
      <c r="H577" s="138"/>
      <c r="I577" s="66"/>
      <c r="J577" s="209"/>
      <c r="K577" s="181"/>
      <c r="L577" s="138"/>
      <c r="M577" s="66"/>
    </row>
    <row r="578" spans="4:13" ht="12" customHeight="1">
      <c r="D578" s="109"/>
      <c r="E578" s="110"/>
      <c r="F578" s="162"/>
      <c r="G578" s="162"/>
      <c r="H578" s="162"/>
      <c r="I578" s="171"/>
      <c r="J578" s="227"/>
      <c r="K578" s="188"/>
      <c r="L578" s="162"/>
      <c r="M578" s="171"/>
    </row>
    <row r="579" spans="1:13" ht="12" customHeight="1">
      <c r="A579" s="11" t="s">
        <v>344</v>
      </c>
      <c r="B579" s="230"/>
      <c r="C579" s="13" t="s">
        <v>318</v>
      </c>
      <c r="D579" s="11"/>
      <c r="E579" s="231"/>
      <c r="F579" s="231">
        <v>143184638.96199968</v>
      </c>
      <c r="G579" s="231">
        <v>138749088.787</v>
      </c>
      <c r="H579" s="275">
        <f>+F579-G579</f>
        <v>4435550.174999684</v>
      </c>
      <c r="I579" s="171"/>
      <c r="J579" s="227"/>
      <c r="K579" s="239">
        <v>138749088.787</v>
      </c>
      <c r="L579" s="279">
        <f>+F579-K579</f>
        <v>4435550.174999684</v>
      </c>
      <c r="M579" s="171"/>
    </row>
    <row r="580" spans="1:13" ht="12" customHeight="1">
      <c r="A580" s="11" t="s">
        <v>345</v>
      </c>
      <c r="B580" s="230"/>
      <c r="C580" s="132" t="s">
        <v>333</v>
      </c>
      <c r="D580" s="11"/>
      <c r="E580" s="232"/>
      <c r="F580" s="11">
        <v>9040639.86599999</v>
      </c>
      <c r="G580" s="232">
        <v>18409264.166999936</v>
      </c>
      <c r="H580" s="141">
        <f>+F580-G580</f>
        <v>-9368624.300999947</v>
      </c>
      <c r="I580" s="171"/>
      <c r="J580" s="227"/>
      <c r="K580" s="240">
        <v>23935550.174999937</v>
      </c>
      <c r="L580" s="141">
        <f>+F580-K580</f>
        <v>-14894910.308999948</v>
      </c>
      <c r="M580" s="171"/>
    </row>
    <row r="581" spans="1:13" ht="12" customHeight="1">
      <c r="A581" s="110"/>
      <c r="B581" s="99"/>
      <c r="C581" s="110" t="s">
        <v>329</v>
      </c>
      <c r="D581" s="110"/>
      <c r="E581" s="231"/>
      <c r="F581" s="231">
        <f>SUM(F579:F580)</f>
        <v>152225278.82799968</v>
      </c>
      <c r="G581" s="231">
        <f>SUM(G579:G580)</f>
        <v>157158352.95399994</v>
      </c>
      <c r="H581" s="141">
        <f>+F581-G581</f>
        <v>-4933074.126000255</v>
      </c>
      <c r="I581" s="171"/>
      <c r="J581" s="227"/>
      <c r="K581" s="239">
        <f>SUM(K578:K580)</f>
        <v>162684638.96199995</v>
      </c>
      <c r="L581" s="141">
        <f>+F581-K581</f>
        <v>-10459360.134000272</v>
      </c>
      <c r="M581" s="171"/>
    </row>
    <row r="582" spans="2:13" ht="12" customHeight="1">
      <c r="B582" s="230"/>
      <c r="D582" s="11"/>
      <c r="E582" s="232"/>
      <c r="F582" s="11"/>
      <c r="G582" s="232"/>
      <c r="H582" s="162"/>
      <c r="I582" s="171"/>
      <c r="J582" s="227"/>
      <c r="K582" s="240"/>
      <c r="L582" s="162"/>
      <c r="M582" s="171"/>
    </row>
    <row r="583" spans="2:13" ht="12" customHeight="1">
      <c r="B583" s="230"/>
      <c r="C583" s="243" t="s">
        <v>350</v>
      </c>
      <c r="D583" s="11"/>
      <c r="E583" s="232"/>
      <c r="F583" s="11"/>
      <c r="G583" s="232"/>
      <c r="H583" s="162"/>
      <c r="I583" s="171"/>
      <c r="J583" s="227"/>
      <c r="K583" s="240"/>
      <c r="L583" s="162"/>
      <c r="M583" s="171"/>
    </row>
    <row r="584" spans="2:13" ht="12" customHeight="1" hidden="1" outlineLevel="1">
      <c r="B584" s="230"/>
      <c r="C584" s="243"/>
      <c r="D584" s="11"/>
      <c r="E584" s="232"/>
      <c r="F584" s="139"/>
      <c r="G584" s="139"/>
      <c r="H584" s="274"/>
      <c r="I584" s="258"/>
      <c r="J584" s="266"/>
      <c r="K584" s="267"/>
      <c r="L584" s="265"/>
      <c r="M584" s="258"/>
    </row>
    <row r="585" spans="1:13" s="15" customFormat="1" ht="12.75" hidden="1" outlineLevel="2">
      <c r="A585" s="15" t="s">
        <v>1253</v>
      </c>
      <c r="B585" s="15" t="s">
        <v>1254</v>
      </c>
      <c r="C585" s="164" t="s">
        <v>1340</v>
      </c>
      <c r="D585" s="16"/>
      <c r="E585" s="16"/>
      <c r="F585" s="16">
        <v>-10000000</v>
      </c>
      <c r="G585" s="16">
        <v>-13500000</v>
      </c>
      <c r="H585" s="16">
        <f>+F585-G585</f>
        <v>3500000</v>
      </c>
      <c r="I585" s="54"/>
      <c r="J585" s="226"/>
      <c r="K585" s="295">
        <v>-19500000</v>
      </c>
      <c r="L585" s="16">
        <f>+F585-K585</f>
        <v>9500000</v>
      </c>
      <c r="M585" s="54"/>
    </row>
    <row r="586" spans="1:13" ht="12" customHeight="1" collapsed="1">
      <c r="A586" s="11" t="s">
        <v>346</v>
      </c>
      <c r="B586" s="230"/>
      <c r="C586" s="262" t="s">
        <v>332</v>
      </c>
      <c r="D586" s="11"/>
      <c r="E586" s="232"/>
      <c r="F586" s="139">
        <v>-10000000</v>
      </c>
      <c r="G586" s="139">
        <v>-13500000</v>
      </c>
      <c r="H586" s="275">
        <f aca="true" t="shared" si="113" ref="H586:H596">+F586-G586</f>
        <v>3500000</v>
      </c>
      <c r="I586" s="258"/>
      <c r="J586" s="259"/>
      <c r="K586" s="182">
        <v>-19500000</v>
      </c>
      <c r="L586" s="275">
        <f>+F586-K586</f>
        <v>9500000</v>
      </c>
      <c r="M586" s="258"/>
    </row>
    <row r="587" spans="2:13" ht="0.75" customHeight="1" outlineLevel="1">
      <c r="B587" s="230"/>
      <c r="C587" s="262"/>
      <c r="D587" s="11"/>
      <c r="E587" s="232"/>
      <c r="F587" s="139"/>
      <c r="G587" s="139"/>
      <c r="H587" s="275"/>
      <c r="I587" s="258"/>
      <c r="J587" s="259"/>
      <c r="K587" s="182"/>
      <c r="L587" s="282"/>
      <c r="M587" s="258"/>
    </row>
    <row r="588" spans="1:13" ht="12" customHeight="1">
      <c r="A588" s="11" t="s">
        <v>347</v>
      </c>
      <c r="B588" s="230"/>
      <c r="C588" s="262" t="s">
        <v>331</v>
      </c>
      <c r="D588" s="11"/>
      <c r="E588" s="232"/>
      <c r="F588" s="311">
        <v>0</v>
      </c>
      <c r="G588" s="139">
        <v>0</v>
      </c>
      <c r="H588" s="275">
        <f t="shared" si="113"/>
        <v>0</v>
      </c>
      <c r="I588" s="258"/>
      <c r="J588" s="259"/>
      <c r="K588" s="182">
        <v>0</v>
      </c>
      <c r="L588" s="275">
        <f>+F588-K588</f>
        <v>0</v>
      </c>
      <c r="M588" s="258"/>
    </row>
    <row r="589" spans="2:13" ht="12.75" customHeight="1" hidden="1" outlineLevel="2">
      <c r="B589" s="230"/>
      <c r="C589" s="132"/>
      <c r="D589" s="11"/>
      <c r="E589" s="232"/>
      <c r="F589" s="311"/>
      <c r="G589" s="139"/>
      <c r="H589" s="276"/>
      <c r="I589" s="258"/>
      <c r="J589" s="259"/>
      <c r="K589" s="182"/>
      <c r="L589" s="276"/>
      <c r="M589" s="258"/>
    </row>
    <row r="590" spans="1:13" s="15" customFormat="1" ht="12.75" customHeight="1" hidden="1" outlineLevel="2">
      <c r="A590" s="15" t="s">
        <v>355</v>
      </c>
      <c r="B590" s="302" t="s">
        <v>321</v>
      </c>
      <c r="C590" s="164" t="s">
        <v>357</v>
      </c>
      <c r="E590" s="299"/>
      <c r="F590" s="312">
        <v>0</v>
      </c>
      <c r="G590" s="315">
        <v>0</v>
      </c>
      <c r="H590" s="300">
        <f t="shared" si="113"/>
        <v>0</v>
      </c>
      <c r="I590" s="300"/>
      <c r="J590" s="301"/>
      <c r="K590" s="319">
        <v>0</v>
      </c>
      <c r="L590" s="313">
        <f aca="true" t="shared" si="114" ref="L590:L597">+F590-K590</f>
        <v>0</v>
      </c>
      <c r="M590" s="300"/>
    </row>
    <row r="591" spans="2:13" s="15" customFormat="1" ht="12.75" customHeight="1" hidden="1" outlineLevel="2">
      <c r="B591" s="298" t="s">
        <v>323</v>
      </c>
      <c r="C591" s="164" t="s">
        <v>358</v>
      </c>
      <c r="E591" s="299"/>
      <c r="F591" s="312">
        <v>0</v>
      </c>
      <c r="G591" s="315">
        <v>0</v>
      </c>
      <c r="H591" s="300">
        <f t="shared" si="113"/>
        <v>0</v>
      </c>
      <c r="I591" s="300"/>
      <c r="J591" s="301"/>
      <c r="K591" s="319">
        <v>0</v>
      </c>
      <c r="L591" s="313">
        <f t="shared" si="114"/>
        <v>0</v>
      </c>
      <c r="M591" s="300"/>
    </row>
    <row r="592" spans="2:13" s="15" customFormat="1" ht="12.75" customHeight="1" hidden="1" outlineLevel="2">
      <c r="B592" s="298" t="s">
        <v>325</v>
      </c>
      <c r="C592" s="164" t="s">
        <v>359</v>
      </c>
      <c r="E592" s="299"/>
      <c r="F592" s="312">
        <v>0</v>
      </c>
      <c r="G592" s="315">
        <v>0</v>
      </c>
      <c r="H592" s="300">
        <f t="shared" si="113"/>
        <v>0</v>
      </c>
      <c r="I592" s="300"/>
      <c r="J592" s="301"/>
      <c r="K592" s="319">
        <v>0</v>
      </c>
      <c r="L592" s="313">
        <f t="shared" si="114"/>
        <v>0</v>
      </c>
      <c r="M592" s="300"/>
    </row>
    <row r="593" spans="2:13" s="15" customFormat="1" ht="12.75" customHeight="1" hidden="1" outlineLevel="2">
      <c r="B593" s="298" t="s">
        <v>367</v>
      </c>
      <c r="C593" s="164" t="s">
        <v>370</v>
      </c>
      <c r="E593" s="299"/>
      <c r="F593" s="312">
        <v>0</v>
      </c>
      <c r="G593" s="315">
        <v>0</v>
      </c>
      <c r="H593" s="300">
        <f t="shared" si="113"/>
        <v>0</v>
      </c>
      <c r="I593" s="300"/>
      <c r="J593" s="301"/>
      <c r="K593" s="319">
        <v>0</v>
      </c>
      <c r="L593" s="313">
        <f t="shared" si="114"/>
        <v>0</v>
      </c>
      <c r="M593" s="300"/>
    </row>
    <row r="594" spans="2:13" s="15" customFormat="1" ht="12.75" customHeight="1" hidden="1" outlineLevel="2">
      <c r="B594" s="298" t="s">
        <v>368</v>
      </c>
      <c r="C594" s="164" t="s">
        <v>371</v>
      </c>
      <c r="E594" s="299"/>
      <c r="F594" s="312">
        <v>0</v>
      </c>
      <c r="G594" s="315">
        <v>0</v>
      </c>
      <c r="H594" s="300">
        <f t="shared" si="113"/>
        <v>0</v>
      </c>
      <c r="I594" s="300"/>
      <c r="J594" s="301"/>
      <c r="K594" s="319">
        <v>0</v>
      </c>
      <c r="L594" s="313">
        <f t="shared" si="114"/>
        <v>0</v>
      </c>
      <c r="M594" s="300"/>
    </row>
    <row r="595" spans="2:13" s="15" customFormat="1" ht="12.75" customHeight="1" hidden="1" outlineLevel="2">
      <c r="B595" s="298" t="s">
        <v>369</v>
      </c>
      <c r="C595" s="164" t="s">
        <v>372</v>
      </c>
      <c r="E595" s="299"/>
      <c r="F595" s="312">
        <v>0</v>
      </c>
      <c r="G595" s="315">
        <v>0</v>
      </c>
      <c r="H595" s="300">
        <f t="shared" si="113"/>
        <v>0</v>
      </c>
      <c r="I595" s="300"/>
      <c r="J595" s="301"/>
      <c r="K595" s="319">
        <v>0</v>
      </c>
      <c r="L595" s="313">
        <f t="shared" si="114"/>
        <v>0</v>
      </c>
      <c r="M595" s="300"/>
    </row>
    <row r="596" spans="2:13" s="15" customFormat="1" ht="12.75" customHeight="1" hidden="1" outlineLevel="2">
      <c r="B596" s="302"/>
      <c r="C596" s="164" t="s">
        <v>360</v>
      </c>
      <c r="E596" s="299"/>
      <c r="F596" s="313">
        <f>+F597-SUM(F590:F595)</f>
        <v>0</v>
      </c>
      <c r="G596" s="316">
        <f>+G597-SUM(G590:G595)</f>
        <v>0</v>
      </c>
      <c r="H596" s="300">
        <f t="shared" si="113"/>
        <v>0</v>
      </c>
      <c r="I596" s="300"/>
      <c r="J596" s="301"/>
      <c r="K596" s="320">
        <f>+G596</f>
        <v>0</v>
      </c>
      <c r="L596" s="313">
        <f t="shared" si="114"/>
        <v>0</v>
      </c>
      <c r="M596" s="300"/>
    </row>
    <row r="597" spans="1:13" ht="12" customHeight="1" collapsed="1">
      <c r="A597" s="1" t="s">
        <v>356</v>
      </c>
      <c r="B597" s="104"/>
      <c r="C597" s="263" t="s">
        <v>352</v>
      </c>
      <c r="D597" s="1"/>
      <c r="E597" s="233"/>
      <c r="F597" s="314">
        <v>0</v>
      </c>
      <c r="G597" s="317">
        <v>0</v>
      </c>
      <c r="H597" s="275">
        <f>+F597-G597</f>
        <v>0</v>
      </c>
      <c r="I597" s="258"/>
      <c r="J597" s="322"/>
      <c r="K597" s="321">
        <v>0</v>
      </c>
      <c r="L597" s="318">
        <f t="shared" si="114"/>
        <v>0</v>
      </c>
      <c r="M597" s="258"/>
    </row>
    <row r="598" spans="1:13" ht="6" customHeight="1">
      <c r="A598" s="1"/>
      <c r="B598" s="104"/>
      <c r="C598" s="98"/>
      <c r="D598" s="253"/>
      <c r="E598" s="268"/>
      <c r="F598" s="257"/>
      <c r="G598" s="257"/>
      <c r="H598" s="277"/>
      <c r="I598" s="269"/>
      <c r="J598" s="157"/>
      <c r="K598" s="270"/>
      <c r="L598" s="277"/>
      <c r="M598" s="269"/>
    </row>
    <row r="599" spans="1:13" ht="12" customHeight="1">
      <c r="A599" s="296" t="s">
        <v>354</v>
      </c>
      <c r="B599" s="104"/>
      <c r="C599" s="244" t="s">
        <v>351</v>
      </c>
      <c r="D599" s="1"/>
      <c r="E599" s="234"/>
      <c r="F599" s="297">
        <f>+F597+F588+F586</f>
        <v>-10000000</v>
      </c>
      <c r="G599" s="297">
        <f>+G597+G588+G586</f>
        <v>-13500000</v>
      </c>
      <c r="H599" s="275">
        <f>+F599-G599</f>
        <v>3500000</v>
      </c>
      <c r="I599" s="258"/>
      <c r="J599" s="266"/>
      <c r="K599" s="184">
        <f>+K597+K588+K586</f>
        <v>-19500000</v>
      </c>
      <c r="L599" s="275">
        <f>+F599-K599</f>
        <v>9500000</v>
      </c>
      <c r="M599" s="258"/>
    </row>
    <row r="600" spans="1:13" ht="12" customHeight="1">
      <c r="A600" s="1"/>
      <c r="B600" s="104"/>
      <c r="C600" s="1"/>
      <c r="D600" s="1"/>
      <c r="E600" s="233"/>
      <c r="F600" s="140"/>
      <c r="G600" s="280"/>
      <c r="H600" s="274"/>
      <c r="I600" s="258"/>
      <c r="J600" s="266"/>
      <c r="K600" s="256"/>
      <c r="L600" s="274"/>
      <c r="M600" s="258"/>
    </row>
    <row r="601" spans="1:13" ht="12" customHeight="1">
      <c r="A601" s="1" t="s">
        <v>264</v>
      </c>
      <c r="B601" s="235"/>
      <c r="C601" s="235" t="s">
        <v>319</v>
      </c>
      <c r="D601" s="33"/>
      <c r="E601" s="234"/>
      <c r="F601" s="291">
        <v>142225278.82800004</v>
      </c>
      <c r="G601" s="291">
        <v>143658352.9540001</v>
      </c>
      <c r="H601" s="275">
        <f>+F601-G601</f>
        <v>-1433074.1260000467</v>
      </c>
      <c r="I601" s="258"/>
      <c r="J601" s="266"/>
      <c r="K601" s="260">
        <v>143184638.96199968</v>
      </c>
      <c r="L601" s="275">
        <f>+F601-K601</f>
        <v>-959360.1339996457</v>
      </c>
      <c r="M601" s="258"/>
    </row>
    <row r="602" spans="1:13" ht="12" customHeight="1">
      <c r="A602" s="1"/>
      <c r="B602" s="104"/>
      <c r="C602" s="236"/>
      <c r="D602" s="1"/>
      <c r="E602" s="109"/>
      <c r="F602" s="109" t="str">
        <f>IF(ABS(+F581+F599-F601)&gt;$C632,$C$633," ")</f>
        <v> </v>
      </c>
      <c r="G602" s="109" t="str">
        <f>IF(ABS(+G581+G599-G601)&gt;$C632,$C$633," ")</f>
        <v> </v>
      </c>
      <c r="H602" s="109" t="str">
        <f>IF(ABS(+H581+H599-H601)&gt;$C632,$C$633," ")</f>
        <v> </v>
      </c>
      <c r="I602" s="324"/>
      <c r="J602" s="325"/>
      <c r="K602" s="326" t="str">
        <f>IF(ABS(+K581+K599-K601)&gt;$C632,$C$633," ")</f>
        <v> </v>
      </c>
      <c r="L602" s="162" t="str">
        <f>IF(ABS(+L581+L599-L601)&gt;$C632,$C$633," ")</f>
        <v> </v>
      </c>
      <c r="M602" s="171"/>
    </row>
    <row r="603" spans="1:13" ht="12" customHeight="1">
      <c r="A603" s="1"/>
      <c r="B603" s="104"/>
      <c r="C603" s="236"/>
      <c r="D603" s="1"/>
      <c r="E603" s="109"/>
      <c r="F603" s="109"/>
      <c r="G603" s="109"/>
      <c r="H603" s="278"/>
      <c r="I603" s="171"/>
      <c r="J603" s="227"/>
      <c r="K603" s="264"/>
      <c r="L603" s="278"/>
      <c r="M603" s="171"/>
    </row>
    <row r="604" spans="1:13" ht="12" customHeight="1">
      <c r="A604" s="1"/>
      <c r="B604" s="104"/>
      <c r="C604" s="236"/>
      <c r="D604" s="1"/>
      <c r="E604" s="109"/>
      <c r="F604" s="109"/>
      <c r="G604" s="109"/>
      <c r="H604" s="278"/>
      <c r="I604" s="171"/>
      <c r="J604" s="227"/>
      <c r="K604" s="264"/>
      <c r="L604" s="278"/>
      <c r="M604" s="171"/>
    </row>
    <row r="605" spans="1:13" ht="12" customHeight="1">
      <c r="A605" s="1"/>
      <c r="B605" s="104"/>
      <c r="C605" s="1"/>
      <c r="D605" s="1"/>
      <c r="E605" s="233"/>
      <c r="F605" s="1"/>
      <c r="G605" s="233"/>
      <c r="H605" s="278"/>
      <c r="I605" s="171"/>
      <c r="J605" s="227"/>
      <c r="K605" s="241"/>
      <c r="L605" s="278"/>
      <c r="M605" s="171"/>
    </row>
    <row r="606" spans="1:13" ht="12" customHeight="1">
      <c r="A606" s="1"/>
      <c r="B606" s="104"/>
      <c r="C606" s="272"/>
      <c r="D606" s="272"/>
      <c r="E606" s="273"/>
      <c r="F606" s="272"/>
      <c r="G606" s="233"/>
      <c r="H606" s="278"/>
      <c r="I606" s="171"/>
      <c r="J606" s="227"/>
      <c r="K606" s="241"/>
      <c r="L606" s="278"/>
      <c r="M606" s="171"/>
    </row>
    <row r="607" spans="1:13" ht="12" customHeight="1">
      <c r="A607" s="1"/>
      <c r="B607" s="104"/>
      <c r="C607" s="271" t="s">
        <v>339</v>
      </c>
      <c r="D607" s="1"/>
      <c r="E607" s="233"/>
      <c r="F607" s="1"/>
      <c r="G607" s="233"/>
      <c r="H607" s="278"/>
      <c r="I607" s="171"/>
      <c r="J607" s="227"/>
      <c r="K607" s="241"/>
      <c r="L607" s="278"/>
      <c r="M607" s="171"/>
    </row>
    <row r="608" spans="1:13" ht="12" customHeight="1">
      <c r="A608" s="33"/>
      <c r="B608" s="235"/>
      <c r="C608" s="33"/>
      <c r="D608" s="33"/>
      <c r="E608" s="237"/>
      <c r="F608" s="283"/>
      <c r="G608" s="284"/>
      <c r="H608" s="279"/>
      <c r="I608" s="171"/>
      <c r="J608" s="227"/>
      <c r="K608" s="242"/>
      <c r="L608" s="278"/>
      <c r="M608" s="171"/>
    </row>
    <row r="609" spans="2:13" s="1" customFormat="1" ht="12" customHeight="1">
      <c r="B609" s="250" t="s">
        <v>361</v>
      </c>
      <c r="C609" s="251" t="s">
        <v>320</v>
      </c>
      <c r="E609" s="233"/>
      <c r="F609" s="285">
        <v>0</v>
      </c>
      <c r="G609" s="280">
        <v>0</v>
      </c>
      <c r="H609" s="140">
        <f>+F609-G609</f>
        <v>0</v>
      </c>
      <c r="I609" s="140"/>
      <c r="J609" s="275"/>
      <c r="K609" s="287">
        <v>0</v>
      </c>
      <c r="L609" s="140">
        <f>+F609-K609</f>
        <v>0</v>
      </c>
      <c r="M609" s="172"/>
    </row>
    <row r="610" spans="2:13" s="1" customFormat="1" ht="12" customHeight="1">
      <c r="B610" s="250" t="s">
        <v>362</v>
      </c>
      <c r="C610" s="53" t="s">
        <v>322</v>
      </c>
      <c r="D610" s="253"/>
      <c r="E610" s="254"/>
      <c r="F610" s="286">
        <v>0</v>
      </c>
      <c r="G610" s="257">
        <v>0</v>
      </c>
      <c r="H610" s="257">
        <f>+F610-G610</f>
        <v>0</v>
      </c>
      <c r="I610" s="257"/>
      <c r="J610" s="257"/>
      <c r="K610" s="288">
        <v>0</v>
      </c>
      <c r="L610" s="257">
        <f>+F610-K610</f>
        <v>0</v>
      </c>
      <c r="M610" s="255"/>
    </row>
    <row r="611" spans="2:13" s="1" customFormat="1" ht="12" customHeight="1">
      <c r="B611" s="104"/>
      <c r="C611" s="252" t="s">
        <v>334</v>
      </c>
      <c r="E611" s="35"/>
      <c r="F611" s="140">
        <f>SUM(F609:F610)</f>
        <v>0</v>
      </c>
      <c r="G611" s="140">
        <f>SUM(G609:G610)</f>
        <v>0</v>
      </c>
      <c r="H611" s="140">
        <f>+F611-G611</f>
        <v>0</v>
      </c>
      <c r="I611" s="140"/>
      <c r="J611" s="275"/>
      <c r="K611" s="289">
        <f>SUM(K609:K610)</f>
        <v>0</v>
      </c>
      <c r="L611" s="140">
        <f>+F611-K611</f>
        <v>0</v>
      </c>
      <c r="M611" s="172"/>
    </row>
    <row r="612" spans="2:13" s="1" customFormat="1" ht="12" customHeight="1">
      <c r="B612" s="104"/>
      <c r="C612" s="252"/>
      <c r="E612" s="87"/>
      <c r="F612" s="140"/>
      <c r="G612" s="280"/>
      <c r="H612" s="140"/>
      <c r="I612" s="140"/>
      <c r="J612" s="275"/>
      <c r="K612" s="287"/>
      <c r="L612" s="140"/>
      <c r="M612" s="172"/>
    </row>
    <row r="613" spans="2:13" s="1" customFormat="1" ht="12" customHeight="1">
      <c r="B613" s="250" t="s">
        <v>364</v>
      </c>
      <c r="C613" s="251" t="s">
        <v>324</v>
      </c>
      <c r="E613" s="35"/>
      <c r="F613" s="280">
        <v>143184638.962</v>
      </c>
      <c r="G613" s="280">
        <v>138749088.787</v>
      </c>
      <c r="H613" s="280">
        <f aca="true" t="shared" si="115" ref="H613:H619">+F613-G613</f>
        <v>4435550.175000012</v>
      </c>
      <c r="I613" s="280"/>
      <c r="J613" s="304"/>
      <c r="K613" s="287">
        <v>138749088.787</v>
      </c>
      <c r="L613" s="280">
        <f aca="true" t="shared" si="116" ref="L613:L619">+F613-K613</f>
        <v>4435550.175000012</v>
      </c>
      <c r="M613" s="172"/>
    </row>
    <row r="614" spans="2:13" s="1" customFormat="1" ht="12" customHeight="1">
      <c r="B614" s="250" t="s">
        <v>363</v>
      </c>
      <c r="C614" s="251" t="s">
        <v>326</v>
      </c>
      <c r="E614" s="35"/>
      <c r="F614" s="280">
        <v>0</v>
      </c>
      <c r="G614" s="280">
        <v>0</v>
      </c>
      <c r="H614" s="280">
        <f t="shared" si="115"/>
        <v>0</v>
      </c>
      <c r="I614" s="280"/>
      <c r="J614" s="304"/>
      <c r="K614" s="287">
        <v>0</v>
      </c>
      <c r="L614" s="280">
        <f t="shared" si="116"/>
        <v>0</v>
      </c>
      <c r="M614" s="172"/>
    </row>
    <row r="615" spans="2:13" s="1" customFormat="1" ht="1.5" customHeight="1" outlineLevel="1">
      <c r="B615" s="250"/>
      <c r="C615" s="251"/>
      <c r="E615" s="35"/>
      <c r="F615" s="280"/>
      <c r="G615" s="280"/>
      <c r="H615" s="280"/>
      <c r="I615" s="280"/>
      <c r="J615" s="304"/>
      <c r="K615" s="287"/>
      <c r="L615" s="280"/>
      <c r="M615" s="172"/>
    </row>
    <row r="616" spans="2:13" s="1" customFormat="1" ht="12" customHeight="1" outlineLevel="1">
      <c r="B616" s="250"/>
      <c r="C616" s="303" t="s">
        <v>366</v>
      </c>
      <c r="E616" s="35"/>
      <c r="F616" s="280">
        <v>-959360.1340000035</v>
      </c>
      <c r="G616" s="280">
        <v>4909264.167000024</v>
      </c>
      <c r="H616" s="280">
        <f t="shared" si="115"/>
        <v>-5868624.301000027</v>
      </c>
      <c r="I616" s="280"/>
      <c r="J616" s="304"/>
      <c r="K616" s="287">
        <v>4435550.174999886</v>
      </c>
      <c r="L616" s="280">
        <f t="shared" si="116"/>
        <v>-5394910.3089998895</v>
      </c>
      <c r="M616" s="172"/>
    </row>
    <row r="617" spans="2:13" s="1" customFormat="1" ht="12" customHeight="1" outlineLevel="1">
      <c r="B617" s="250"/>
      <c r="C617" s="303" t="s">
        <v>365</v>
      </c>
      <c r="E617" s="35"/>
      <c r="F617" s="305">
        <v>0</v>
      </c>
      <c r="G617" s="305">
        <v>0</v>
      </c>
      <c r="H617" s="305">
        <f t="shared" si="115"/>
        <v>0</v>
      </c>
      <c r="I617" s="305"/>
      <c r="J617" s="305"/>
      <c r="K617" s="306">
        <v>0</v>
      </c>
      <c r="L617" s="305">
        <f t="shared" si="116"/>
        <v>0</v>
      </c>
      <c r="M617" s="172"/>
    </row>
    <row r="618" spans="2:13" s="1" customFormat="1" ht="12" customHeight="1">
      <c r="B618" s="104"/>
      <c r="C618" s="53" t="s">
        <v>327</v>
      </c>
      <c r="D618" s="253"/>
      <c r="E618" s="254"/>
      <c r="F618" s="305">
        <f>+F616-F617</f>
        <v>-959360.1340000035</v>
      </c>
      <c r="G618" s="305">
        <f>+G616-G617</f>
        <v>4909264.167000024</v>
      </c>
      <c r="H618" s="305">
        <f t="shared" si="115"/>
        <v>-5868624.301000027</v>
      </c>
      <c r="I618" s="305"/>
      <c r="J618" s="305"/>
      <c r="K618" s="306">
        <f>+K616-K617</f>
        <v>4435550.174999886</v>
      </c>
      <c r="L618" s="305">
        <f t="shared" si="116"/>
        <v>-5394910.3089998895</v>
      </c>
      <c r="M618" s="255"/>
    </row>
    <row r="619" spans="1:13" ht="12" customHeight="1">
      <c r="A619" s="1"/>
      <c r="B619" s="104"/>
      <c r="C619" s="132" t="s">
        <v>340</v>
      </c>
      <c r="D619" s="1"/>
      <c r="E619" s="233"/>
      <c r="F619" s="280">
        <f>F618+F613+F614</f>
        <v>142225278.828</v>
      </c>
      <c r="G619" s="280">
        <f>G618+G613+G614</f>
        <v>143658352.95400003</v>
      </c>
      <c r="H619" s="307">
        <f t="shared" si="115"/>
        <v>-1433074.126000017</v>
      </c>
      <c r="I619" s="307"/>
      <c r="J619" s="308"/>
      <c r="K619" s="287">
        <f>K618+K613+K614</f>
        <v>143184638.9619999</v>
      </c>
      <c r="L619" s="307">
        <f t="shared" si="116"/>
        <v>-959360.1339998841</v>
      </c>
      <c r="M619" s="171"/>
    </row>
    <row r="620" spans="1:13" ht="12" customHeight="1">
      <c r="A620" s="1"/>
      <c r="B620" s="104"/>
      <c r="C620" s="252"/>
      <c r="D620" s="1"/>
      <c r="E620" s="233"/>
      <c r="F620" s="140"/>
      <c r="G620" s="280"/>
      <c r="H620" s="258"/>
      <c r="I620" s="258"/>
      <c r="J620" s="290"/>
      <c r="K620" s="287"/>
      <c r="L620" s="258"/>
      <c r="M620" s="171"/>
    </row>
    <row r="621" spans="1:13" ht="12" customHeight="1">
      <c r="A621" s="1"/>
      <c r="B621" s="250" t="s">
        <v>328</v>
      </c>
      <c r="C621" s="251" t="s">
        <v>343</v>
      </c>
      <c r="D621" s="1"/>
      <c r="E621" s="233"/>
      <c r="F621" s="285">
        <v>0</v>
      </c>
      <c r="G621" s="280">
        <v>0</v>
      </c>
      <c r="H621" s="258">
        <f>+F621-G621</f>
        <v>0</v>
      </c>
      <c r="I621" s="258"/>
      <c r="J621" s="290"/>
      <c r="K621" s="287">
        <v>0</v>
      </c>
      <c r="L621" s="258">
        <f>+F621-K621</f>
        <v>0</v>
      </c>
      <c r="M621" s="171"/>
    </row>
    <row r="622" spans="1:13" s="1" customFormat="1" ht="12" customHeight="1">
      <c r="A622" s="1" t="s">
        <v>348</v>
      </c>
      <c r="B622" s="250" t="s">
        <v>353</v>
      </c>
      <c r="C622" s="53" t="s">
        <v>342</v>
      </c>
      <c r="D622" s="253"/>
      <c r="E622" s="254"/>
      <c r="F622" s="257">
        <v>0</v>
      </c>
      <c r="G622" s="257">
        <v>0</v>
      </c>
      <c r="H622" s="257">
        <f>+F622-G622</f>
        <v>0</v>
      </c>
      <c r="I622" s="257"/>
      <c r="J622" s="257"/>
      <c r="K622" s="288">
        <v>0</v>
      </c>
      <c r="L622" s="257">
        <f>+F622-K622</f>
        <v>0</v>
      </c>
      <c r="M622" s="255"/>
    </row>
    <row r="623" spans="1:13" ht="12" customHeight="1">
      <c r="A623" s="1"/>
      <c r="B623" s="104"/>
      <c r="C623" s="132" t="s">
        <v>341</v>
      </c>
      <c r="D623" s="1"/>
      <c r="E623" s="233"/>
      <c r="F623" s="280">
        <f>F621+F622</f>
        <v>0</v>
      </c>
      <c r="G623" s="280">
        <f>G621+G622</f>
        <v>0</v>
      </c>
      <c r="H623" s="280">
        <f>H621+H622</f>
        <v>0</v>
      </c>
      <c r="I623" s="258"/>
      <c r="J623" s="290"/>
      <c r="K623" s="287">
        <f>K621+K622</f>
        <v>0</v>
      </c>
      <c r="L623" s="258">
        <f>+F623-K623</f>
        <v>0</v>
      </c>
      <c r="M623" s="171"/>
    </row>
    <row r="624" spans="1:13" ht="12" customHeight="1">
      <c r="A624" s="1"/>
      <c r="B624" s="104"/>
      <c r="C624" s="132"/>
      <c r="D624" s="1"/>
      <c r="E624" s="233"/>
      <c r="F624" s="280"/>
      <c r="G624" s="280"/>
      <c r="H624" s="280"/>
      <c r="I624" s="258"/>
      <c r="J624" s="290"/>
      <c r="K624" s="287"/>
      <c r="L624" s="258"/>
      <c r="M624" s="171"/>
    </row>
    <row r="625" spans="1:13" ht="12" customHeight="1">
      <c r="A625" s="1"/>
      <c r="B625" s="104"/>
      <c r="C625" s="132" t="s">
        <v>375</v>
      </c>
      <c r="D625" s="1"/>
      <c r="E625" s="233"/>
      <c r="F625" s="280">
        <f>+F627-F623-F619-F611</f>
        <v>2.9802322387695312E-08</v>
      </c>
      <c r="G625" s="280">
        <f>+G627-G623-G619-G611</f>
        <v>5.960464477539063E-08</v>
      </c>
      <c r="H625" s="258">
        <f>+F625-G625</f>
        <v>-2.9802322387695312E-08</v>
      </c>
      <c r="I625" s="258"/>
      <c r="J625" s="290"/>
      <c r="K625" s="287">
        <f>+K627-K623-K619-K611</f>
        <v>-2.086162567138672E-07</v>
      </c>
      <c r="L625" s="258">
        <f>+F625-K625</f>
        <v>2.384185791015625E-07</v>
      </c>
      <c r="M625" s="171"/>
    </row>
    <row r="626" spans="1:13" s="1" customFormat="1" ht="12.75" customHeight="1">
      <c r="A626" s="33"/>
      <c r="B626" s="238"/>
      <c r="C626" s="33"/>
      <c r="D626" s="33"/>
      <c r="E626" s="234"/>
      <c r="F626" s="291"/>
      <c r="G626" s="291"/>
      <c r="H626" s="281"/>
      <c r="I626" s="140"/>
      <c r="J626" s="292"/>
      <c r="K626" s="323"/>
      <c r="L626" s="281"/>
      <c r="M626" s="172"/>
    </row>
    <row r="627" spans="1:14" s="1" customFormat="1" ht="13.5" thickBot="1">
      <c r="A627" s="33"/>
      <c r="B627" s="238"/>
      <c r="C627" s="245" t="s">
        <v>329</v>
      </c>
      <c r="D627" s="245"/>
      <c r="E627" s="246"/>
      <c r="F627" s="293">
        <f>+F601</f>
        <v>142225278.82800004</v>
      </c>
      <c r="G627" s="293">
        <f>+G601</f>
        <v>143658352.9540001</v>
      </c>
      <c r="H627" s="261">
        <f>+F627-G627</f>
        <v>-1433074.1260000467</v>
      </c>
      <c r="I627" s="261"/>
      <c r="J627" s="261"/>
      <c r="K627" s="294">
        <f>+K601</f>
        <v>143184638.96199968</v>
      </c>
      <c r="L627" s="261">
        <f>+F627-K627</f>
        <v>-959360.1339996457</v>
      </c>
      <c r="M627" s="247"/>
      <c r="N627" s="87"/>
    </row>
    <row r="628" spans="1:14" s="1" customFormat="1" ht="13.5" thickTop="1">
      <c r="A628" s="33"/>
      <c r="B628" s="238"/>
      <c r="C628" s="33"/>
      <c r="D628" s="33"/>
      <c r="E628" s="248"/>
      <c r="F628" s="248"/>
      <c r="G628" s="248"/>
      <c r="H628" s="87"/>
      <c r="I628" s="247"/>
      <c r="J628" s="88"/>
      <c r="K628" s="249"/>
      <c r="L628" s="87"/>
      <c r="M628" s="247"/>
      <c r="N628" s="87"/>
    </row>
    <row r="629" spans="1:14" s="1" customFormat="1" ht="12.75">
      <c r="A629" s="33"/>
      <c r="B629" s="238"/>
      <c r="C629" s="33"/>
      <c r="D629" s="33"/>
      <c r="E629" s="248"/>
      <c r="F629" s="248"/>
      <c r="G629" s="248"/>
      <c r="H629" s="87"/>
      <c r="I629" s="247"/>
      <c r="J629" s="88"/>
      <c r="K629" s="249"/>
      <c r="L629" s="87"/>
      <c r="M629" s="247"/>
      <c r="N629" s="87"/>
    </row>
    <row r="630" spans="1:14" s="1" customFormat="1" ht="12.75">
      <c r="A630" s="33"/>
      <c r="B630" s="238"/>
      <c r="C630" s="33"/>
      <c r="D630" s="33"/>
      <c r="E630" s="248"/>
      <c r="F630" s="248"/>
      <c r="G630" s="248"/>
      <c r="H630" s="87"/>
      <c r="I630" s="247"/>
      <c r="J630" s="88"/>
      <c r="K630" s="249"/>
      <c r="L630" s="87"/>
      <c r="M630" s="247"/>
      <c r="N630" s="87"/>
    </row>
    <row r="631" spans="2:13" s="36" customFormat="1" ht="12.75" hidden="1" outlineLevel="1">
      <c r="B631" s="36" t="s">
        <v>67</v>
      </c>
      <c r="C631" s="327" t="s">
        <v>0</v>
      </c>
      <c r="G631" s="38"/>
      <c r="H631" s="38"/>
      <c r="I631" s="177"/>
      <c r="J631" s="228"/>
      <c r="K631" s="202"/>
      <c r="L631" s="38"/>
      <c r="M631" s="177"/>
    </row>
    <row r="632" spans="1:13" s="36" customFormat="1" ht="12.75" hidden="1" outlineLevel="1">
      <c r="A632" s="37"/>
      <c r="B632" s="36" t="s">
        <v>68</v>
      </c>
      <c r="C632" s="36">
        <v>0.001</v>
      </c>
      <c r="G632" s="38"/>
      <c r="H632" s="38"/>
      <c r="I632" s="177"/>
      <c r="J632" s="228"/>
      <c r="K632" s="202"/>
      <c r="L632" s="38"/>
      <c r="M632" s="177"/>
    </row>
    <row r="633" spans="1:13" s="36" customFormat="1" ht="12.75" hidden="1" outlineLevel="1">
      <c r="A633" s="37"/>
      <c r="B633" s="36" t="s">
        <v>185</v>
      </c>
      <c r="C633" s="163" t="s">
        <v>184</v>
      </c>
      <c r="G633" s="38"/>
      <c r="H633" s="38"/>
      <c r="I633" s="177"/>
      <c r="J633" s="228"/>
      <c r="K633" s="202"/>
      <c r="L633" s="38"/>
      <c r="M633" s="177"/>
    </row>
    <row r="634" spans="1:13" s="36" customFormat="1" ht="12.75" hidden="1" outlineLevel="1">
      <c r="A634" s="37"/>
      <c r="B634" s="36" t="s">
        <v>186</v>
      </c>
      <c r="C634" s="36" t="s">
        <v>187</v>
      </c>
      <c r="G634" s="38"/>
      <c r="H634" s="38"/>
      <c r="I634" s="177"/>
      <c r="J634" s="228"/>
      <c r="K634" s="202"/>
      <c r="L634" s="38"/>
      <c r="M634" s="177"/>
    </row>
    <row r="635" spans="1:13" s="36" customFormat="1" ht="12.75" hidden="1" outlineLevel="1">
      <c r="A635" s="37"/>
      <c r="B635" s="36" t="s">
        <v>69</v>
      </c>
      <c r="C635" s="36">
        <f>COUNTIF($F$10:$M$575,+C633)</f>
        <v>0</v>
      </c>
      <c r="G635" s="38"/>
      <c r="H635" s="38"/>
      <c r="I635" s="177"/>
      <c r="J635" s="228"/>
      <c r="K635" s="202"/>
      <c r="L635" s="38"/>
      <c r="M635" s="177"/>
    </row>
    <row r="636" spans="1:13" s="36" customFormat="1" ht="12.75" hidden="1" outlineLevel="1">
      <c r="A636" s="37"/>
      <c r="B636" s="36" t="s">
        <v>69</v>
      </c>
      <c r="C636" s="46">
        <f>COUNTIF($F$10:$M$575,+C634)</f>
        <v>0</v>
      </c>
      <c r="F636" s="37"/>
      <c r="G636" s="38"/>
      <c r="H636" s="38"/>
      <c r="I636" s="177"/>
      <c r="J636" s="228"/>
      <c r="K636" s="202"/>
      <c r="L636" s="38"/>
      <c r="M636" s="177"/>
    </row>
    <row r="637" spans="1:13" s="36" customFormat="1" ht="12.75" hidden="1" outlineLevel="1">
      <c r="A637" s="37"/>
      <c r="B637" s="36" t="s">
        <v>70</v>
      </c>
      <c r="C637" s="46">
        <f>SUM(C635:C636)</f>
        <v>0</v>
      </c>
      <c r="F637" s="37"/>
      <c r="G637" s="38"/>
      <c r="H637" s="38"/>
      <c r="I637" s="177"/>
      <c r="J637" s="228"/>
      <c r="K637" s="202"/>
      <c r="L637" s="38"/>
      <c r="M637" s="177"/>
    </row>
    <row r="638" spans="1:13" s="36" customFormat="1" ht="12.75" hidden="1" outlineLevel="1">
      <c r="A638" s="37"/>
      <c r="B638" s="39"/>
      <c r="C638" s="47"/>
      <c r="D638" s="40"/>
      <c r="E638" s="40"/>
      <c r="F638" s="41"/>
      <c r="G638" s="38"/>
      <c r="H638" s="38"/>
      <c r="I638" s="177"/>
      <c r="J638" s="228"/>
      <c r="K638" s="203"/>
      <c r="L638" s="38"/>
      <c r="M638" s="177"/>
    </row>
    <row r="639" spans="1:13" s="36" customFormat="1" ht="12.75" hidden="1" outlineLevel="1">
      <c r="A639" s="37"/>
      <c r="B639" s="39" t="s">
        <v>71</v>
      </c>
      <c r="C639" s="328" t="s">
        <v>1</v>
      </c>
      <c r="D639" s="40"/>
      <c r="E639" s="40"/>
      <c r="F639" s="41"/>
      <c r="G639" s="38"/>
      <c r="H639" s="38"/>
      <c r="I639" s="177"/>
      <c r="J639" s="228"/>
      <c r="K639" s="203"/>
      <c r="L639" s="38"/>
      <c r="M639" s="177"/>
    </row>
    <row r="640" spans="1:13" s="36" customFormat="1" ht="12.75" hidden="1" outlineLevel="1">
      <c r="A640" s="37"/>
      <c r="B640" s="39" t="s">
        <v>72</v>
      </c>
      <c r="C640" s="328" t="s">
        <v>1</v>
      </c>
      <c r="D640" s="40"/>
      <c r="E640" s="40"/>
      <c r="F640" s="41"/>
      <c r="G640" s="38"/>
      <c r="H640" s="38"/>
      <c r="I640" s="177"/>
      <c r="J640" s="228"/>
      <c r="K640" s="203"/>
      <c r="L640" s="38"/>
      <c r="M640" s="177"/>
    </row>
    <row r="641" spans="1:13" s="36" customFormat="1" ht="12.75" hidden="1" outlineLevel="1">
      <c r="A641" s="37"/>
      <c r="B641" s="42" t="s">
        <v>81</v>
      </c>
      <c r="C641" s="328" t="s">
        <v>2</v>
      </c>
      <c r="D641" s="42"/>
      <c r="E641" s="42"/>
      <c r="G641" s="38"/>
      <c r="H641" s="38"/>
      <c r="I641" s="177"/>
      <c r="J641" s="228"/>
      <c r="K641" s="204"/>
      <c r="L641" s="38"/>
      <c r="M641" s="177"/>
    </row>
    <row r="642" spans="1:13" s="36" customFormat="1" ht="12.75" hidden="1" outlineLevel="1">
      <c r="A642" s="37"/>
      <c r="B642" s="42" t="s">
        <v>73</v>
      </c>
      <c r="C642" s="328" t="s">
        <v>3</v>
      </c>
      <c r="D642" s="42"/>
      <c r="E642" s="42"/>
      <c r="G642" s="38"/>
      <c r="H642" s="38"/>
      <c r="I642" s="177"/>
      <c r="J642" s="228"/>
      <c r="K642" s="204"/>
      <c r="L642" s="38"/>
      <c r="M642" s="177"/>
    </row>
    <row r="643" spans="1:13" s="36" customFormat="1" ht="12.75" hidden="1" outlineLevel="1">
      <c r="A643" s="37"/>
      <c r="B643" s="42" t="s">
        <v>74</v>
      </c>
      <c r="C643" s="328" t="s">
        <v>4</v>
      </c>
      <c r="D643" s="42"/>
      <c r="E643" s="42"/>
      <c r="G643" s="38"/>
      <c r="H643" s="38"/>
      <c r="I643" s="177"/>
      <c r="J643" s="228"/>
      <c r="K643" s="204"/>
      <c r="L643" s="38"/>
      <c r="M643" s="177"/>
    </row>
    <row r="644" spans="1:13" s="36" customFormat="1" ht="12.75" hidden="1" outlineLevel="1">
      <c r="A644" s="37"/>
      <c r="B644" s="42" t="s">
        <v>75</v>
      </c>
      <c r="C644" s="328" t="s">
        <v>5</v>
      </c>
      <c r="D644" s="42"/>
      <c r="E644" s="42"/>
      <c r="G644" s="38"/>
      <c r="H644" s="38"/>
      <c r="I644" s="177"/>
      <c r="J644" s="228"/>
      <c r="K644" s="204"/>
      <c r="L644" s="38"/>
      <c r="M644" s="177"/>
    </row>
    <row r="645" spans="1:13" s="36" customFormat="1" ht="12.75" hidden="1" outlineLevel="1">
      <c r="A645" s="37"/>
      <c r="B645" s="42" t="s">
        <v>76</v>
      </c>
      <c r="C645" s="328" t="s">
        <v>6</v>
      </c>
      <c r="D645" s="42"/>
      <c r="E645" s="42"/>
      <c r="G645" s="38"/>
      <c r="H645" s="38"/>
      <c r="I645" s="177"/>
      <c r="J645" s="228"/>
      <c r="K645" s="204"/>
      <c r="L645" s="38"/>
      <c r="M645" s="177"/>
    </row>
    <row r="646" spans="1:13" s="36" customFormat="1" ht="12.75" hidden="1" outlineLevel="1">
      <c r="A646" s="37"/>
      <c r="B646" s="42" t="s">
        <v>77</v>
      </c>
      <c r="C646" s="328" t="s">
        <v>7</v>
      </c>
      <c r="D646" s="42"/>
      <c r="E646" s="42"/>
      <c r="G646" s="38"/>
      <c r="H646" s="38"/>
      <c r="I646" s="177"/>
      <c r="J646" s="228"/>
      <c r="K646" s="204"/>
      <c r="L646" s="38"/>
      <c r="M646" s="177"/>
    </row>
    <row r="647" spans="1:13" s="36" customFormat="1" ht="12.75" hidden="1" outlineLevel="1">
      <c r="A647" s="37"/>
      <c r="B647" s="42" t="s">
        <v>78</v>
      </c>
      <c r="C647" s="328" t="s">
        <v>8</v>
      </c>
      <c r="D647" s="42"/>
      <c r="E647" s="42"/>
      <c r="G647" s="38"/>
      <c r="H647" s="38"/>
      <c r="I647" s="177"/>
      <c r="J647" s="228"/>
      <c r="K647" s="204"/>
      <c r="L647" s="38"/>
      <c r="M647" s="177"/>
    </row>
    <row r="648" spans="1:13" s="36" customFormat="1" ht="12.75" hidden="1" outlineLevel="1">
      <c r="A648" s="37"/>
      <c r="B648" s="42" t="s">
        <v>79</v>
      </c>
      <c r="C648" s="328" t="s">
        <v>9</v>
      </c>
      <c r="D648" s="42"/>
      <c r="E648" s="42"/>
      <c r="G648" s="38"/>
      <c r="H648" s="38"/>
      <c r="I648" s="177"/>
      <c r="J648" s="228"/>
      <c r="K648" s="204"/>
      <c r="L648" s="38"/>
      <c r="M648" s="177"/>
    </row>
    <row r="649" spans="1:13" s="36" customFormat="1" ht="12.75" hidden="1" outlineLevel="1">
      <c r="A649" s="37"/>
      <c r="B649" s="38" t="s">
        <v>80</v>
      </c>
      <c r="C649" s="48" t="str">
        <f>UPPER(TEXT(NvsElapsedTime,"hh:mm:ss"))</f>
        <v>00:00:44</v>
      </c>
      <c r="D649" s="38"/>
      <c r="E649" s="38"/>
      <c r="F649" s="38"/>
      <c r="G649" s="38"/>
      <c r="H649" s="38"/>
      <c r="I649" s="177"/>
      <c r="J649" s="228"/>
      <c r="K649" s="205"/>
      <c r="L649" s="38"/>
      <c r="M649" s="177"/>
    </row>
    <row r="650" spans="1:13" s="36" customFormat="1" ht="12.75" hidden="1" outlineLevel="1">
      <c r="A650" s="37"/>
      <c r="B650" s="38" t="s">
        <v>254</v>
      </c>
      <c r="C650" s="329" t="s">
        <v>10</v>
      </c>
      <c r="D650" s="38"/>
      <c r="E650" s="38"/>
      <c r="F650" s="38"/>
      <c r="G650" s="38"/>
      <c r="H650" s="38"/>
      <c r="I650" s="177"/>
      <c r="J650" s="228"/>
      <c r="K650" s="205"/>
      <c r="L650" s="38"/>
      <c r="M650" s="177"/>
    </row>
    <row r="651" spans="3:13" s="36" customFormat="1" ht="12.75" hidden="1" outlineLevel="1">
      <c r="C651" s="36" t="s">
        <v>338</v>
      </c>
      <c r="D651" s="44"/>
      <c r="E651" s="44"/>
      <c r="F651" s="36" t="s">
        <v>335</v>
      </c>
      <c r="G651" s="36" t="s">
        <v>336</v>
      </c>
      <c r="H651" s="36" t="s">
        <v>337</v>
      </c>
      <c r="I651" s="177"/>
      <c r="J651" s="228"/>
      <c r="K651" s="206"/>
      <c r="L651" s="38"/>
      <c r="M651" s="177"/>
    </row>
    <row r="652" spans="3:13" s="36" customFormat="1" ht="12.75" hidden="1" outlineLevel="1">
      <c r="C652" s="36" t="s">
        <v>338</v>
      </c>
      <c r="D652" s="38"/>
      <c r="E652" s="38"/>
      <c r="I652" s="177"/>
      <c r="J652" s="228"/>
      <c r="K652" s="205"/>
      <c r="L652" s="38"/>
      <c r="M652" s="177"/>
    </row>
    <row r="653" spans="3:13" s="36" customFormat="1" ht="12.75" hidden="1" outlineLevel="1">
      <c r="C653" s="309" t="s">
        <v>373</v>
      </c>
      <c r="D653" s="38"/>
      <c r="E653" s="38"/>
      <c r="F653" s="310">
        <v>2000000</v>
      </c>
      <c r="I653" s="177"/>
      <c r="J653" s="228"/>
      <c r="K653" s="205"/>
      <c r="L653" s="38"/>
      <c r="M653" s="177"/>
    </row>
    <row r="654" spans="3:13" s="36" customFormat="1" ht="12.75" hidden="1" outlineLevel="1">
      <c r="C654" s="309" t="s">
        <v>374</v>
      </c>
      <c r="D654" s="38"/>
      <c r="E654" s="38"/>
      <c r="F654" s="310">
        <v>1009000</v>
      </c>
      <c r="I654" s="177"/>
      <c r="J654" s="228"/>
      <c r="K654" s="205"/>
      <c r="L654" s="38"/>
      <c r="M654" s="177"/>
    </row>
    <row r="655" spans="2:13" s="36" customFormat="1" ht="12.75" collapsed="1">
      <c r="B655" s="43" t="s">
        <v>31</v>
      </c>
      <c r="C655" s="49"/>
      <c r="D655" s="38"/>
      <c r="E655" s="38"/>
      <c r="F655" s="38"/>
      <c r="G655" s="38"/>
      <c r="H655" s="38"/>
      <c r="I655" s="177"/>
      <c r="J655" s="228"/>
      <c r="K655" s="205"/>
      <c r="L655" s="38"/>
      <c r="M655" s="177"/>
    </row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73" ht="12.75"/>
    <row r="1074" ht="12.75"/>
    <row r="1075" ht="12.75"/>
    <row r="1096" ht="12.75"/>
    <row r="1097" ht="12.75"/>
    <row r="1098" ht="12.75"/>
  </sheetData>
  <sheetProtection/>
  <mergeCells count="3">
    <mergeCell ref="F2:L2"/>
    <mergeCell ref="F3:L3"/>
    <mergeCell ref="F4:L4"/>
  </mergeCells>
  <printOptions horizontalCentered="1"/>
  <pageMargins left="0.25" right="0.72" top="0.5" bottom="0.5" header="0.25" footer="0.25"/>
  <pageSetup fitToHeight="0" horizontalDpi="600" verticalDpi="600" orientation="landscape" scale="75" r:id="rId3"/>
  <headerFooter alignWithMargins="0">
    <oddFooter>&amp;L&amp;8&amp;D&amp;C&amp;8Page &amp;P of &amp;N&amp;R&amp;8&amp;Z&amp;F</oddFooter>
  </headerFooter>
  <rowBreaks count="2" manualBreakCount="2">
    <brk id="243" min="1" max="12" man="1"/>
    <brk id="576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13</v>
      </c>
      <c r="C2" s="3" t="s">
        <v>12</v>
      </c>
    </row>
    <row r="3" spans="1:3" ht="12.75">
      <c r="A3" s="6" t="s">
        <v>14</v>
      </c>
      <c r="C3" s="3" t="s">
        <v>27</v>
      </c>
    </row>
    <row r="4" spans="1:3" ht="12.75">
      <c r="A4" s="6" t="s">
        <v>15</v>
      </c>
      <c r="C4" s="3" t="s">
        <v>28</v>
      </c>
    </row>
    <row r="5" spans="1:3" ht="12.75">
      <c r="A5" s="6" t="s">
        <v>16</v>
      </c>
      <c r="C5" s="3" t="s">
        <v>32</v>
      </c>
    </row>
    <row r="6" spans="1:3" ht="12.75">
      <c r="A6" s="6" t="s">
        <v>17</v>
      </c>
      <c r="C6" s="3" t="s">
        <v>43</v>
      </c>
    </row>
    <row r="7" spans="1:3" ht="12.75">
      <c r="A7" s="6" t="s">
        <v>18</v>
      </c>
      <c r="C7" s="4">
        <v>40151</v>
      </c>
    </row>
    <row r="8" spans="1:3" ht="12.75">
      <c r="A8" s="6" t="s">
        <v>19</v>
      </c>
      <c r="C8" s="3" t="s">
        <v>33</v>
      </c>
    </row>
    <row r="9" spans="1:3" ht="12.75">
      <c r="A9" s="6" t="s">
        <v>20</v>
      </c>
      <c r="C9" s="3" t="s">
        <v>34</v>
      </c>
    </row>
    <row r="10" spans="1:3" ht="25.5">
      <c r="A10" s="6" t="s">
        <v>21</v>
      </c>
      <c r="C10" s="3" t="s">
        <v>35</v>
      </c>
    </row>
    <row r="11" spans="1:3" ht="12.75">
      <c r="A11" s="6" t="s">
        <v>22</v>
      </c>
      <c r="C11" s="3" t="s">
        <v>29</v>
      </c>
    </row>
    <row r="12" spans="1:3" ht="25.5">
      <c r="A12" s="6" t="s">
        <v>23</v>
      </c>
      <c r="C12" s="3" t="s">
        <v>59</v>
      </c>
    </row>
    <row r="13" spans="1:3" ht="12.75">
      <c r="A13" s="6" t="s">
        <v>24</v>
      </c>
      <c r="C13" s="3"/>
    </row>
    <row r="14" spans="1:3" ht="12.75">
      <c r="A14" s="6" t="s">
        <v>25</v>
      </c>
      <c r="C14" s="3"/>
    </row>
    <row r="15" spans="1:3" ht="12.75">
      <c r="A15" s="6" t="s">
        <v>26</v>
      </c>
      <c r="C15" s="3"/>
    </row>
    <row r="18" spans="1:5" ht="25.5">
      <c r="A18" s="6" t="s">
        <v>44</v>
      </c>
      <c r="C18" s="6" t="s">
        <v>27</v>
      </c>
      <c r="E18" s="2" t="s">
        <v>45</v>
      </c>
    </row>
    <row r="20" spans="1:5" ht="12.75">
      <c r="A20" s="6" t="s">
        <v>46</v>
      </c>
      <c r="C20" s="6" t="s">
        <v>27</v>
      </c>
      <c r="E20" s="2" t="s">
        <v>47</v>
      </c>
    </row>
    <row r="22" spans="1:5" ht="51">
      <c r="A22" s="6" t="s">
        <v>36</v>
      </c>
      <c r="C22" s="6" t="s">
        <v>27</v>
      </c>
      <c r="E22" s="2" t="s">
        <v>37</v>
      </c>
    </row>
    <row r="24" spans="1:5" ht="25.5">
      <c r="A24" s="6" t="s">
        <v>48</v>
      </c>
      <c r="C24" s="6" t="s">
        <v>27</v>
      </c>
      <c r="E24" s="2" t="s">
        <v>49</v>
      </c>
    </row>
    <row r="26" spans="1:5" ht="38.25">
      <c r="A26" s="6" t="s">
        <v>38</v>
      </c>
      <c r="C26" s="6" t="s">
        <v>27</v>
      </c>
      <c r="E26" s="2" t="s">
        <v>39</v>
      </c>
    </row>
    <row r="28" spans="1:5" ht="38.25">
      <c r="A28" s="6" t="s">
        <v>40</v>
      </c>
      <c r="C28" s="6" t="s">
        <v>27</v>
      </c>
      <c r="E28" s="2" t="s">
        <v>50</v>
      </c>
    </row>
    <row r="30" spans="1:5" ht="12.75">
      <c r="A30" s="7">
        <v>38923</v>
      </c>
      <c r="C30" s="6" t="s">
        <v>27</v>
      </c>
      <c r="E30" s="2" t="s">
        <v>51</v>
      </c>
    </row>
    <row r="32" spans="1:5" ht="25.5">
      <c r="A32" s="6" t="s">
        <v>52</v>
      </c>
      <c r="C32" s="6" t="s">
        <v>27</v>
      </c>
      <c r="E32" s="2" t="s">
        <v>53</v>
      </c>
    </row>
    <row r="34" spans="1:5" ht="76.5">
      <c r="A34" s="6" t="s">
        <v>41</v>
      </c>
      <c r="C34" s="6" t="s">
        <v>27</v>
      </c>
      <c r="E34" s="2" t="s">
        <v>42</v>
      </c>
    </row>
    <row r="36" spans="1:5" ht="12.75">
      <c r="A36" s="7">
        <v>39692</v>
      </c>
      <c r="C36" s="6" t="s">
        <v>27</v>
      </c>
      <c r="E36" s="2" t="s">
        <v>54</v>
      </c>
    </row>
    <row r="38" spans="1:5" ht="25.5">
      <c r="A38" s="6" t="s">
        <v>55</v>
      </c>
      <c r="C38" s="6" t="s">
        <v>27</v>
      </c>
      <c r="E38" s="2" t="s">
        <v>56</v>
      </c>
    </row>
    <row r="40" spans="1:5" ht="12.75">
      <c r="A40" s="6" t="s">
        <v>57</v>
      </c>
      <c r="C40" s="6" t="s">
        <v>27</v>
      </c>
      <c r="E40" s="2" t="s">
        <v>58</v>
      </c>
    </row>
    <row r="42" spans="1:5" ht="25.5">
      <c r="A42" s="6" t="s">
        <v>60</v>
      </c>
      <c r="C42" s="6" t="s">
        <v>27</v>
      </c>
      <c r="E42" s="2" t="s">
        <v>61</v>
      </c>
    </row>
    <row r="44" spans="1:5" ht="38.25">
      <c r="A44" s="6" t="s">
        <v>62</v>
      </c>
      <c r="C44" s="6" t="s">
        <v>27</v>
      </c>
      <c r="E44" s="2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Consolidated       Family Tree Income Statement</dc:title>
  <dc:subject/>
  <dc:creator>Financial Reporting / Neal Hartley</dc:creator>
  <cp:keywords/>
  <dc:description>Acct:   GL_ACCT_SEC
BU:     Regional_Cons
Sunset: 12/4/2009 1:00:00 AM</dc:description>
  <cp:lastModifiedBy>American Electric Power®</cp:lastModifiedBy>
  <cp:lastPrinted>2012-01-26T00:33:59Z</cp:lastPrinted>
  <dcterms:created xsi:type="dcterms:W3CDTF">1997-11-19T15:48:19Z</dcterms:created>
  <dcterms:modified xsi:type="dcterms:W3CDTF">2012-01-26T00:34:00Z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Regional_Cons</vt:lpwstr>
  </property>
  <property fmtid="{D5CDD505-2E9C-101B-9397-08002B2CF9AE}" pid="6" name="Sunset Date" linkTarget="Sunset_date">
    <vt:filetime>2009-12-04T05:00:00Z</vt:filetime>
  </property>
  <property fmtid="{D5CDD505-2E9C-101B-9397-08002B2CF9AE}" pid="7" name="Report Description" linkTarget="Report_Description">
    <vt:lpwstr>Income Statement used for 10K/Q and Cash Flows</vt:lpwstr>
  </property>
  <property fmtid="{D5CDD505-2E9C-101B-9397-08002B2CF9AE}" pid="8" name="Report BU Name" linkTarget="BU_Name">
    <vt:lpwstr>AEP Consolidated</vt:lpwstr>
  </property>
  <property fmtid="{D5CDD505-2E9C-101B-9397-08002B2CF9AE}" pid="9" name="Report Statment Type" linkTarget="Report_Stmt_type">
    <vt:lpwstr>Family Tree Income Statement</vt:lpwstr>
  </property>
</Properties>
</file>