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150" windowHeight="6030" tabRatio="602" activeTab="0"/>
  </bookViews>
  <sheets>
    <sheet name="A" sheetId="1" r:id="rId1"/>
    <sheet name="Customers" sheetId="2" r:id="rId2"/>
    <sheet name="Sales-Rev" sheetId="3" r:id="rId3"/>
    <sheet name="Prop Rev." sheetId="4" r:id="rId4"/>
    <sheet name="Design Day" sheetId="5" r:id="rId5"/>
    <sheet name="Meters" sheetId="6" r:id="rId6"/>
    <sheet name="Reg. Sta" sheetId="7" r:id="rId7"/>
    <sheet name="Services" sheetId="8" r:id="rId8"/>
    <sheet name="Min Syst - Mains" sheetId="9" r:id="rId9"/>
  </sheets>
  <externalReferences>
    <externalReference r:id="rId12"/>
    <externalReference r:id="rId13"/>
  </externalReferences>
  <definedNames>
    <definedName name="\P">'A'!$BB$5</definedName>
    <definedName name="__123Graph_A" hidden="1">'A'!$C$506:$C$554</definedName>
    <definedName name="__123Graph_B" hidden="1">'A'!$D$506:$D$554</definedName>
    <definedName name="__123Graph_C" hidden="1">'A'!$E$506:$E$554</definedName>
    <definedName name="__123Graph_D" hidden="1">'A'!$F$506:$F$554</definedName>
    <definedName name="__123Graph_E" hidden="1">'A'!$G$506:$G$554</definedName>
    <definedName name="__123Graph_F" hidden="1">'A'!$H$506:$H$554</definedName>
    <definedName name="__123Graph_X" hidden="1">'A'!$B$506:$B$554</definedName>
    <definedName name="ADM">'A'!$A$560:$M$573</definedName>
    <definedName name="ALLGARY">'A'!$BB$39:$BB$46</definedName>
    <definedName name="ALLOC">'A'!$A$661:$Y$709</definedName>
    <definedName name="ALLPAGES">'A'!$BB$11</definedName>
    <definedName name="COLUMN1">'A'!$R$1:$AD$26</definedName>
    <definedName name="COLUMN2">'A'!$AE$1:$AR$1144</definedName>
    <definedName name="CRITERIA">'A'!$AS$1</definedName>
    <definedName name="CUSTCHG">'A'!$BB$29:$BB$37</definedName>
    <definedName name="DATABASE">'A'!$A$1</definedName>
    <definedName name="INPUT">'A'!$A$1:$O$655</definedName>
    <definedName name="PAGE_1">'A'!$AE$885:$AR$920</definedName>
    <definedName name="PAGE_10">'A'!$AE$253:$AR$296</definedName>
    <definedName name="PAGE_11">'A'!$AE$297:$AR$338</definedName>
    <definedName name="PAGE_12">'A'!$AE$339:$AR$362</definedName>
    <definedName name="PAGE_13">'A'!$AE$363:$AR$399</definedName>
    <definedName name="PAGE_14">'A'!$AE$401:$AR$433</definedName>
    <definedName name="PAGE_15">'A'!$AE$434:$AR$469</definedName>
    <definedName name="PAGE_16">'A'!$AE$470:$AR$508</definedName>
    <definedName name="PAGE_17">'A'!$AE$509:$AR$541</definedName>
    <definedName name="PAGE_18">'A'!$AE$542:$AR$578</definedName>
    <definedName name="PAGE_19">'A'!$AE$579:$AR$618</definedName>
    <definedName name="PAGE_1F">'A'!$AE$1112:$AR$1144</definedName>
    <definedName name="PAGE_2">'A'!$R$1:$AD$26</definedName>
    <definedName name="PAGE_20">'A'!$AE$619:$AR$652</definedName>
    <definedName name="PAGE_21">'A'!$AE$653:$AR$679</definedName>
    <definedName name="PAGE_22">'A'!$AE$680:$AR$705</definedName>
    <definedName name="PAGE_23">'A'!$AE$711:$AR$740</definedName>
    <definedName name="PAGE_24">'A'!$AE$741:$AR$770</definedName>
    <definedName name="PAGE_25">'A'!$AE$778:$AR$797</definedName>
    <definedName name="PAGE_26">'A'!$AE$814:$AR$850</definedName>
    <definedName name="PAGE_27">'A'!$AE$921:$AR$957</definedName>
    <definedName name="PAGE_28">'A'!$AE$958:$AR$994</definedName>
    <definedName name="PAGE_2F">'A'!$AE$995:$AR$1039</definedName>
    <definedName name="PAGE_3">'A'!$AE$851:$AR$884</definedName>
    <definedName name="PAGE_30A">'A'!$AE$680:$AR$740</definedName>
    <definedName name="PAGE_35">'A'!$AE$921:$AR$957</definedName>
    <definedName name="PAGE_3F">'A'!$AE$1040:$AR$1074</definedName>
    <definedName name="PAGE_4">'A'!$AE$1:$AR$44</definedName>
    <definedName name="PAGE_4F">'A'!$AE$1075:$AR$1111</definedName>
    <definedName name="PAGE_5">'A'!$AE$45:$AR$83</definedName>
    <definedName name="PAGE_6">'A'!$AE$84:$AR$127</definedName>
    <definedName name="PAGE_7">'A'!$AE$128:$AR$166</definedName>
    <definedName name="PAGE_8">'A'!$AE$167:$AR$210</definedName>
    <definedName name="PAGE_9">'A'!$AE$211:$AR$252</definedName>
    <definedName name="_xlnm.Print_Area" localSheetId="0">'A'!$AE$1:$AR$1143</definedName>
    <definedName name="_xlnm.Print_Area" localSheetId="1">'Customers'!$A$1:$H$57</definedName>
    <definedName name="_xlnm.Print_Area" localSheetId="8">'Min Syst - Mains'!$A$1:$D$48</definedName>
    <definedName name="_xlnm.Print_Area" localSheetId="6">'Reg. Sta'!$A$1:$G$36</definedName>
    <definedName name="_xlnm.Print_Area" localSheetId="2">'Sales-Rev'!$A$1:$L$182</definedName>
    <definedName name="_xlnm.Print_Area" localSheetId="7">'Services'!$AF$1:$AN$61</definedName>
    <definedName name="PRINTMAIN">'A'!$BB$7</definedName>
    <definedName name="SPECGARY">'A'!$BB$48:$BB$54</definedName>
    <definedName name="SPECIFIC">'A'!$BB$20:$BB$26</definedName>
    <definedName name="TABLE">'A'!$AT$1:$AZ$35</definedName>
  </definedNames>
  <calcPr fullCalcOnLoad="1"/>
</workbook>
</file>

<file path=xl/comments1.xml><?xml version="1.0" encoding="utf-8"?>
<comments xmlns="http://schemas.openxmlformats.org/spreadsheetml/2006/main">
  <authors>
    <author>Columbia Gas</author>
  </authors>
  <commentList>
    <comment ref="C25" authorId="0">
      <text>
        <r>
          <rPr>
            <b/>
            <sz val="8"/>
            <rFont val="Tahoma"/>
            <family val="0"/>
          </rPr>
          <t>Columbia Gas:</t>
        </r>
        <r>
          <rPr>
            <sz val="8"/>
            <rFont val="Tahoma"/>
            <family val="0"/>
          </rPr>
          <t xml:space="preserve">
Change to 5 for D/C study, a 3 for a C/D study, and a 20 for an Avg. study.
Verify individual items b/4 filing.</t>
        </r>
      </text>
    </comment>
    <comment ref="D296" authorId="0">
      <text>
        <r>
          <rPr>
            <b/>
            <sz val="8"/>
            <rFont val="Tahoma"/>
            <family val="0"/>
          </rPr>
          <t>Columbia Gas:</t>
        </r>
        <r>
          <rPr>
            <sz val="8"/>
            <rFont val="Tahoma"/>
            <family val="0"/>
          </rPr>
          <t xml:space="preserve">
Allocated on customers excluding Res. Since they are not subject.
</t>
        </r>
      </text>
    </comment>
    <comment ref="D63" authorId="0">
      <text>
        <r>
          <rPr>
            <b/>
            <sz val="8"/>
            <rFont val="Tahoma"/>
            <family val="0"/>
          </rPr>
          <t>Columbia Gas:</t>
        </r>
        <r>
          <rPr>
            <sz val="8"/>
            <rFont val="Tahoma"/>
            <family val="0"/>
          </rPr>
          <t xml:space="preserve">
To spread labor by functuon account put increase here and book labor on next line.  This port put all labor in A&amp;G.</t>
        </r>
      </text>
    </comment>
  </commentList>
</comments>
</file>

<file path=xl/sharedStrings.xml><?xml version="1.0" encoding="utf-8"?>
<sst xmlns="http://schemas.openxmlformats.org/spreadsheetml/2006/main" count="2799" uniqueCount="920">
  <si>
    <t>*</t>
  </si>
  <si>
    <t xml:space="preserve">  </t>
  </si>
  <si>
    <t xml:space="preserve"> </t>
  </si>
  <si>
    <t xml:space="preserve">* PROJECT: ...... COLUMBIA GAS OF KENTUCKY - CLASS COST OF SERVICE  </t>
  </si>
  <si>
    <t xml:space="preserve">GROSS INTANGIBLE, PRODUCTION,  &amp; DIST. PLANT ALLOC. (ACCTS 101,106) </t>
  </si>
  <si>
    <t>* WRITTEN BY: ... M. P. BALMERT</t>
  </si>
  <si>
    <t>TABLE OF CONTENTS</t>
  </si>
  <si>
    <t>* DATE WRITTEN: .  21 MAY 1994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</si>
  <si>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</si>
  <si>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</si>
  <si>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</si>
  <si>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</si>
  <si>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</si>
  <si>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</si>
  <si>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</si>
  <si>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</si>
  <si>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</si>
  <si>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</si>
  <si>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</si>
  <si>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</si>
  <si>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</si>
  <si>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</si>
  <si>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</si>
  <si>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</si>
  <si>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</si>
  <si>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</si>
  <si>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</si>
  <si>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</si>
  <si>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</si>
  <si>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</si>
  <si>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DESCRIPTION</t>
  </si>
  <si>
    <t>Company</t>
  </si>
  <si>
    <t>$</t>
  </si>
  <si>
    <t>* SYNOPSIS: ..... USING AN ALLOCATION TABLE THE USER CAN ALLOCATE</t>
  </si>
  <si>
    <t>OPERATING REVENUE</t>
  </si>
  <si>
    <t>*                 THE TOTAL COMPANY COST OF SERVICE DETERMINED IN THE</t>
  </si>
  <si>
    <t>*                 RATE CASE TO THE VARIOUS CLASSES OR RATE SCHEDULES.</t>
  </si>
  <si>
    <t>LESS: GAS COST @ CITY GATE CHANGE</t>
  </si>
  <si>
    <t>*                 THIS PROGRAM WILL DETERMINE THE CURRENT RETURN ON RATE</t>
  </si>
  <si>
    <t>*                 BASE AND THE APPROPIATE REVENUE REQUIREMENT FOR RATE</t>
  </si>
  <si>
    <t>PAGE</t>
  </si>
  <si>
    <t>TOTAL INTANGIBLE PLANT</t>
  </si>
  <si>
    <t>TAXABLE INCOME FOR STATE INCOME TAX</t>
  </si>
  <si>
    <t>RATE OF RETURN BY CLASS - PROFORMA @ PROPOSED RATES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</si>
  <si>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</si>
  <si>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</si>
  <si>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</si>
  <si>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</si>
  <si>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</si>
  <si>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</si>
  <si>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*                 /WGPD TO OVER-RIDE THE PROTECTION, HOWEVER, THIS MAY</t>
  </si>
  <si>
    <t>TAXABLE INCOME FOR FEDERAL INCOME TAX</t>
  </si>
  <si>
    <t>GROSS DIST. &amp; GENERAL PLANT ALLOCATION (ACCTS 101,106)</t>
  </si>
  <si>
    <t>SALES AND A &amp; G EXPENSE ALLOCATION - M &amp; E</t>
  </si>
  <si>
    <t>*                 DESTROY SUBSEQUENT CELL REFERENCES.</t>
  </si>
  <si>
    <t>TOTAL PRODUCTION PLANT</t>
  </si>
  <si>
    <t xml:space="preserve">GROSS INTANGIBLE, PROD., &amp; DIST. PLANT ALLOC. (ACCTS 107) </t>
  </si>
  <si>
    <t>OPERATION &amp; MAINTENANCE EXPENSE SUMMARY</t>
  </si>
  <si>
    <t>GROSS DIST. &amp; GENERAL PLANT ALLOCATION (ACCTS 107)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</si>
  <si>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</si>
  <si>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</si>
  <si>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</si>
  <si>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</si>
  <si>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</si>
  <si>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</si>
  <si>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</si>
  <si>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</si>
  <si>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CUST CHG EXHIBIT: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</si>
  <si>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</si>
  <si>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</si>
  <si>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</si>
  <si>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</si>
  <si>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</si>
  <si>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</si>
  <si>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</si>
  <si>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</si>
  <si>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</si>
  <si>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</si>
  <si>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ALLOCATION FACTORS (1 - 10)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</si>
  <si>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</si>
  <si>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</si>
  <si>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</si>
  <si>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</si>
  <si>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</si>
  <si>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</si>
  <si>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</si>
  <si>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</si>
  <si>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</si>
  <si>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</si>
  <si>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</si>
  <si>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</si>
  <si>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</si>
  <si>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CLASS 8 DESCRIPTION:</t>
  </si>
  <si>
    <t>CLASS 9 DESCRIPTION:</t>
  </si>
  <si>
    <t>MISCELLANEOUS</t>
  </si>
  <si>
    <t xml:space="preserve">GROSS DISTRIBUTION &amp; GENERAL PLANT ALLOCATION (ACCTS 101,106) 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</si>
  <si>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</si>
  <si>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</si>
  <si>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</si>
  <si>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</si>
  <si>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</si>
  <si>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</si>
  <si>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EMBEDDED COST OF CAPITAL:</t>
  </si>
  <si>
    <t>REGULATORY COMMISSION EXPENSE (PSC FEE)</t>
  </si>
  <si>
    <t>REQUESTED RETURN ON EQUITY:</t>
  </si>
  <si>
    <t>COST OF GAS @ CITY GATE RATE:</t>
  </si>
  <si>
    <t>PROPOSED COST OF GAS @ CITY GATE RATE:</t>
  </si>
  <si>
    <t>PROPOSED COST OF GAS @ CITY GATE RATE - FI &amp; IS ONLY:</t>
  </si>
  <si>
    <t>EFFECTIVE PROJECTED FEDERAL TAX RATE:</t>
  </si>
  <si>
    <t>LABOR INCREASE</t>
  </si>
  <si>
    <t>TEST YEAR LABOR</t>
  </si>
  <si>
    <t>ANNUALIZED % INCREASE IN LABOR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</si>
  <si>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</si>
  <si>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</si>
  <si>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</si>
  <si>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</si>
  <si>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</si>
  <si>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</si>
  <si>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</si>
  <si>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</si>
  <si>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</si>
  <si>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</si>
  <si>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</si>
  <si>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</si>
  <si>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</si>
  <si>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 xml:space="preserve">GROSS INTANGIBLE, PRODUCTION,  &amp; DIST. PLANT ALLOC. (ACCTS 107) </t>
  </si>
  <si>
    <t>CUSTOMER ADVANCES</t>
  </si>
  <si>
    <t>(1962 - 69) INVESTMENT TAX CREDIT</t>
  </si>
  <si>
    <t>MATERIALS &amp; SUPPLIES</t>
  </si>
  <si>
    <t>PREPAYMENTS</t>
  </si>
  <si>
    <t>GAS STORED UNDERGROUND - FSS</t>
  </si>
  <si>
    <t>PAGES (4 - 7) - PLANT ACCOUNTS</t>
  </si>
  <si>
    <t>TOTAL INTANGIBLE PLANT (107)</t>
  </si>
  <si>
    <t>101</t>
  </si>
  <si>
    <t>106</t>
  </si>
  <si>
    <t>107</t>
  </si>
  <si>
    <t>TOTAL CO.</t>
  </si>
  <si>
    <t>INTANGIBLE PLANT</t>
  </si>
  <si>
    <t>ORGANIZATION</t>
  </si>
  <si>
    <t>DIS SOFTWARE</t>
  </si>
  <si>
    <t>FARA SOFTWARE</t>
  </si>
  <si>
    <t>TOTAL PRODUCTION PLANT (107)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</si>
  <si>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</si>
  <si>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</si>
  <si>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</si>
  <si>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</si>
  <si>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</si>
  <si>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</si>
  <si>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</si>
  <si>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</si>
  <si>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</si>
  <si>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</si>
  <si>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</si>
  <si>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</si>
  <si>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</si>
  <si>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</si>
  <si>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</si>
  <si>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</si>
  <si>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</si>
  <si>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</si>
  <si>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</si>
  <si>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</si>
  <si>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</si>
  <si>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</si>
  <si>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 xml:space="preserve">GROSS DISTRIBUTION &amp; GENERAL PLANT ALLOCATION (ACCTS 107) 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</si>
  <si>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</si>
  <si>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</si>
  <si>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</si>
  <si>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</si>
  <si>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</si>
  <si>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</si>
  <si>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</si>
  <si>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</si>
  <si>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</si>
  <si>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</si>
  <si>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CIS</t>
  </si>
  <si>
    <t>GENERAL PLANT</t>
  </si>
  <si>
    <t>OFF FURN &amp; EQUIP - UNSPEC</t>
  </si>
  <si>
    <t>OFF FURN &amp; EQUIP - DATA HAND</t>
  </si>
  <si>
    <t>OFF FURN &amp; EQUIP - INFO SYSTEM</t>
  </si>
  <si>
    <t>TR EQ - TRAILER &lt;= $1,000</t>
  </si>
  <si>
    <t>TOTAL DISTRIBUTION PLANT (107)</t>
  </si>
  <si>
    <t>STORES EQUIPMENT</t>
  </si>
  <si>
    <t>TOOLS,SHOP, &amp; GAR EQ-GARAGE &amp; SERV</t>
  </si>
  <si>
    <t>CNG EQUIP STATIONARY</t>
  </si>
  <si>
    <t>CNG EQUIP PORTABLE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</si>
  <si>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</si>
  <si>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</si>
  <si>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</si>
  <si>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</si>
  <si>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</si>
  <si>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</si>
  <si>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</si>
  <si>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</si>
  <si>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</si>
  <si>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</si>
  <si>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TOTAL GENERAL PLANT (107)</t>
  </si>
  <si>
    <t>TOTAL PLANT (107)</t>
  </si>
  <si>
    <t>TOTAL PLANT (101, 106 &amp; 107)</t>
  </si>
  <si>
    <t>GROSS INTANGIBLE, PROD.,  &amp; DIST. PLANT DEPRECIATION RESERVE ALLOC.</t>
  </si>
  <si>
    <t xml:space="preserve">TOTAL INTANGIBLE PLANT </t>
  </si>
  <si>
    <t xml:space="preserve">TOTAL PRODUCTION PLANT </t>
  </si>
  <si>
    <t>UNDERGROUND STORAGE TANKS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</si>
  <si>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</si>
  <si>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</si>
  <si>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</si>
  <si>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</si>
  <si>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</si>
  <si>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</si>
  <si>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</si>
  <si>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</si>
  <si>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</si>
  <si>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</si>
  <si>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</si>
  <si>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</si>
  <si>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</si>
  <si>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</si>
  <si>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</si>
  <si>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</si>
  <si>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</si>
  <si>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</si>
  <si>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</si>
  <si>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UNBILLED REVENUE</t>
  </si>
  <si>
    <t>r0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</si>
  <si>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</si>
  <si>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</si>
  <si>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</si>
  <si>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</si>
  <si>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</si>
  <si>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</si>
  <si>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</si>
  <si>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</si>
  <si>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</si>
  <si>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</si>
  <si>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</si>
  <si>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</si>
  <si>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</si>
  <si>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</si>
  <si>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</si>
  <si>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</si>
  <si>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</si>
  <si>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</si>
  <si>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</si>
  <si>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</si>
  <si>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</si>
  <si>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</si>
  <si>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</si>
  <si>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</si>
  <si>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</si>
  <si>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</si>
  <si>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</si>
  <si>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</si>
  <si>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</si>
  <si>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</si>
  <si>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</si>
  <si>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</si>
  <si>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</si>
  <si>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</si>
  <si>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</si>
  <si>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</si>
  <si>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</si>
  <si>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</si>
  <si>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</si>
  <si>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</si>
  <si>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</si>
  <si>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</si>
  <si>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</si>
  <si>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</si>
  <si>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</si>
  <si>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</si>
  <si>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</si>
  <si>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</si>
  <si>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</si>
  <si>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</si>
  <si>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</si>
  <si>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</si>
  <si>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</si>
  <si>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</si>
  <si>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</si>
  <si>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</si>
  <si>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</si>
  <si>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</si>
  <si>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</si>
  <si>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</si>
  <si>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</si>
  <si>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</si>
  <si>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</si>
  <si>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</si>
  <si>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</si>
  <si>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</si>
  <si>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</si>
  <si>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</si>
  <si>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</si>
  <si>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</si>
  <si>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</si>
  <si>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</si>
  <si>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</si>
  <si>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</si>
  <si>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</si>
  <si>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</si>
  <si>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</si>
  <si>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</si>
  <si>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</si>
  <si>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</si>
  <si>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</si>
  <si>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</si>
  <si>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</si>
  <si>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</si>
  <si>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</si>
  <si>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</si>
  <si>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</si>
  <si>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</si>
  <si>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</si>
  <si>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</si>
  <si>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</si>
  <si>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</si>
  <si>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M &amp; E - (PAGES 17 - 19)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</si>
  <si>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</si>
  <si>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</si>
  <si>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</si>
  <si>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</si>
  <si>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</si>
  <si>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</si>
  <si>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</si>
  <si>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</si>
  <si>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</si>
  <si>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</si>
  <si>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</si>
  <si>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</si>
  <si>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</si>
  <si>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</si>
  <si>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</si>
  <si>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</si>
  <si>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</si>
  <si>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</si>
  <si>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</si>
  <si>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</si>
  <si>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</si>
  <si>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</si>
  <si>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</si>
  <si>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</si>
  <si>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</si>
  <si>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</si>
  <si>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</si>
  <si>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</si>
  <si>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</si>
  <si>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</si>
  <si>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</si>
  <si>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</si>
  <si>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</si>
  <si>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</si>
  <si>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</si>
  <si>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935.24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</si>
  <si>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</si>
  <si>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</si>
  <si>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</si>
  <si>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</si>
  <si>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</si>
  <si>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>REGULATORY COMMISSION EXPENSE - PSC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</si>
  <si>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</si>
  <si>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</si>
  <si>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</si>
  <si>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</si>
  <si>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</si>
  <si>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</si>
  <si>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</si>
  <si>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</si>
  <si>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TAX ACCELERATED DEPRECIATION</t>
  </si>
  <si>
    <t>NON DEDUCTIBLE EMPLOYEE EXPENSE</t>
  </si>
  <si>
    <t>DEFERRED ADJUSTMENTS</t>
  </si>
  <si>
    <t>TAX STRAIGHT LINE DEPRECIATION</t>
  </si>
  <si>
    <t>AMORT. OF PRIOR YEARS ITC</t>
  </si>
  <si>
    <t>DIRECT ADJUSTMENT TO F.I.T.</t>
  </si>
  <si>
    <t>PAGES 22 &amp; 23 - KENTUCKY STATE INCOME TAX</t>
  </si>
  <si>
    <t>FOREIGN TAX PAYMENTS</t>
  </si>
  <si>
    <t>PROFORMA @ PROPOSED RATES REVENUE BY CLASS (PAGE 1)</t>
  </si>
  <si>
    <t>GAS COST CHANGE BY RATE SCHEDULE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</si>
  <si>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</si>
  <si>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</si>
  <si>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</si>
  <si>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</si>
  <si>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</si>
  <si>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</si>
  <si>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</si>
  <si>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</si>
  <si>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</si>
  <si>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</si>
  <si>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</si>
  <si>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>CUSTOMER PORTION OF SERVICES (ACCT 380)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</si>
  <si>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</si>
  <si>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</si>
  <si>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</si>
  <si>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</si>
  <si>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</si>
  <si>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</si>
  <si>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</si>
  <si>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</si>
  <si>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</si>
  <si>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</si>
  <si>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</si>
  <si>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</si>
  <si>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</si>
  <si>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</si>
  <si>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</si>
  <si>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</si>
  <si>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</si>
  <si>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</si>
  <si>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</si>
  <si>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</si>
  <si>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</si>
  <si>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</si>
  <si>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</si>
  <si>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</si>
  <si>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</si>
  <si>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DESIGN DAY EXCL. TRANS. (MCF)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</si>
  <si>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</si>
  <si>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</si>
  <si>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</si>
  <si>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</si>
  <si>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</si>
  <si>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</si>
  <si>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</si>
  <si>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</si>
  <si>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</si>
  <si>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</si>
  <si>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</si>
  <si>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</si>
  <si>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</si>
  <si>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</si>
  <si>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</si>
  <si>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</si>
  <si>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OPERATING INCOME BEFORE TAXES (PAGE 24, LINE 3)</t>
  </si>
  <si>
    <t>LESS: RECONCILING ITEMS:</t>
  </si>
  <si>
    <t xml:space="preserve">  IMPUTED INTEREST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</si>
  <si>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</si>
  <si>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</si>
  <si>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</si>
  <si>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</si>
  <si>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</si>
  <si>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</si>
  <si>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</si>
  <si>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</si>
  <si>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</si>
  <si>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 xml:space="preserve">  BOOK DEPRECIATION</t>
  </si>
  <si>
    <t xml:space="preserve">  KENTUCKY STATE INCOME TAX DEDUCTION </t>
  </si>
  <si>
    <t>DEFERRED INCOME TAXES</t>
  </si>
  <si>
    <t>OTHER TAX DEFERRALS</t>
  </si>
  <si>
    <t>TOTAL OTHER TAX DEFERRALS</t>
  </si>
  <si>
    <t xml:space="preserve">TOTAL FEDERAL INCOME TAX </t>
  </si>
  <si>
    <t>101, 106 &amp; 107 GROSS PLANT [1]</t>
  </si>
  <si>
    <t>LESS:</t>
  </si>
  <si>
    <t>108-111</t>
  </si>
  <si>
    <t>DEPRECIATION RESERVE [2]</t>
  </si>
  <si>
    <t>NET PLANT</t>
  </si>
  <si>
    <t xml:space="preserve">NET RATE BASE </t>
  </si>
  <si>
    <t xml:space="preserve">PLUS WORKING CAPITAL: </t>
  </si>
  <si>
    <t xml:space="preserve">    CASH WORKING CAPITAL @ 1/8 OF</t>
  </si>
  <si>
    <t xml:space="preserve">    O &amp; M EXCLUDING GAS COST [3]</t>
  </si>
  <si>
    <t>RATE BASE</t>
  </si>
  <si>
    <t>REFERENCES: [1] PAGE 7, [2] PAGE 10,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</si>
  <si>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</si>
  <si>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</si>
  <si>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</si>
  <si>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</si>
  <si>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</si>
  <si>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</si>
  <si>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</si>
  <si>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</si>
  <si>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</si>
  <si>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</si>
  <si>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</si>
  <si>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% COMMON EQUITY CAPITAL</t>
  </si>
  <si>
    <t>COMMON EQUITY CAPITAL</t>
  </si>
  <si>
    <t>RATE OF RETURN EARNED ON RATE BASE</t>
  </si>
  <si>
    <t>RATE OF RETURN EARNED ON COMMON EQUITY</t>
  </si>
  <si>
    <t>RATE OF RETURN REQUEST ON COMMON EQUITY</t>
  </si>
  <si>
    <t>UNITIZED RETURN</t>
  </si>
  <si>
    <t>REFERENCES: [1] PAGE 12, [2] PAGE 20, [3] PAGE 11, [4] PAGE 25, [5] PAGE 23, [6] PAGE 21, [7] PAGE 24, [8] PAGE 26.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</si>
  <si>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</si>
  <si>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</si>
  <si>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</si>
  <si>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</si>
  <si>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</si>
  <si>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</si>
  <si>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</si>
  <si>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</si>
  <si>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</si>
  <si>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</si>
  <si>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 xml:space="preserve">REFERENCES: </t>
  </si>
  <si>
    <t>CUSTOMER BASED COSTS - O &amp; M</t>
  </si>
  <si>
    <t>PAGE 2 OF 4</t>
  </si>
  <si>
    <t xml:space="preserve">  TOTAL DISTRIBUTION</t>
  </si>
  <si>
    <t xml:space="preserve">  TOTAL CUSTOMER ACCOUNTS</t>
  </si>
  <si>
    <t>NOTE: [1] CUSTOMER RELATED PORTION OF MAINS, [2] CUSTOMER RELATED PORTION OF SERVICES</t>
  </si>
  <si>
    <t>PAGE 3 OF 4</t>
  </si>
  <si>
    <t xml:space="preserve">  TOTAL CUSTOMER SERV &amp; INFO</t>
  </si>
  <si>
    <t xml:space="preserve">TOTAL CUST. BASED COSTS -  O&amp;M </t>
  </si>
  <si>
    <t>CUSTOMER BASED COSTS - GAS PLANT</t>
  </si>
  <si>
    <t>PAGE 4 OF 4</t>
  </si>
  <si>
    <t xml:space="preserve">  TOTAL DISTRIBUTION PLANT</t>
  </si>
  <si>
    <t xml:space="preserve">  TOTAL DIST. PLANT RESERVE</t>
  </si>
  <si>
    <t>NET CUST. BASED RATE BASE</t>
  </si>
  <si>
    <t>INCOME TAXES</t>
  </si>
  <si>
    <t>CUSTOMER BASED COSTS - CUSTOMER CHARGE</t>
  </si>
  <si>
    <t>PAGE 1 OF 4</t>
  </si>
  <si>
    <t>OPERATION &amp; MAINT EXPENSE</t>
  </si>
  <si>
    <t xml:space="preserve">  TOTAL DEPRECIATION EXPENSE</t>
  </si>
  <si>
    <t>PROPERTY TAX [3]</t>
  </si>
  <si>
    <t>RETURN</t>
  </si>
  <si>
    <t>REVENUE TAXES</t>
  </si>
  <si>
    <t>TOTAL ANNUAL CUST. BASED COST</t>
  </si>
  <si>
    <t>MONTHLY CUST. BASED COST</t>
  </si>
  <si>
    <t>(LINE 15 / 12 MONTHS)</t>
  </si>
  <si>
    <t>AVERAGE ANNUAL CUSTOMERS</t>
  </si>
  <si>
    <t>MONTHLY CUSTOMER BASED COST</t>
  </si>
  <si>
    <t>NOTE: [1] CUSTOMER RELATED PORTION OF MAINS, [2] CUSTOMER RELATED PORTION OF SERVICES, [3] TAX ON ACCTS. 376, 380, 381, 382, 383, 384, &amp; 385</t>
  </si>
  <si>
    <t xml:space="preserve">           [4] COSTS ARE INCLUDED IN THE IS CUSTOMER CHARGE.</t>
  </si>
  <si>
    <t xml:space="preserve">*           </t>
  </si>
  <si>
    <t xml:space="preserve">*               </t>
  </si>
  <si>
    <t>*                 NOTE: CELLS SHOWN IN BLUE ARE DATA ENTRY CELLS,</t>
  </si>
  <si>
    <t xml:space="preserve">*                 ALL OTHER CELLS ARE PROTECTED.  WARNING!!! YOU MAY ENTER </t>
  </si>
  <si>
    <t>* LANGUAGE: ..... MICROSOF T EXCEL</t>
  </si>
  <si>
    <t>* REVISIONS: .... M. P. BALMERT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</si>
  <si>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</si>
  <si>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</si>
  <si>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</si>
  <si>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</si>
  <si>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</si>
  <si>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</si>
  <si>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</si>
  <si>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</si>
  <si>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</si>
  <si>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</si>
  <si>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</si>
  <si>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</si>
  <si>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</si>
  <si>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</si>
  <si>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</si>
  <si>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</si>
  <si>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</si>
  <si>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</si>
  <si>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</si>
  <si>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</si>
  <si>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</si>
  <si>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</si>
  <si>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</si>
  <si>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</si>
  <si>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</si>
  <si>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</si>
  <si>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</si>
  <si>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</si>
  <si>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</si>
  <si>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</si>
  <si>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</si>
  <si>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</si>
  <si>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</si>
  <si>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</si>
  <si>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</si>
  <si>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</si>
  <si>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</si>
  <si>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</si>
  <si>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</si>
  <si>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</si>
  <si>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</si>
  <si>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</si>
  <si>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</si>
  <si>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</si>
  <si>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DS-Smith (Sp. Cont)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</si>
  <si>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</si>
  <si>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</si>
  <si>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</si>
  <si>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</si>
  <si>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</si>
  <si>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</si>
  <si>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</si>
  <si>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</si>
  <si>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</si>
  <si>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</si>
  <si>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GS-RES.</t>
  </si>
  <si>
    <t>GS-OTHER</t>
  </si>
  <si>
    <t>IUS</t>
  </si>
  <si>
    <t>DS-ML/SC</t>
  </si>
  <si>
    <t>DS/IS/SS</t>
  </si>
  <si>
    <t>GST GS FALLBACK</t>
  </si>
  <si>
    <t>IS INT</t>
  </si>
  <si>
    <t>SS COM. FIRM</t>
  </si>
  <si>
    <t>SS COM INT</t>
  </si>
  <si>
    <t>SS IND INT</t>
  </si>
  <si>
    <t>SS IND FIRM</t>
  </si>
  <si>
    <t>SS COM FIRM</t>
  </si>
  <si>
    <t>IN INT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</si>
  <si>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</si>
  <si>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</si>
  <si>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</si>
  <si>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</si>
  <si>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</si>
  <si>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</si>
  <si>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</si>
  <si>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DS-GS - Comm</t>
  </si>
  <si>
    <t>DS-GS - Ind</t>
  </si>
  <si>
    <t>DS-ML</t>
  </si>
  <si>
    <t>DS-Other</t>
  </si>
  <si>
    <t>DS-Other - Ind.</t>
  </si>
  <si>
    <t>GSO</t>
  </si>
  <si>
    <t>G1C</t>
  </si>
  <si>
    <t>GST</t>
  </si>
  <si>
    <t>IN3</t>
  </si>
  <si>
    <t>IS</t>
  </si>
  <si>
    <t>LG2</t>
  </si>
  <si>
    <t>SS</t>
  </si>
  <si>
    <t>GTO</t>
  </si>
  <si>
    <t>FX6</t>
  </si>
  <si>
    <t>FX5</t>
  </si>
  <si>
    <t>SC3</t>
  </si>
  <si>
    <t>SC2</t>
  </si>
  <si>
    <t>DS3</t>
  </si>
  <si>
    <t>FX1</t>
  </si>
  <si>
    <t>FX2</t>
  </si>
  <si>
    <t>%</t>
  </si>
  <si>
    <t>"12/31/94</t>
  </si>
  <si>
    <t>SOURCE - LISTING BY RATE SCHEDUDLE, BY SIZE OF METER.</t>
  </si>
  <si>
    <t xml:space="preserve">INDUSTRIAL MEASURING AND REGULATING STATION EQUIPMENT </t>
  </si>
  <si>
    <t>SOURCE - LISTING BY RATE SCHEDUDLE</t>
  </si>
  <si>
    <t>ACCOUNT 381 - METERS</t>
  </si>
  <si>
    <t>ACCOUNT 380 - SERVICES</t>
  </si>
  <si>
    <t>SOURCE - LISTING OF SERVICES BY SIZE AND KIND</t>
  </si>
  <si>
    <t>AUX</t>
  </si>
  <si>
    <t>PU#</t>
  </si>
  <si>
    <t>SIZE</t>
  </si>
  <si>
    <t>CODE</t>
  </si>
  <si>
    <t>QUANTIY</t>
  </si>
  <si>
    <t xml:space="preserve">BOOK </t>
  </si>
  <si>
    <t>COST</t>
  </si>
  <si>
    <t>Main/Meter</t>
  </si>
  <si>
    <t>1 1/2</t>
  </si>
  <si>
    <t>Under 3"</t>
  </si>
  <si>
    <t>2 1/2</t>
  </si>
  <si>
    <t>3" &amp; Over</t>
  </si>
  <si>
    <t>Main/Curb</t>
  </si>
  <si>
    <t>Curb/Meter</t>
  </si>
  <si>
    <t>00</t>
  </si>
  <si>
    <t>Total Contributions</t>
  </si>
  <si>
    <t>Misclassified Plant</t>
  </si>
  <si>
    <t>Total Account 380</t>
  </si>
  <si>
    <t>Total under 3"</t>
  </si>
  <si>
    <t>Total over 3"</t>
  </si>
  <si>
    <t>Contributions</t>
  </si>
  <si>
    <t>2" &amp; Under</t>
  </si>
  <si>
    <t>GS-Res.</t>
  </si>
  <si>
    <t>Over 3"</t>
  </si>
  <si>
    <t>GS-Other.</t>
  </si>
  <si>
    <t>GIR</t>
  </si>
  <si>
    <t>LOC</t>
  </si>
  <si>
    <t>Blank</t>
  </si>
  <si>
    <t>DS-Ml/SC</t>
  </si>
  <si>
    <t>GST - Ind</t>
  </si>
  <si>
    <t>Rate</t>
  </si>
  <si>
    <t>Schedu;le</t>
  </si>
  <si>
    <t>Schedule</t>
  </si>
  <si>
    <t xml:space="preserve">Rate </t>
  </si>
  <si>
    <t>2" Pipe</t>
  </si>
  <si>
    <t>Account</t>
  </si>
  <si>
    <t>All Pipe</t>
  </si>
  <si>
    <t>No.</t>
  </si>
  <si>
    <t>DEVEOPMENT OF CUSTOMER/DEMAND ALLOCATION -FACTOR 7</t>
  </si>
  <si>
    <t>GS-Residential</t>
  </si>
  <si>
    <t>GS-Other</t>
  </si>
  <si>
    <t>Customer</t>
  </si>
  <si>
    <t>Count</t>
  </si>
  <si>
    <t>Ratio</t>
  </si>
  <si>
    <t>Component</t>
  </si>
  <si>
    <t>Factor</t>
  </si>
  <si>
    <t>(1)</t>
  </si>
  <si>
    <t>(2)</t>
  </si>
  <si>
    <t>(3)</t>
  </si>
  <si>
    <t>(5)</t>
  </si>
  <si>
    <t>(4=3*70.78%))</t>
  </si>
  <si>
    <t xml:space="preserve">Design </t>
  </si>
  <si>
    <t xml:space="preserve">Day </t>
  </si>
  <si>
    <t>Demand</t>
  </si>
  <si>
    <t>(6)</t>
  </si>
  <si>
    <t>(7)</t>
  </si>
  <si>
    <t>(8=4+7)</t>
  </si>
  <si>
    <t>Ln.</t>
  </si>
  <si>
    <t>DESIGN DAY</t>
  </si>
  <si>
    <t>SOURCE - GAS SUPPLY DESGIN DAY STUDY</t>
  </si>
  <si>
    <t>IS Com</t>
  </si>
  <si>
    <t>IS Ind</t>
  </si>
  <si>
    <t xml:space="preserve">GS Customers and included in GS-Other </t>
  </si>
  <si>
    <t>IS Customers and included in DS/IS/SS</t>
  </si>
  <si>
    <t>Note: Certain customers may have multiple services and some may not have services if service provided off a main line.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</si>
  <si>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</si>
  <si>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</si>
  <si>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</si>
  <si>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</si>
  <si>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</si>
  <si>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</si>
  <si>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</si>
  <si>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</si>
  <si>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>OFF-SYSTEM SALES</t>
  </si>
  <si>
    <t>ADJUSTMENTS - SCHEDULE D</t>
  </si>
  <si>
    <t>M&amp;E/LABOR</t>
  </si>
  <si>
    <t>AMOUNT</t>
  </si>
  <si>
    <t>M&amp;E</t>
  </si>
  <si>
    <t>ADVERTISING D 2-2</t>
  </si>
  <si>
    <t>RATE CASE EXPENSE  D 2-3</t>
  </si>
  <si>
    <t>ANNUALIZE LABOR  D 2-4</t>
  </si>
  <si>
    <t>BENEFITS  D 2-5</t>
  </si>
  <si>
    <t>POSTAGE D 2-6</t>
  </si>
  <si>
    <t>CORPORATE SERVICES D 2-7</t>
  </si>
  <si>
    <t>COMMISSION FEES D 2-1</t>
  </si>
  <si>
    <t xml:space="preserve">  EXCESS OF BOOK OVER TAX DEPRECIATION</t>
  </si>
  <si>
    <t>GAS PURCHASE EXPENSE EX OFF SYST</t>
  </si>
  <si>
    <t>EXCESS OF BOOK OVER TAX S/L</t>
  </si>
  <si>
    <t>Delaid payment allocation on customer exlcuding RS</t>
  </si>
  <si>
    <t>D409</t>
  </si>
  <si>
    <t>CALACULATED AUTOMATICALLY</t>
  </si>
  <si>
    <t>D428</t>
  </si>
  <si>
    <t>D429</t>
  </si>
  <si>
    <t>D393</t>
  </si>
  <si>
    <t>D418</t>
  </si>
  <si>
    <t>D473</t>
  </si>
  <si>
    <t>D443</t>
  </si>
  <si>
    <t>D471</t>
  </si>
  <si>
    <t>D407</t>
  </si>
  <si>
    <t>D468</t>
  </si>
  <si>
    <t>D466</t>
  </si>
  <si>
    <t xml:space="preserve">DESIGN DAY EXCL. INTER. DEMAND TRANS (MCF) </t>
  </si>
  <si>
    <t>Excluding Interruptible Volumes</t>
  </si>
  <si>
    <t>Interruptible Demand</t>
  </si>
  <si>
    <t>DS-GS Com.</t>
  </si>
  <si>
    <t>DS-GS Ind.</t>
  </si>
  <si>
    <t>Total Interruptible</t>
  </si>
  <si>
    <t>Exluding Interruptible Demand</t>
  </si>
  <si>
    <t xml:space="preserve">Under </t>
  </si>
  <si>
    <t>3"</t>
  </si>
  <si>
    <t>+</t>
  </si>
  <si>
    <t>Duplicates</t>
  </si>
  <si>
    <t>Over</t>
  </si>
  <si>
    <t>3" &amp;</t>
  </si>
  <si>
    <t>In4</t>
  </si>
  <si>
    <t>Blank - com</t>
  </si>
  <si>
    <t>GSO-Com</t>
  </si>
  <si>
    <t>GST-Com</t>
  </si>
  <si>
    <t>GTO-Com</t>
  </si>
  <si>
    <t>G1C-Com</t>
  </si>
  <si>
    <t>IN3-Com</t>
  </si>
  <si>
    <t>LG2_com</t>
  </si>
  <si>
    <t>LOC-Com</t>
  </si>
  <si>
    <t>Blank-Ind</t>
  </si>
  <si>
    <t>GSO-Ind</t>
  </si>
  <si>
    <t>GTO-Ind</t>
  </si>
  <si>
    <t>GS-Res</t>
  </si>
  <si>
    <t>DS-MLS</t>
  </si>
  <si>
    <t>IS-Com</t>
  </si>
  <si>
    <t>SS-Com</t>
  </si>
  <si>
    <t>IS-Ind</t>
  </si>
  <si>
    <t>SS-Ind</t>
  </si>
  <si>
    <t>Need to elijminate duplicate services.</t>
  </si>
  <si>
    <t>Servcie with a curb box are recorded as two service on DIS.  Listing counts them and identifies them in</t>
  </si>
  <si>
    <t>the Plus column of the report.</t>
  </si>
  <si>
    <t>Customer Component</t>
  </si>
  <si>
    <t>Total Services</t>
  </si>
  <si>
    <t>Unit cost</t>
  </si>
  <si>
    <t>Customer Cost</t>
  </si>
  <si>
    <t>Total Cost</t>
  </si>
  <si>
    <t>Cust %</t>
  </si>
  <si>
    <t>TRANSPORTATION</t>
  </si>
  <si>
    <t>DELAYED PAY &amp; OFF-SYTEM</t>
  </si>
  <si>
    <t>GAS COSTS</t>
  </si>
  <si>
    <t>RATE OF RETURN BY RATE SCHEDULE - @ PROPOSED RATES</t>
  </si>
  <si>
    <t>ALLOCATION FACTORS (11 - 19)</t>
  </si>
  <si>
    <t>HISTORIC PERIOD - ORIGINAL FILING</t>
  </si>
  <si>
    <t>REFERENCE: [1] THE MAINLINE RATE WAS DESIGNED FOR CUSTOMERS SERVED OFF DUAL PURPOSE METERS, THEREFORE, ANY RETURN SHOWN WOULD BE DISTORTED.</t>
  </si>
  <si>
    <t xml:space="preserve">  [9] THE MAINLINE RATE WAS DESIGNED FOR CUSTOMERS SERVED OFF DUAL PURPOSE METERS, THEREFORE, ANY RETURN SHOWN WOULD BE DISTORTED.</t>
  </si>
  <si>
    <t>MISC. INTANGIBLE PLANT</t>
  </si>
  <si>
    <t>OTHER SOFTWARE</t>
  </si>
  <si>
    <t>FORFEITED DISCOUNTS</t>
  </si>
  <si>
    <t>EAP &amp; AMRP FUNDING</t>
  </si>
  <si>
    <t>DISTRIBUTION EXPENSE ALLOCATION - LABOR</t>
  </si>
  <si>
    <t>DISTRIBUTION EXPENSE ALLOCATION - M &amp; E</t>
  </si>
  <si>
    <t>TAXES BASED ON PROPERTY</t>
  </si>
  <si>
    <t>OTHER TAXES</t>
  </si>
  <si>
    <t>D490</t>
  </si>
  <si>
    <t>PAYROLL TAXES</t>
  </si>
  <si>
    <t>FEDERAL INCOME TAXES</t>
  </si>
  <si>
    <t>RATE BASE SUMMARY</t>
  </si>
  <si>
    <t xml:space="preserve">                [3] TOTAL O &amp; M EXPENSE</t>
  </si>
  <si>
    <t xml:space="preserve">       LESS: COST OF GAS </t>
  </si>
  <si>
    <t xml:space="preserve">       O &amp; M EXCL. GAS COST</t>
  </si>
  <si>
    <t>ALLOCATION FACTORS</t>
  </si>
  <si>
    <t xml:space="preserve"> ALLOCATION FACTORS</t>
  </si>
  <si>
    <t>RATE OF RETURN BY CLASS - @ CURRENT RATES</t>
  </si>
  <si>
    <t>(9)</t>
  </si>
  <si>
    <t>GROSS DISTRIBUTION &amp; GENERAL PLANT DEPRECIATION EXPENSE</t>
  </si>
  <si>
    <t>Columbia Gas of Kentucky, Inc.</t>
  </si>
  <si>
    <t>Average Number of Customers</t>
  </si>
  <si>
    <t>M-2.2 (Page 1 of 42)</t>
  </si>
  <si>
    <t>Columbia Gas of Kentucky, Inc,</t>
  </si>
  <si>
    <t>Throughput</t>
  </si>
  <si>
    <t>Gas Purchases</t>
  </si>
  <si>
    <t>Proposed Revenue</t>
  </si>
  <si>
    <t>M-2.3</t>
  </si>
  <si>
    <t>INCREASE</t>
  </si>
  <si>
    <t>* LAST REVISED: . DECEMBER 11, 2006</t>
  </si>
  <si>
    <t>* FILE NAME/EXT.. X:\CKY\RATECASE2007\ClASS COST OF SERVICE\CUST-DEM AS FILED</t>
  </si>
  <si>
    <t>09/30/2006</t>
  </si>
  <si>
    <t>R. GIBBONS</t>
  </si>
  <si>
    <t>09/30/06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</si>
  <si>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</si>
  <si>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</si>
  <si>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</si>
  <si>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</si>
  <si>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</si>
  <si>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</si>
  <si>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</si>
  <si>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</si>
  <si>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</si>
  <si>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</si>
  <si>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</si>
  <si>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Com.</t>
  </si>
  <si>
    <t>IS Ind.</t>
  </si>
  <si>
    <t>IS - Com.</t>
  </si>
  <si>
    <t>IS - Ind.</t>
  </si>
  <si>
    <t>SS - Com.</t>
  </si>
  <si>
    <t>SS - Ind.</t>
  </si>
  <si>
    <t>SEPTEMBER 30, 2006</t>
  </si>
  <si>
    <t>DS- IS - Com</t>
  </si>
  <si>
    <t>DS-IS - Ind</t>
  </si>
  <si>
    <t>DS-GS</t>
  </si>
  <si>
    <t>DS-IS</t>
  </si>
  <si>
    <t>DS-GS-SS</t>
  </si>
  <si>
    <t>DS-IS-SS</t>
  </si>
  <si>
    <t>FX7</t>
  </si>
  <si>
    <t>SAS</t>
  </si>
  <si>
    <t>Total ties to books at 9/30/06</t>
  </si>
  <si>
    <t>DS-SMITH</t>
  </si>
  <si>
    <t>FX4</t>
  </si>
  <si>
    <t>SG2</t>
  </si>
  <si>
    <t>SG3</t>
  </si>
  <si>
    <t>Total Misclassified Plant</t>
  </si>
  <si>
    <t>GSO - Elec</t>
  </si>
  <si>
    <t xml:space="preserve">Services </t>
  </si>
  <si>
    <t>Sampled</t>
  </si>
  <si>
    <t>Avg. Unit Cost</t>
  </si>
  <si>
    <t>PROPERTY TAXES</t>
  </si>
  <si>
    <t>CORPORATE INSURANCE</t>
  </si>
  <si>
    <t>RENT EXPENSE CIVIC CENTER BUILDING</t>
  </si>
  <si>
    <t>UNCOLLECTIBLES D 2-1</t>
  </si>
  <si>
    <t>ANNUALIZE COMPENSATION  D 2-3</t>
  </si>
  <si>
    <t>ATTACHMENT 1</t>
  </si>
  <si>
    <t xml:space="preserve">To Reflect the Annualization of Depreciation Expense on CWIP Plant Balances </t>
  </si>
  <si>
    <t>at September 30, 2006 at Proposed Depreciation Rates</t>
  </si>
  <si>
    <t>Data:__X___Historic Period______Forecasted Period</t>
  </si>
  <si>
    <t>SCHEDULE D-2.6</t>
  </si>
  <si>
    <t>Type of Filing:___X____Original________Updated</t>
  </si>
  <si>
    <t>SHEET 2 OF 2</t>
  </si>
  <si>
    <t>Workpaper Reference No(s).  ____________________</t>
  </si>
  <si>
    <t>Schedule B-4</t>
  </si>
  <si>
    <t>Proposed</t>
  </si>
  <si>
    <t>Annualized</t>
  </si>
  <si>
    <t>Line</t>
  </si>
  <si>
    <t>Gas Plant</t>
  </si>
  <si>
    <t>CWIP</t>
  </si>
  <si>
    <t>Accrual</t>
  </si>
  <si>
    <t>Depreciation</t>
  </si>
  <si>
    <t>Description</t>
  </si>
  <si>
    <t>In Service</t>
  </si>
  <si>
    <t>Rate 1_/</t>
  </si>
  <si>
    <t>Expense</t>
  </si>
  <si>
    <t>(2 x 3 = 4)</t>
  </si>
  <si>
    <t>MISC INTANGIBLE PLANT</t>
  </si>
  <si>
    <t>AMORT.</t>
  </si>
  <si>
    <t>LAND RIGHTS-OTHER DISTR SYSTEMS</t>
  </si>
  <si>
    <t>STRUC &amp; IMPROV-CITY GATE M &amp; R</t>
  </si>
  <si>
    <t>STRUC &amp; IMPROV-GENERAL M &amp; R</t>
  </si>
  <si>
    <t xml:space="preserve">STRUC &amp; IMPROV-REGULATING </t>
  </si>
  <si>
    <t>STRUC &amp; IMPROV-DISTR. IND. M &amp; R</t>
  </si>
  <si>
    <t>STRUC &amp; IMPROV-OTHER DISTR. SYSTEMS</t>
  </si>
  <si>
    <t>STRUC &amp; IMPROV-COMMUNICATIONS</t>
  </si>
  <si>
    <t>M &amp; R STATION EQUIP-GENERAL</t>
  </si>
  <si>
    <t>M &amp; R STA EQUIP-GENERAL-REGULATING</t>
  </si>
  <si>
    <t>M &amp; R STA EQUIP-GEN-LOCAL GAS PURCH</t>
  </si>
  <si>
    <t>M &amp; R STA EQUIP-CITY GATE CHECK STA</t>
  </si>
  <si>
    <t>HOUSE REGULATOR INSTALLATIONS</t>
  </si>
  <si>
    <t>INDUSTRIAL M &amp; R STATION EQUIPMENT</t>
  </si>
  <si>
    <t>OTHER EQUIP-ODORIZATION</t>
  </si>
  <si>
    <t>OTHER EQUIP-TELEPHONE</t>
  </si>
  <si>
    <t>OTHER EQUIPMENT-RADIO</t>
  </si>
  <si>
    <t>OTHER EQUIP-OTHER COMMUNICATION</t>
  </si>
  <si>
    <t>OTHER EQUIP-TELEMETERING</t>
  </si>
  <si>
    <t>OTHER EQUIP-CUST INFO SERVICE</t>
  </si>
  <si>
    <t>OFFICE FURN &amp; EQUIP-INFO SYSTEMS</t>
  </si>
  <si>
    <t>TRANS EQUIP-TRAILERS OVER $1,000</t>
  </si>
  <si>
    <t>TRANS EQUIP-TRAILERS $1,000 or LESS</t>
  </si>
  <si>
    <t>TOOLS,SHOP, &amp; GAR EQ-CNG STATIONARY</t>
  </si>
  <si>
    <t xml:space="preserve">TOOLS,SHOP, &amp; GAR EQ-TOOLS &amp; OTHER </t>
  </si>
  <si>
    <t>POWER OPERATED EQUIP-GENERAL TOOLS</t>
  </si>
  <si>
    <t>1_/</t>
  </si>
  <si>
    <t>See Filing Requirement #6-n, Latest Depreciation Study, pages III-4 through III-6 and Schedule B-4.</t>
  </si>
  <si>
    <t>2007-00008</t>
  </si>
  <si>
    <t>AMORTIZATION OF EXCESS ADIT-FEDERAL</t>
  </si>
  <si>
    <t>AMORTIZATION OF EXCESS ADIT-STATE</t>
  </si>
  <si>
    <t>2" MINIMUM SYSTEM CALCULATION</t>
  </si>
  <si>
    <t>Qty</t>
  </si>
  <si>
    <t>Amount</t>
  </si>
  <si>
    <t>Total 2 "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</si>
  <si>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</si>
  <si>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</si>
  <si>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</si>
  <si>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</si>
  <si>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</si>
  <si>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</si>
  <si>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</si>
  <si>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</si>
  <si>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Demand Component</t>
  </si>
  <si>
    <t>Account 488</t>
  </si>
  <si>
    <t>Total Increase</t>
  </si>
  <si>
    <t>D/C STUDY</t>
  </si>
  <si>
    <t>DEMAND-COMMODITY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</si>
</sst>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000000%"/>
    <numFmt numFmtId="171" formatCode="0.000000%"/>
    <numFmt numFmtId="172" formatCode="0.00_)"/>
    <numFmt numFmtId="173" formatCode="#,##0.00000_);\(#,##0.00000\)"/>
    <numFmt numFmtId="174" formatCode="#,##0.0_);\(#,##0.0\)"/>
    <numFmt numFmtId="175" formatCode="0.000%"/>
    <numFmt numFmtId="176" formatCode="0.00000_)"/>
    <numFmt numFmtId="177" formatCode=";;;"/>
    <numFmt numFmtId="178" formatCode="mmmm\ d\,\ yyyy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0.0000%"/>
    <numFmt numFmtId="183" formatCode="#,##0.000_);\(#,##0.000\)"/>
    <numFmt numFmtId="184" formatCode="m/d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#,##0.0000000_);\(#,##0.0000000\)"/>
    <numFmt numFmtId="189" formatCode="#,##0.000000000_);\(#,##0.000000000\)"/>
    <numFmt numFmtId="190" formatCode="#,##0.0000000000_);\(#,##0.0000000000\)"/>
    <numFmt numFmtId="191" formatCode="0.00_);\(0.00\)"/>
    <numFmt numFmtId="192" formatCode="#,##0;[Red]#,##0"/>
    <numFmt numFmtId="193" formatCode="0.0000"/>
  </numFmts>
  <fonts count="62">
    <font>
      <sz val="9"/>
      <name val="Helv"/>
      <family val="0"/>
    </font>
    <font>
      <sz val="10"/>
      <name val="Arial"/>
      <family val="0"/>
    </font>
    <font>
      <sz val="9"/>
      <color indexed="12"/>
      <name val="Helv"/>
      <family val="0"/>
    </font>
    <font>
      <sz val="10"/>
      <name val="Tms Rmn"/>
      <family val="0"/>
    </font>
    <font>
      <u val="single"/>
      <sz val="9"/>
      <name val="Helv"/>
      <family val="0"/>
    </font>
    <font>
      <sz val="10"/>
      <color indexed="12"/>
      <name val="Tms Rmn"/>
      <family val="0"/>
    </font>
    <font>
      <b/>
      <u val="single"/>
      <sz val="10"/>
      <name val="Tms Rmn"/>
      <family val="0"/>
    </font>
    <font>
      <b/>
      <u val="single"/>
      <sz val="9"/>
      <name val="Helv"/>
      <family val="0"/>
    </font>
    <font>
      <b/>
      <sz val="9"/>
      <name val="Helv"/>
      <family val="0"/>
    </font>
    <font>
      <u val="doubleAccounting"/>
      <sz val="9"/>
      <name val="Helv"/>
      <family val="0"/>
    </font>
    <font>
      <u val="singleAccounting"/>
      <sz val="9"/>
      <name val="Helv"/>
      <family val="0"/>
    </font>
    <font>
      <u val="singleAccounting"/>
      <sz val="10"/>
      <name val="Tms Rmn"/>
      <family val="0"/>
    </font>
    <font>
      <b/>
      <u val="singleAccounting"/>
      <sz val="9"/>
      <name val="Helv"/>
      <family val="0"/>
    </font>
    <font>
      <b/>
      <u val="doubleAccounting"/>
      <sz val="9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u val="doubleAccounting"/>
      <sz val="10"/>
      <name val="Arial"/>
      <family val="2"/>
    </font>
    <font>
      <u val="doubleAccounting"/>
      <sz val="10"/>
      <name val="Tms Rmn"/>
      <family val="0"/>
    </font>
    <font>
      <u val="singleAccounting"/>
      <sz val="10"/>
      <color indexed="12"/>
      <name val="Tms Rmn"/>
      <family val="0"/>
    </font>
    <font>
      <u val="singleAccounting"/>
      <sz val="9"/>
      <color indexed="12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u val="single"/>
      <sz val="8"/>
      <name val="Tms Rmn"/>
      <family val="0"/>
    </font>
    <font>
      <b/>
      <sz val="8"/>
      <name val="Helv"/>
      <family val="0"/>
    </font>
    <font>
      <b/>
      <u val="single"/>
      <sz val="8"/>
      <name val="Helv"/>
      <family val="0"/>
    </font>
    <font>
      <sz val="8"/>
      <name val="Tms Rmn"/>
      <family val="0"/>
    </font>
    <font>
      <sz val="8"/>
      <color indexed="12"/>
      <name val="Helv"/>
      <family val="0"/>
    </font>
    <font>
      <sz val="8"/>
      <color indexed="12"/>
      <name val="Tms Rmn"/>
      <family val="0"/>
    </font>
    <font>
      <u val="singleAccounting"/>
      <sz val="8"/>
      <color indexed="12"/>
      <name val="Tms Rmn"/>
      <family val="0"/>
    </font>
    <font>
      <u val="singleAccounting"/>
      <sz val="8"/>
      <name val="Helv"/>
      <family val="0"/>
    </font>
    <font>
      <u val="singleAccounting"/>
      <sz val="8"/>
      <color indexed="12"/>
      <name val="Helv"/>
      <family val="0"/>
    </font>
    <font>
      <b/>
      <u val="singleAccounting"/>
      <sz val="8"/>
      <name val="Helv"/>
      <family val="0"/>
    </font>
    <font>
      <u val="doubleAccounting"/>
      <sz val="8"/>
      <name val="Tms Rmn"/>
      <family val="0"/>
    </font>
    <font>
      <u val="singleAccounting"/>
      <sz val="8"/>
      <name val="Tms Rmn"/>
      <family val="0"/>
    </font>
    <font>
      <u val="single"/>
      <sz val="8"/>
      <name val="Tms Rmn"/>
      <family val="0"/>
    </font>
    <font>
      <b/>
      <sz val="8"/>
      <name val="Tms Rmn"/>
      <family val="0"/>
    </font>
    <font>
      <b/>
      <u val="doubleAccounting"/>
      <sz val="8"/>
      <name val="Tms Rmn"/>
      <family val="0"/>
    </font>
    <font>
      <u val="single"/>
      <sz val="8"/>
      <name val="Helv"/>
      <family val="0"/>
    </font>
    <font>
      <b/>
      <u val="doubleAccounting"/>
      <sz val="8"/>
      <name val="Helv"/>
      <family val="0"/>
    </font>
    <font>
      <b/>
      <sz val="9"/>
      <color indexed="12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7"/>
      <name val="Helv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>
      <alignment/>
      <protection/>
    </xf>
    <xf numFmtId="37" fontId="51" fillId="0" borderId="0">
      <alignment/>
      <protection/>
    </xf>
    <xf numFmtId="37" fontId="52" fillId="0" borderId="0" applyFill="0" applyBorder="0">
      <alignment/>
      <protection/>
    </xf>
    <xf numFmtId="37" fontId="21" fillId="0" borderId="0" applyFill="0" applyBorder="0">
      <alignment/>
      <protection/>
    </xf>
    <xf numFmtId="9" fontId="1" fillId="0" borderId="0" applyFont="0" applyFill="0" applyBorder="0" applyAlignment="0" applyProtection="0"/>
  </cellStyleXfs>
  <cellXfs count="294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3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Alignment="1">
      <alignment/>
    </xf>
    <xf numFmtId="37" fontId="3" fillId="0" borderId="0" xfId="0" applyFont="1" applyAlignment="1" applyProtection="1">
      <alignment/>
      <protection locked="0"/>
    </xf>
    <xf numFmtId="37" fontId="2" fillId="0" borderId="0" xfId="0" applyFont="1" applyAlignment="1">
      <alignment/>
    </xf>
    <xf numFmtId="37" fontId="6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180" fontId="4" fillId="0" borderId="0" xfId="15" applyNumberFormat="1" applyFont="1" applyAlignment="1">
      <alignment/>
    </xf>
    <xf numFmtId="180" fontId="0" fillId="0" borderId="0" xfId="15" applyNumberFormat="1" applyAlignment="1">
      <alignment/>
    </xf>
    <xf numFmtId="180" fontId="9" fillId="0" borderId="0" xfId="15" applyNumberFormat="1" applyFont="1" applyAlignment="1">
      <alignment/>
    </xf>
    <xf numFmtId="180" fontId="10" fillId="0" borderId="0" xfId="15" applyNumberFormat="1" applyFont="1" applyAlignment="1">
      <alignment/>
    </xf>
    <xf numFmtId="180" fontId="11" fillId="0" borderId="0" xfId="15" applyNumberFormat="1" applyFont="1" applyAlignment="1">
      <alignment/>
    </xf>
    <xf numFmtId="37" fontId="8" fillId="0" borderId="0" xfId="0" applyFont="1" applyAlignment="1">
      <alignment horizontal="left"/>
    </xf>
    <xf numFmtId="180" fontId="7" fillId="0" borderId="0" xfId="15" applyNumberFormat="1" applyFont="1" applyAlignment="1">
      <alignment/>
    </xf>
    <xf numFmtId="180" fontId="12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37" fontId="0" fillId="0" borderId="0" xfId="0" applyFont="1" applyAlignment="1">
      <alignment/>
    </xf>
    <xf numFmtId="180" fontId="0" fillId="0" borderId="0" xfId="15" applyNumberFormat="1" applyFont="1" applyAlignment="1">
      <alignment/>
    </xf>
    <xf numFmtId="10" fontId="0" fillId="0" borderId="0" xfId="23" applyNumberFormat="1" applyAlignment="1">
      <alignment/>
    </xf>
    <xf numFmtId="37" fontId="8" fillId="0" borderId="0" xfId="0" applyFont="1" applyAlignment="1">
      <alignment horizontal="center"/>
    </xf>
    <xf numFmtId="10" fontId="9" fillId="0" borderId="0" xfId="23" applyNumberFormat="1" applyFont="1" applyAlignment="1">
      <alignment/>
    </xf>
    <xf numFmtId="180" fontId="13" fillId="0" borderId="0" xfId="15" applyNumberFormat="1" applyFont="1" applyAlignment="1">
      <alignment/>
    </xf>
    <xf numFmtId="10" fontId="13" fillId="0" borderId="0" xfId="23" applyNumberFormat="1" applyFont="1" applyAlignment="1">
      <alignment/>
    </xf>
    <xf numFmtId="43" fontId="0" fillId="0" borderId="0" xfId="15" applyAlignment="1">
      <alignment/>
    </xf>
    <xf numFmtId="0" fontId="0" fillId="0" borderId="0" xfId="15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37" fontId="7" fillId="0" borderId="0" xfId="0" applyFont="1" applyAlignment="1">
      <alignment horizontal="left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37" fontId="0" fillId="0" borderId="0" xfId="0" applyAlignment="1" quotePrefix="1">
      <alignment horizontal="center"/>
    </xf>
    <xf numFmtId="37" fontId="0" fillId="0" borderId="0" xfId="0" applyBorder="1" applyAlignment="1">
      <alignment/>
    </xf>
    <xf numFmtId="180" fontId="10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43" fontId="0" fillId="0" borderId="1" xfId="15" applyBorder="1" applyAlignment="1">
      <alignment/>
    </xf>
    <xf numFmtId="39" fontId="0" fillId="0" borderId="1" xfId="0" applyNumberFormat="1" applyBorder="1" applyAlignment="1">
      <alignment/>
    </xf>
    <xf numFmtId="37" fontId="8" fillId="0" borderId="0" xfId="0" applyFont="1" applyAlignment="1">
      <alignment horizontal="left" indent="2"/>
    </xf>
    <xf numFmtId="10" fontId="8" fillId="0" borderId="0" xfId="23" applyNumberFormat="1" applyFont="1" applyAlignment="1">
      <alignment/>
    </xf>
    <xf numFmtId="182" fontId="8" fillId="0" borderId="0" xfId="23" applyNumberFormat="1" applyFont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175" fontId="0" fillId="0" borderId="0" xfId="23" applyNumberFormat="1" applyAlignment="1">
      <alignment/>
    </xf>
    <xf numFmtId="37" fontId="0" fillId="0" borderId="0" xfId="0" applyAlignment="1">
      <alignment horizontal="left"/>
    </xf>
    <xf numFmtId="175" fontId="8" fillId="0" borderId="0" xfId="23" applyNumberFormat="1" applyFont="1" applyAlignment="1">
      <alignment/>
    </xf>
    <xf numFmtId="43" fontId="0" fillId="0" borderId="0" xfId="15" applyFont="1" applyAlignment="1">
      <alignment/>
    </xf>
    <xf numFmtId="37" fontId="0" fillId="0" borderId="0" xfId="0" applyFont="1" applyAlignment="1">
      <alignment horizontal="center"/>
    </xf>
    <xf numFmtId="37" fontId="0" fillId="0" borderId="0" xfId="0" applyAlignment="1">
      <alignment/>
    </xf>
    <xf numFmtId="37" fontId="0" fillId="0" borderId="0" xfId="0" applyAlignment="1">
      <alignment horizontal="left" indent="1"/>
    </xf>
    <xf numFmtId="10" fontId="16" fillId="0" borderId="0" xfId="0" applyNumberFormat="1" applyFont="1" applyAlignment="1">
      <alignment/>
    </xf>
    <xf numFmtId="10" fontId="16" fillId="0" borderId="0" xfId="23" applyNumberFormat="1" applyFont="1" applyAlignment="1">
      <alignment/>
    </xf>
    <xf numFmtId="37" fontId="7" fillId="0" borderId="0" xfId="0" applyFont="1" applyAlignment="1" quotePrefix="1">
      <alignment horizontal="center"/>
    </xf>
    <xf numFmtId="39" fontId="0" fillId="0" borderId="0" xfId="0" applyNumberFormat="1" applyAlignment="1">
      <alignment/>
    </xf>
    <xf numFmtId="180" fontId="17" fillId="0" borderId="0" xfId="15" applyNumberFormat="1" applyFont="1" applyAlignment="1">
      <alignment/>
    </xf>
    <xf numFmtId="180" fontId="2" fillId="0" borderId="0" xfId="15" applyNumberFormat="1" applyFont="1" applyAlignment="1">
      <alignment/>
    </xf>
    <xf numFmtId="180" fontId="19" fillId="0" borderId="0" xfId="15" applyNumberFormat="1" applyFont="1" applyAlignment="1">
      <alignment/>
    </xf>
    <xf numFmtId="37" fontId="2" fillId="2" borderId="0" xfId="0" applyFont="1" applyFill="1" applyAlignment="1">
      <alignment/>
    </xf>
    <xf numFmtId="180" fontId="2" fillId="2" borderId="0" xfId="15" applyNumberFormat="1" applyFont="1" applyFill="1" applyAlignment="1">
      <alignment/>
    </xf>
    <xf numFmtId="180" fontId="5" fillId="2" borderId="0" xfId="15" applyNumberFormat="1" applyFont="1" applyFill="1" applyAlignment="1">
      <alignment/>
    </xf>
    <xf numFmtId="180" fontId="18" fillId="2" borderId="0" xfId="15" applyNumberFormat="1" applyFont="1" applyFill="1" applyAlignment="1">
      <alignment/>
    </xf>
    <xf numFmtId="180" fontId="19" fillId="2" borderId="0" xfId="15" applyNumberFormat="1" applyFont="1" applyFill="1" applyAlignment="1">
      <alignment/>
    </xf>
    <xf numFmtId="37" fontId="3" fillId="0" borderId="0" xfId="0" applyFont="1" applyFill="1" applyAlignment="1">
      <alignment/>
    </xf>
    <xf numFmtId="37" fontId="3" fillId="0" borderId="0" xfId="0" applyFont="1" applyFill="1" applyAlignment="1" applyProtection="1">
      <alignment/>
      <protection locked="0"/>
    </xf>
    <xf numFmtId="37" fontId="2" fillId="0" borderId="0" xfId="0" applyFont="1" applyFill="1" applyAlignment="1">
      <alignment/>
    </xf>
    <xf numFmtId="180" fontId="2" fillId="0" borderId="0" xfId="15" applyNumberFormat="1" applyFont="1" applyFill="1" applyAlignment="1">
      <alignment/>
    </xf>
    <xf numFmtId="180" fontId="5" fillId="0" borderId="0" xfId="15" applyNumberFormat="1" applyFont="1" applyFill="1" applyAlignment="1">
      <alignment/>
    </xf>
    <xf numFmtId="180" fontId="0" fillId="0" borderId="0" xfId="15" applyNumberFormat="1" applyFill="1" applyAlignment="1">
      <alignment/>
    </xf>
    <xf numFmtId="180" fontId="0" fillId="0" borderId="0" xfId="15" applyNumberFormat="1" applyFont="1" applyFill="1" applyAlignment="1">
      <alignment/>
    </xf>
    <xf numFmtId="180" fontId="19" fillId="0" borderId="0" xfId="15" applyNumberFormat="1" applyFont="1" applyFill="1" applyAlignment="1">
      <alignment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0" fillId="0" borderId="0" xfId="0" applyFill="1" applyAlignment="1">
      <alignment/>
    </xf>
    <xf numFmtId="37" fontId="8" fillId="0" borderId="0" xfId="0" applyFont="1" applyFill="1" applyAlignment="1">
      <alignment horizontal="center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22" fillId="0" borderId="0" xfId="0" applyFont="1" applyFill="1" applyAlignment="1">
      <alignment horizontal="center"/>
    </xf>
    <xf numFmtId="180" fontId="18" fillId="0" borderId="0" xfId="15" applyNumberFormat="1" applyFont="1" applyFill="1" applyAlignment="1">
      <alignment/>
    </xf>
    <xf numFmtId="180" fontId="10" fillId="0" borderId="0" xfId="15" applyNumberFormat="1" applyFont="1" applyFill="1" applyAlignment="1">
      <alignment/>
    </xf>
    <xf numFmtId="37" fontId="8" fillId="0" borderId="0" xfId="0" applyFont="1" applyFill="1" applyAlignment="1">
      <alignment horizontal="left"/>
    </xf>
    <xf numFmtId="180" fontId="7" fillId="0" borderId="0" xfId="15" applyNumberFormat="1" applyFont="1" applyFill="1" applyAlignment="1">
      <alignment/>
    </xf>
    <xf numFmtId="180" fontId="12" fillId="0" borderId="0" xfId="15" applyNumberFormat="1" applyFont="1" applyFill="1" applyAlignment="1">
      <alignment/>
    </xf>
    <xf numFmtId="37" fontId="21" fillId="0" borderId="0" xfId="0" applyFont="1" applyFill="1" applyAlignment="1">
      <alignment/>
    </xf>
    <xf numFmtId="37" fontId="23" fillId="0" borderId="0" xfId="0" applyFont="1" applyFill="1" applyAlignment="1">
      <alignment horizontal="center"/>
    </xf>
    <xf numFmtId="37" fontId="23" fillId="0" borderId="0" xfId="0" applyFont="1" applyFill="1" applyAlignment="1">
      <alignment/>
    </xf>
    <xf numFmtId="37" fontId="24" fillId="0" borderId="0" xfId="0" applyFont="1" applyFill="1" applyAlignment="1">
      <alignment/>
    </xf>
    <xf numFmtId="37" fontId="24" fillId="0" borderId="0" xfId="0" applyFont="1" applyFill="1" applyAlignment="1">
      <alignment/>
    </xf>
    <xf numFmtId="37" fontId="25" fillId="0" borderId="0" xfId="0" applyFont="1" applyFill="1" applyAlignment="1">
      <alignment/>
    </xf>
    <xf numFmtId="37" fontId="25" fillId="0" borderId="0" xfId="0" applyFont="1" applyFill="1" applyAlignment="1" applyProtection="1">
      <alignment/>
      <protection locked="0"/>
    </xf>
    <xf numFmtId="37" fontId="21" fillId="0" borderId="0" xfId="0" applyFont="1" applyFill="1" applyAlignment="1">
      <alignment horizontal="center"/>
    </xf>
    <xf numFmtId="180" fontId="21" fillId="0" borderId="0" xfId="15" applyNumberFormat="1" applyFont="1" applyFill="1" applyAlignment="1">
      <alignment/>
    </xf>
    <xf numFmtId="180" fontId="26" fillId="0" borderId="0" xfId="15" applyNumberFormat="1" applyFont="1" applyFill="1" applyAlignment="1">
      <alignment/>
    </xf>
    <xf numFmtId="180" fontId="27" fillId="0" borderId="0" xfId="15" applyNumberFormat="1" applyFont="1" applyFill="1" applyAlignment="1">
      <alignment/>
    </xf>
    <xf numFmtId="37" fontId="26" fillId="0" borderId="0" xfId="0" applyFont="1" applyFill="1" applyAlignment="1">
      <alignment/>
    </xf>
    <xf numFmtId="180" fontId="28" fillId="0" borderId="0" xfId="15" applyNumberFormat="1" applyFont="1" applyFill="1" applyAlignment="1">
      <alignment/>
    </xf>
    <xf numFmtId="180" fontId="29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180" fontId="30" fillId="0" borderId="0" xfId="15" applyNumberFormat="1" applyFont="1" applyFill="1" applyAlignment="1">
      <alignment/>
    </xf>
    <xf numFmtId="37" fontId="23" fillId="0" borderId="0" xfId="0" applyFont="1" applyFill="1" applyAlignment="1">
      <alignment horizontal="left"/>
    </xf>
    <xf numFmtId="180" fontId="24" fillId="0" borderId="0" xfId="15" applyNumberFormat="1" applyFont="1" applyFill="1" applyAlignment="1">
      <alignment/>
    </xf>
    <xf numFmtId="180" fontId="31" fillId="0" borderId="0" xfId="15" applyNumberFormat="1" applyFont="1" applyFill="1" applyAlignment="1">
      <alignment/>
    </xf>
    <xf numFmtId="180" fontId="32" fillId="0" borderId="0" xfId="15" applyNumberFormat="1" applyFont="1" applyFill="1" applyAlignment="1">
      <alignment/>
    </xf>
    <xf numFmtId="180" fontId="33" fillId="0" borderId="0" xfId="15" applyNumberFormat="1" applyFont="1" applyFill="1" applyAlignment="1">
      <alignment/>
    </xf>
    <xf numFmtId="180" fontId="25" fillId="0" borderId="0" xfId="15" applyNumberFormat="1" applyFont="1" applyFill="1" applyAlignment="1">
      <alignment/>
    </xf>
    <xf numFmtId="43" fontId="29" fillId="0" borderId="0" xfId="15" applyFont="1" applyFill="1" applyAlignment="1">
      <alignment/>
    </xf>
    <xf numFmtId="180" fontId="34" fillId="0" borderId="0" xfId="15" applyNumberFormat="1" applyFont="1" applyFill="1" applyAlignment="1">
      <alignment/>
    </xf>
    <xf numFmtId="180" fontId="35" fillId="0" borderId="0" xfId="15" applyNumberFormat="1" applyFont="1" applyFill="1" applyAlignment="1">
      <alignment horizontal="center"/>
    </xf>
    <xf numFmtId="37" fontId="24" fillId="0" borderId="0" xfId="0" applyFont="1" applyFill="1" applyAlignment="1">
      <alignment horizontal="center"/>
    </xf>
    <xf numFmtId="180" fontId="37" fillId="0" borderId="0" xfId="15" applyNumberFormat="1" applyFont="1" applyFill="1" applyAlignment="1">
      <alignment/>
    </xf>
    <xf numFmtId="37" fontId="37" fillId="0" borderId="0" xfId="0" applyFont="1" applyFill="1" applyAlignment="1">
      <alignment/>
    </xf>
    <xf numFmtId="180" fontId="38" fillId="0" borderId="0" xfId="15" applyNumberFormat="1" applyFont="1" applyFill="1" applyAlignment="1">
      <alignment/>
    </xf>
    <xf numFmtId="180" fontId="36" fillId="0" borderId="0" xfId="15" applyNumberFormat="1" applyFont="1" applyFill="1" applyAlignment="1">
      <alignment horizontal="center"/>
    </xf>
    <xf numFmtId="178" fontId="39" fillId="0" borderId="0" xfId="0" applyNumberFormat="1" applyFont="1" applyAlignment="1" quotePrefix="1">
      <alignment horizontal="center"/>
    </xf>
    <xf numFmtId="10" fontId="2" fillId="0" borderId="0" xfId="23" applyNumberFormat="1" applyFont="1" applyFill="1" applyAlignment="1">
      <alignment/>
    </xf>
    <xf numFmtId="37" fontId="20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39" fillId="0" borderId="0" xfId="0" applyFont="1" applyFill="1" applyAlignment="1">
      <alignment/>
    </xf>
    <xf numFmtId="5" fontId="0" fillId="0" borderId="0" xfId="0" applyNumberFormat="1" applyAlignment="1">
      <alignment/>
    </xf>
    <xf numFmtId="37" fontId="39" fillId="0" borderId="0" xfId="0" applyFont="1" applyAlignment="1">
      <alignment/>
    </xf>
    <xf numFmtId="37" fontId="40" fillId="0" borderId="0" xfId="0" applyFont="1" applyAlignment="1">
      <alignment/>
    </xf>
    <xf numFmtId="37" fontId="41" fillId="0" borderId="0" xfId="0" applyFont="1" applyAlignment="1">
      <alignment/>
    </xf>
    <xf numFmtId="164" fontId="41" fillId="0" borderId="0" xfId="0" applyNumberFormat="1" applyFont="1" applyAlignment="1" applyProtection="1">
      <alignment/>
      <protection/>
    </xf>
    <xf numFmtId="37" fontId="41" fillId="0" borderId="0" xfId="0" applyFont="1" applyAlignment="1">
      <alignment horizontal="center"/>
    </xf>
    <xf numFmtId="165" fontId="41" fillId="0" borderId="0" xfId="0" applyNumberFormat="1" applyFont="1" applyAlignment="1" applyProtection="1">
      <alignment/>
      <protection/>
    </xf>
    <xf numFmtId="37" fontId="41" fillId="0" borderId="0" xfId="0" applyFont="1" applyAlignment="1">
      <alignment horizontal="fill"/>
    </xf>
    <xf numFmtId="37" fontId="41" fillId="0" borderId="4" xfId="0" applyFont="1" applyBorder="1" applyAlignment="1">
      <alignment/>
    </xf>
    <xf numFmtId="37" fontId="41" fillId="0" borderId="5" xfId="0" applyFont="1" applyBorder="1" applyAlignment="1">
      <alignment/>
    </xf>
    <xf numFmtId="37" fontId="41" fillId="0" borderId="4" xfId="0" applyFont="1" applyBorder="1" applyAlignment="1">
      <alignment horizontal="center"/>
    </xf>
    <xf numFmtId="37" fontId="42" fillId="0" borderId="4" xfId="0" applyFont="1" applyBorder="1" applyAlignment="1">
      <alignment/>
    </xf>
    <xf numFmtId="37" fontId="43" fillId="0" borderId="0" xfId="0" applyFont="1" applyAlignment="1">
      <alignment/>
    </xf>
    <xf numFmtId="37" fontId="42" fillId="0" borderId="0" xfId="0" applyFont="1" applyAlignment="1">
      <alignment horizontal="center"/>
    </xf>
    <xf numFmtId="37" fontId="42" fillId="0" borderId="0" xfId="0" applyFont="1" applyBorder="1" applyAlignment="1">
      <alignment horizontal="center"/>
    </xf>
    <xf numFmtId="37" fontId="41" fillId="0" borderId="0" xfId="0" applyFont="1" applyAlignment="1">
      <alignment horizontal="left"/>
    </xf>
    <xf numFmtId="37" fontId="41" fillId="0" borderId="0" xfId="0" applyFont="1" applyAlignment="1" applyProtection="1">
      <alignment horizontal="center"/>
      <protection/>
    </xf>
    <xf numFmtId="37" fontId="42" fillId="0" borderId="0" xfId="0" applyFont="1" applyAlignment="1">
      <alignment/>
    </xf>
    <xf numFmtId="37" fontId="41" fillId="0" borderId="0" xfId="0" applyNumberFormat="1" applyFont="1" applyAlignment="1" applyProtection="1">
      <alignment/>
      <protection/>
    </xf>
    <xf numFmtId="39" fontId="41" fillId="0" borderId="0" xfId="0" applyNumberFormat="1" applyFont="1" applyAlignment="1" applyProtection="1">
      <alignment/>
      <protection/>
    </xf>
    <xf numFmtId="37" fontId="41" fillId="0" borderId="0" xfId="0" applyFont="1" applyAlignment="1" applyProtection="1">
      <alignment/>
      <protection/>
    </xf>
    <xf numFmtId="37" fontId="42" fillId="0" borderId="0" xfId="0" applyFont="1" applyAlignment="1">
      <alignment/>
    </xf>
    <xf numFmtId="37" fontId="42" fillId="0" borderId="0" xfId="0" applyNumberFormat="1" applyFont="1" applyAlignment="1" applyProtection="1">
      <alignment/>
      <protection/>
    </xf>
    <xf numFmtId="37" fontId="44" fillId="0" borderId="0" xfId="0" applyFont="1" applyAlignment="1" applyProtection="1">
      <alignment/>
      <protection locked="0"/>
    </xf>
    <xf numFmtId="37" fontId="40" fillId="0" borderId="0" xfId="0" applyFont="1" applyAlignment="1">
      <alignment horizontal="fill"/>
    </xf>
    <xf numFmtId="37" fontId="40" fillId="0" borderId="0" xfId="0" applyFont="1" applyAlignment="1" applyProtection="1">
      <alignment/>
      <protection locked="0"/>
    </xf>
    <xf numFmtId="37" fontId="43" fillId="0" borderId="0" xfId="0" applyFont="1" applyAlignment="1" applyProtection="1">
      <alignment/>
      <protection locked="0"/>
    </xf>
    <xf numFmtId="178" fontId="43" fillId="0" borderId="0" xfId="0" applyNumberFormat="1" applyFont="1" applyFill="1" applyAlignment="1" applyProtection="1" quotePrefix="1">
      <alignment/>
      <protection locked="0"/>
    </xf>
    <xf numFmtId="37" fontId="43" fillId="0" borderId="0" xfId="0" applyFont="1" applyFill="1" applyAlignment="1" applyProtection="1">
      <alignment/>
      <protection locked="0"/>
    </xf>
    <xf numFmtId="37" fontId="40" fillId="0" borderId="0" xfId="0" applyNumberFormat="1" applyFont="1" applyAlignment="1" applyProtection="1">
      <alignment/>
      <protection locked="0"/>
    </xf>
    <xf numFmtId="164" fontId="40" fillId="0" borderId="0" xfId="0" applyNumberFormat="1" applyFont="1" applyAlignment="1" applyProtection="1">
      <alignment/>
      <protection/>
    </xf>
    <xf numFmtId="165" fontId="40" fillId="0" borderId="0" xfId="0" applyNumberFormat="1" applyFont="1" applyAlignment="1" applyProtection="1">
      <alignment/>
      <protection/>
    </xf>
    <xf numFmtId="166" fontId="43" fillId="0" borderId="0" xfId="0" applyNumberFormat="1" applyFont="1" applyFill="1" applyAlignment="1" applyProtection="1" quotePrefix="1">
      <alignment/>
      <protection locked="0"/>
    </xf>
    <xf numFmtId="37" fontId="43" fillId="0" borderId="0" xfId="0" applyFont="1" applyAlignment="1" applyProtection="1" quotePrefix="1">
      <alignment/>
      <protection locked="0"/>
    </xf>
    <xf numFmtId="37" fontId="40" fillId="0" borderId="0" xfId="0" applyFont="1" applyAlignment="1" applyProtection="1">
      <alignment horizontal="left"/>
      <protection locked="0"/>
    </xf>
    <xf numFmtId="167" fontId="41" fillId="0" borderId="0" xfId="0" applyNumberFormat="1" applyFont="1" applyAlignment="1" applyProtection="1">
      <alignment/>
      <protection/>
    </xf>
    <xf numFmtId="37" fontId="40" fillId="0" borderId="0" xfId="0" applyFont="1" applyAlignment="1">
      <alignment horizontal="center"/>
    </xf>
    <xf numFmtId="5" fontId="41" fillId="0" borderId="0" xfId="0" applyNumberFormat="1" applyFont="1" applyAlignment="1" applyProtection="1">
      <alignment/>
      <protection/>
    </xf>
    <xf numFmtId="10" fontId="43" fillId="2" borderId="0" xfId="0" applyNumberFormat="1" applyFont="1" applyFill="1" applyAlignment="1" applyProtection="1">
      <alignment/>
      <protection locked="0"/>
    </xf>
    <xf numFmtId="167" fontId="43" fillId="0" borderId="0" xfId="0" applyNumberFormat="1" applyFont="1" applyFill="1" applyAlignment="1" applyProtection="1">
      <alignment/>
      <protection locked="0"/>
    </xf>
    <xf numFmtId="10" fontId="41" fillId="0" borderId="0" xfId="0" applyNumberFormat="1" applyFont="1" applyAlignment="1" applyProtection="1">
      <alignment/>
      <protection/>
    </xf>
    <xf numFmtId="9" fontId="43" fillId="0" borderId="0" xfId="0" applyNumberFormat="1" applyFont="1" applyFill="1" applyAlignment="1" applyProtection="1">
      <alignment/>
      <protection locked="0"/>
    </xf>
    <xf numFmtId="10" fontId="43" fillId="0" borderId="0" xfId="0" applyNumberFormat="1" applyFont="1" applyFill="1" applyAlignment="1" applyProtection="1">
      <alignment/>
      <protection locked="0"/>
    </xf>
    <xf numFmtId="168" fontId="43" fillId="2" borderId="0" xfId="0" applyNumberFormat="1" applyFont="1" applyFill="1" applyAlignment="1" applyProtection="1">
      <alignment/>
      <protection locked="0"/>
    </xf>
    <xf numFmtId="169" fontId="43" fillId="0" borderId="0" xfId="0" applyNumberFormat="1" applyFont="1" applyFill="1" applyAlignment="1" applyProtection="1">
      <alignment/>
      <protection locked="0"/>
    </xf>
    <xf numFmtId="170" fontId="43" fillId="0" borderId="0" xfId="0" applyNumberFormat="1" applyFont="1" applyFill="1" applyAlignment="1" applyProtection="1">
      <alignment/>
      <protection locked="0"/>
    </xf>
    <xf numFmtId="37" fontId="41" fillId="0" borderId="0" xfId="0" applyFont="1" applyFill="1" applyAlignment="1">
      <alignment/>
    </xf>
    <xf numFmtId="37" fontId="43" fillId="2" borderId="0" xfId="0" applyFont="1" applyFill="1" applyAlignment="1" applyProtection="1">
      <alignment/>
      <protection locked="0"/>
    </xf>
    <xf numFmtId="171" fontId="40" fillId="0" borderId="0" xfId="0" applyNumberFormat="1" applyFont="1" applyAlignment="1" applyProtection="1">
      <alignment/>
      <protection/>
    </xf>
    <xf numFmtId="37" fontId="40" fillId="0" borderId="0" xfId="0" applyFont="1" applyAlignment="1">
      <alignment horizontal="right"/>
    </xf>
    <xf numFmtId="39" fontId="40" fillId="0" borderId="0" xfId="0" applyNumberFormat="1" applyFont="1" applyAlignment="1" applyProtection="1">
      <alignment/>
      <protection locked="0"/>
    </xf>
    <xf numFmtId="37" fontId="41" fillId="0" borderId="5" xfId="0" applyFont="1" applyBorder="1" applyAlignment="1">
      <alignment horizontal="center"/>
    </xf>
    <xf numFmtId="37" fontId="40" fillId="0" borderId="0" xfId="0" applyFont="1" applyFill="1" applyAlignment="1">
      <alignment/>
    </xf>
    <xf numFmtId="37" fontId="43" fillId="0" borderId="0" xfId="0" applyFont="1" applyFill="1" applyAlignment="1">
      <alignment/>
    </xf>
    <xf numFmtId="37" fontId="40" fillId="0" borderId="0" xfId="0" applyFont="1" applyFill="1" applyAlignment="1" applyProtection="1">
      <alignment/>
      <protection locked="0"/>
    </xf>
    <xf numFmtId="37" fontId="40" fillId="0" borderId="0" xfId="0" applyFont="1" applyAlignment="1" applyProtection="1">
      <alignment/>
      <protection/>
    </xf>
    <xf numFmtId="172" fontId="40" fillId="0" borderId="0" xfId="0" applyNumberFormat="1" applyFont="1" applyAlignment="1" applyProtection="1">
      <alignment/>
      <protection locked="0"/>
    </xf>
    <xf numFmtId="172" fontId="40" fillId="0" borderId="0" xfId="0" applyNumberFormat="1" applyFont="1" applyAlignment="1" applyProtection="1">
      <alignment/>
      <protection/>
    </xf>
    <xf numFmtId="39" fontId="40" fillId="0" borderId="0" xfId="0" applyNumberFormat="1" applyFont="1" applyAlignment="1" applyProtection="1">
      <alignment/>
      <protection/>
    </xf>
    <xf numFmtId="37" fontId="44" fillId="0" borderId="0" xfId="0" applyFont="1" applyFill="1" applyAlignment="1">
      <alignment/>
    </xf>
    <xf numFmtId="172" fontId="41" fillId="0" borderId="0" xfId="0" applyNumberFormat="1" applyFont="1" applyAlignment="1" applyProtection="1">
      <alignment/>
      <protection/>
    </xf>
    <xf numFmtId="37" fontId="45" fillId="0" borderId="0" xfId="0" applyFont="1" applyFill="1" applyAlignment="1" applyProtection="1">
      <alignment/>
      <protection locked="0"/>
    </xf>
    <xf numFmtId="39" fontId="40" fillId="0" borderId="0" xfId="0" applyNumberFormat="1" applyFont="1" applyAlignment="1" applyProtection="1">
      <alignment horizontal="center"/>
      <protection locked="0"/>
    </xf>
    <xf numFmtId="37" fontId="44" fillId="0" borderId="0" xfId="0" applyFont="1" applyAlignment="1">
      <alignment/>
    </xf>
    <xf numFmtId="37" fontId="40" fillId="0" borderId="0" xfId="0" applyFont="1" applyAlignment="1" applyProtection="1">
      <alignment horizontal="center"/>
      <protection locked="0"/>
    </xf>
    <xf numFmtId="37" fontId="46" fillId="0" borderId="0" xfId="0" applyFont="1" applyAlignment="1" applyProtection="1">
      <alignment/>
      <protection locked="0"/>
    </xf>
    <xf numFmtId="173" fontId="40" fillId="0" borderId="0" xfId="0" applyNumberFormat="1" applyFont="1" applyAlignment="1" applyProtection="1">
      <alignment/>
      <protection/>
    </xf>
    <xf numFmtId="173" fontId="40" fillId="0" borderId="0" xfId="0" applyNumberFormat="1" applyFont="1" applyAlignment="1" applyProtection="1">
      <alignment/>
      <protection locked="0"/>
    </xf>
    <xf numFmtId="174" fontId="40" fillId="0" borderId="0" xfId="0" applyNumberFormat="1" applyFont="1" applyAlignment="1" applyProtection="1">
      <alignment/>
      <protection/>
    </xf>
    <xf numFmtId="174" fontId="40" fillId="0" borderId="0" xfId="0" applyNumberFormat="1" applyFont="1" applyAlignment="1" applyProtection="1">
      <alignment/>
      <protection locked="0"/>
    </xf>
    <xf numFmtId="37" fontId="47" fillId="0" borderId="0" xfId="0" applyFont="1" applyAlignment="1">
      <alignment/>
    </xf>
    <xf numFmtId="37" fontId="47" fillId="0" borderId="0" xfId="0" applyFont="1" applyAlignment="1" applyProtection="1">
      <alignment horizontal="center"/>
      <protection locked="0"/>
    </xf>
    <xf numFmtId="37" fontId="47" fillId="0" borderId="0" xfId="0" applyFont="1" applyAlignment="1">
      <alignment horizontal="center"/>
    </xf>
    <xf numFmtId="37" fontId="48" fillId="0" borderId="0" xfId="0" applyFont="1" applyAlignment="1">
      <alignment horizontal="center"/>
    </xf>
    <xf numFmtId="37" fontId="41" fillId="0" borderId="0" xfId="0" applyFont="1" applyAlignment="1">
      <alignment horizontal="right"/>
    </xf>
    <xf numFmtId="187" fontId="41" fillId="0" borderId="0" xfId="15" applyNumberFormat="1" applyFont="1" applyAlignment="1">
      <alignment/>
    </xf>
    <xf numFmtId="10" fontId="41" fillId="0" borderId="0" xfId="23" applyNumberFormat="1" applyFont="1" applyAlignment="1">
      <alignment/>
    </xf>
    <xf numFmtId="175" fontId="41" fillId="0" borderId="0" xfId="0" applyNumberFormat="1" applyFont="1" applyAlignment="1" applyProtection="1">
      <alignment/>
      <protection/>
    </xf>
    <xf numFmtId="176" fontId="41" fillId="0" borderId="0" xfId="0" applyNumberFormat="1" applyFont="1" applyAlignment="1" applyProtection="1">
      <alignment/>
      <protection/>
    </xf>
    <xf numFmtId="175" fontId="40" fillId="0" borderId="0" xfId="0" applyNumberFormat="1" applyFont="1" applyAlignment="1" applyProtection="1">
      <alignment/>
      <protection/>
    </xf>
    <xf numFmtId="37" fontId="40" fillId="0" borderId="0" xfId="0" applyNumberFormat="1" applyFont="1" applyAlignment="1" applyProtection="1">
      <alignment/>
      <protection/>
    </xf>
    <xf numFmtId="176" fontId="40" fillId="0" borderId="0" xfId="0" applyNumberFormat="1" applyFont="1" applyAlignment="1" applyProtection="1">
      <alignment/>
      <protection/>
    </xf>
    <xf numFmtId="37" fontId="41" fillId="0" borderId="0" xfId="0" applyFont="1" applyAlignment="1">
      <alignment/>
    </xf>
    <xf numFmtId="10" fontId="42" fillId="0" borderId="0" xfId="0" applyNumberFormat="1" applyFont="1" applyAlignment="1" applyProtection="1">
      <alignment/>
      <protection/>
    </xf>
    <xf numFmtId="10" fontId="49" fillId="0" borderId="0" xfId="0" applyNumberFormat="1" applyFont="1" applyAlignment="1" applyProtection="1">
      <alignment/>
      <protection/>
    </xf>
    <xf numFmtId="10" fontId="49" fillId="0" borderId="0" xfId="0" applyNumberFormat="1" applyFont="1" applyAlignment="1" applyProtection="1" quotePrefix="1">
      <alignment horizontal="center"/>
      <protection/>
    </xf>
    <xf numFmtId="37" fontId="49" fillId="0" borderId="0" xfId="0" applyFont="1" applyAlignment="1">
      <alignment/>
    </xf>
    <xf numFmtId="177" fontId="41" fillId="0" borderId="0" xfId="0" applyNumberFormat="1" applyFont="1" applyAlignment="1" applyProtection="1">
      <alignment/>
      <protection/>
    </xf>
    <xf numFmtId="190" fontId="41" fillId="0" borderId="0" xfId="0" applyNumberFormat="1" applyFont="1" applyAlignment="1">
      <alignment/>
    </xf>
    <xf numFmtId="167" fontId="41" fillId="0" borderId="0" xfId="0" applyNumberFormat="1" applyFont="1" applyAlignment="1">
      <alignment/>
    </xf>
    <xf numFmtId="37" fontId="41" fillId="0" borderId="0" xfId="0" applyFont="1" applyBorder="1" applyAlignment="1">
      <alignment/>
    </xf>
    <xf numFmtId="37" fontId="50" fillId="0" borderId="0" xfId="0" applyFont="1" applyAlignment="1">
      <alignment horizontal="center"/>
    </xf>
    <xf numFmtId="0" fontId="1" fillId="0" borderId="0" xfId="19" applyFont="1" applyAlignment="1" applyProtection="1">
      <alignment horizontal="left"/>
      <protection/>
    </xf>
    <xf numFmtId="0" fontId="1" fillId="0" borderId="0" xfId="19" applyFont="1">
      <alignment/>
      <protection/>
    </xf>
    <xf numFmtId="37" fontId="1" fillId="0" borderId="0" xfId="0" applyFont="1" applyAlignment="1">
      <alignment/>
    </xf>
    <xf numFmtId="37" fontId="1" fillId="0" borderId="0" xfId="21" applyFont="1" applyAlignment="1">
      <alignment horizontal="right"/>
      <protection/>
    </xf>
    <xf numFmtId="0" fontId="1" fillId="0" borderId="5" xfId="19" applyFont="1" applyBorder="1" applyAlignment="1" applyProtection="1">
      <alignment horizontal="left"/>
      <protection/>
    </xf>
    <xf numFmtId="0" fontId="1" fillId="0" borderId="5" xfId="19" applyFont="1" applyBorder="1">
      <alignment/>
      <protection/>
    </xf>
    <xf numFmtId="37" fontId="50" fillId="0" borderId="5" xfId="0" applyFont="1" applyBorder="1" applyAlignment="1">
      <alignment horizontal="center"/>
    </xf>
    <xf numFmtId="37" fontId="1" fillId="0" borderId="5" xfId="0" applyFont="1" applyBorder="1" applyAlignment="1">
      <alignment/>
    </xf>
    <xf numFmtId="37" fontId="1" fillId="0" borderId="4" xfId="21" applyFont="1" applyBorder="1" applyAlignment="1">
      <alignment horizontal="right"/>
      <protection/>
    </xf>
    <xf numFmtId="0" fontId="1" fillId="0" borderId="0" xfId="19" applyFont="1" applyBorder="1" applyAlignment="1" applyProtection="1">
      <alignment horizontal="left"/>
      <protection/>
    </xf>
    <xf numFmtId="0" fontId="1" fillId="0" borderId="0" xfId="19" applyFont="1" applyBorder="1">
      <alignment/>
      <protection/>
    </xf>
    <xf numFmtId="37" fontId="50" fillId="0" borderId="0" xfId="0" applyFont="1" applyBorder="1" applyAlignment="1">
      <alignment horizontal="center"/>
    </xf>
    <xf numFmtId="37" fontId="1" fillId="0" borderId="0" xfId="0" applyFont="1" applyBorder="1" applyAlignment="1">
      <alignment/>
    </xf>
    <xf numFmtId="0" fontId="1" fillId="0" borderId="0" xfId="19" applyFont="1" applyBorder="1" applyAlignment="1" applyProtection="1">
      <alignment horizontal="right"/>
      <protection/>
    </xf>
    <xf numFmtId="37" fontId="50" fillId="0" borderId="0" xfId="0" applyFont="1" applyAlignment="1">
      <alignment/>
    </xf>
    <xf numFmtId="37" fontId="53" fillId="0" borderId="0" xfId="0" applyFont="1" applyAlignment="1">
      <alignment/>
    </xf>
    <xf numFmtId="37" fontId="53" fillId="0" borderId="0" xfId="0" applyFont="1" applyAlignment="1">
      <alignment horizontal="center"/>
    </xf>
    <xf numFmtId="37" fontId="53" fillId="0" borderId="0" xfId="0" applyFont="1" applyFill="1" applyAlignment="1">
      <alignment horizontal="center"/>
    </xf>
    <xf numFmtId="9" fontId="53" fillId="0" borderId="0" xfId="23" applyFont="1" applyFill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5" fillId="0" borderId="0" xfId="0" applyFont="1" applyFill="1" applyAlignment="1">
      <alignment horizontal="center"/>
    </xf>
    <xf numFmtId="9" fontId="55" fillId="0" borderId="0" xfId="23" applyFont="1" applyFill="1" applyAlignment="1">
      <alignment horizontal="center"/>
    </xf>
    <xf numFmtId="37" fontId="50" fillId="0" borderId="0" xfId="0" applyFont="1" applyAlignment="1" quotePrefix="1">
      <alignment horizontal="center"/>
    </xf>
    <xf numFmtId="9" fontId="50" fillId="0" borderId="0" xfId="23" applyFont="1" applyAlignment="1" quotePrefix="1">
      <alignment horizontal="center"/>
    </xf>
    <xf numFmtId="37" fontId="53" fillId="0" borderId="0" xfId="0" applyFont="1" applyFill="1" applyAlignment="1">
      <alignment horizontal="left"/>
    </xf>
    <xf numFmtId="37" fontId="1" fillId="0" borderId="0" xfId="0" applyFont="1" applyAlignment="1">
      <alignment horizontal="center"/>
    </xf>
    <xf numFmtId="37" fontId="1" fillId="0" borderId="0" xfId="20" applyFont="1" applyAlignment="1" applyProtection="1">
      <alignment horizontal="left"/>
      <protection/>
    </xf>
    <xf numFmtId="191" fontId="1" fillId="0" borderId="0" xfId="20" applyNumberFormat="1" applyFont="1" applyAlignment="1" applyProtection="1">
      <alignment horizontal="center"/>
      <protection/>
    </xf>
    <xf numFmtId="37" fontId="1" fillId="0" borderId="0" xfId="20" applyFont="1">
      <alignment/>
      <protection/>
    </xf>
    <xf numFmtId="192" fontId="56" fillId="0" borderId="0" xfId="0" applyNumberFormat="1" applyFont="1" applyAlignment="1">
      <alignment/>
    </xf>
    <xf numFmtId="9" fontId="57" fillId="0" borderId="0" xfId="23" applyFont="1" applyFill="1" applyAlignment="1">
      <alignment horizontal="center"/>
    </xf>
    <xf numFmtId="37" fontId="1" fillId="0" borderId="0" xfId="0" applyNumberFormat="1" applyFont="1" applyFill="1" applyAlignment="1">
      <alignment horizontal="right"/>
    </xf>
    <xf numFmtId="37" fontId="58" fillId="0" borderId="0" xfId="0" applyFont="1" applyAlignment="1">
      <alignment/>
    </xf>
    <xf numFmtId="2" fontId="57" fillId="0" borderId="0" xfId="0" applyNumberFormat="1" applyFont="1" applyFill="1" applyAlignment="1">
      <alignment horizontal="center"/>
    </xf>
    <xf numFmtId="37" fontId="56" fillId="0" borderId="0" xfId="0" applyNumberFormat="1" applyFont="1" applyFill="1" applyAlignment="1">
      <alignment horizontal="right"/>
    </xf>
    <xf numFmtId="9" fontId="56" fillId="0" borderId="0" xfId="23" applyFont="1" applyFill="1" applyAlignment="1">
      <alignment horizontal="center"/>
    </xf>
    <xf numFmtId="37" fontId="56" fillId="0" borderId="0" xfId="0" applyFont="1" applyAlignment="1">
      <alignment/>
    </xf>
    <xf numFmtId="39" fontId="1" fillId="0" borderId="0" xfId="19" applyNumberFormat="1" applyFont="1" applyAlignment="1" applyProtection="1">
      <alignment horizontal="left"/>
      <protection/>
    </xf>
    <xf numFmtId="37" fontId="57" fillId="0" borderId="0" xfId="0" applyFont="1" applyAlignment="1">
      <alignment/>
    </xf>
    <xf numFmtId="2" fontId="1" fillId="0" borderId="0" xfId="19" applyNumberFormat="1" applyFont="1" applyAlignment="1" applyProtection="1">
      <alignment horizontal="center"/>
      <protection/>
    </xf>
    <xf numFmtId="37" fontId="56" fillId="0" borderId="0" xfId="19" applyNumberFormat="1" applyFont="1" applyProtection="1">
      <alignment/>
      <protection/>
    </xf>
    <xf numFmtId="191" fontId="56" fillId="0" borderId="0" xfId="23" applyNumberFormat="1" applyFont="1" applyAlignment="1" applyProtection="1">
      <alignment/>
      <protection/>
    </xf>
    <xf numFmtId="37" fontId="57" fillId="0" borderId="0" xfId="0" applyFont="1" applyFill="1" applyAlignment="1">
      <alignment horizontal="left"/>
    </xf>
    <xf numFmtId="37" fontId="56" fillId="0" borderId="0" xfId="0" applyFont="1" applyBorder="1" applyAlignment="1">
      <alignment/>
    </xf>
    <xf numFmtId="37" fontId="56" fillId="0" borderId="0" xfId="0" applyNumberFormat="1" applyFont="1" applyFill="1" applyBorder="1" applyAlignment="1">
      <alignment horizontal="right"/>
    </xf>
    <xf numFmtId="37" fontId="58" fillId="0" borderId="0" xfId="0" applyFont="1" applyAlignment="1" quotePrefix="1">
      <alignment/>
    </xf>
    <xf numFmtId="39" fontId="1" fillId="0" borderId="0" xfId="19" applyNumberFormat="1" applyFont="1" applyAlignment="1" applyProtection="1">
      <alignment horizontal="center"/>
      <protection/>
    </xf>
    <xf numFmtId="191" fontId="56" fillId="0" borderId="0" xfId="23" applyNumberFormat="1" applyFont="1" applyAlignment="1" applyProtection="1">
      <alignment horizontal="center"/>
      <protection/>
    </xf>
    <xf numFmtId="191" fontId="56" fillId="0" borderId="0" xfId="23" applyNumberFormat="1" applyFont="1" applyAlignment="1" applyProtection="1">
      <alignment horizontal="right"/>
      <protection/>
    </xf>
    <xf numFmtId="37" fontId="56" fillId="0" borderId="5" xfId="19" applyNumberFormat="1" applyFont="1" applyBorder="1" applyProtection="1">
      <alignment/>
      <protection/>
    </xf>
    <xf numFmtId="37" fontId="1" fillId="0" borderId="5" xfId="0" applyNumberFormat="1" applyFont="1" applyFill="1" applyBorder="1" applyAlignment="1">
      <alignment horizontal="right"/>
    </xf>
    <xf numFmtId="37" fontId="57" fillId="0" borderId="0" xfId="0" applyFont="1" applyFill="1" applyAlignment="1">
      <alignment horizontal="center"/>
    </xf>
    <xf numFmtId="37" fontId="57" fillId="0" borderId="0" xfId="0" applyNumberFormat="1" applyFont="1" applyFill="1" applyAlignment="1">
      <alignment horizontal="right"/>
    </xf>
    <xf numFmtId="37" fontId="57" fillId="0" borderId="0" xfId="0" applyNumberFormat="1" applyFont="1" applyFill="1" applyBorder="1" applyAlignment="1">
      <alignment horizontal="right"/>
    </xf>
    <xf numFmtId="37" fontId="57" fillId="0" borderId="6" xfId="0" applyNumberFormat="1" applyFont="1" applyFill="1" applyBorder="1" applyAlignment="1">
      <alignment horizontal="right"/>
    </xf>
    <xf numFmtId="9" fontId="57" fillId="0" borderId="0" xfId="23" applyFont="1" applyFill="1" applyBorder="1" applyAlignment="1">
      <alignment horizontal="center"/>
    </xf>
    <xf numFmtId="37" fontId="57" fillId="0" borderId="0" xfId="0" applyNumberFormat="1" applyFont="1" applyAlignment="1">
      <alignment/>
    </xf>
    <xf numFmtId="9" fontId="57" fillId="0" borderId="0" xfId="23" applyFont="1" applyAlignment="1">
      <alignment horizontal="center"/>
    </xf>
    <xf numFmtId="37" fontId="57" fillId="0" borderId="0" xfId="0" applyNumberFormat="1" applyFont="1" applyBorder="1" applyAlignment="1">
      <alignment/>
    </xf>
    <xf numFmtId="37" fontId="1" fillId="0" borderId="0" xfId="0" applyFont="1" applyAlignment="1" quotePrefix="1">
      <alignment/>
    </xf>
    <xf numFmtId="37" fontId="41" fillId="0" borderId="0" xfId="22" applyFont="1">
      <alignment/>
      <protection/>
    </xf>
    <xf numFmtId="37" fontId="44" fillId="0" borderId="0" xfId="0" applyFont="1" applyFill="1" applyAlignment="1" applyProtection="1">
      <alignment/>
      <protection locked="0"/>
    </xf>
    <xf numFmtId="37" fontId="0" fillId="0" borderId="0" xfId="0" applyBorder="1" applyAlignment="1" quotePrefix="1">
      <alignment/>
    </xf>
    <xf numFmtId="37" fontId="50" fillId="0" borderId="0" xfId="0" applyFont="1" applyAlignment="1">
      <alignment horizontal="centerContinuous"/>
    </xf>
    <xf numFmtId="180" fontId="50" fillId="0" borderId="0" xfId="15" applyNumberFormat="1" applyFont="1" applyAlignment="1">
      <alignment horizontal="centerContinuous"/>
    </xf>
    <xf numFmtId="43" fontId="50" fillId="0" borderId="0" xfId="15" applyFont="1" applyAlignment="1">
      <alignment horizontal="centerContinuous"/>
    </xf>
    <xf numFmtId="15" fontId="59" fillId="0" borderId="0" xfId="0" applyNumberFormat="1" applyFont="1" applyAlignment="1" quotePrefix="1">
      <alignment horizontal="centerContinuous"/>
    </xf>
    <xf numFmtId="37" fontId="50" fillId="0" borderId="1" xfId="0" applyFont="1" applyBorder="1" applyAlignment="1">
      <alignment horizontal="center"/>
    </xf>
    <xf numFmtId="180" fontId="60" fillId="0" borderId="0" xfId="15" applyNumberFormat="1" applyFont="1" applyAlignment="1">
      <alignment horizontal="center"/>
    </xf>
    <xf numFmtId="43" fontId="60" fillId="0" borderId="0" xfId="15" applyFont="1" applyAlignment="1">
      <alignment horizontal="center"/>
    </xf>
    <xf numFmtId="180" fontId="56" fillId="0" borderId="0" xfId="15" applyNumberFormat="1" applyFont="1" applyAlignment="1">
      <alignment/>
    </xf>
    <xf numFmtId="43" fontId="56" fillId="0" borderId="0" xfId="15" applyFont="1" applyAlignment="1">
      <alignment/>
    </xf>
    <xf numFmtId="180" fontId="61" fillId="0" borderId="0" xfId="15" applyNumberFormat="1" applyFont="1" applyAlignment="1">
      <alignment/>
    </xf>
    <xf numFmtId="186" fontId="1" fillId="0" borderId="0" xfId="15" applyNumberFormat="1" applyFont="1" applyAlignment="1">
      <alignment/>
    </xf>
    <xf numFmtId="37" fontId="0" fillId="0" borderId="0" xfId="0" applyAlignment="1">
      <alignment horizontal="right"/>
    </xf>
    <xf numFmtId="186" fontId="0" fillId="0" borderId="0" xfId="15" applyNumberFormat="1" applyAlignment="1">
      <alignment/>
    </xf>
    <xf numFmtId="10" fontId="0" fillId="0" borderId="0" xfId="23" applyNumberFormat="1" applyFont="1" applyFill="1" applyAlignment="1">
      <alignment/>
    </xf>
    <xf numFmtId="193" fontId="0" fillId="0" borderId="7" xfId="15" applyNumberFormat="1" applyBorder="1" applyAlignment="1">
      <alignment/>
    </xf>
    <xf numFmtId="193" fontId="1" fillId="0" borderId="7" xfId="15" applyNumberFormat="1" applyFont="1" applyBorder="1" applyAlignment="1">
      <alignment/>
    </xf>
    <xf numFmtId="37" fontId="50" fillId="0" borderId="0" xfId="0" applyFont="1" applyAlignment="1">
      <alignment horizontal="center"/>
    </xf>
    <xf numFmtId="37" fontId="7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-3 Depreciation" xfId="19"/>
    <cellStyle name="Normal_B-4" xfId="20"/>
    <cellStyle name="Normal_D-2.10" xfId="21"/>
    <cellStyle name="Normal_E-1 Income Tax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KY\Ratecase%20-%202007\Schedules\Header%20Master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tes\data\Header%20Master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sheetDataSet>
      <sheetData sheetId="0">
        <row r="4">
          <cell r="C4" t="str">
            <v>CASE NO. 2007-00008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sheetDataSet>
      <sheetData sheetId="0">
        <row r="14">
          <cell r="E14" t="str">
            <v>WITNESS:  K. L. HUMRICHOUSE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1432"/>
  <sheetViews>
    <sheetView showGridLines="0" tabSelected="1" workbookViewId="0" topLeftCell="X1">
      <selection activeCell="AE1" sqref="AE1:AR1143"/>
    </sheetView>
  </sheetViews>
  <sheetFormatPr defaultColWidth="3.8515625" defaultRowHeight="12"/>
  <cols>
    <col min="1" max="1" width="34.421875" style="123" customWidth="1"/>
    <col min="2" max="2" width="39.8515625" style="123" customWidth="1"/>
    <col min="3" max="3" width="18.8515625" style="123" customWidth="1"/>
    <col min="4" max="14" width="14.8515625" style="123" customWidth="1"/>
    <col min="15" max="16" width="9.8515625" style="123" customWidth="1"/>
    <col min="17" max="17" width="10.8515625" style="123" customWidth="1"/>
    <col min="18" max="18" width="7.8515625" style="123" customWidth="1"/>
    <col min="19" max="19" width="29.8515625" style="123" customWidth="1"/>
    <col min="20" max="20" width="13.8515625" style="123" customWidth="1"/>
    <col min="21" max="21" width="14.140625" style="123" customWidth="1"/>
    <col min="22" max="22" width="11.421875" style="123" customWidth="1"/>
    <col min="23" max="23" width="11.28125" style="123" customWidth="1"/>
    <col min="24" max="24" width="7.8515625" style="123" customWidth="1"/>
    <col min="25" max="25" width="9.140625" style="123" customWidth="1"/>
    <col min="26" max="26" width="11.421875" style="123" customWidth="1"/>
    <col min="27" max="27" width="12.421875" style="123" customWidth="1"/>
    <col min="28" max="28" width="10.7109375" style="123" customWidth="1"/>
    <col min="29" max="29" width="9.8515625" style="123" customWidth="1"/>
    <col min="30" max="30" width="10.00390625" style="123" customWidth="1"/>
    <col min="31" max="31" width="4.8515625" style="123" customWidth="1"/>
    <col min="32" max="32" width="7.140625" style="123" customWidth="1"/>
    <col min="33" max="33" width="35.421875" style="123" customWidth="1"/>
    <col min="34" max="34" width="8.7109375" style="123" customWidth="1"/>
    <col min="35" max="35" width="11.8515625" style="123" customWidth="1"/>
    <col min="36" max="36" width="11.421875" style="123" customWidth="1"/>
    <col min="37" max="37" width="11.140625" style="123" customWidth="1"/>
    <col min="38" max="38" width="11.7109375" style="123" bestFit="1" customWidth="1"/>
    <col min="39" max="39" width="11.00390625" style="123" customWidth="1"/>
    <col min="40" max="40" width="12.140625" style="123" customWidth="1"/>
    <col min="41" max="41" width="12.421875" style="123" customWidth="1"/>
    <col min="42" max="42" width="10.7109375" style="123" customWidth="1"/>
    <col min="43" max="43" width="11.00390625" style="123" customWidth="1"/>
    <col min="44" max="44" width="13.00390625" style="123" customWidth="1"/>
    <col min="45" max="45" width="3.8515625" style="123" customWidth="1"/>
    <col min="46" max="46" width="10.140625" style="123" customWidth="1"/>
    <col min="47" max="47" width="5.8515625" style="123" customWidth="1"/>
    <col min="48" max="48" width="47.421875" style="123" customWidth="1"/>
    <col min="49" max="49" width="22.00390625" style="123" customWidth="1"/>
    <col min="50" max="50" width="6.28125" style="123" customWidth="1"/>
    <col min="51" max="51" width="53.28125" style="123" customWidth="1"/>
    <col min="52" max="52" width="3.8515625" style="123" customWidth="1"/>
    <col min="53" max="53" width="11.8515625" style="123" customWidth="1"/>
    <col min="54" max="54" width="23.8515625" style="123" customWidth="1"/>
    <col min="55" max="56" width="26.8515625" style="123" customWidth="1"/>
    <col min="57" max="57" width="16.8515625" style="123" customWidth="1"/>
    <col min="58" max="58" width="21.8515625" style="123" customWidth="1"/>
    <col min="59" max="16384" width="3.8515625" style="123" customWidth="1"/>
  </cols>
  <sheetData>
    <row r="1" spans="1:55" ht="12.75">
      <c r="A1" s="122" t="s">
        <v>0</v>
      </c>
      <c r="B1" s="122" t="s">
        <v>1</v>
      </c>
      <c r="C1" s="122" t="s">
        <v>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AF1" s="124"/>
      <c r="AK1" s="125" t="str">
        <f>""&amp;+$B$24</f>
        <v>COLUMBIA GAS OF KENTUCKY, INC.</v>
      </c>
      <c r="AM1" s="126"/>
      <c r="AQ1" s="123" t="str">
        <f>$B$25</f>
        <v>D/C STUDY</v>
      </c>
      <c r="AX1" s="125" t="str">
        <f>""&amp;+$B$24</f>
        <v>COLUMBIA GAS OF KENTUCKY, INC.</v>
      </c>
      <c r="BA1" s="127"/>
      <c r="BB1" s="127"/>
      <c r="BC1" s="127"/>
    </row>
    <row r="2" spans="1:50" ht="12.75">
      <c r="A2" s="122" t="s">
        <v>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AA2" s="124"/>
      <c r="AB2" s="126"/>
      <c r="AE2" s="123" t="str">
        <f>$B$30</f>
        <v>DEMAND-COMMODITY</v>
      </c>
      <c r="AK2" s="125" t="s">
        <v>4</v>
      </c>
      <c r="AQ2" s="123" t="str">
        <f>"PAGE 4 OF "&amp;FIXED($B$31,0,TRUE)</f>
        <v>PAGE 4 OF 28</v>
      </c>
      <c r="AX2" s="125"/>
    </row>
    <row r="3" spans="1:55" ht="12.75">
      <c r="A3" s="122" t="s">
        <v>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W3" s="125" t="str">
        <f>""&amp;+$B$24</f>
        <v>COLUMBIA GAS OF KENTUCKY, INC.</v>
      </c>
      <c r="AB3" s="123" t="str">
        <f>$B$25</f>
        <v>D/C STUDY</v>
      </c>
      <c r="AE3" s="128" t="str">
        <f>$B$29</f>
        <v>HISTORIC PERIOD - ORIGINAL FILING</v>
      </c>
      <c r="AF3" s="128"/>
      <c r="AG3" s="128"/>
      <c r="AH3" s="128"/>
      <c r="AI3" s="129"/>
      <c r="AJ3" s="129"/>
      <c r="AK3" s="130" t="str">
        <f>"FOR THE TWELVE MONTHS ENDED "&amp;$B$27</f>
        <v>FOR THE TWELVE MONTHS ENDED 09/30/2006</v>
      </c>
      <c r="AL3" s="128"/>
      <c r="AM3" s="128"/>
      <c r="AN3" s="128"/>
      <c r="AO3" s="128"/>
      <c r="AP3" s="128"/>
      <c r="AQ3" s="128" t="str">
        <f>"WITNESS: "&amp;$B$28</f>
        <v>WITNESS: R. GIBBONS</v>
      </c>
      <c r="AR3" s="131"/>
      <c r="AX3" s="125" t="s">
        <v>6</v>
      </c>
      <c r="BA3" s="127"/>
      <c r="BB3" s="127"/>
      <c r="BC3" s="127"/>
    </row>
    <row r="4" spans="1:50" ht="12.75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 t="str">
        <f>$B$30</f>
        <v>DEMAND-COMMODITY</v>
      </c>
      <c r="W4" s="125" t="s">
        <v>8</v>
      </c>
      <c r="AB4" s="123" t="str">
        <f>"PAGE 2 OF "&amp;FIXED($B$31,0,TRUE)</f>
        <v>PAGE 2 OF 28</v>
      </c>
      <c r="AE4" s="125" t="s">
        <v>9</v>
      </c>
      <c r="AF4" s="123" t="s">
        <v>10</v>
      </c>
      <c r="AH4" s="125" t="s">
        <v>11</v>
      </c>
      <c r="AI4" s="125" t="s">
        <v>12</v>
      </c>
      <c r="AJ4" s="125"/>
      <c r="AK4" s="125"/>
      <c r="AL4" s="125"/>
      <c r="AM4" s="125"/>
      <c r="AN4" s="125"/>
      <c r="AO4" s="125"/>
      <c r="AP4" s="125"/>
      <c r="AQ4" s="125"/>
      <c r="AR4" s="125"/>
      <c r="AX4" s="125"/>
    </row>
    <row r="5" spans="1:50" ht="12.75">
      <c r="A5" s="122" t="s">
        <v>522</v>
      </c>
      <c r="B5" s="13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8" t="str">
        <f>$B$29</f>
        <v>HISTORIC PERIOD - ORIGINAL FILING</v>
      </c>
      <c r="S5" s="128"/>
      <c r="T5" s="128"/>
      <c r="U5" s="129"/>
      <c r="V5" s="129"/>
      <c r="W5" s="130" t="str">
        <f>"FOR THE TWELVE MONTHS ENDED "&amp;$B$27</f>
        <v>FOR THE TWELVE MONTHS ENDED 09/30/2006</v>
      </c>
      <c r="X5" s="128"/>
      <c r="Y5" s="128"/>
      <c r="Z5" s="128"/>
      <c r="AA5" s="128"/>
      <c r="AB5" s="128" t="str">
        <f>"WITNESS: "&amp;$B$28</f>
        <v>WITNESS: R. GIBBONS</v>
      </c>
      <c r="AC5" s="128"/>
      <c r="AD5" s="128"/>
      <c r="AE5" s="133" t="s">
        <v>13</v>
      </c>
      <c r="AF5" s="133" t="s">
        <v>13</v>
      </c>
      <c r="AG5" s="134" t="s">
        <v>577</v>
      </c>
      <c r="AH5" s="133" t="s">
        <v>14</v>
      </c>
      <c r="AI5" s="133" t="s">
        <v>15</v>
      </c>
      <c r="AJ5" s="133" t="str">
        <f>"  "&amp;+$C$35</f>
        <v>  GS-RES.</v>
      </c>
      <c r="AK5" s="133" t="str">
        <f>$C$36</f>
        <v>GS-OTHER</v>
      </c>
      <c r="AL5" s="133" t="str">
        <f>$C$37</f>
        <v>IUS</v>
      </c>
      <c r="AM5" s="133" t="str">
        <f>$C$38</f>
        <v>DS-ML/SC</v>
      </c>
      <c r="AN5" s="133" t="str">
        <f>$C$39</f>
        <v>DS/IS/SS</v>
      </c>
      <c r="AO5" s="133" t="str">
        <f>$C$40</f>
        <v>NOT USED</v>
      </c>
      <c r="AP5" s="133" t="str">
        <f>$C$41</f>
        <v>NOT USED</v>
      </c>
      <c r="AQ5" s="133" t="str">
        <f>$C$42</f>
        <v>NOT USED</v>
      </c>
      <c r="AR5" s="133" t="str">
        <f>$C$43</f>
        <v>NOT USED</v>
      </c>
      <c r="AX5" s="125" t="str">
        <f>"STUDY: "&amp;+B25</f>
        <v>STUDY: D/C STUDY</v>
      </c>
    </row>
    <row r="6" spans="1:50" ht="12.75">
      <c r="A6" s="132" t="s">
        <v>804</v>
      </c>
      <c r="B6" s="13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35" t="s">
        <v>9</v>
      </c>
      <c r="T6" s="125" t="s">
        <v>11</v>
      </c>
      <c r="U6" s="125" t="s">
        <v>16</v>
      </c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36" t="s">
        <v>17</v>
      </c>
      <c r="AG6" s="136" t="s">
        <v>18</v>
      </c>
      <c r="AH6" s="125" t="s">
        <v>19</v>
      </c>
      <c r="AI6" s="125" t="s">
        <v>20</v>
      </c>
      <c r="AJ6" s="125" t="s">
        <v>21</v>
      </c>
      <c r="AK6" s="125" t="s">
        <v>22</v>
      </c>
      <c r="AL6" s="125" t="s">
        <v>23</v>
      </c>
      <c r="AM6" s="125" t="s">
        <v>24</v>
      </c>
      <c r="AN6" s="125" t="s">
        <v>25</v>
      </c>
      <c r="AO6" s="125" t="s">
        <v>26</v>
      </c>
      <c r="AP6" s="125" t="s">
        <v>27</v>
      </c>
      <c r="AQ6" s="125" t="s">
        <v>28</v>
      </c>
      <c r="AR6" s="125" t="s">
        <v>29</v>
      </c>
      <c r="AX6" s="125" t="str">
        <f>"CASE NO.: "&amp;+B33</f>
        <v>CASE NO.: 2007-00008</v>
      </c>
    </row>
    <row r="7" spans="1:50" ht="12.75">
      <c r="A7" s="132" t="s">
        <v>521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37" t="s">
        <v>13</v>
      </c>
      <c r="S7" s="133" t="s">
        <v>30</v>
      </c>
      <c r="T7" s="133" t="s">
        <v>14</v>
      </c>
      <c r="U7" s="133" t="s">
        <v>31</v>
      </c>
      <c r="V7" s="133" t="str">
        <f>$C$35</f>
        <v>GS-RES.</v>
      </c>
      <c r="W7" s="133" t="str">
        <f>$C$36</f>
        <v>GS-OTHER</v>
      </c>
      <c r="X7" s="133" t="str">
        <f>$C$37</f>
        <v>IUS</v>
      </c>
      <c r="Y7" s="133" t="str">
        <f>$C$38</f>
        <v>DS-ML/SC</v>
      </c>
      <c r="Z7" s="133" t="str">
        <f>$C$39</f>
        <v>DS/IS/SS</v>
      </c>
      <c r="AA7" s="133" t="str">
        <f>$C$40</f>
        <v>NOT USED</v>
      </c>
      <c r="AB7" s="133" t="str">
        <f>$C$41</f>
        <v>NOT USED</v>
      </c>
      <c r="AC7" s="133" t="str">
        <f>$C$42</f>
        <v>NOT USED</v>
      </c>
      <c r="AD7" s="133" t="str">
        <f>$C$43</f>
        <v>NOT USED</v>
      </c>
      <c r="AE7" s="125"/>
      <c r="AI7" s="125" t="s">
        <v>32</v>
      </c>
      <c r="AJ7" s="125" t="s">
        <v>32</v>
      </c>
      <c r="AK7" s="125" t="s">
        <v>32</v>
      </c>
      <c r="AL7" s="125" t="s">
        <v>32</v>
      </c>
      <c r="AM7" s="125" t="s">
        <v>32</v>
      </c>
      <c r="AN7" s="125" t="s">
        <v>32</v>
      </c>
      <c r="AO7" s="125" t="s">
        <v>32</v>
      </c>
      <c r="AP7" s="125" t="s">
        <v>32</v>
      </c>
      <c r="AQ7" s="125" t="s">
        <v>32</v>
      </c>
      <c r="AR7" s="125" t="s">
        <v>32</v>
      </c>
      <c r="AX7" s="125" t="str">
        <f>"WITNESS: "&amp;+B28</f>
        <v>WITNESS: R. GIBBONS</v>
      </c>
    </row>
    <row r="8" spans="1:50" ht="12.75">
      <c r="A8" s="132" t="s">
        <v>805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5"/>
      <c r="S8" s="136" t="s">
        <v>17</v>
      </c>
      <c r="T8" s="136" t="s">
        <v>18</v>
      </c>
      <c r="U8" s="125" t="s">
        <v>19</v>
      </c>
      <c r="V8" s="125" t="s">
        <v>20</v>
      </c>
      <c r="W8" s="125" t="s">
        <v>21</v>
      </c>
      <c r="X8" s="125" t="s">
        <v>22</v>
      </c>
      <c r="Y8" s="125" t="s">
        <v>23</v>
      </c>
      <c r="Z8" s="125" t="s">
        <v>24</v>
      </c>
      <c r="AA8" s="125" t="s">
        <v>25</v>
      </c>
      <c r="AB8" s="125" t="s">
        <v>26</v>
      </c>
      <c r="AC8" s="125" t="s">
        <v>27</v>
      </c>
      <c r="AD8" s="125" t="s">
        <v>28</v>
      </c>
      <c r="AE8" s="125">
        <v>1</v>
      </c>
      <c r="AG8" s="123" t="str">
        <f>A102</f>
        <v>INTANGIBLE PLANT</v>
      </c>
      <c r="AX8" s="125" t="str">
        <f>"STUDY TYPE: "&amp;+B29</f>
        <v>STUDY TYPE: HISTORIC PERIOD - ORIGINAL FILING</v>
      </c>
    </row>
    <row r="9" spans="1:50" ht="12.75">
      <c r="A9" s="122" t="s">
        <v>33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5">
        <v>1</v>
      </c>
      <c r="S9" s="123" t="s">
        <v>34</v>
      </c>
      <c r="U9" s="138">
        <f>SUM(V9:AD9)</f>
        <v>12645491.33999997</v>
      </c>
      <c r="V9" s="138">
        <f aca="true" t="shared" si="0" ref="V9:AD9">AJ896-AJ858</f>
        <v>10729393.63999997</v>
      </c>
      <c r="W9" s="138">
        <f t="shared" si="0"/>
        <v>1386285.6400000006</v>
      </c>
      <c r="X9" s="138">
        <f t="shared" si="0"/>
        <v>12401.869999999995</v>
      </c>
      <c r="Y9" s="138">
        <f t="shared" si="0"/>
        <v>47152.47000000009</v>
      </c>
      <c r="Z9" s="138">
        <f t="shared" si="0"/>
        <v>470257.71999999974</v>
      </c>
      <c r="AA9" s="138">
        <f t="shared" si="0"/>
        <v>0</v>
      </c>
      <c r="AB9" s="138">
        <f t="shared" si="0"/>
        <v>0</v>
      </c>
      <c r="AC9" s="138">
        <f t="shared" si="0"/>
        <v>0</v>
      </c>
      <c r="AD9" s="138">
        <f t="shared" si="0"/>
        <v>0</v>
      </c>
      <c r="AE9" s="125"/>
      <c r="AX9" s="125" t="str">
        <f>"ALLOCATION BASIS: "&amp;+B30</f>
        <v>ALLOCATION BASIS: DEMAND-COMMODITY</v>
      </c>
    </row>
    <row r="10" spans="1:50" ht="12.75">
      <c r="A10" s="122" t="s">
        <v>35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5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25">
        <f>AE8+1</f>
        <v>2</v>
      </c>
      <c r="AF10" s="139">
        <f aca="true" t="shared" si="1" ref="AF10:AH14">A103</f>
        <v>301</v>
      </c>
      <c r="AG10" s="123" t="str">
        <f t="shared" si="1"/>
        <v>ORGANIZATION</v>
      </c>
      <c r="AH10" s="123">
        <f t="shared" si="1"/>
        <v>7</v>
      </c>
      <c r="AI10" s="123">
        <f>SUM(D103:E103)</f>
        <v>521.2</v>
      </c>
      <c r="AJ10" s="123">
        <f>ROUND((VLOOKUP($AH10,$A$661:$Y$709,13)*$AI10),0)</f>
        <v>293</v>
      </c>
      <c r="AK10" s="123">
        <f>ROUND((VLOOKUP($AH10,$A$661:$Y$709,14)*$AI10),0)</f>
        <v>109</v>
      </c>
      <c r="AL10" s="123">
        <f>ROUND((VLOOKUP($AH10,$A$661:$Y$709,15)*$AI10),0)</f>
        <v>0</v>
      </c>
      <c r="AM10" s="123">
        <f>ROUND((VLOOKUP($AH10,$A$661:$Y$709,16)*$AI10),0)</f>
        <v>0</v>
      </c>
      <c r="AN10" s="123">
        <f>ROUND((VLOOKUP($AH10,$A$661:$Y$709,17)*$AI10),0)</f>
        <v>119</v>
      </c>
      <c r="AO10" s="123">
        <f>ROUND((VLOOKUP($AH10,$A$661:$Y$709,18)*$AI10),0)</f>
        <v>0</v>
      </c>
      <c r="AP10" s="123">
        <f>ROUND((VLOOKUP($AH10,$A$661:$Y$709,19)*$AI10),0)</f>
        <v>0</v>
      </c>
      <c r="AQ10" s="123">
        <f>ROUND((VLOOKUP($AH10,$A$661:$Y$709,20)*$AI10),0)</f>
        <v>0</v>
      </c>
      <c r="AR10" s="123">
        <f>ROUND((VLOOKUP($AH10,$A$661:$Y$709,21)*$AI10),0)</f>
        <v>0</v>
      </c>
      <c r="AX10" s="125" t="str">
        <f>"TEST YEAR: "&amp;+B27</f>
        <v>TEST YEAR: 09/30/2006</v>
      </c>
    </row>
    <row r="11" spans="1:50" ht="12.75">
      <c r="A11" s="122" t="s">
        <v>36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5">
        <f>R9+1</f>
        <v>2</v>
      </c>
      <c r="S11" s="140" t="s">
        <v>37</v>
      </c>
      <c r="U11" s="138">
        <f>SUM(V11:AD11)</f>
        <v>0</v>
      </c>
      <c r="V11" s="138">
        <f aca="true" t="shared" si="2" ref="V11:AD11">E546</f>
        <v>0</v>
      </c>
      <c r="W11" s="138">
        <f t="shared" si="2"/>
        <v>0</v>
      </c>
      <c r="X11" s="138">
        <f t="shared" si="2"/>
        <v>0</v>
      </c>
      <c r="Y11" s="138">
        <f t="shared" si="2"/>
        <v>0</v>
      </c>
      <c r="Z11" s="138">
        <f t="shared" si="2"/>
        <v>0</v>
      </c>
      <c r="AA11" s="138">
        <f t="shared" si="2"/>
        <v>0</v>
      </c>
      <c r="AB11" s="138">
        <f t="shared" si="2"/>
        <v>0</v>
      </c>
      <c r="AC11" s="138">
        <f t="shared" si="2"/>
        <v>0</v>
      </c>
      <c r="AD11" s="138">
        <f t="shared" si="2"/>
        <v>0</v>
      </c>
      <c r="AE11" s="125">
        <f>AE10+1</f>
        <v>3</v>
      </c>
      <c r="AF11" s="139">
        <f t="shared" si="1"/>
        <v>303</v>
      </c>
      <c r="AG11" s="123" t="str">
        <f t="shared" si="1"/>
        <v>MISC. INTANGIBLE PLANT</v>
      </c>
      <c r="AH11" s="123">
        <f t="shared" si="1"/>
        <v>7</v>
      </c>
      <c r="AI11" s="123">
        <f>SUM(D104:E104)</f>
        <v>149442.93</v>
      </c>
      <c r="AJ11" s="123">
        <f>ROUND((VLOOKUP($AH11,$A$661:$Y$709,13)*$AI11),0)</f>
        <v>83879</v>
      </c>
      <c r="AK11" s="123">
        <f>ROUND((VLOOKUP($AH11,$A$661:$Y$709,14)*$AI11),0)</f>
        <v>31310</v>
      </c>
      <c r="AL11" s="123">
        <f>ROUND((VLOOKUP($AH11,$A$661:$Y$709,15)*$AI11),0)</f>
        <v>99</v>
      </c>
      <c r="AM11" s="123">
        <f>ROUND((VLOOKUP($AH11,$A$661:$Y$709,16)*$AI11),0)</f>
        <v>66</v>
      </c>
      <c r="AN11" s="123">
        <f>ROUND((VLOOKUP($AH11,$A$661:$Y$709,17)*$AI11),0)</f>
        <v>34089</v>
      </c>
      <c r="AO11" s="123">
        <f>ROUND((VLOOKUP($AH11,$A$661:$Y$709,18)*$AI11),0)</f>
        <v>0</v>
      </c>
      <c r="AP11" s="123">
        <f>ROUND((VLOOKUP($AH11,$A$661:$Y$709,19)*$AI11),0)</f>
        <v>0</v>
      </c>
      <c r="AQ11" s="123">
        <f>ROUND((VLOOKUP($AH11,$A$661:$Y$709,20)*$AI11),0)</f>
        <v>0</v>
      </c>
      <c r="AR11" s="123">
        <f>ROUND((VLOOKUP($AH11,$A$661:$Y$709,21)*$AI11),0)</f>
        <v>0</v>
      </c>
      <c r="AX11" s="125" t="str">
        <f>"RATE BASE: "&amp;+B34</f>
        <v>RATE BASE: 09/30/06</v>
      </c>
    </row>
    <row r="12" spans="1:51" ht="12.75">
      <c r="A12" s="122" t="s">
        <v>38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5"/>
      <c r="AE12" s="125">
        <f>AE11+1</f>
        <v>4</v>
      </c>
      <c r="AF12" s="139">
        <f t="shared" si="1"/>
        <v>303.1</v>
      </c>
      <c r="AG12" s="123" t="str">
        <f t="shared" si="1"/>
        <v>DIS SOFTWARE</v>
      </c>
      <c r="AH12" s="123">
        <f t="shared" si="1"/>
        <v>7</v>
      </c>
      <c r="AI12" s="123">
        <f>SUM(D105:E105)</f>
        <v>0</v>
      </c>
      <c r="AJ12" s="123">
        <f>ROUND((VLOOKUP($AH12,$A$661:$Y$709,13)*$AI12),0)</f>
        <v>0</v>
      </c>
      <c r="AK12" s="123">
        <f>ROUND((VLOOKUP($AH12,$A$661:$Y$709,14)*$AI12),0)</f>
        <v>0</v>
      </c>
      <c r="AL12" s="123">
        <f>ROUND((VLOOKUP($AH12,$A$661:$Y$709,15)*$AI12),0)</f>
        <v>0</v>
      </c>
      <c r="AM12" s="123">
        <f>ROUND((VLOOKUP($AH12,$A$661:$Y$709,16)*$AI12),0)</f>
        <v>0</v>
      </c>
      <c r="AN12" s="123">
        <f>ROUND((VLOOKUP($AH12,$A$661:$Y$709,17)*$AI12),0)</f>
        <v>0</v>
      </c>
      <c r="AO12" s="123">
        <f>ROUND((VLOOKUP($AH12,$A$661:$Y$709,18)*$AI12),0)</f>
        <v>0</v>
      </c>
      <c r="AP12" s="123">
        <f>ROUND((VLOOKUP($AH12,$A$661:$Y$709,19)*$AI12),0)</f>
        <v>0</v>
      </c>
      <c r="AQ12" s="123">
        <f>ROUND((VLOOKUP($AH12,$A$661:$Y$709,20)*$AI12),0)</f>
        <v>0</v>
      </c>
      <c r="AR12" s="123">
        <f>ROUND((VLOOKUP($AH12,$A$661:$Y$709,21)*$AI12),0)</f>
        <v>0</v>
      </c>
      <c r="AV12" s="124" t="str">
        <f>$D$32</f>
        <v> </v>
      </c>
      <c r="AY12" s="126" t="str">
        <f>$E$32</f>
        <v> </v>
      </c>
    </row>
    <row r="13" spans="1:51" ht="12.75">
      <c r="A13" s="122" t="s">
        <v>39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5">
        <f>R11+1</f>
        <v>3</v>
      </c>
      <c r="S13" s="140" t="str">
        <f>"LESS: UNCOLLECTIBLES @ "&amp;FIXED($D$51,8,TRUE)</f>
        <v>LESS: UNCOLLECTIBLES @ 0.01163918</v>
      </c>
      <c r="U13" s="138">
        <f>SUM(V13:AD13)</f>
        <v>147182</v>
      </c>
      <c r="V13" s="138">
        <f aca="true" t="shared" si="3" ref="V13:AD13">ROUND(V9*$D$51,0)</f>
        <v>124881</v>
      </c>
      <c r="W13" s="138">
        <f t="shared" si="3"/>
        <v>16135</v>
      </c>
      <c r="X13" s="138">
        <f t="shared" si="3"/>
        <v>144</v>
      </c>
      <c r="Y13" s="138">
        <f t="shared" si="3"/>
        <v>549</v>
      </c>
      <c r="Z13" s="138">
        <f t="shared" si="3"/>
        <v>5473</v>
      </c>
      <c r="AA13" s="138">
        <f t="shared" si="3"/>
        <v>0</v>
      </c>
      <c r="AB13" s="138">
        <f t="shared" si="3"/>
        <v>0</v>
      </c>
      <c r="AC13" s="138">
        <f t="shared" si="3"/>
        <v>0</v>
      </c>
      <c r="AD13" s="138">
        <f t="shared" si="3"/>
        <v>0</v>
      </c>
      <c r="AE13" s="125">
        <f>AE12+1</f>
        <v>5</v>
      </c>
      <c r="AF13" s="139">
        <f t="shared" si="1"/>
        <v>303.2</v>
      </c>
      <c r="AG13" s="123" t="str">
        <f t="shared" si="1"/>
        <v>FARA SOFTWARE</v>
      </c>
      <c r="AH13" s="123">
        <f t="shared" si="1"/>
        <v>7</v>
      </c>
      <c r="AI13" s="123">
        <f>SUM(D106:E106)</f>
        <v>0</v>
      </c>
      <c r="AJ13" s="123">
        <f>ROUND((VLOOKUP($AH13,$A$661:$Y$709,13)*$AI13),0)</f>
        <v>0</v>
      </c>
      <c r="AK13" s="123">
        <f>ROUND((VLOOKUP($AH13,$A$661:$Y$709,14)*$AI13),0)</f>
        <v>0</v>
      </c>
      <c r="AL13" s="123">
        <f>ROUND((VLOOKUP($AH13,$A$661:$Y$709,15)*$AI13),0)</f>
        <v>0</v>
      </c>
      <c r="AM13" s="123">
        <f>ROUND((VLOOKUP($AH13,$A$661:$Y$709,16)*$AI13),0)</f>
        <v>0</v>
      </c>
      <c r="AN13" s="123">
        <f>ROUND((VLOOKUP($AH13,$A$661:$Y$709,17)*$AI13),0)</f>
        <v>0</v>
      </c>
      <c r="AO13" s="123">
        <f>ROUND((VLOOKUP($AH13,$A$661:$Y$709,18)*$AI13),0)</f>
        <v>0</v>
      </c>
      <c r="AP13" s="123">
        <f>ROUND((VLOOKUP($AH13,$A$661:$Y$709,19)*$AI13),0)</f>
        <v>0</v>
      </c>
      <c r="AQ13" s="123">
        <f>ROUND((VLOOKUP($AH13,$A$661:$Y$709,20)*$AI13),0)</f>
        <v>0</v>
      </c>
      <c r="AR13" s="123">
        <f>ROUND((VLOOKUP($AH13,$A$661:$Y$709,21)*$AI13),0)</f>
        <v>0</v>
      </c>
      <c r="AT13" s="128"/>
      <c r="AU13" s="128"/>
      <c r="AV13" s="128"/>
      <c r="AW13" s="128"/>
      <c r="AX13" s="128"/>
      <c r="AY13" s="128"/>
    </row>
    <row r="14" spans="1:51" ht="12.75">
      <c r="A14" s="122">
        <v>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5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25">
        <f>AE13+1</f>
        <v>6</v>
      </c>
      <c r="AF14" s="139">
        <f t="shared" si="1"/>
        <v>303.3</v>
      </c>
      <c r="AG14" s="123" t="str">
        <f t="shared" si="1"/>
        <v>OTHER SOFTWARE</v>
      </c>
      <c r="AH14" s="123">
        <f t="shared" si="1"/>
        <v>7</v>
      </c>
      <c r="AI14" s="141">
        <f>SUM(D107:E107)</f>
        <v>1260241.73</v>
      </c>
      <c r="AJ14" s="141">
        <f>ROUND((VLOOKUP($AH14,$A$661:$Y$709,13)*$AI14),0)</f>
        <v>707348</v>
      </c>
      <c r="AK14" s="141">
        <f>ROUND((VLOOKUP($AH14,$A$661:$Y$709,14)*$AI14),0)</f>
        <v>264033</v>
      </c>
      <c r="AL14" s="141">
        <f>ROUND((VLOOKUP($AH14,$A$661:$Y$709,15)*$AI14),0)</f>
        <v>832</v>
      </c>
      <c r="AM14" s="141">
        <f>ROUND((VLOOKUP($AH14,$A$661:$Y$709,16)*$AI14),0)</f>
        <v>555</v>
      </c>
      <c r="AN14" s="141">
        <f>ROUND((VLOOKUP($AH14,$A$661:$Y$709,17)*$AI14),0)</f>
        <v>287474</v>
      </c>
      <c r="AO14" s="141">
        <f>ROUND((VLOOKUP($AH14,$A$661:$Y$709,18)*$AI14),0)</f>
        <v>0</v>
      </c>
      <c r="AP14" s="141">
        <f>ROUND((VLOOKUP($AH14,$A$661:$Y$709,19)*$AI14),0)</f>
        <v>0</v>
      </c>
      <c r="AQ14" s="141">
        <f>ROUND((VLOOKUP($AH14,$A$661:$Y$709,20)*$AI14),0)</f>
        <v>0</v>
      </c>
      <c r="AR14" s="141">
        <f>ROUND((VLOOKUP($AH14,$A$661:$Y$709,21)*$AI14),0)</f>
        <v>0</v>
      </c>
      <c r="AU14" s="133" t="s">
        <v>40</v>
      </c>
      <c r="AV14" s="133" t="s">
        <v>30</v>
      </c>
      <c r="AW14" s="141"/>
      <c r="AX14" s="133" t="s">
        <v>40</v>
      </c>
      <c r="AY14" s="133" t="s">
        <v>30</v>
      </c>
    </row>
    <row r="15" spans="1:44" ht="12.75">
      <c r="A15" s="122" t="s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5">
        <f>R13+1</f>
        <v>4</v>
      </c>
      <c r="S15" s="140" t="str">
        <f>"LESS: PSC FEES @ "&amp;FIXED($D$56,8,TRUE)</f>
        <v>LESS: PSC FEES @ 0.00189800</v>
      </c>
      <c r="U15" s="142">
        <f>SUM(V15:AD15)</f>
        <v>24001</v>
      </c>
      <c r="V15" s="142">
        <f aca="true" t="shared" si="4" ref="V15:AD15">ROUND(V9*$D$56,0)</f>
        <v>20364</v>
      </c>
      <c r="W15" s="142">
        <f t="shared" si="4"/>
        <v>2631</v>
      </c>
      <c r="X15" s="142">
        <f t="shared" si="4"/>
        <v>24</v>
      </c>
      <c r="Y15" s="142">
        <f t="shared" si="4"/>
        <v>89</v>
      </c>
      <c r="Z15" s="142">
        <f t="shared" si="4"/>
        <v>893</v>
      </c>
      <c r="AA15" s="142">
        <f t="shared" si="4"/>
        <v>0</v>
      </c>
      <c r="AB15" s="142">
        <f t="shared" si="4"/>
        <v>0</v>
      </c>
      <c r="AC15" s="142">
        <f t="shared" si="4"/>
        <v>0</v>
      </c>
      <c r="AD15" s="142">
        <f t="shared" si="4"/>
        <v>0</v>
      </c>
      <c r="AE15" s="125">
        <f>AE14+1</f>
        <v>7</v>
      </c>
      <c r="AG15" s="123" t="s">
        <v>41</v>
      </c>
      <c r="AI15" s="123">
        <f aca="true" t="shared" si="5" ref="AI15:AR15">SUM(AI10:AI14)</f>
        <v>1410205.8599999999</v>
      </c>
      <c r="AJ15" s="123">
        <f t="shared" si="5"/>
        <v>791520</v>
      </c>
      <c r="AK15" s="123">
        <f t="shared" si="5"/>
        <v>295452</v>
      </c>
      <c r="AL15" s="123">
        <f t="shared" si="5"/>
        <v>931</v>
      </c>
      <c r="AM15" s="123">
        <f t="shared" si="5"/>
        <v>621</v>
      </c>
      <c r="AN15" s="123">
        <f t="shared" si="5"/>
        <v>321682</v>
      </c>
      <c r="AO15" s="123">
        <f t="shared" si="5"/>
        <v>0</v>
      </c>
      <c r="AP15" s="123">
        <f t="shared" si="5"/>
        <v>0</v>
      </c>
      <c r="AQ15" s="123">
        <f t="shared" si="5"/>
        <v>0</v>
      </c>
      <c r="AR15" s="123">
        <f t="shared" si="5"/>
        <v>0</v>
      </c>
    </row>
    <row r="16" spans="1:31" ht="12.75">
      <c r="A16" s="122" t="s">
        <v>517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5"/>
      <c r="AE16" s="125"/>
    </row>
    <row r="17" spans="1:51" ht="12.75">
      <c r="A17" s="122" t="s">
        <v>518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5">
        <f>R15+1</f>
        <v>5</v>
      </c>
      <c r="S17" s="140" t="s">
        <v>42</v>
      </c>
      <c r="U17" s="138">
        <f aca="true" t="shared" si="6" ref="U17:AD17">U9-U11-U13-U15</f>
        <v>12474308.33999997</v>
      </c>
      <c r="V17" s="138">
        <f t="shared" si="6"/>
        <v>10584148.63999997</v>
      </c>
      <c r="W17" s="138">
        <f t="shared" si="6"/>
        <v>1367519.6400000006</v>
      </c>
      <c r="X17" s="138">
        <f t="shared" si="6"/>
        <v>12233.869999999995</v>
      </c>
      <c r="Y17" s="138">
        <f t="shared" si="6"/>
        <v>46514.47000000009</v>
      </c>
      <c r="Z17" s="138">
        <f t="shared" si="6"/>
        <v>463891.71999999974</v>
      </c>
      <c r="AA17" s="138">
        <f t="shared" si="6"/>
        <v>0</v>
      </c>
      <c r="AB17" s="138">
        <f t="shared" si="6"/>
        <v>0</v>
      </c>
      <c r="AC17" s="138">
        <f t="shared" si="6"/>
        <v>0</v>
      </c>
      <c r="AD17" s="138">
        <f t="shared" si="6"/>
        <v>0</v>
      </c>
      <c r="AE17" s="125">
        <f>AE15+1</f>
        <v>8</v>
      </c>
      <c r="AG17" s="140" t="str">
        <f>A108</f>
        <v>PRODUCTION PLANT</v>
      </c>
      <c r="AU17" s="135">
        <v>1</v>
      </c>
      <c r="AV17" s="143" t="s">
        <v>43</v>
      </c>
      <c r="AX17" s="135">
        <f>AU30+1</f>
        <v>15</v>
      </c>
      <c r="AY17" s="274" t="s">
        <v>44</v>
      </c>
    </row>
    <row r="18" spans="1:51" ht="12.75">
      <c r="A18" s="122" t="s">
        <v>0</v>
      </c>
      <c r="B18" s="122"/>
      <c r="C18" s="122" t="s">
        <v>1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5"/>
      <c r="AE18" s="125"/>
      <c r="AU18" s="135">
        <f aca="true" t="shared" si="7" ref="AU18:AU30">AU17+1</f>
        <v>2</v>
      </c>
      <c r="AV18" s="143" t="s">
        <v>8</v>
      </c>
      <c r="AX18" s="135">
        <f>AX17+1</f>
        <v>16</v>
      </c>
      <c r="AY18" s="274" t="s">
        <v>45</v>
      </c>
    </row>
    <row r="19" spans="1:51" ht="12.75">
      <c r="A19" s="132" t="s">
        <v>519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5">
        <f>R17+1</f>
        <v>6</v>
      </c>
      <c r="S19" s="140" t="str">
        <f>"LESS: KENTUCKY STATE INCOME TAX @ "&amp;FIXED($D$53,4,TRUE)</f>
        <v>LESS: KENTUCKY STATE INCOME TAX @ 0.0600</v>
      </c>
      <c r="U19" s="142">
        <f aca="true" t="shared" si="8" ref="U19:AD19">ROUND(U17*$D$53,0)</f>
        <v>748459</v>
      </c>
      <c r="V19" s="142">
        <f t="shared" si="8"/>
        <v>635049</v>
      </c>
      <c r="W19" s="142">
        <f t="shared" si="8"/>
        <v>82051</v>
      </c>
      <c r="X19" s="142">
        <f t="shared" si="8"/>
        <v>734</v>
      </c>
      <c r="Y19" s="142">
        <f t="shared" si="8"/>
        <v>2791</v>
      </c>
      <c r="Z19" s="142">
        <f t="shared" si="8"/>
        <v>27834</v>
      </c>
      <c r="AA19" s="142">
        <f t="shared" si="8"/>
        <v>0</v>
      </c>
      <c r="AB19" s="142">
        <f t="shared" si="8"/>
        <v>0</v>
      </c>
      <c r="AC19" s="142">
        <f t="shared" si="8"/>
        <v>0</v>
      </c>
      <c r="AD19" s="142">
        <f t="shared" si="8"/>
        <v>0</v>
      </c>
      <c r="AE19" s="125">
        <f>AE17+1</f>
        <v>9</v>
      </c>
      <c r="AF19" s="139">
        <f aca="true" t="shared" si="9" ref="AF19:AH21">A109</f>
        <v>304.1</v>
      </c>
      <c r="AG19" s="123" t="str">
        <f t="shared" si="9"/>
        <v>LAND</v>
      </c>
      <c r="AH19" s="123">
        <f t="shared" si="9"/>
        <v>2</v>
      </c>
      <c r="AI19" s="123">
        <f>SUM(D109:E109)</f>
        <v>7678.39</v>
      </c>
      <c r="AJ19" s="123">
        <f>ROUND((VLOOKUP($AH19,$A$661:$Y$709,13)*$AI19),0)</f>
        <v>4713</v>
      </c>
      <c r="AK19" s="123">
        <f>ROUND((VLOOKUP($AH19,$A$661:$Y$709,14)*$AI19),0)</f>
        <v>2878</v>
      </c>
      <c r="AL19" s="123">
        <f>ROUND((VLOOKUP($AH19,$A$661:$Y$709,15)*$AI19),0)</f>
        <v>12</v>
      </c>
      <c r="AM19" s="123">
        <f>ROUND((VLOOKUP($AH19,$A$661:$Y$709,16)*$AI19),0)</f>
        <v>0</v>
      </c>
      <c r="AN19" s="123">
        <f>ROUND((VLOOKUP($AH19,$A$661:$Y$709,17)*$AI19),0)</f>
        <v>76</v>
      </c>
      <c r="AO19" s="123">
        <f>ROUND((VLOOKUP($AH19,$A$661:$Y$709,18)*$AI19),0)</f>
        <v>0</v>
      </c>
      <c r="AP19" s="123">
        <f>ROUND((VLOOKUP($AH19,$A$661:$Y$709,19)*$AI19),0)</f>
        <v>0</v>
      </c>
      <c r="AQ19" s="123">
        <f>ROUND((VLOOKUP($AH19,$A$661:$Y$709,20)*$AI19),0)</f>
        <v>0</v>
      </c>
      <c r="AR19" s="123">
        <f>ROUND((VLOOKUP($AH19,$A$661:$Y$709,21)*$AI19),0)</f>
        <v>0</v>
      </c>
      <c r="AU19" s="135">
        <f t="shared" si="7"/>
        <v>3</v>
      </c>
      <c r="AV19" s="143" t="s">
        <v>46</v>
      </c>
      <c r="AX19" s="135">
        <f>AX18+1</f>
        <v>17</v>
      </c>
      <c r="AY19" s="274" t="s">
        <v>47</v>
      </c>
    </row>
    <row r="20" spans="1:51" ht="12.75">
      <c r="A20" s="122" t="s">
        <v>520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5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25">
        <f>AE19+1</f>
        <v>10</v>
      </c>
      <c r="AF20" s="139">
        <f t="shared" si="9"/>
        <v>305</v>
      </c>
      <c r="AG20" s="123" t="str">
        <f t="shared" si="9"/>
        <v>STRUCTURES &amp; IMPROVEMENTS</v>
      </c>
      <c r="AH20" s="123">
        <f t="shared" si="9"/>
        <v>2</v>
      </c>
      <c r="AI20" s="123">
        <f>SUM(D110:E110)</f>
        <v>0</v>
      </c>
      <c r="AJ20" s="123">
        <f>ROUND((VLOOKUP($AH20,$A$661:$Y$709,13)*$AI20),0)</f>
        <v>0</v>
      </c>
      <c r="AK20" s="123">
        <f>ROUND((VLOOKUP($AH20,$A$661:$Y$709,14)*$AI20),0)</f>
        <v>0</v>
      </c>
      <c r="AL20" s="123">
        <f>ROUND((VLOOKUP($AH20,$A$661:$Y$709,15)*$AI20),0)</f>
        <v>0</v>
      </c>
      <c r="AM20" s="123">
        <f>ROUND((VLOOKUP($AH20,$A$661:$Y$709,16)*$AI20),0)</f>
        <v>0</v>
      </c>
      <c r="AN20" s="123">
        <f>ROUND((VLOOKUP($AH20,$A$661:$Y$709,17)*$AI20),0)</f>
        <v>0</v>
      </c>
      <c r="AO20" s="123">
        <f>ROUND((VLOOKUP($AH20,$A$661:$Y$709,18)*$AI20),0)</f>
        <v>0</v>
      </c>
      <c r="AP20" s="123">
        <f>ROUND((VLOOKUP($AH20,$A$661:$Y$709,19)*$AI20),0)</f>
        <v>0</v>
      </c>
      <c r="AQ20" s="123">
        <f>ROUND((VLOOKUP($AH20,$A$661:$Y$709,20)*$AI20),0)</f>
        <v>0</v>
      </c>
      <c r="AR20" s="123">
        <f>ROUND((VLOOKUP($AH20,$A$661:$Y$709,21)*$AI20),0)</f>
        <v>0</v>
      </c>
      <c r="AU20" s="135">
        <f t="shared" si="7"/>
        <v>4</v>
      </c>
      <c r="AV20" s="143" t="s">
        <v>48</v>
      </c>
      <c r="AX20" s="135">
        <f>AX19+1</f>
        <v>18</v>
      </c>
      <c r="AY20" s="274" t="s">
        <v>49</v>
      </c>
    </row>
    <row r="21" spans="1:51" ht="12.75">
      <c r="A21" s="122" t="s">
        <v>50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5">
        <f>R19+1</f>
        <v>7</v>
      </c>
      <c r="S21" s="140" t="s">
        <v>51</v>
      </c>
      <c r="U21" s="138">
        <f aca="true" t="shared" si="10" ref="U21:AD21">U17-U19</f>
        <v>11725849.33999997</v>
      </c>
      <c r="V21" s="138">
        <f t="shared" si="10"/>
        <v>9949099.63999997</v>
      </c>
      <c r="W21" s="138">
        <f t="shared" si="10"/>
        <v>1285468.6400000006</v>
      </c>
      <c r="X21" s="138">
        <f t="shared" si="10"/>
        <v>11499.869999999995</v>
      </c>
      <c r="Y21" s="138">
        <f t="shared" si="10"/>
        <v>43723.47000000009</v>
      </c>
      <c r="Z21" s="138">
        <f t="shared" si="10"/>
        <v>436057.71999999974</v>
      </c>
      <c r="AA21" s="138">
        <f t="shared" si="10"/>
        <v>0</v>
      </c>
      <c r="AB21" s="138">
        <f t="shared" si="10"/>
        <v>0</v>
      </c>
      <c r="AC21" s="138">
        <f t="shared" si="10"/>
        <v>0</v>
      </c>
      <c r="AD21" s="138">
        <f t="shared" si="10"/>
        <v>0</v>
      </c>
      <c r="AE21" s="125">
        <f>AE20+1</f>
        <v>11</v>
      </c>
      <c r="AF21" s="139">
        <f t="shared" si="9"/>
        <v>311</v>
      </c>
      <c r="AG21" s="123" t="str">
        <f t="shared" si="9"/>
        <v>LIQUEFIED PETROLEUM GAS EQUIP</v>
      </c>
      <c r="AH21" s="123">
        <f t="shared" si="9"/>
        <v>2</v>
      </c>
      <c r="AI21" s="141">
        <f>SUM(D111:E111)</f>
        <v>0</v>
      </c>
      <c r="AJ21" s="141">
        <f>ROUND((VLOOKUP($AH21,$A$661:$Y$709,13)*$AI21),0)</f>
        <v>0</v>
      </c>
      <c r="AK21" s="141">
        <f>ROUND((VLOOKUP($AH21,$A$661:$Y$709,14)*$AI21),0)</f>
        <v>0</v>
      </c>
      <c r="AL21" s="141">
        <f>ROUND((VLOOKUP($AH21,$A$661:$Y$709,15)*$AI21),0)</f>
        <v>0</v>
      </c>
      <c r="AM21" s="141">
        <f>ROUND((VLOOKUP($AH21,$A$661:$Y$709,16)*$AI21),0)</f>
        <v>0</v>
      </c>
      <c r="AN21" s="141">
        <f>ROUND((VLOOKUP($AH21,$A$661:$Y$709,17)*$AI21),0)</f>
        <v>0</v>
      </c>
      <c r="AO21" s="141">
        <f>ROUND((VLOOKUP($AH21,$A$661:$Y$709,18)*$AI21),0)</f>
        <v>0</v>
      </c>
      <c r="AP21" s="141">
        <f>ROUND((VLOOKUP($AH21,$A$661:$Y$709,19)*$AI21),0)</f>
        <v>0</v>
      </c>
      <c r="AQ21" s="141">
        <f>ROUND((VLOOKUP($AH21,$A$661:$Y$709,20)*$AI21),0)</f>
        <v>0</v>
      </c>
      <c r="AR21" s="141">
        <f>ROUND((VLOOKUP($AH21,$A$661:$Y$709,21)*$AI21),0)</f>
        <v>0</v>
      </c>
      <c r="AU21" s="135">
        <f t="shared" si="7"/>
        <v>5</v>
      </c>
      <c r="AV21" s="143" t="s">
        <v>52</v>
      </c>
      <c r="AX21" s="135">
        <v>19</v>
      </c>
      <c r="AY21" s="274" t="s">
        <v>53</v>
      </c>
    </row>
    <row r="22" spans="1:51" ht="12.75">
      <c r="A22" s="122" t="s">
        <v>54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5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25">
        <f>AE21+1</f>
        <v>12</v>
      </c>
      <c r="AG22" s="123" t="s">
        <v>55</v>
      </c>
      <c r="AI22" s="123">
        <f aca="true" t="shared" si="11" ref="AI22:AR22">SUM(AI19:AI21)</f>
        <v>7678.39</v>
      </c>
      <c r="AJ22" s="123">
        <f t="shared" si="11"/>
        <v>4713</v>
      </c>
      <c r="AK22" s="123">
        <f t="shared" si="11"/>
        <v>2878</v>
      </c>
      <c r="AL22" s="123">
        <f t="shared" si="11"/>
        <v>12</v>
      </c>
      <c r="AM22" s="123">
        <f t="shared" si="11"/>
        <v>0</v>
      </c>
      <c r="AN22" s="123">
        <f t="shared" si="11"/>
        <v>76</v>
      </c>
      <c r="AO22" s="123">
        <f t="shared" si="11"/>
        <v>0</v>
      </c>
      <c r="AP22" s="123">
        <f t="shared" si="11"/>
        <v>0</v>
      </c>
      <c r="AQ22" s="123">
        <f t="shared" si="11"/>
        <v>0</v>
      </c>
      <c r="AR22" s="123">
        <f t="shared" si="11"/>
        <v>0</v>
      </c>
      <c r="AU22" s="135">
        <f t="shared" si="7"/>
        <v>6</v>
      </c>
      <c r="AV22" s="143" t="s">
        <v>56</v>
      </c>
      <c r="AX22" s="135">
        <f aca="true" t="shared" si="12" ref="AX22:AX30">AX21+1</f>
        <v>20</v>
      </c>
      <c r="AY22" s="274" t="s">
        <v>57</v>
      </c>
    </row>
    <row r="23" spans="1:51" ht="12.75">
      <c r="A23" s="144" t="s">
        <v>0</v>
      </c>
      <c r="B23" s="144" t="s">
        <v>0</v>
      </c>
      <c r="C23" s="144" t="s">
        <v>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5">
        <f>R21+1</f>
        <v>8</v>
      </c>
      <c r="S23" s="140" t="str">
        <f>"LESS: FEDERAL INCOME TAX @ "&amp;FIXED($D$61,8,TRUE)</f>
        <v>LESS: FEDERAL INCOME TAX @ 0.35000000</v>
      </c>
      <c r="U23" s="142">
        <f>SUM(V23:AD23)</f>
        <v>4104047</v>
      </c>
      <c r="V23" s="142">
        <f aca="true" t="shared" si="13" ref="V23:AD23">ROUND(V21*$D$61,0)</f>
        <v>3482185</v>
      </c>
      <c r="W23" s="142">
        <f t="shared" si="13"/>
        <v>449914</v>
      </c>
      <c r="X23" s="142">
        <f t="shared" si="13"/>
        <v>4025</v>
      </c>
      <c r="Y23" s="142">
        <f t="shared" si="13"/>
        <v>15303</v>
      </c>
      <c r="Z23" s="142">
        <f t="shared" si="13"/>
        <v>152620</v>
      </c>
      <c r="AA23" s="142">
        <f t="shared" si="13"/>
        <v>0</v>
      </c>
      <c r="AB23" s="142">
        <f t="shared" si="13"/>
        <v>0</v>
      </c>
      <c r="AC23" s="142">
        <f t="shared" si="13"/>
        <v>0</v>
      </c>
      <c r="AD23" s="142">
        <f t="shared" si="13"/>
        <v>0</v>
      </c>
      <c r="AE23" s="125"/>
      <c r="AU23" s="135">
        <f t="shared" si="7"/>
        <v>7</v>
      </c>
      <c r="AV23" s="143" t="s">
        <v>58</v>
      </c>
      <c r="AX23" s="135">
        <f t="shared" si="12"/>
        <v>21</v>
      </c>
      <c r="AY23" s="274" t="s">
        <v>59</v>
      </c>
    </row>
    <row r="24" spans="1:51" ht="12.75">
      <c r="A24" s="122" t="s">
        <v>15</v>
      </c>
      <c r="B24" s="145" t="s">
        <v>60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5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25">
        <f>AE22+1</f>
        <v>13</v>
      </c>
      <c r="AF24" s="139"/>
      <c r="AG24" s="140" t="str">
        <f>A112</f>
        <v>DISTRIBUTION PLANT</v>
      </c>
      <c r="AU24" s="135">
        <f t="shared" si="7"/>
        <v>8</v>
      </c>
      <c r="AV24" s="143" t="s">
        <v>61</v>
      </c>
      <c r="AX24" s="135">
        <f t="shared" si="12"/>
        <v>22</v>
      </c>
      <c r="AY24" s="274" t="s">
        <v>62</v>
      </c>
    </row>
    <row r="25" spans="1:51" ht="12.75">
      <c r="A25" s="122" t="s">
        <v>63</v>
      </c>
      <c r="B25" s="146" t="s">
        <v>918</v>
      </c>
      <c r="C25" s="132">
        <v>5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5">
        <f>R23+1</f>
        <v>9</v>
      </c>
      <c r="S25" s="140" t="s">
        <v>64</v>
      </c>
      <c r="U25" s="138">
        <f aca="true" t="shared" si="14" ref="U25:AD25">U21-U23</f>
        <v>7621802.33999997</v>
      </c>
      <c r="V25" s="138">
        <f t="shared" si="14"/>
        <v>6466914.639999971</v>
      </c>
      <c r="W25" s="138">
        <f t="shared" si="14"/>
        <v>835554.6400000006</v>
      </c>
      <c r="X25" s="138">
        <f t="shared" si="14"/>
        <v>7474.869999999995</v>
      </c>
      <c r="Y25" s="138">
        <f t="shared" si="14"/>
        <v>28420.47000000009</v>
      </c>
      <c r="Z25" s="138">
        <f t="shared" si="14"/>
        <v>283437.71999999974</v>
      </c>
      <c r="AA25" s="138">
        <f t="shared" si="14"/>
        <v>0</v>
      </c>
      <c r="AB25" s="138">
        <f t="shared" si="14"/>
        <v>0</v>
      </c>
      <c r="AC25" s="138">
        <f t="shared" si="14"/>
        <v>0</v>
      </c>
      <c r="AD25" s="138">
        <f t="shared" si="14"/>
        <v>0</v>
      </c>
      <c r="AE25" s="125"/>
      <c r="AU25" s="135">
        <f t="shared" si="7"/>
        <v>9</v>
      </c>
      <c r="AV25" s="143" t="s">
        <v>65</v>
      </c>
      <c r="AX25" s="135">
        <f t="shared" si="12"/>
        <v>23</v>
      </c>
      <c r="AY25" s="274" t="s">
        <v>66</v>
      </c>
    </row>
    <row r="26" spans="1:51" ht="12.75">
      <c r="A26" s="122" t="s">
        <v>67</v>
      </c>
      <c r="B26" s="167" t="s">
        <v>850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AE26" s="125">
        <f>AE24+1</f>
        <v>14</v>
      </c>
      <c r="AF26" s="139">
        <f aca="true" t="shared" si="15" ref="AF26:AF37">A113</f>
        <v>374.1</v>
      </c>
      <c r="AG26" s="140" t="str">
        <f aca="true" t="shared" si="16" ref="AG26:AG37">B113</f>
        <v>LAND - CITY GATE &amp; M/L IND M&amp;R</v>
      </c>
      <c r="AH26" s="123">
        <f aca="true" t="shared" si="17" ref="AH26:AH37">C113</f>
        <v>5</v>
      </c>
      <c r="AI26" s="123">
        <f aca="true" t="shared" si="18" ref="AI26:AI36">SUM(D113:E113)</f>
        <v>206</v>
      </c>
      <c r="AJ26" s="123">
        <f aca="true" t="shared" si="19" ref="AJ26:AJ37">ROUND((VLOOKUP($AH26,$A$661:$Y$709,13)*$AI26),0)</f>
        <v>77</v>
      </c>
      <c r="AK26" s="123">
        <f aca="true" t="shared" si="20" ref="AK26:AK37">ROUND((VLOOKUP($AH26,$A$661:$Y$709,14)*$AI26),0)</f>
        <v>49</v>
      </c>
      <c r="AL26" s="123">
        <f aca="true" t="shared" si="21" ref="AL26:AL37">ROUND((VLOOKUP($AH26,$A$661:$Y$709,15)*$AI26),0)</f>
        <v>0</v>
      </c>
      <c r="AM26" s="123">
        <f aca="true" t="shared" si="22" ref="AM26:AM37">ROUND((VLOOKUP($AH26,$A$661:$Y$709,16)*$AI26),0)</f>
        <v>0</v>
      </c>
      <c r="AN26" s="123">
        <f aca="true" t="shared" si="23" ref="AN26:AN37">ROUND((VLOOKUP($AH26,$A$661:$Y$709,17)*$AI26),0)</f>
        <v>80</v>
      </c>
      <c r="AO26" s="123">
        <f aca="true" t="shared" si="24" ref="AO26:AO37">ROUND((VLOOKUP($AH26,$A$661:$Y$709,18)*$AI26),0)</f>
        <v>0</v>
      </c>
      <c r="AP26" s="123">
        <f aca="true" t="shared" si="25" ref="AP26:AP37">ROUND((VLOOKUP($AH26,$A$661:$Y$709,19)*$AI26),0)</f>
        <v>0</v>
      </c>
      <c r="AQ26" s="123">
        <f aca="true" t="shared" si="26" ref="AQ26:AQ37">ROUND((VLOOKUP($AH26,$A$661:$Y$709,20)*$AI26),0)</f>
        <v>0</v>
      </c>
      <c r="AR26" s="123">
        <f aca="true" t="shared" si="27" ref="AR26:AR37">ROUND((VLOOKUP($AH26,$A$661:$Y$709,21)*$AI26),0)</f>
        <v>0</v>
      </c>
      <c r="AU26" s="135">
        <f t="shared" si="7"/>
        <v>10</v>
      </c>
      <c r="AV26" s="143" t="s">
        <v>68</v>
      </c>
      <c r="AX26" s="135">
        <f t="shared" si="12"/>
        <v>24</v>
      </c>
      <c r="AY26" s="274" t="s">
        <v>69</v>
      </c>
    </row>
    <row r="27" spans="1:51" ht="12.75">
      <c r="A27" s="122" t="s">
        <v>70</v>
      </c>
      <c r="B27" s="147" t="s">
        <v>806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AE27" s="125">
        <f aca="true" t="shared" si="28" ref="AE27:AE43">AE26+1</f>
        <v>15</v>
      </c>
      <c r="AF27" s="139">
        <f t="shared" si="15"/>
        <v>374.2</v>
      </c>
      <c r="AG27" s="140" t="str">
        <f t="shared" si="16"/>
        <v>LAND - OTHER DISTRIBUTION</v>
      </c>
      <c r="AH27" s="123">
        <f t="shared" si="17"/>
        <v>5</v>
      </c>
      <c r="AI27" s="123">
        <f t="shared" si="18"/>
        <v>879349.11</v>
      </c>
      <c r="AJ27" s="123">
        <f t="shared" si="19"/>
        <v>327285</v>
      </c>
      <c r="AK27" s="123">
        <f t="shared" si="20"/>
        <v>208784</v>
      </c>
      <c r="AL27" s="123">
        <f t="shared" si="21"/>
        <v>835</v>
      </c>
      <c r="AM27" s="123">
        <f t="shared" si="22"/>
        <v>0</v>
      </c>
      <c r="AN27" s="123">
        <f t="shared" si="23"/>
        <v>342445</v>
      </c>
      <c r="AO27" s="123">
        <f t="shared" si="24"/>
        <v>0</v>
      </c>
      <c r="AP27" s="123">
        <f t="shared" si="25"/>
        <v>0</v>
      </c>
      <c r="AQ27" s="123">
        <f t="shared" si="26"/>
        <v>0</v>
      </c>
      <c r="AR27" s="123">
        <f t="shared" si="27"/>
        <v>0</v>
      </c>
      <c r="AU27" s="135">
        <f t="shared" si="7"/>
        <v>11</v>
      </c>
      <c r="AV27" s="143" t="s">
        <v>71</v>
      </c>
      <c r="AX27" s="135">
        <f t="shared" si="12"/>
        <v>25</v>
      </c>
      <c r="AY27" s="274" t="s">
        <v>72</v>
      </c>
    </row>
    <row r="28" spans="1:51" ht="12.75">
      <c r="A28" s="122" t="s">
        <v>73</v>
      </c>
      <c r="B28" s="148" t="s">
        <v>807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T28" s="141"/>
      <c r="U28" s="141"/>
      <c r="V28" s="141"/>
      <c r="AE28" s="125">
        <f t="shared" si="28"/>
        <v>16</v>
      </c>
      <c r="AF28" s="139">
        <f t="shared" si="15"/>
        <v>374.4</v>
      </c>
      <c r="AG28" s="140" t="str">
        <f t="shared" si="16"/>
        <v>LAND RIGHTS - OTHER DISTRIBUTION</v>
      </c>
      <c r="AH28" s="123">
        <f t="shared" si="17"/>
        <v>5</v>
      </c>
      <c r="AI28" s="123">
        <f t="shared" si="18"/>
        <v>476253</v>
      </c>
      <c r="AJ28" s="123">
        <f t="shared" si="19"/>
        <v>177257</v>
      </c>
      <c r="AK28" s="123">
        <f t="shared" si="20"/>
        <v>113077</v>
      </c>
      <c r="AL28" s="123">
        <f t="shared" si="21"/>
        <v>452</v>
      </c>
      <c r="AM28" s="123">
        <f t="shared" si="22"/>
        <v>0</v>
      </c>
      <c r="AN28" s="123">
        <f t="shared" si="23"/>
        <v>185467</v>
      </c>
      <c r="AO28" s="123">
        <f t="shared" si="24"/>
        <v>0</v>
      </c>
      <c r="AP28" s="123">
        <f t="shared" si="25"/>
        <v>0</v>
      </c>
      <c r="AQ28" s="123">
        <f t="shared" si="26"/>
        <v>0</v>
      </c>
      <c r="AR28" s="123">
        <f t="shared" si="27"/>
        <v>0</v>
      </c>
      <c r="AU28" s="135">
        <f t="shared" si="7"/>
        <v>12</v>
      </c>
      <c r="AV28" s="143" t="s">
        <v>74</v>
      </c>
      <c r="AX28" s="135">
        <f t="shared" si="12"/>
        <v>26</v>
      </c>
      <c r="AY28" s="274" t="s">
        <v>75</v>
      </c>
    </row>
    <row r="29" spans="1:51" ht="12.75">
      <c r="A29" s="122" t="s">
        <v>76</v>
      </c>
      <c r="B29" s="148" t="s">
        <v>772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AE29" s="125">
        <f t="shared" si="28"/>
        <v>17</v>
      </c>
      <c r="AF29" s="139">
        <f t="shared" si="15"/>
        <v>374.5</v>
      </c>
      <c r="AG29" s="140" t="str">
        <f t="shared" si="16"/>
        <v>RIGHTS OF WAY</v>
      </c>
      <c r="AH29" s="123">
        <f t="shared" si="17"/>
        <v>5</v>
      </c>
      <c r="AI29" s="123">
        <f t="shared" si="18"/>
        <v>2668347.2</v>
      </c>
      <c r="AJ29" s="123">
        <f t="shared" si="19"/>
        <v>993132</v>
      </c>
      <c r="AK29" s="123">
        <f t="shared" si="20"/>
        <v>633546</v>
      </c>
      <c r="AL29" s="123">
        <f t="shared" si="21"/>
        <v>2535</v>
      </c>
      <c r="AM29" s="123">
        <f t="shared" si="22"/>
        <v>0</v>
      </c>
      <c r="AN29" s="123">
        <f t="shared" si="23"/>
        <v>1039134</v>
      </c>
      <c r="AO29" s="123">
        <f t="shared" si="24"/>
        <v>0</v>
      </c>
      <c r="AP29" s="123">
        <f t="shared" si="25"/>
        <v>0</v>
      </c>
      <c r="AQ29" s="123">
        <f t="shared" si="26"/>
        <v>0</v>
      </c>
      <c r="AR29" s="123">
        <f t="shared" si="27"/>
        <v>0</v>
      </c>
      <c r="AU29" s="135">
        <f t="shared" si="7"/>
        <v>13</v>
      </c>
      <c r="AV29" s="143" t="s">
        <v>77</v>
      </c>
      <c r="AX29" s="135">
        <f t="shared" si="12"/>
        <v>27</v>
      </c>
      <c r="AY29" s="274" t="s">
        <v>78</v>
      </c>
    </row>
    <row r="30" spans="1:51" ht="12.75">
      <c r="A30" s="122" t="s">
        <v>79</v>
      </c>
      <c r="B30" s="148" t="s">
        <v>919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AE30" s="125">
        <f t="shared" si="28"/>
        <v>18</v>
      </c>
      <c r="AF30" s="139">
        <f t="shared" si="15"/>
        <v>375.2</v>
      </c>
      <c r="AG30" s="140" t="str">
        <f t="shared" si="16"/>
        <v>CITY GATE - MEAS &amp; REG STRUCTURES</v>
      </c>
      <c r="AH30" s="123">
        <f t="shared" si="17"/>
        <v>5</v>
      </c>
      <c r="AI30" s="123">
        <f t="shared" si="18"/>
        <v>5249.05</v>
      </c>
      <c r="AJ30" s="123">
        <f t="shared" si="19"/>
        <v>1954</v>
      </c>
      <c r="AK30" s="123">
        <f t="shared" si="20"/>
        <v>1246</v>
      </c>
      <c r="AL30" s="123">
        <f t="shared" si="21"/>
        <v>5</v>
      </c>
      <c r="AM30" s="123">
        <f t="shared" si="22"/>
        <v>0</v>
      </c>
      <c r="AN30" s="123">
        <f t="shared" si="23"/>
        <v>2044</v>
      </c>
      <c r="AO30" s="123">
        <f t="shared" si="24"/>
        <v>0</v>
      </c>
      <c r="AP30" s="123">
        <f t="shared" si="25"/>
        <v>0</v>
      </c>
      <c r="AQ30" s="123">
        <f t="shared" si="26"/>
        <v>0</v>
      </c>
      <c r="AR30" s="123">
        <f t="shared" si="27"/>
        <v>0</v>
      </c>
      <c r="AU30" s="135">
        <f t="shared" si="7"/>
        <v>14</v>
      </c>
      <c r="AV30" s="143" t="s">
        <v>80</v>
      </c>
      <c r="AX30" s="135">
        <f t="shared" si="12"/>
        <v>28</v>
      </c>
      <c r="AY30" s="274" t="s">
        <v>771</v>
      </c>
    </row>
    <row r="31" spans="1:51" ht="12.75">
      <c r="A31" s="122" t="s">
        <v>81</v>
      </c>
      <c r="B31" s="149">
        <v>28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AE31" s="125">
        <f t="shared" si="28"/>
        <v>19</v>
      </c>
      <c r="AF31" s="139">
        <f t="shared" si="15"/>
        <v>375.3</v>
      </c>
      <c r="AG31" s="140" t="str">
        <f t="shared" si="16"/>
        <v>STRUC &amp; IMPROV-GENERAL M&amp;R</v>
      </c>
      <c r="AH31" s="123">
        <f t="shared" si="17"/>
        <v>5</v>
      </c>
      <c r="AI31" s="123">
        <f t="shared" si="18"/>
        <v>10848.26</v>
      </c>
      <c r="AJ31" s="123">
        <f t="shared" si="19"/>
        <v>4038</v>
      </c>
      <c r="AK31" s="123">
        <f t="shared" si="20"/>
        <v>2576</v>
      </c>
      <c r="AL31" s="123">
        <f t="shared" si="21"/>
        <v>10</v>
      </c>
      <c r="AM31" s="123">
        <f t="shared" si="22"/>
        <v>0</v>
      </c>
      <c r="AN31" s="123">
        <f t="shared" si="23"/>
        <v>4225</v>
      </c>
      <c r="AO31" s="123">
        <f t="shared" si="24"/>
        <v>0</v>
      </c>
      <c r="AP31" s="123">
        <f t="shared" si="25"/>
        <v>0</v>
      </c>
      <c r="AQ31" s="123">
        <f t="shared" si="26"/>
        <v>0</v>
      </c>
      <c r="AR31" s="123">
        <f t="shared" si="27"/>
        <v>0</v>
      </c>
      <c r="AY31" s="143"/>
    </row>
    <row r="32" spans="1:44" ht="12.75">
      <c r="A32" s="122" t="s">
        <v>82</v>
      </c>
      <c r="B32" s="122"/>
      <c r="C32" s="145" t="s">
        <v>83</v>
      </c>
      <c r="D32" s="150" t="str">
        <f ca="1">IF(C32="Y",NOW()," ")</f>
        <v> </v>
      </c>
      <c r="E32" s="151" t="str">
        <f ca="1">IF(C32="Y",NOW()," ")</f>
        <v> 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AE32" s="125">
        <f t="shared" si="28"/>
        <v>20</v>
      </c>
      <c r="AF32" s="139">
        <f t="shared" si="15"/>
        <v>375.4</v>
      </c>
      <c r="AG32" s="140" t="str">
        <f t="shared" si="16"/>
        <v>STRUC &amp; IMPROV-REGULATING</v>
      </c>
      <c r="AH32" s="123">
        <f t="shared" si="17"/>
        <v>5</v>
      </c>
      <c r="AI32" s="123">
        <f t="shared" si="18"/>
        <v>562596.54</v>
      </c>
      <c r="AJ32" s="123">
        <f t="shared" si="19"/>
        <v>209393</v>
      </c>
      <c r="AK32" s="123">
        <f t="shared" si="20"/>
        <v>133577</v>
      </c>
      <c r="AL32" s="123">
        <f t="shared" si="21"/>
        <v>534</v>
      </c>
      <c r="AM32" s="123">
        <f t="shared" si="22"/>
        <v>0</v>
      </c>
      <c r="AN32" s="123">
        <f t="shared" si="23"/>
        <v>219092</v>
      </c>
      <c r="AO32" s="123">
        <f t="shared" si="24"/>
        <v>0</v>
      </c>
      <c r="AP32" s="123">
        <f t="shared" si="25"/>
        <v>0</v>
      </c>
      <c r="AQ32" s="123">
        <f t="shared" si="26"/>
        <v>0</v>
      </c>
      <c r="AR32" s="123">
        <f t="shared" si="27"/>
        <v>0</v>
      </c>
    </row>
    <row r="33" spans="1:51" ht="12.75">
      <c r="A33" s="122" t="s">
        <v>84</v>
      </c>
      <c r="B33" s="152" t="s">
        <v>900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AE33" s="125">
        <f t="shared" si="28"/>
        <v>21</v>
      </c>
      <c r="AF33" s="139">
        <f t="shared" si="15"/>
        <v>375.6</v>
      </c>
      <c r="AG33" s="140" t="str">
        <f t="shared" si="16"/>
        <v>STRUC &amp; IMPROV-DIST. IND. M &amp; R</v>
      </c>
      <c r="AH33" s="123">
        <f t="shared" si="17"/>
        <v>8</v>
      </c>
      <c r="AI33" s="123">
        <f t="shared" si="18"/>
        <v>88210.2</v>
      </c>
      <c r="AJ33" s="123">
        <f t="shared" si="19"/>
        <v>0</v>
      </c>
      <c r="AK33" s="123">
        <f t="shared" si="20"/>
        <v>48429</v>
      </c>
      <c r="AL33" s="123">
        <f t="shared" si="21"/>
        <v>692</v>
      </c>
      <c r="AM33" s="123">
        <f t="shared" si="22"/>
        <v>2421</v>
      </c>
      <c r="AN33" s="123">
        <f t="shared" si="23"/>
        <v>36668</v>
      </c>
      <c r="AO33" s="123">
        <f t="shared" si="24"/>
        <v>0</v>
      </c>
      <c r="AP33" s="123">
        <f t="shared" si="25"/>
        <v>0</v>
      </c>
      <c r="AQ33" s="123">
        <f t="shared" si="26"/>
        <v>0</v>
      </c>
      <c r="AR33" s="123">
        <f t="shared" si="27"/>
        <v>0</v>
      </c>
      <c r="AY33" s="143"/>
    </row>
    <row r="34" spans="1:44" ht="12.75">
      <c r="A34" s="122" t="s">
        <v>458</v>
      </c>
      <c r="B34" s="153" t="s">
        <v>808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AE34" s="125">
        <f t="shared" si="28"/>
        <v>22</v>
      </c>
      <c r="AF34" s="139">
        <f t="shared" si="15"/>
        <v>375.7</v>
      </c>
      <c r="AG34" s="140" t="str">
        <f t="shared" si="16"/>
        <v>STRUC &amp; IMPROV-OTHER DIST. SYSTEM</v>
      </c>
      <c r="AH34" s="123">
        <f t="shared" si="17"/>
        <v>7</v>
      </c>
      <c r="AI34" s="123">
        <f t="shared" si="18"/>
        <v>7169453.85</v>
      </c>
      <c r="AJ34" s="123">
        <f t="shared" si="19"/>
        <v>4024071</v>
      </c>
      <c r="AK34" s="123">
        <f t="shared" si="20"/>
        <v>1502072</v>
      </c>
      <c r="AL34" s="123">
        <f t="shared" si="21"/>
        <v>4732</v>
      </c>
      <c r="AM34" s="123">
        <f t="shared" si="22"/>
        <v>3155</v>
      </c>
      <c r="AN34" s="123">
        <f t="shared" si="23"/>
        <v>1635424</v>
      </c>
      <c r="AO34" s="123">
        <f t="shared" si="24"/>
        <v>0</v>
      </c>
      <c r="AP34" s="123">
        <f t="shared" si="25"/>
        <v>0</v>
      </c>
      <c r="AQ34" s="123">
        <f t="shared" si="26"/>
        <v>0</v>
      </c>
      <c r="AR34" s="123">
        <f t="shared" si="27"/>
        <v>0</v>
      </c>
    </row>
    <row r="35" spans="1:47" ht="12.75">
      <c r="A35" s="122"/>
      <c r="B35" s="122" t="s">
        <v>85</v>
      </c>
      <c r="C35" s="154" t="s">
        <v>578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AE35" s="125">
        <f t="shared" si="28"/>
        <v>23</v>
      </c>
      <c r="AF35" s="139">
        <f t="shared" si="15"/>
        <v>375.71</v>
      </c>
      <c r="AG35" s="140" t="str">
        <f t="shared" si="16"/>
        <v>STRUCT &amp; IMPROV-OTHER DIST. SYSTEM-IMPROV</v>
      </c>
      <c r="AH35" s="123">
        <f t="shared" si="17"/>
        <v>7</v>
      </c>
      <c r="AI35" s="123">
        <f t="shared" si="18"/>
        <v>74308.31</v>
      </c>
      <c r="AJ35" s="123">
        <f t="shared" si="19"/>
        <v>41708</v>
      </c>
      <c r="AK35" s="123">
        <f t="shared" si="20"/>
        <v>15568</v>
      </c>
      <c r="AL35" s="123">
        <f t="shared" si="21"/>
        <v>49</v>
      </c>
      <c r="AM35" s="123">
        <f t="shared" si="22"/>
        <v>33</v>
      </c>
      <c r="AN35" s="123">
        <f t="shared" si="23"/>
        <v>16950</v>
      </c>
      <c r="AO35" s="123">
        <f t="shared" si="24"/>
        <v>0</v>
      </c>
      <c r="AP35" s="123">
        <f t="shared" si="25"/>
        <v>0</v>
      </c>
      <c r="AQ35" s="123">
        <f t="shared" si="26"/>
        <v>0</v>
      </c>
      <c r="AR35" s="123">
        <f t="shared" si="27"/>
        <v>0</v>
      </c>
      <c r="AT35" s="143"/>
      <c r="AU35" s="143"/>
    </row>
    <row r="36" spans="1:47" ht="12.75">
      <c r="A36" s="122"/>
      <c r="B36" s="122" t="s">
        <v>86</v>
      </c>
      <c r="C36" s="154" t="s">
        <v>579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AE36" s="125">
        <f t="shared" si="28"/>
        <v>24</v>
      </c>
      <c r="AF36" s="139">
        <f t="shared" si="15"/>
        <v>375.8</v>
      </c>
      <c r="AG36" s="140" t="str">
        <f t="shared" si="16"/>
        <v>STRUC &amp; IMPROV-COMMUNICATION</v>
      </c>
      <c r="AH36" s="123">
        <f t="shared" si="17"/>
        <v>5</v>
      </c>
      <c r="AI36" s="123">
        <f t="shared" si="18"/>
        <v>33260.58</v>
      </c>
      <c r="AJ36" s="123">
        <f t="shared" si="19"/>
        <v>12379</v>
      </c>
      <c r="AK36" s="123">
        <f t="shared" si="20"/>
        <v>7897</v>
      </c>
      <c r="AL36" s="123">
        <f t="shared" si="21"/>
        <v>32</v>
      </c>
      <c r="AM36" s="123">
        <f t="shared" si="22"/>
        <v>0</v>
      </c>
      <c r="AN36" s="123">
        <f t="shared" si="23"/>
        <v>12953</v>
      </c>
      <c r="AO36" s="123">
        <f t="shared" si="24"/>
        <v>0</v>
      </c>
      <c r="AP36" s="123">
        <f t="shared" si="25"/>
        <v>0</v>
      </c>
      <c r="AQ36" s="123">
        <f t="shared" si="26"/>
        <v>0</v>
      </c>
      <c r="AR36" s="123">
        <f t="shared" si="27"/>
        <v>0</v>
      </c>
      <c r="AT36" s="143"/>
      <c r="AU36" s="143"/>
    </row>
    <row r="37" spans="1:47" ht="12.75">
      <c r="A37" s="122"/>
      <c r="B37" s="122" t="s">
        <v>87</v>
      </c>
      <c r="C37" s="154" t="s">
        <v>580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AE37" s="125">
        <f t="shared" si="28"/>
        <v>25</v>
      </c>
      <c r="AF37" s="139">
        <f t="shared" si="15"/>
        <v>376</v>
      </c>
      <c r="AG37" s="140" t="str">
        <f t="shared" si="16"/>
        <v>MAINS</v>
      </c>
      <c r="AH37" s="123">
        <f t="shared" si="17"/>
        <v>5</v>
      </c>
      <c r="AI37" s="123">
        <f>SUM(D124:E124)-SUM(G124:O124)</f>
        <v>122498130.98</v>
      </c>
      <c r="AJ37" s="123">
        <f t="shared" si="19"/>
        <v>45592579</v>
      </c>
      <c r="AK37" s="123">
        <f t="shared" si="20"/>
        <v>29084731</v>
      </c>
      <c r="AL37" s="123">
        <f t="shared" si="21"/>
        <v>116373</v>
      </c>
      <c r="AM37" s="123">
        <f t="shared" si="22"/>
        <v>0</v>
      </c>
      <c r="AN37" s="123">
        <f t="shared" si="23"/>
        <v>47704447</v>
      </c>
      <c r="AO37" s="123">
        <f t="shared" si="24"/>
        <v>0</v>
      </c>
      <c r="AP37" s="123">
        <f t="shared" si="25"/>
        <v>0</v>
      </c>
      <c r="AQ37" s="123">
        <f t="shared" si="26"/>
        <v>0</v>
      </c>
      <c r="AR37" s="123">
        <f t="shared" si="27"/>
        <v>0</v>
      </c>
      <c r="AT37" s="143"/>
      <c r="AU37" s="143"/>
    </row>
    <row r="38" spans="1:47" ht="12.75">
      <c r="A38" s="122"/>
      <c r="B38" s="122" t="s">
        <v>88</v>
      </c>
      <c r="C38" s="154" t="s">
        <v>581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AE38" s="125">
        <f t="shared" si="28"/>
        <v>26</v>
      </c>
      <c r="AF38" s="139">
        <f aca="true" t="shared" si="29" ref="AF38:AF43">A124</f>
        <v>376</v>
      </c>
      <c r="AG38" s="140" t="str">
        <f>"DIRECT "&amp;+B124</f>
        <v>DIRECT MAINS</v>
      </c>
      <c r="AI38" s="123">
        <f>SUM(G124:O124)</f>
        <v>0</v>
      </c>
      <c r="AJ38" s="123">
        <f aca="true" t="shared" si="30" ref="AJ38:AR38">G124</f>
        <v>0</v>
      </c>
      <c r="AK38" s="123">
        <f t="shared" si="30"/>
        <v>0</v>
      </c>
      <c r="AL38" s="123">
        <f t="shared" si="30"/>
        <v>0</v>
      </c>
      <c r="AM38" s="123">
        <f t="shared" si="30"/>
        <v>0</v>
      </c>
      <c r="AN38" s="123">
        <f t="shared" si="30"/>
        <v>0</v>
      </c>
      <c r="AO38" s="123">
        <f t="shared" si="30"/>
        <v>0</v>
      </c>
      <c r="AP38" s="123">
        <f t="shared" si="30"/>
        <v>0</v>
      </c>
      <c r="AQ38" s="123">
        <f t="shared" si="30"/>
        <v>0</v>
      </c>
      <c r="AR38" s="123">
        <f t="shared" si="30"/>
        <v>0</v>
      </c>
      <c r="AT38" s="143"/>
      <c r="AU38" s="143"/>
    </row>
    <row r="39" spans="1:46" ht="12.75">
      <c r="A39" s="122"/>
      <c r="B39" s="122" t="s">
        <v>89</v>
      </c>
      <c r="C39" s="154" t="s">
        <v>582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AE39" s="125">
        <f t="shared" si="28"/>
        <v>27</v>
      </c>
      <c r="AF39" s="139">
        <f t="shared" si="29"/>
        <v>378.1</v>
      </c>
      <c r="AG39" s="140" t="str">
        <f aca="true" t="shared" si="31" ref="AG39:AH43">B125</f>
        <v>M &amp; R GENERAL</v>
      </c>
      <c r="AH39" s="123">
        <f t="shared" si="31"/>
        <v>5</v>
      </c>
      <c r="AI39" s="123">
        <f>SUM(D125:E125)</f>
        <v>251745</v>
      </c>
      <c r="AJ39" s="123">
        <f>ROUND((VLOOKUP($AH39,$A$661:$Y$709,13)*$AI39),0)</f>
        <v>93697</v>
      </c>
      <c r="AK39" s="123">
        <f>ROUND((VLOOKUP($AH39,$A$661:$Y$709,14)*$AI39),0)</f>
        <v>59772</v>
      </c>
      <c r="AL39" s="123">
        <f>ROUND((VLOOKUP($AH39,$A$661:$Y$709,15)*$AI39),0)</f>
        <v>239</v>
      </c>
      <c r="AM39" s="123">
        <f>ROUND((VLOOKUP($AH39,$A$661:$Y$709,16)*$AI39),0)</f>
        <v>0</v>
      </c>
      <c r="AN39" s="123">
        <f>ROUND((VLOOKUP($AH39,$A$661:$Y$709,17)*$AI39),0)</f>
        <v>98037</v>
      </c>
      <c r="AO39" s="123">
        <f>ROUND((VLOOKUP($AH39,$A$661:$Y$709,18)*$AI39),0)</f>
        <v>0</v>
      </c>
      <c r="AP39" s="123">
        <f>ROUND((VLOOKUP($AH39,$A$661:$Y$709,19)*$AI39),0)</f>
        <v>0</v>
      </c>
      <c r="AQ39" s="123">
        <f>ROUND((VLOOKUP($AH39,$A$661:$Y$709,20)*$AI39),0)</f>
        <v>0</v>
      </c>
      <c r="AR39" s="123">
        <f>ROUND((VLOOKUP($AH39,$A$661:$Y$709,21)*$AI39),0)</f>
        <v>0</v>
      </c>
      <c r="AT39" s="123" t="s">
        <v>2</v>
      </c>
    </row>
    <row r="40" spans="1:44" ht="12.75">
      <c r="A40" s="122"/>
      <c r="B40" s="122" t="s">
        <v>90</v>
      </c>
      <c r="C40" s="154" t="s">
        <v>548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AE40" s="125">
        <f t="shared" si="28"/>
        <v>28</v>
      </c>
      <c r="AF40" s="139">
        <f t="shared" si="29"/>
        <v>378.2</v>
      </c>
      <c r="AG40" s="140" t="str">
        <f t="shared" si="31"/>
        <v>M &amp; R GENERAL - REGULATING</v>
      </c>
      <c r="AH40" s="123">
        <f t="shared" si="31"/>
        <v>5</v>
      </c>
      <c r="AI40" s="123">
        <f>SUM(D126:E126)</f>
        <v>4288594.12</v>
      </c>
      <c r="AJ40" s="123">
        <f>ROUND((VLOOKUP($AH40,$A$661:$Y$709,13)*$AI40),0)</f>
        <v>1596172</v>
      </c>
      <c r="AK40" s="123">
        <f>ROUND((VLOOKUP($AH40,$A$661:$Y$709,14)*$AI40),0)</f>
        <v>1018241</v>
      </c>
      <c r="AL40" s="123">
        <f>ROUND((VLOOKUP($AH40,$A$661:$Y$709,15)*$AI40),0)</f>
        <v>4074</v>
      </c>
      <c r="AM40" s="123">
        <f>ROUND((VLOOKUP($AH40,$A$661:$Y$709,16)*$AI40),0)</f>
        <v>0</v>
      </c>
      <c r="AN40" s="123">
        <f>ROUND((VLOOKUP($AH40,$A$661:$Y$709,17)*$AI40),0)</f>
        <v>1670107</v>
      </c>
      <c r="AO40" s="123">
        <f>ROUND((VLOOKUP($AH40,$A$661:$Y$709,18)*$AI40),0)</f>
        <v>0</v>
      </c>
      <c r="AP40" s="123">
        <f>ROUND((VLOOKUP($AH40,$A$661:$Y$709,19)*$AI40),0)</f>
        <v>0</v>
      </c>
      <c r="AQ40" s="123">
        <f>ROUND((VLOOKUP($AH40,$A$661:$Y$709,20)*$AI40),0)</f>
        <v>0</v>
      </c>
      <c r="AR40" s="123">
        <f>ROUND((VLOOKUP($AH40,$A$661:$Y$709,21)*$AI40),0)</f>
        <v>0</v>
      </c>
    </row>
    <row r="41" spans="1:44" ht="12.75">
      <c r="A41" s="122"/>
      <c r="B41" s="122" t="s">
        <v>91</v>
      </c>
      <c r="C41" s="154" t="s">
        <v>548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V41" s="155"/>
      <c r="AE41" s="125">
        <f t="shared" si="28"/>
        <v>29</v>
      </c>
      <c r="AF41" s="139">
        <f t="shared" si="29"/>
        <v>378.3</v>
      </c>
      <c r="AG41" s="140" t="str">
        <f t="shared" si="31"/>
        <v>M &amp; R EQUIP - LOCAL GAS PURCHASES</v>
      </c>
      <c r="AH41" s="123">
        <f t="shared" si="31"/>
        <v>5</v>
      </c>
      <c r="AI41" s="123">
        <f>SUM(D127:E127)</f>
        <v>45006</v>
      </c>
      <c r="AJ41" s="123">
        <f>ROUND((VLOOKUP($AH41,$A$661:$Y$709,13)*$AI41),0)</f>
        <v>16751</v>
      </c>
      <c r="AK41" s="123">
        <f>ROUND((VLOOKUP($AH41,$A$661:$Y$709,14)*$AI41),0)</f>
        <v>10686</v>
      </c>
      <c r="AL41" s="123">
        <f>ROUND((VLOOKUP($AH41,$A$661:$Y$709,15)*$AI41),0)</f>
        <v>43</v>
      </c>
      <c r="AM41" s="123">
        <f>ROUND((VLOOKUP($AH41,$A$661:$Y$709,16)*$AI41),0)</f>
        <v>0</v>
      </c>
      <c r="AN41" s="123">
        <f>ROUND((VLOOKUP($AH41,$A$661:$Y$709,17)*$AI41),0)</f>
        <v>17527</v>
      </c>
      <c r="AO41" s="123">
        <f>ROUND((VLOOKUP($AH41,$A$661:$Y$709,18)*$AI41),0)</f>
        <v>0</v>
      </c>
      <c r="AP41" s="123">
        <f>ROUND((VLOOKUP($AH41,$A$661:$Y$709,19)*$AI41),0)</f>
        <v>0</v>
      </c>
      <c r="AQ41" s="123">
        <f>ROUND((VLOOKUP($AH41,$A$661:$Y$709,20)*$AI41),0)</f>
        <v>0</v>
      </c>
      <c r="AR41" s="123">
        <f>ROUND((VLOOKUP($AH41,$A$661:$Y$709,21)*$AI41),0)</f>
        <v>0</v>
      </c>
    </row>
    <row r="42" spans="1:44" ht="12.75">
      <c r="A42" s="122"/>
      <c r="B42" s="122" t="s">
        <v>92</v>
      </c>
      <c r="C42" s="154" t="s">
        <v>548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AE42" s="125">
        <f t="shared" si="28"/>
        <v>30</v>
      </c>
      <c r="AF42" s="139">
        <f t="shared" si="29"/>
        <v>379.1</v>
      </c>
      <c r="AG42" s="140" t="str">
        <f t="shared" si="31"/>
        <v>STA EQUIP - CITY</v>
      </c>
      <c r="AH42" s="123">
        <f t="shared" si="31"/>
        <v>5</v>
      </c>
      <c r="AI42" s="123">
        <f>SUM(D128:E128)</f>
        <v>257908.74</v>
      </c>
      <c r="AJ42" s="123">
        <f>ROUND((VLOOKUP($AH42,$A$661:$Y$709,13)*$AI42),0)</f>
        <v>95991</v>
      </c>
      <c r="AK42" s="123">
        <f>ROUND((VLOOKUP($AH42,$A$661:$Y$709,14)*$AI42),0)</f>
        <v>61235</v>
      </c>
      <c r="AL42" s="123">
        <f>ROUND((VLOOKUP($AH42,$A$661:$Y$709,15)*$AI42),0)</f>
        <v>245</v>
      </c>
      <c r="AM42" s="123">
        <f>ROUND((VLOOKUP($AH42,$A$661:$Y$709,16)*$AI42),0)</f>
        <v>0</v>
      </c>
      <c r="AN42" s="123">
        <f>ROUND((VLOOKUP($AH42,$A$661:$Y$709,17)*$AI42),0)</f>
        <v>100437</v>
      </c>
      <c r="AO42" s="123">
        <f>ROUND((VLOOKUP($AH42,$A$661:$Y$709,18)*$AI42),0)</f>
        <v>0</v>
      </c>
      <c r="AP42" s="123">
        <f>ROUND((VLOOKUP($AH42,$A$661:$Y$709,19)*$AI42),0)</f>
        <v>0</v>
      </c>
      <c r="AQ42" s="123">
        <f>ROUND((VLOOKUP($AH42,$A$661:$Y$709,20)*$AI42),0)</f>
        <v>0</v>
      </c>
      <c r="AR42" s="123">
        <f>ROUND((VLOOKUP($AH42,$A$661:$Y$709,21)*$AI42),0)</f>
        <v>0</v>
      </c>
    </row>
    <row r="43" spans="1:44" ht="12.75">
      <c r="A43" s="122"/>
      <c r="B43" s="122" t="s">
        <v>93</v>
      </c>
      <c r="C43" s="154" t="s">
        <v>548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AE43" s="125">
        <f t="shared" si="28"/>
        <v>31</v>
      </c>
      <c r="AF43" s="139">
        <f t="shared" si="29"/>
        <v>380</v>
      </c>
      <c r="AG43" s="140" t="str">
        <f t="shared" si="31"/>
        <v>SERVICES</v>
      </c>
      <c r="AH43" s="123">
        <f t="shared" si="31"/>
        <v>15</v>
      </c>
      <c r="AI43" s="123">
        <f>SUM(D129:E129)-SUM(G129:O129)</f>
        <v>74275671.97</v>
      </c>
      <c r="AJ43" s="123">
        <f>ROUND((VLOOKUP($AH43,$A$661:$Y$709,13)*$AI43),0)</f>
        <v>66687669</v>
      </c>
      <c r="AK43" s="123">
        <f>ROUND((VLOOKUP($AH43,$A$661:$Y$709,14)*$AI43),0)</f>
        <v>7391915</v>
      </c>
      <c r="AL43" s="123">
        <f>ROUND((VLOOKUP($AH43,$A$661:$Y$709,15)*$AI43),0)</f>
        <v>743</v>
      </c>
      <c r="AM43" s="123">
        <f>ROUND((VLOOKUP($AH43,$A$661:$Y$709,16)*$AI43),0)</f>
        <v>0</v>
      </c>
      <c r="AN43" s="123">
        <f>ROUND((VLOOKUP($AH43,$A$661:$Y$709,17)*$AI43),0)</f>
        <v>195345</v>
      </c>
      <c r="AO43" s="123">
        <f>ROUND((VLOOKUP($AH43,$A$661:$Y$709,18)*$AI43),0)</f>
        <v>0</v>
      </c>
      <c r="AP43" s="123">
        <f>ROUND((VLOOKUP($AH43,$A$661:$Y$709,19)*$AI43),0)</f>
        <v>0</v>
      </c>
      <c r="AQ43" s="123">
        <f>ROUND((VLOOKUP($AH43,$A$661:$Y$709,20)*$AI43),0)</f>
        <v>0</v>
      </c>
      <c r="AR43" s="123">
        <f>ROUND((VLOOKUP($AH43,$A$661:$Y$709,21)*$AI43),0)</f>
        <v>0</v>
      </c>
    </row>
    <row r="44" spans="1:17" ht="12.75">
      <c r="A44" s="144" t="s">
        <v>0</v>
      </c>
      <c r="B44" s="144" t="s">
        <v>0</v>
      </c>
      <c r="C44" s="144" t="s">
        <v>0</v>
      </c>
      <c r="D44" s="144" t="s">
        <v>0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ht="12.75">
      <c r="A45" s="122" t="s">
        <v>94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43" ht="12.75">
      <c r="A46" s="144" t="s">
        <v>0</v>
      </c>
      <c r="B46" s="144" t="s">
        <v>0</v>
      </c>
      <c r="C46" s="144" t="s">
        <v>0</v>
      </c>
      <c r="D46" s="144" t="s">
        <v>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S46" s="140"/>
      <c r="T46" s="140"/>
      <c r="AG46" s="124"/>
      <c r="AK46" s="125" t="str">
        <f>""&amp;+$B$24</f>
        <v>COLUMBIA GAS OF KENTUCKY, INC.</v>
      </c>
      <c r="AQ46" s="123" t="str">
        <f>$B$25</f>
        <v>D/C STUDY</v>
      </c>
    </row>
    <row r="47" spans="1:43" ht="12.75">
      <c r="A47" s="122"/>
      <c r="B47" s="122"/>
      <c r="C47" s="156" t="s">
        <v>11</v>
      </c>
      <c r="D47" s="156" t="s">
        <v>12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V47" s="157"/>
      <c r="W47" s="157"/>
      <c r="X47" s="157"/>
      <c r="Y47" s="157"/>
      <c r="Z47" s="157"/>
      <c r="AE47" s="123" t="str">
        <f>$B$30</f>
        <v>DEMAND-COMMODITY</v>
      </c>
      <c r="AK47" s="125" t="s">
        <v>95</v>
      </c>
      <c r="AQ47" s="123" t="str">
        <f>"PAGE 5 OF "&amp;FIXED($B$31,0,TRUE)</f>
        <v>PAGE 5 OF 28</v>
      </c>
    </row>
    <row r="48" spans="1:44" ht="12.75">
      <c r="A48" s="122"/>
      <c r="B48" s="122"/>
      <c r="C48" s="156" t="s">
        <v>14</v>
      </c>
      <c r="D48" s="156" t="s">
        <v>15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T48" s="157"/>
      <c r="U48" s="157"/>
      <c r="AE48" s="128" t="str">
        <f>$B$29</f>
        <v>HISTORIC PERIOD - ORIGINAL FILING</v>
      </c>
      <c r="AF48" s="128"/>
      <c r="AG48" s="128"/>
      <c r="AH48" s="129"/>
      <c r="AI48" s="129"/>
      <c r="AJ48" s="128"/>
      <c r="AK48" s="130" t="str">
        <f>"FOR THE TWELVE MONTHS ENDED "&amp;$B$27</f>
        <v>FOR THE TWELVE MONTHS ENDED 09/30/2006</v>
      </c>
      <c r="AL48" s="128"/>
      <c r="AM48" s="128"/>
      <c r="AN48" s="128"/>
      <c r="AO48" s="128"/>
      <c r="AP48" s="128"/>
      <c r="AQ48" s="128" t="str">
        <f>"WITNESS: "&amp;$B$28</f>
        <v>WITNESS: R. GIBBONS</v>
      </c>
      <c r="AR48" s="131"/>
    </row>
    <row r="49" spans="1:35" ht="12.75">
      <c r="A49" s="145" t="s">
        <v>96</v>
      </c>
      <c r="B49" s="122"/>
      <c r="C49" s="122"/>
      <c r="D49" s="158">
        <v>0.1053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AE49" s="125" t="s">
        <v>9</v>
      </c>
      <c r="AF49" s="123" t="s">
        <v>10</v>
      </c>
      <c r="AH49" s="125" t="s">
        <v>11</v>
      </c>
      <c r="AI49" s="125" t="s">
        <v>12</v>
      </c>
    </row>
    <row r="50" spans="1:44" ht="12.75">
      <c r="A50" s="145" t="s">
        <v>97</v>
      </c>
      <c r="B50" s="122"/>
      <c r="C50" s="122"/>
      <c r="D50" s="159">
        <v>0.01279471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S50" s="140"/>
      <c r="AE50" s="133" t="s">
        <v>13</v>
      </c>
      <c r="AF50" s="133" t="s">
        <v>13</v>
      </c>
      <c r="AG50" s="134" t="str">
        <f>AG5</f>
        <v> ACCOUNT TITLE</v>
      </c>
      <c r="AH50" s="141" t="s">
        <v>14</v>
      </c>
      <c r="AI50" s="133" t="s">
        <v>15</v>
      </c>
      <c r="AJ50" s="133" t="str">
        <f>"  "&amp;+$C$35</f>
        <v>  GS-RES.</v>
      </c>
      <c r="AK50" s="133" t="str">
        <f>$C$36</f>
        <v>GS-OTHER</v>
      </c>
      <c r="AL50" s="133" t="str">
        <f>$C$37</f>
        <v>IUS</v>
      </c>
      <c r="AM50" s="133" t="str">
        <f>$C$38</f>
        <v>DS-ML/SC</v>
      </c>
      <c r="AN50" s="133" t="str">
        <f>$C$39</f>
        <v>DS/IS/SS</v>
      </c>
      <c r="AO50" s="133" t="str">
        <f>$C$40</f>
        <v>NOT USED</v>
      </c>
      <c r="AP50" s="133" t="str">
        <f>$C$41</f>
        <v>NOT USED</v>
      </c>
      <c r="AQ50" s="133" t="str">
        <f>$C$42</f>
        <v>NOT USED</v>
      </c>
      <c r="AR50" s="133" t="str">
        <f>$C$43</f>
        <v>NOT USED</v>
      </c>
    </row>
    <row r="51" spans="1:44" ht="12.75">
      <c r="A51" s="145" t="s">
        <v>98</v>
      </c>
      <c r="B51" s="122"/>
      <c r="C51" s="122"/>
      <c r="D51" s="159">
        <v>0.01163918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V51" s="160"/>
      <c r="W51" s="160"/>
      <c r="X51" s="160"/>
      <c r="Y51" s="160"/>
      <c r="Z51" s="160"/>
      <c r="AE51" s="125"/>
      <c r="AF51" s="136" t="s">
        <v>17</v>
      </c>
      <c r="AG51" s="136" t="s">
        <v>18</v>
      </c>
      <c r="AH51" s="125" t="s">
        <v>19</v>
      </c>
      <c r="AI51" s="125" t="s">
        <v>20</v>
      </c>
      <c r="AJ51" s="125" t="s">
        <v>21</v>
      </c>
      <c r="AK51" s="125" t="s">
        <v>22</v>
      </c>
      <c r="AL51" s="125" t="s">
        <v>23</v>
      </c>
      <c r="AM51" s="125" t="s">
        <v>24</v>
      </c>
      <c r="AN51" s="125" t="s">
        <v>25</v>
      </c>
      <c r="AO51" s="125" t="s">
        <v>26</v>
      </c>
      <c r="AP51" s="125" t="s">
        <v>27</v>
      </c>
      <c r="AQ51" s="125" t="s">
        <v>28</v>
      </c>
      <c r="AR51" s="125" t="s">
        <v>29</v>
      </c>
    </row>
    <row r="52" spans="1:44" ht="12.75">
      <c r="A52" s="145" t="s">
        <v>99</v>
      </c>
      <c r="B52" s="122"/>
      <c r="C52" s="122"/>
      <c r="D52" s="161">
        <v>0.35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S52" s="140"/>
      <c r="T52" s="160"/>
      <c r="U52" s="160"/>
      <c r="AE52" s="125"/>
      <c r="AI52" s="125" t="s">
        <v>32</v>
      </c>
      <c r="AJ52" s="125" t="s">
        <v>32</v>
      </c>
      <c r="AK52" s="125" t="s">
        <v>32</v>
      </c>
      <c r="AL52" s="125" t="s">
        <v>32</v>
      </c>
      <c r="AM52" s="125" t="s">
        <v>32</v>
      </c>
      <c r="AN52" s="125" t="s">
        <v>32</v>
      </c>
      <c r="AO52" s="125" t="s">
        <v>32</v>
      </c>
      <c r="AP52" s="125" t="s">
        <v>32</v>
      </c>
      <c r="AQ52" s="125" t="s">
        <v>32</v>
      </c>
      <c r="AR52" s="125" t="s">
        <v>32</v>
      </c>
    </row>
    <row r="53" spans="1:44" ht="12.75">
      <c r="A53" s="145" t="s">
        <v>100</v>
      </c>
      <c r="D53" s="162">
        <v>0.06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V53" s="160"/>
      <c r="W53" s="160"/>
      <c r="X53" s="160"/>
      <c r="Y53" s="160"/>
      <c r="Z53" s="160"/>
      <c r="AE53" s="125">
        <v>1</v>
      </c>
      <c r="AF53" s="139">
        <f aca="true" t="shared" si="32" ref="AF53:AF58">A129</f>
        <v>380</v>
      </c>
      <c r="AG53" s="140" t="str">
        <f>"DIRECT "&amp;+B129</f>
        <v>DIRECT SERVICES</v>
      </c>
      <c r="AI53" s="123">
        <f>SUM(G129:O129)</f>
        <v>0</v>
      </c>
      <c r="AJ53" s="123">
        <f aca="true" t="shared" si="33" ref="AJ53:AR53">G129</f>
        <v>0</v>
      </c>
      <c r="AK53" s="123">
        <f t="shared" si="33"/>
        <v>0</v>
      </c>
      <c r="AL53" s="123">
        <f t="shared" si="33"/>
        <v>0</v>
      </c>
      <c r="AM53" s="123">
        <f t="shared" si="33"/>
        <v>0</v>
      </c>
      <c r="AN53" s="123">
        <f t="shared" si="33"/>
        <v>0</v>
      </c>
      <c r="AO53" s="123">
        <f t="shared" si="33"/>
        <v>0</v>
      </c>
      <c r="AP53" s="123">
        <f t="shared" si="33"/>
        <v>0</v>
      </c>
      <c r="AQ53" s="123">
        <f t="shared" si="33"/>
        <v>0</v>
      </c>
      <c r="AR53" s="123">
        <f t="shared" si="33"/>
        <v>0</v>
      </c>
    </row>
    <row r="54" spans="1:44" ht="12.75">
      <c r="A54" s="145" t="s">
        <v>101</v>
      </c>
      <c r="B54" s="122"/>
      <c r="C54" s="122"/>
      <c r="D54" s="163">
        <v>0.4791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S54" s="140"/>
      <c r="T54" s="160"/>
      <c r="U54" s="160"/>
      <c r="AE54" s="125">
        <f aca="true" t="shared" si="34" ref="AE54:AE83">AE53+1</f>
        <v>2</v>
      </c>
      <c r="AF54" s="139">
        <f t="shared" si="32"/>
        <v>381</v>
      </c>
      <c r="AG54" s="140" t="str">
        <f aca="true" t="shared" si="35" ref="AG54:AH58">B130</f>
        <v>METERS</v>
      </c>
      <c r="AH54" s="123">
        <f t="shared" si="35"/>
        <v>16</v>
      </c>
      <c r="AI54" s="123">
        <f>SUM(D130:E130)</f>
        <v>11091529.120000001</v>
      </c>
      <c r="AJ54" s="123">
        <f>ROUND((VLOOKUP($AH54,$A$661:$Y$709,13)*$AI54),0)</f>
        <v>6899042</v>
      </c>
      <c r="AK54" s="123">
        <f>ROUND((VLOOKUP($AH54,$A$661:$Y$709,14)*$AI54),0)</f>
        <v>3985075</v>
      </c>
      <c r="AL54" s="123">
        <f>ROUND((VLOOKUP($AH54,$A$661:$Y$709,15)*$AI54),0)</f>
        <v>2662</v>
      </c>
      <c r="AM54" s="123">
        <f>ROUND((VLOOKUP($AH54,$A$661:$Y$709,16)*$AI54),0)</f>
        <v>13088</v>
      </c>
      <c r="AN54" s="123">
        <f>ROUND((VLOOKUP($AH54,$A$661:$Y$709,17)*$AI54),0)</f>
        <v>191662</v>
      </c>
      <c r="AO54" s="123">
        <f>ROUND((VLOOKUP($AH54,$A$661:$Y$709,18)*$AI54),0)</f>
        <v>0</v>
      </c>
      <c r="AP54" s="123">
        <f>ROUND((VLOOKUP($AH54,$A$661:$Y$709,19)*$AI54),0)</f>
        <v>0</v>
      </c>
      <c r="AQ54" s="123">
        <f>ROUND((VLOOKUP($AH54,$A$661:$Y$709,20)*$AI54),0)</f>
        <v>0</v>
      </c>
      <c r="AR54" s="123">
        <f>ROUND((VLOOKUP($AH54,$A$661:$Y$709,21)*$AI54),0)</f>
        <v>0</v>
      </c>
    </row>
    <row r="55" spans="1:44" ht="12.75">
      <c r="A55" s="145" t="s">
        <v>102</v>
      </c>
      <c r="B55" s="122"/>
      <c r="C55" s="122"/>
      <c r="D55" s="163">
        <f>0.0272/0.4791</f>
        <v>0.05677311625965351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V55" s="157"/>
      <c r="W55" s="157"/>
      <c r="X55" s="157"/>
      <c r="Y55" s="157"/>
      <c r="Z55" s="157"/>
      <c r="AE55" s="125">
        <f t="shared" si="34"/>
        <v>3</v>
      </c>
      <c r="AF55" s="139">
        <f t="shared" si="32"/>
        <v>382</v>
      </c>
      <c r="AG55" s="140" t="str">
        <f t="shared" si="35"/>
        <v>METER INSTALLATIONS</v>
      </c>
      <c r="AH55" s="123">
        <f t="shared" si="35"/>
        <v>16</v>
      </c>
      <c r="AI55" s="123">
        <f>SUM(D131:E131)</f>
        <v>7538570</v>
      </c>
      <c r="AJ55" s="123">
        <f>ROUND((VLOOKUP($AH55,$A$661:$Y$709,13)*$AI55),0)</f>
        <v>4689066</v>
      </c>
      <c r="AK55" s="123">
        <f>ROUND((VLOOKUP($AH55,$A$661:$Y$709,14)*$AI55),0)</f>
        <v>2708533</v>
      </c>
      <c r="AL55" s="123">
        <f>ROUND((VLOOKUP($AH55,$A$661:$Y$709,15)*$AI55),0)</f>
        <v>1809</v>
      </c>
      <c r="AM55" s="123">
        <f>ROUND((VLOOKUP($AH55,$A$661:$Y$709,16)*$AI55),0)</f>
        <v>8896</v>
      </c>
      <c r="AN55" s="123">
        <f>ROUND((VLOOKUP($AH55,$A$661:$Y$709,17)*$AI55),0)</f>
        <v>130266</v>
      </c>
      <c r="AO55" s="123">
        <f>ROUND((VLOOKUP($AH55,$A$661:$Y$709,18)*$AI55),0)</f>
        <v>0</v>
      </c>
      <c r="AP55" s="123">
        <f>ROUND((VLOOKUP($AH55,$A$661:$Y$709,19)*$AI55),0)</f>
        <v>0</v>
      </c>
      <c r="AQ55" s="123">
        <f>ROUND((VLOOKUP($AH55,$A$661:$Y$709,20)*$AI55),0)</f>
        <v>0</v>
      </c>
      <c r="AR55" s="123">
        <f>ROUND((VLOOKUP($AH55,$A$661:$Y$709,21)*$AI55),0)</f>
        <v>0</v>
      </c>
    </row>
    <row r="56" spans="1:44" ht="12.75">
      <c r="A56" s="145" t="s">
        <v>103</v>
      </c>
      <c r="B56" s="122"/>
      <c r="C56" s="122"/>
      <c r="D56" s="164">
        <v>0.001898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S56" s="140"/>
      <c r="T56" s="157"/>
      <c r="U56" s="157"/>
      <c r="AE56" s="125">
        <f t="shared" si="34"/>
        <v>4</v>
      </c>
      <c r="AF56" s="139">
        <f t="shared" si="32"/>
        <v>383</v>
      </c>
      <c r="AG56" s="140" t="str">
        <f t="shared" si="35"/>
        <v>HOUSE REGULATORS</v>
      </c>
      <c r="AH56" s="123">
        <f t="shared" si="35"/>
        <v>16</v>
      </c>
      <c r="AI56" s="123">
        <f>SUM(D132:E132)</f>
        <v>2782287</v>
      </c>
      <c r="AJ56" s="123">
        <f>ROUND((VLOOKUP($AH56,$A$661:$Y$709,13)*$AI56),0)</f>
        <v>1730610</v>
      </c>
      <c r="AK56" s="123">
        <f>ROUND((VLOOKUP($AH56,$A$661:$Y$709,14)*$AI56),0)</f>
        <v>999648</v>
      </c>
      <c r="AL56" s="123">
        <f>ROUND((VLOOKUP($AH56,$A$661:$Y$709,15)*$AI56),0)</f>
        <v>668</v>
      </c>
      <c r="AM56" s="123">
        <f>ROUND((VLOOKUP($AH56,$A$661:$Y$709,16)*$AI56),0)</f>
        <v>3283</v>
      </c>
      <c r="AN56" s="123">
        <f>ROUND((VLOOKUP($AH56,$A$661:$Y$709,17)*$AI56),0)</f>
        <v>48078</v>
      </c>
      <c r="AO56" s="123">
        <f>ROUND((VLOOKUP($AH56,$A$661:$Y$709,18)*$AI56),0)</f>
        <v>0</v>
      </c>
      <c r="AP56" s="123">
        <f>ROUND((VLOOKUP($AH56,$A$661:$Y$709,19)*$AI56),0)</f>
        <v>0</v>
      </c>
      <c r="AQ56" s="123">
        <f>ROUND((VLOOKUP($AH56,$A$661:$Y$709,20)*$AI56),0)</f>
        <v>0</v>
      </c>
      <c r="AR56" s="123">
        <f>ROUND((VLOOKUP($AH56,$A$661:$Y$709,21)*$AI56),0)</f>
        <v>0</v>
      </c>
    </row>
    <row r="57" spans="1:44" ht="12.75">
      <c r="A57" s="145" t="s">
        <v>104</v>
      </c>
      <c r="B57" s="122"/>
      <c r="C57" s="122"/>
      <c r="D57" s="158">
        <v>0.115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AE57" s="125">
        <f t="shared" si="34"/>
        <v>5</v>
      </c>
      <c r="AF57" s="139">
        <f t="shared" si="32"/>
        <v>384</v>
      </c>
      <c r="AG57" s="140" t="str">
        <f t="shared" si="35"/>
        <v>HOUSE REG INSTALLATIONS</v>
      </c>
      <c r="AH57" s="123">
        <f t="shared" si="35"/>
        <v>16</v>
      </c>
      <c r="AI57" s="123">
        <f>SUM(D133:E133)</f>
        <v>2364403.23</v>
      </c>
      <c r="AJ57" s="123">
        <f>ROUND((VLOOKUP($AH57,$A$661:$Y$709,13)*$AI57),0)</f>
        <v>1470682</v>
      </c>
      <c r="AK57" s="123">
        <f>ROUND((VLOOKUP($AH57,$A$661:$Y$709,14)*$AI57),0)</f>
        <v>849506</v>
      </c>
      <c r="AL57" s="123">
        <f>ROUND((VLOOKUP($AH57,$A$661:$Y$709,15)*$AI57),0)</f>
        <v>567</v>
      </c>
      <c r="AM57" s="123">
        <f>ROUND((VLOOKUP($AH57,$A$661:$Y$709,16)*$AI57),0)</f>
        <v>2790</v>
      </c>
      <c r="AN57" s="123">
        <f>ROUND((VLOOKUP($AH57,$A$661:$Y$709,17)*$AI57),0)</f>
        <v>40857</v>
      </c>
      <c r="AO57" s="123">
        <f>ROUND((VLOOKUP($AH57,$A$661:$Y$709,18)*$AI57),0)</f>
        <v>0</v>
      </c>
      <c r="AP57" s="123">
        <f>ROUND((VLOOKUP($AH57,$A$661:$Y$709,19)*$AI57),0)</f>
        <v>0</v>
      </c>
      <c r="AQ57" s="123">
        <f>ROUND((VLOOKUP($AH57,$A$661:$Y$709,20)*$AI57),0)</f>
        <v>0</v>
      </c>
      <c r="AR57" s="123">
        <f>ROUND((VLOOKUP($AH57,$A$661:$Y$709,21)*$AI57),0)</f>
        <v>0</v>
      </c>
    </row>
    <row r="58" spans="1:44" ht="12.75">
      <c r="A58" s="145" t="s">
        <v>105</v>
      </c>
      <c r="B58" s="122"/>
      <c r="C58" s="122"/>
      <c r="D58" s="163">
        <v>0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S58" s="140"/>
      <c r="AE58" s="125">
        <f t="shared" si="34"/>
        <v>6</v>
      </c>
      <c r="AF58" s="139">
        <f t="shared" si="32"/>
        <v>385</v>
      </c>
      <c r="AG58" s="140" t="str">
        <f t="shared" si="35"/>
        <v>IND M&amp;R EQUIPMENT</v>
      </c>
      <c r="AH58" s="123">
        <f t="shared" si="35"/>
        <v>17</v>
      </c>
      <c r="AI58" s="123">
        <f>SUM(D134:E134)-SUM(G134:O134)</f>
        <v>2580209.19</v>
      </c>
      <c r="AJ58" s="123">
        <f>ROUND((VLOOKUP($AH58,$A$661:$Y$709,13)*$AI58),0)</f>
        <v>0</v>
      </c>
      <c r="AK58" s="123">
        <f>ROUND((VLOOKUP($AH58,$A$661:$Y$709,14)*$AI58),0)</f>
        <v>1416586</v>
      </c>
      <c r="AL58" s="123">
        <f>ROUND((VLOOKUP($AH58,$A$661:$Y$709,15)*$AI58),0)</f>
        <v>20229</v>
      </c>
      <c r="AM58" s="123">
        <f>ROUND((VLOOKUP($AH58,$A$661:$Y$709,16)*$AI58),0)</f>
        <v>70827</v>
      </c>
      <c r="AN58" s="123">
        <f>ROUND((VLOOKUP($AH58,$A$661:$Y$709,17)*$AI58),0)</f>
        <v>1072567</v>
      </c>
      <c r="AO58" s="123">
        <f>ROUND((VLOOKUP($AH58,$A$661:$Y$709,18)*$AI58),0)</f>
        <v>0</v>
      </c>
      <c r="AP58" s="123">
        <f>ROUND((VLOOKUP($AH58,$A$661:$Y$709,19)*$AI58),0)</f>
        <v>0</v>
      </c>
      <c r="AQ58" s="123">
        <f>ROUND((VLOOKUP($AH58,$A$661:$Y$709,20)*$AI58),0)</f>
        <v>0</v>
      </c>
      <c r="AR58" s="123">
        <f>ROUND((VLOOKUP($AH58,$A$661:$Y$709,21)*$AI58),0)</f>
        <v>0</v>
      </c>
    </row>
    <row r="59" spans="1:44" ht="12.75">
      <c r="A59" s="145" t="s">
        <v>106</v>
      </c>
      <c r="B59" s="122"/>
      <c r="C59" s="122"/>
      <c r="D59" s="163">
        <v>0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V59" s="155"/>
      <c r="W59" s="155"/>
      <c r="X59" s="155"/>
      <c r="Y59" s="155"/>
      <c r="Z59" s="155"/>
      <c r="AE59" s="125">
        <f t="shared" si="34"/>
        <v>7</v>
      </c>
      <c r="AF59" s="139">
        <f aca="true" t="shared" si="36" ref="AF59:AF65">A134</f>
        <v>385</v>
      </c>
      <c r="AG59" s="140" t="str">
        <f>"DIRECT "&amp;+B134</f>
        <v>DIRECT IND M&amp;R EQUIPMENT</v>
      </c>
      <c r="AI59" s="123">
        <f>SUM(G134:O134)</f>
        <v>0</v>
      </c>
      <c r="AJ59" s="123">
        <f aca="true" t="shared" si="37" ref="AJ59:AR59">G134</f>
        <v>0</v>
      </c>
      <c r="AK59" s="123">
        <f t="shared" si="37"/>
        <v>0</v>
      </c>
      <c r="AL59" s="123">
        <f t="shared" si="37"/>
        <v>0</v>
      </c>
      <c r="AM59" s="123">
        <f t="shared" si="37"/>
        <v>0</v>
      </c>
      <c r="AN59" s="123">
        <f t="shared" si="37"/>
        <v>0</v>
      </c>
      <c r="AO59" s="123">
        <f t="shared" si="37"/>
        <v>0</v>
      </c>
      <c r="AP59" s="123">
        <f t="shared" si="37"/>
        <v>0</v>
      </c>
      <c r="AQ59" s="123">
        <f t="shared" si="37"/>
        <v>0</v>
      </c>
      <c r="AR59" s="123">
        <f t="shared" si="37"/>
        <v>0</v>
      </c>
    </row>
    <row r="60" spans="1:44" ht="12.75">
      <c r="A60" s="145" t="s">
        <v>107</v>
      </c>
      <c r="B60" s="122"/>
      <c r="C60" s="122"/>
      <c r="D60" s="163">
        <v>0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S60" s="140"/>
      <c r="T60" s="155"/>
      <c r="U60" s="155"/>
      <c r="AE60" s="125">
        <f t="shared" si="34"/>
        <v>8</v>
      </c>
      <c r="AF60" s="139">
        <f t="shared" si="36"/>
        <v>387.2</v>
      </c>
      <c r="AG60" s="140" t="str">
        <f aca="true" t="shared" si="38" ref="AG60:AH65">B135</f>
        <v>ODORIZATION</v>
      </c>
      <c r="AH60" s="123">
        <f t="shared" si="38"/>
        <v>7</v>
      </c>
      <c r="AI60" s="123">
        <f aca="true" t="shared" si="39" ref="AI60:AI65">SUM(D135:E135)</f>
        <v>186974.13</v>
      </c>
      <c r="AJ60" s="123">
        <f aca="true" t="shared" si="40" ref="AJ60:AJ65">ROUND((VLOOKUP($AH60,$A$661:$Y$709,13)*$AI60),0)</f>
        <v>104945</v>
      </c>
      <c r="AK60" s="123">
        <f aca="true" t="shared" si="41" ref="AK60:AK65">ROUND((VLOOKUP($AH60,$A$661:$Y$709,14)*$AI60),0)</f>
        <v>39173</v>
      </c>
      <c r="AL60" s="123">
        <f aca="true" t="shared" si="42" ref="AL60:AL65">ROUND((VLOOKUP($AH60,$A$661:$Y$709,15)*$AI60),0)</f>
        <v>123</v>
      </c>
      <c r="AM60" s="123">
        <f aca="true" t="shared" si="43" ref="AM60:AM65">ROUND((VLOOKUP($AH60,$A$661:$Y$709,16)*$AI60),0)</f>
        <v>82</v>
      </c>
      <c r="AN60" s="123">
        <f aca="true" t="shared" si="44" ref="AN60:AN65">ROUND((VLOOKUP($AH60,$A$661:$Y$709,17)*$AI60),0)</f>
        <v>42651</v>
      </c>
      <c r="AO60" s="123">
        <f aca="true" t="shared" si="45" ref="AO60:AO65">ROUND((VLOOKUP($AH60,$A$661:$Y$709,18)*$AI60),0)</f>
        <v>0</v>
      </c>
      <c r="AP60" s="123">
        <f aca="true" t="shared" si="46" ref="AP60:AP65">ROUND((VLOOKUP($AH60,$A$661:$Y$709,19)*$AI60),0)</f>
        <v>0</v>
      </c>
      <c r="AQ60" s="123">
        <f aca="true" t="shared" si="47" ref="AQ60:AQ65">ROUND((VLOOKUP($AH60,$A$661:$Y$709,20)*$AI60),0)</f>
        <v>0</v>
      </c>
      <c r="AR60" s="123">
        <f aca="true" t="shared" si="48" ref="AR60:AR65">ROUND((VLOOKUP($AH60,$A$661:$Y$709,21)*$AI60),0)</f>
        <v>0</v>
      </c>
    </row>
    <row r="61" spans="1:44" ht="12.75">
      <c r="A61" s="145" t="s">
        <v>108</v>
      </c>
      <c r="B61" s="122"/>
      <c r="C61" s="122"/>
      <c r="D61" s="165">
        <v>0.35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V61" s="157"/>
      <c r="W61" s="157"/>
      <c r="X61" s="157"/>
      <c r="Y61" s="157"/>
      <c r="Z61" s="157"/>
      <c r="AE61" s="125">
        <f t="shared" si="34"/>
        <v>9</v>
      </c>
      <c r="AF61" s="139">
        <f t="shared" si="36"/>
        <v>387.41</v>
      </c>
      <c r="AG61" s="140" t="str">
        <f t="shared" si="38"/>
        <v>TELEPHONE</v>
      </c>
      <c r="AH61" s="123">
        <f t="shared" si="38"/>
        <v>7</v>
      </c>
      <c r="AI61" s="123">
        <f t="shared" si="39"/>
        <v>711146</v>
      </c>
      <c r="AJ61" s="123">
        <f t="shared" si="40"/>
        <v>399152</v>
      </c>
      <c r="AK61" s="123">
        <f t="shared" si="41"/>
        <v>148992</v>
      </c>
      <c r="AL61" s="123">
        <f t="shared" si="42"/>
        <v>469</v>
      </c>
      <c r="AM61" s="123">
        <f t="shared" si="43"/>
        <v>313</v>
      </c>
      <c r="AN61" s="123">
        <f t="shared" si="44"/>
        <v>162220</v>
      </c>
      <c r="AO61" s="123">
        <f t="shared" si="45"/>
        <v>0</v>
      </c>
      <c r="AP61" s="123">
        <f t="shared" si="46"/>
        <v>0</v>
      </c>
      <c r="AQ61" s="123">
        <f t="shared" si="47"/>
        <v>0</v>
      </c>
      <c r="AR61" s="123">
        <f t="shared" si="48"/>
        <v>0</v>
      </c>
    </row>
    <row r="62" spans="4:44" ht="12.75">
      <c r="D62" s="16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S62" s="140"/>
      <c r="T62" s="157"/>
      <c r="U62" s="157"/>
      <c r="AE62" s="125">
        <f t="shared" si="34"/>
        <v>10</v>
      </c>
      <c r="AF62" s="139">
        <f t="shared" si="36"/>
        <v>387.42</v>
      </c>
      <c r="AG62" s="140" t="str">
        <f t="shared" si="38"/>
        <v>RADIO</v>
      </c>
      <c r="AH62" s="123">
        <f t="shared" si="38"/>
        <v>7</v>
      </c>
      <c r="AI62" s="123">
        <f t="shared" si="39"/>
        <v>891833.55</v>
      </c>
      <c r="AJ62" s="123">
        <f t="shared" si="40"/>
        <v>500568</v>
      </c>
      <c r="AK62" s="123">
        <f t="shared" si="41"/>
        <v>186848</v>
      </c>
      <c r="AL62" s="123">
        <f t="shared" si="42"/>
        <v>589</v>
      </c>
      <c r="AM62" s="123">
        <f t="shared" si="43"/>
        <v>392</v>
      </c>
      <c r="AN62" s="123">
        <f t="shared" si="44"/>
        <v>203436</v>
      </c>
      <c r="AO62" s="123">
        <f t="shared" si="45"/>
        <v>0</v>
      </c>
      <c r="AP62" s="123">
        <f t="shared" si="46"/>
        <v>0</v>
      </c>
      <c r="AQ62" s="123">
        <f t="shared" si="47"/>
        <v>0</v>
      </c>
      <c r="AR62" s="123">
        <f t="shared" si="48"/>
        <v>0</v>
      </c>
    </row>
    <row r="63" spans="1:44" ht="12.75">
      <c r="A63" s="145" t="s">
        <v>109</v>
      </c>
      <c r="B63" s="122"/>
      <c r="C63" s="122"/>
      <c r="D63" s="167">
        <v>0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43"/>
      <c r="AE63" s="125">
        <f t="shared" si="34"/>
        <v>11</v>
      </c>
      <c r="AF63" s="139">
        <f t="shared" si="36"/>
        <v>387.44</v>
      </c>
      <c r="AG63" s="140" t="str">
        <f t="shared" si="38"/>
        <v>OTHER COMMUNICATION</v>
      </c>
      <c r="AH63" s="123">
        <f t="shared" si="38"/>
        <v>7</v>
      </c>
      <c r="AI63" s="123">
        <f t="shared" si="39"/>
        <v>126460.3</v>
      </c>
      <c r="AJ63" s="123">
        <f t="shared" si="40"/>
        <v>70980</v>
      </c>
      <c r="AK63" s="123">
        <f t="shared" si="41"/>
        <v>26495</v>
      </c>
      <c r="AL63" s="123">
        <f t="shared" si="42"/>
        <v>83</v>
      </c>
      <c r="AM63" s="123">
        <f t="shared" si="43"/>
        <v>56</v>
      </c>
      <c r="AN63" s="123">
        <f t="shared" si="44"/>
        <v>28847</v>
      </c>
      <c r="AO63" s="123">
        <f t="shared" si="45"/>
        <v>0</v>
      </c>
      <c r="AP63" s="123">
        <f t="shared" si="46"/>
        <v>0</v>
      </c>
      <c r="AQ63" s="123">
        <f t="shared" si="47"/>
        <v>0</v>
      </c>
      <c r="AR63" s="123">
        <f t="shared" si="48"/>
        <v>0</v>
      </c>
    </row>
    <row r="64" spans="1:44" ht="12.75">
      <c r="A64" s="145" t="s">
        <v>110</v>
      </c>
      <c r="B64" s="122"/>
      <c r="C64" s="122"/>
      <c r="D64" s="167">
        <v>0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AE64" s="125">
        <f t="shared" si="34"/>
        <v>12</v>
      </c>
      <c r="AF64" s="139">
        <f t="shared" si="36"/>
        <v>387.45</v>
      </c>
      <c r="AG64" s="140" t="str">
        <f t="shared" si="38"/>
        <v>TELEMETERING</v>
      </c>
      <c r="AH64" s="123">
        <f t="shared" si="38"/>
        <v>7</v>
      </c>
      <c r="AI64" s="123">
        <f t="shared" si="39"/>
        <v>1111982.89</v>
      </c>
      <c r="AJ64" s="123">
        <f t="shared" si="40"/>
        <v>624134</v>
      </c>
      <c r="AK64" s="123">
        <f t="shared" si="41"/>
        <v>232972</v>
      </c>
      <c r="AL64" s="123">
        <f t="shared" si="42"/>
        <v>734</v>
      </c>
      <c r="AM64" s="123">
        <f t="shared" si="43"/>
        <v>489</v>
      </c>
      <c r="AN64" s="123">
        <f t="shared" si="44"/>
        <v>253654</v>
      </c>
      <c r="AO64" s="123">
        <f t="shared" si="45"/>
        <v>0</v>
      </c>
      <c r="AP64" s="123">
        <f t="shared" si="46"/>
        <v>0</v>
      </c>
      <c r="AQ64" s="123">
        <f t="shared" si="47"/>
        <v>0</v>
      </c>
      <c r="AR64" s="123">
        <f t="shared" si="48"/>
        <v>0</v>
      </c>
    </row>
    <row r="65" spans="1:44" ht="12.75">
      <c r="A65" s="145" t="s">
        <v>111</v>
      </c>
      <c r="B65" s="122"/>
      <c r="C65" s="145"/>
      <c r="D65" s="168">
        <f>IF(D64=0,0,ROUND(D63/D64,8))</f>
        <v>0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AE65" s="125">
        <f t="shared" si="34"/>
        <v>13</v>
      </c>
      <c r="AF65" s="139">
        <f t="shared" si="36"/>
        <v>387.46</v>
      </c>
      <c r="AG65" s="140" t="str">
        <f t="shared" si="38"/>
        <v>CIS</v>
      </c>
      <c r="AH65" s="123">
        <f t="shared" si="38"/>
        <v>7</v>
      </c>
      <c r="AI65" s="141">
        <f t="shared" si="39"/>
        <v>127354.97</v>
      </c>
      <c r="AJ65" s="141">
        <f t="shared" si="40"/>
        <v>71482</v>
      </c>
      <c r="AK65" s="141">
        <f t="shared" si="41"/>
        <v>26682</v>
      </c>
      <c r="AL65" s="141">
        <f t="shared" si="42"/>
        <v>84</v>
      </c>
      <c r="AM65" s="141">
        <f t="shared" si="43"/>
        <v>56</v>
      </c>
      <c r="AN65" s="141">
        <f t="shared" si="44"/>
        <v>29051</v>
      </c>
      <c r="AO65" s="141">
        <f t="shared" si="45"/>
        <v>0</v>
      </c>
      <c r="AP65" s="141">
        <f t="shared" si="46"/>
        <v>0</v>
      </c>
      <c r="AQ65" s="141">
        <f t="shared" si="47"/>
        <v>0</v>
      </c>
      <c r="AR65" s="141">
        <f t="shared" si="48"/>
        <v>0</v>
      </c>
    </row>
    <row r="66" spans="5:44" ht="12.75"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AE66" s="125">
        <f t="shared" si="34"/>
        <v>14</v>
      </c>
      <c r="AG66" s="140" t="s">
        <v>112</v>
      </c>
      <c r="AI66" s="123">
        <f aca="true" t="shared" si="49" ref="AI66:AR66">SUM(AI26:AI43)+SUM(AI53:AI65)</f>
        <v>243097889.29000002</v>
      </c>
      <c r="AJ66" s="123">
        <f t="shared" si="49"/>
        <v>136434814</v>
      </c>
      <c r="AK66" s="123">
        <f t="shared" si="49"/>
        <v>50913911</v>
      </c>
      <c r="AL66" s="123">
        <f t="shared" si="49"/>
        <v>159610</v>
      </c>
      <c r="AM66" s="123">
        <f t="shared" si="49"/>
        <v>105881</v>
      </c>
      <c r="AN66" s="123">
        <f t="shared" si="49"/>
        <v>55483671</v>
      </c>
      <c r="AO66" s="123">
        <f t="shared" si="49"/>
        <v>0</v>
      </c>
      <c r="AP66" s="123">
        <f t="shared" si="49"/>
        <v>0</v>
      </c>
      <c r="AQ66" s="123">
        <f t="shared" si="49"/>
        <v>0</v>
      </c>
      <c r="AR66" s="123">
        <f t="shared" si="49"/>
        <v>0</v>
      </c>
    </row>
    <row r="67" spans="5:33" ht="12.75"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AE67" s="125">
        <f t="shared" si="34"/>
        <v>15</v>
      </c>
      <c r="AG67" s="139" t="str">
        <f>A141</f>
        <v>GENERAL PLANT</v>
      </c>
    </row>
    <row r="68" spans="1:44" ht="12.75">
      <c r="A68" s="145"/>
      <c r="B68" s="122"/>
      <c r="C68" s="145"/>
      <c r="D68" s="145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AE68" s="125">
        <f t="shared" si="34"/>
        <v>16</v>
      </c>
      <c r="AF68" s="139">
        <f aca="true" t="shared" si="50" ref="AF68:AF81">A142</f>
        <v>391.1</v>
      </c>
      <c r="AG68" s="140" t="str">
        <f aca="true" t="shared" si="51" ref="AG68:AG81">B142</f>
        <v>OFF FURN &amp; EQUIP - UNSPEC</v>
      </c>
      <c r="AH68" s="123">
        <f aca="true" t="shared" si="52" ref="AH68:AH81">C142</f>
        <v>7</v>
      </c>
      <c r="AI68" s="123">
        <f aca="true" t="shared" si="53" ref="AI68:AI81">SUM(D142:E142)</f>
        <v>1258847.66</v>
      </c>
      <c r="AJ68" s="123">
        <f aca="true" t="shared" si="54" ref="AJ68:AJ81">ROUND((VLOOKUP($AH68,$A$661:$Y$709,13)*$AI68),0)</f>
        <v>706566</v>
      </c>
      <c r="AK68" s="123">
        <f aca="true" t="shared" si="55" ref="AK68:AK81">ROUND((VLOOKUP($AH68,$A$661:$Y$709,14)*$AI68),0)</f>
        <v>263741</v>
      </c>
      <c r="AL68" s="123">
        <f aca="true" t="shared" si="56" ref="AL68:AL81">ROUND((VLOOKUP($AH68,$A$661:$Y$709,15)*$AI68),0)</f>
        <v>831</v>
      </c>
      <c r="AM68" s="123">
        <f aca="true" t="shared" si="57" ref="AM68:AM81">ROUND((VLOOKUP($AH68,$A$661:$Y$709,16)*$AI68),0)</f>
        <v>554</v>
      </c>
      <c r="AN68" s="123">
        <f aca="true" t="shared" si="58" ref="AN68:AN81">ROUND((VLOOKUP($AH68,$A$661:$Y$709,17)*$AI68),0)</f>
        <v>287156</v>
      </c>
      <c r="AO68" s="123">
        <f aca="true" t="shared" si="59" ref="AO68:AO81">ROUND((VLOOKUP($AH68,$A$661:$Y$709,18)*$AI68),0)</f>
        <v>0</v>
      </c>
      <c r="AP68" s="123">
        <f aca="true" t="shared" si="60" ref="AP68:AP81">ROUND((VLOOKUP($AH68,$A$661:$Y$709,19)*$AI68),0)</f>
        <v>0</v>
      </c>
      <c r="AQ68" s="123">
        <f aca="true" t="shared" si="61" ref="AQ68:AQ81">ROUND((VLOOKUP($AH68,$A$661:$Y$709,20)*$AI68),0)</f>
        <v>0</v>
      </c>
      <c r="AR68" s="123">
        <f aca="true" t="shared" si="62" ref="AR68:AR81">ROUND((VLOOKUP($AH68,$A$661:$Y$709,21)*$AI68),0)</f>
        <v>0</v>
      </c>
    </row>
    <row r="69" spans="1:44" ht="12.75">
      <c r="A69" s="144" t="s">
        <v>0</v>
      </c>
      <c r="B69" s="144" t="s">
        <v>0</v>
      </c>
      <c r="C69" s="144" t="s">
        <v>0</v>
      </c>
      <c r="D69" s="144" t="s">
        <v>0</v>
      </c>
      <c r="E69" s="144" t="s">
        <v>0</v>
      </c>
      <c r="F69" s="144" t="s">
        <v>0</v>
      </c>
      <c r="G69" s="144" t="s">
        <v>0</v>
      </c>
      <c r="H69" s="144" t="s">
        <v>0</v>
      </c>
      <c r="I69" s="144" t="s">
        <v>0</v>
      </c>
      <c r="J69" s="144" t="s">
        <v>0</v>
      </c>
      <c r="K69" s="144" t="s">
        <v>0</v>
      </c>
      <c r="L69" s="144" t="s">
        <v>0</v>
      </c>
      <c r="M69" s="144" t="s">
        <v>0</v>
      </c>
      <c r="N69" s="122"/>
      <c r="O69" s="122"/>
      <c r="P69" s="122"/>
      <c r="Q69" s="122"/>
      <c r="AE69" s="125">
        <f t="shared" si="34"/>
        <v>17</v>
      </c>
      <c r="AF69" s="139">
        <f t="shared" si="50"/>
        <v>391.11</v>
      </c>
      <c r="AG69" s="140" t="str">
        <f t="shared" si="51"/>
        <v>OFF FURN &amp; EQUIP - DATA HAND</v>
      </c>
      <c r="AH69" s="123">
        <f t="shared" si="52"/>
        <v>7</v>
      </c>
      <c r="AI69" s="123">
        <f t="shared" si="53"/>
        <v>38508.39</v>
      </c>
      <c r="AJ69" s="123">
        <f t="shared" si="54"/>
        <v>21614</v>
      </c>
      <c r="AK69" s="123">
        <f t="shared" si="55"/>
        <v>8068</v>
      </c>
      <c r="AL69" s="123">
        <f t="shared" si="56"/>
        <v>25</v>
      </c>
      <c r="AM69" s="123">
        <f t="shared" si="57"/>
        <v>17</v>
      </c>
      <c r="AN69" s="123">
        <f t="shared" si="58"/>
        <v>8784</v>
      </c>
      <c r="AO69" s="123">
        <f t="shared" si="59"/>
        <v>0</v>
      </c>
      <c r="AP69" s="123">
        <f t="shared" si="60"/>
        <v>0</v>
      </c>
      <c r="AQ69" s="123">
        <f t="shared" si="61"/>
        <v>0</v>
      </c>
      <c r="AR69" s="123">
        <f t="shared" si="62"/>
        <v>0</v>
      </c>
    </row>
    <row r="70" spans="1:44" ht="12.75">
      <c r="A70" s="122" t="s">
        <v>113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AE70" s="125">
        <f t="shared" si="34"/>
        <v>18</v>
      </c>
      <c r="AF70" s="139">
        <f t="shared" si="50"/>
        <v>391.12</v>
      </c>
      <c r="AG70" s="140" t="str">
        <f t="shared" si="51"/>
        <v>OFF FURN &amp; EQUIP - INFO SYSTEM</v>
      </c>
      <c r="AH70" s="123">
        <f t="shared" si="52"/>
        <v>7</v>
      </c>
      <c r="AI70" s="123">
        <f t="shared" si="53"/>
        <v>665848.39</v>
      </c>
      <c r="AJ70" s="123">
        <f t="shared" si="54"/>
        <v>373727</v>
      </c>
      <c r="AK70" s="123">
        <f t="shared" si="55"/>
        <v>139502</v>
      </c>
      <c r="AL70" s="123">
        <f t="shared" si="56"/>
        <v>439</v>
      </c>
      <c r="AM70" s="123">
        <f t="shared" si="57"/>
        <v>293</v>
      </c>
      <c r="AN70" s="123">
        <f t="shared" si="58"/>
        <v>151887</v>
      </c>
      <c r="AO70" s="123">
        <f t="shared" si="59"/>
        <v>0</v>
      </c>
      <c r="AP70" s="123">
        <f t="shared" si="60"/>
        <v>0</v>
      </c>
      <c r="AQ70" s="123">
        <f t="shared" si="61"/>
        <v>0</v>
      </c>
      <c r="AR70" s="123">
        <f t="shared" si="62"/>
        <v>0</v>
      </c>
    </row>
    <row r="71" spans="1:44" ht="12.75">
      <c r="A71" s="144" t="s">
        <v>0</v>
      </c>
      <c r="B71" s="144" t="s">
        <v>0</v>
      </c>
      <c r="C71" s="144" t="s">
        <v>0</v>
      </c>
      <c r="D71" s="144" t="s">
        <v>0</v>
      </c>
      <c r="E71" s="144" t="s">
        <v>0</v>
      </c>
      <c r="F71" s="144" t="s">
        <v>0</v>
      </c>
      <c r="G71" s="144" t="s">
        <v>0</v>
      </c>
      <c r="H71" s="144" t="s">
        <v>0</v>
      </c>
      <c r="I71" s="144" t="s">
        <v>0</v>
      </c>
      <c r="J71" s="144" t="s">
        <v>0</v>
      </c>
      <c r="K71" s="144" t="s">
        <v>0</v>
      </c>
      <c r="L71" s="144" t="s">
        <v>0</v>
      </c>
      <c r="M71" s="144" t="s">
        <v>0</v>
      </c>
      <c r="N71" s="122"/>
      <c r="O71" s="122"/>
      <c r="P71" s="122"/>
      <c r="Q71" s="122"/>
      <c r="AE71" s="125">
        <f t="shared" si="34"/>
        <v>19</v>
      </c>
      <c r="AF71" s="139">
        <f t="shared" si="50"/>
        <v>392.21</v>
      </c>
      <c r="AG71" s="140" t="str">
        <f t="shared" si="51"/>
        <v>TR EQ - TRAILER &lt;= $1,000</v>
      </c>
      <c r="AH71" s="123">
        <f t="shared" si="52"/>
        <v>7</v>
      </c>
      <c r="AI71" s="123">
        <f t="shared" si="53"/>
        <v>129059.89</v>
      </c>
      <c r="AJ71" s="123">
        <f t="shared" si="54"/>
        <v>72439</v>
      </c>
      <c r="AK71" s="123">
        <f t="shared" si="55"/>
        <v>27039</v>
      </c>
      <c r="AL71" s="123">
        <f t="shared" si="56"/>
        <v>85</v>
      </c>
      <c r="AM71" s="123">
        <f t="shared" si="57"/>
        <v>57</v>
      </c>
      <c r="AN71" s="123">
        <f t="shared" si="58"/>
        <v>29440</v>
      </c>
      <c r="AO71" s="123">
        <f t="shared" si="59"/>
        <v>0</v>
      </c>
      <c r="AP71" s="123">
        <f t="shared" si="60"/>
        <v>0</v>
      </c>
      <c r="AQ71" s="123">
        <f t="shared" si="61"/>
        <v>0</v>
      </c>
      <c r="AR71" s="123">
        <f t="shared" si="62"/>
        <v>0</v>
      </c>
    </row>
    <row r="72" spans="1:44" ht="12.75">
      <c r="A72" s="122"/>
      <c r="B72" s="122"/>
      <c r="C72" s="122"/>
      <c r="D72" s="156" t="s">
        <v>12</v>
      </c>
      <c r="E72" s="122"/>
      <c r="F72" s="122"/>
      <c r="G72" s="122"/>
      <c r="H72" s="122"/>
      <c r="I72" s="122"/>
      <c r="J72" s="122"/>
      <c r="K72" s="145"/>
      <c r="L72" s="145"/>
      <c r="M72" s="145"/>
      <c r="N72" s="145"/>
      <c r="O72" s="145"/>
      <c r="P72" s="122"/>
      <c r="Q72" s="122"/>
      <c r="AE72" s="125">
        <f t="shared" si="34"/>
        <v>20</v>
      </c>
      <c r="AF72" s="139">
        <f t="shared" si="50"/>
        <v>393</v>
      </c>
      <c r="AG72" s="140" t="str">
        <f t="shared" si="51"/>
        <v>STORES EQUIPMENT</v>
      </c>
      <c r="AH72" s="123">
        <f t="shared" si="52"/>
        <v>7</v>
      </c>
      <c r="AI72" s="123">
        <f t="shared" si="53"/>
        <v>3398.75</v>
      </c>
      <c r="AJ72" s="123">
        <f t="shared" si="54"/>
        <v>1908</v>
      </c>
      <c r="AK72" s="123">
        <f t="shared" si="55"/>
        <v>712</v>
      </c>
      <c r="AL72" s="123">
        <f t="shared" si="56"/>
        <v>2</v>
      </c>
      <c r="AM72" s="123">
        <f t="shared" si="57"/>
        <v>1</v>
      </c>
      <c r="AN72" s="123">
        <f t="shared" si="58"/>
        <v>775</v>
      </c>
      <c r="AO72" s="123">
        <f t="shared" si="59"/>
        <v>0</v>
      </c>
      <c r="AP72" s="123">
        <f t="shared" si="60"/>
        <v>0</v>
      </c>
      <c r="AQ72" s="123">
        <f t="shared" si="61"/>
        <v>0</v>
      </c>
      <c r="AR72" s="123">
        <f t="shared" si="62"/>
        <v>0</v>
      </c>
    </row>
    <row r="73" spans="1:44" ht="12.75">
      <c r="A73" s="122"/>
      <c r="B73" s="122"/>
      <c r="C73" s="122"/>
      <c r="D73" s="156" t="s">
        <v>15</v>
      </c>
      <c r="E73" s="122" t="str">
        <f>$C$35</f>
        <v>GS-RES.</v>
      </c>
      <c r="F73" s="122" t="str">
        <f>$C$36</f>
        <v>GS-OTHER</v>
      </c>
      <c r="G73" s="122" t="str">
        <f>$C$37</f>
        <v>IUS</v>
      </c>
      <c r="H73" s="122" t="str">
        <f>$C$38</f>
        <v>DS-ML/SC</v>
      </c>
      <c r="I73" s="122" t="str">
        <f>$C$39</f>
        <v>DS/IS/SS</v>
      </c>
      <c r="J73" s="122" t="str">
        <f>$C$40</f>
        <v>NOT USED</v>
      </c>
      <c r="K73" s="122" t="str">
        <f>$C$41</f>
        <v>NOT USED</v>
      </c>
      <c r="L73" s="122" t="str">
        <f>$C$42</f>
        <v>NOT USED</v>
      </c>
      <c r="M73" s="122" t="str">
        <f>$C$43</f>
        <v>NOT USED</v>
      </c>
      <c r="P73" s="122"/>
      <c r="Q73" s="122"/>
      <c r="AE73" s="125">
        <f t="shared" si="34"/>
        <v>21</v>
      </c>
      <c r="AF73" s="139">
        <f t="shared" si="50"/>
        <v>394.1</v>
      </c>
      <c r="AG73" s="140" t="str">
        <f t="shared" si="51"/>
        <v>TOOLS,SHOP, &amp; GAR EQ-GARAGE &amp; SERV</v>
      </c>
      <c r="AH73" s="123">
        <f t="shared" si="52"/>
        <v>7</v>
      </c>
      <c r="AI73" s="123">
        <f t="shared" si="53"/>
        <v>0</v>
      </c>
      <c r="AJ73" s="123">
        <f t="shared" si="54"/>
        <v>0</v>
      </c>
      <c r="AK73" s="123">
        <f t="shared" si="55"/>
        <v>0</v>
      </c>
      <c r="AL73" s="123">
        <f t="shared" si="56"/>
        <v>0</v>
      </c>
      <c r="AM73" s="123">
        <f t="shared" si="57"/>
        <v>0</v>
      </c>
      <c r="AN73" s="123">
        <f t="shared" si="58"/>
        <v>0</v>
      </c>
      <c r="AO73" s="123">
        <f t="shared" si="59"/>
        <v>0</v>
      </c>
      <c r="AP73" s="123">
        <f t="shared" si="60"/>
        <v>0</v>
      </c>
      <c r="AQ73" s="123">
        <f t="shared" si="61"/>
        <v>0</v>
      </c>
      <c r="AR73" s="123">
        <f t="shared" si="62"/>
        <v>0</v>
      </c>
    </row>
    <row r="74" spans="1:44" ht="12.75">
      <c r="A74" s="145" t="s">
        <v>114</v>
      </c>
      <c r="B74" s="122"/>
      <c r="C74" s="122"/>
      <c r="D74" s="122">
        <f>SUM(E74:M74)</f>
        <v>27786185.299999997</v>
      </c>
      <c r="E74" s="145">
        <f>'Sales-Rev'!D49</f>
        <v>8799874.1</v>
      </c>
      <c r="F74" s="145">
        <f>'Sales-Rev'!E49</f>
        <v>5937231.7</v>
      </c>
      <c r="G74" s="145">
        <f>'Sales-Rev'!F49</f>
        <v>21904</v>
      </c>
      <c r="H74" s="145">
        <v>0</v>
      </c>
      <c r="I74" s="145">
        <f>'Sales-Rev'!H49</f>
        <v>13027175.499999998</v>
      </c>
      <c r="J74" s="145">
        <f>'Sales-Rev'!I49</f>
        <v>0</v>
      </c>
      <c r="K74" s="145">
        <f>'Sales-Rev'!J49</f>
        <v>0</v>
      </c>
      <c r="L74" s="145">
        <f>'Sales-Rev'!K49</f>
        <v>0</v>
      </c>
      <c r="M74" s="145">
        <f>'Sales-Rev'!L49</f>
        <v>0</v>
      </c>
      <c r="P74" s="122"/>
      <c r="Q74" s="122"/>
      <c r="AE74" s="125">
        <f t="shared" si="34"/>
        <v>22</v>
      </c>
      <c r="AF74" s="139">
        <f t="shared" si="50"/>
        <v>394.11</v>
      </c>
      <c r="AG74" s="140" t="str">
        <f t="shared" si="51"/>
        <v>CNG EQUIP STATIONARY</v>
      </c>
      <c r="AH74" s="123">
        <f t="shared" si="52"/>
        <v>7</v>
      </c>
      <c r="AI74" s="123">
        <f t="shared" si="53"/>
        <v>26580.01</v>
      </c>
      <c r="AJ74" s="123">
        <f t="shared" si="54"/>
        <v>14919</v>
      </c>
      <c r="AK74" s="123">
        <f t="shared" si="55"/>
        <v>5569</v>
      </c>
      <c r="AL74" s="123">
        <f t="shared" si="56"/>
        <v>18</v>
      </c>
      <c r="AM74" s="123">
        <f t="shared" si="57"/>
        <v>12</v>
      </c>
      <c r="AN74" s="123">
        <f t="shared" si="58"/>
        <v>6063</v>
      </c>
      <c r="AO74" s="123">
        <f t="shared" si="59"/>
        <v>0</v>
      </c>
      <c r="AP74" s="123">
        <f t="shared" si="60"/>
        <v>0</v>
      </c>
      <c r="AQ74" s="123">
        <f t="shared" si="61"/>
        <v>0</v>
      </c>
      <c r="AR74" s="123">
        <f t="shared" si="62"/>
        <v>0</v>
      </c>
    </row>
    <row r="75" spans="1:44" ht="12.75">
      <c r="A75" s="145" t="s">
        <v>115</v>
      </c>
      <c r="B75" s="122"/>
      <c r="C75" s="122"/>
      <c r="D75" s="122">
        <f>SUM(E75:M75)</f>
        <v>364500</v>
      </c>
      <c r="E75" s="145">
        <f>'Design Day'!C34</f>
        <v>155900</v>
      </c>
      <c r="F75" s="145">
        <f>'Design Day'!D34</f>
        <v>95200</v>
      </c>
      <c r="G75" s="145">
        <f>'Design Day'!E34</f>
        <v>400</v>
      </c>
      <c r="H75" s="145">
        <f>'Design Day'!F34</f>
        <v>0</v>
      </c>
      <c r="I75" s="145">
        <f>'Design Day'!G34</f>
        <v>113000</v>
      </c>
      <c r="J75" s="145">
        <f>'Design Day'!H34</f>
        <v>0</v>
      </c>
      <c r="K75" s="145">
        <f>'Design Day'!I34</f>
        <v>0</v>
      </c>
      <c r="L75" s="145">
        <f>'Design Day'!J34</f>
        <v>0</v>
      </c>
      <c r="M75" s="145">
        <f>'Design Day'!K34</f>
        <v>0</v>
      </c>
      <c r="P75" s="122"/>
      <c r="Q75" s="122"/>
      <c r="AE75" s="125">
        <f t="shared" si="34"/>
        <v>23</v>
      </c>
      <c r="AF75" s="139">
        <f t="shared" si="50"/>
        <v>394.12</v>
      </c>
      <c r="AG75" s="140" t="str">
        <f t="shared" si="51"/>
        <v>CNG EQUIP PORTABLE</v>
      </c>
      <c r="AH75" s="123">
        <f t="shared" si="52"/>
        <v>7</v>
      </c>
      <c r="AI75" s="123">
        <f t="shared" si="53"/>
        <v>335308.07</v>
      </c>
      <c r="AJ75" s="123">
        <f t="shared" si="54"/>
        <v>188202</v>
      </c>
      <c r="AK75" s="123">
        <f t="shared" si="55"/>
        <v>70250</v>
      </c>
      <c r="AL75" s="123">
        <f t="shared" si="56"/>
        <v>221</v>
      </c>
      <c r="AM75" s="123">
        <f t="shared" si="57"/>
        <v>148</v>
      </c>
      <c r="AN75" s="123">
        <f t="shared" si="58"/>
        <v>76487</v>
      </c>
      <c r="AO75" s="123">
        <f t="shared" si="59"/>
        <v>0</v>
      </c>
      <c r="AP75" s="123">
        <f t="shared" si="60"/>
        <v>0</v>
      </c>
      <c r="AQ75" s="123">
        <f t="shared" si="61"/>
        <v>0</v>
      </c>
      <c r="AR75" s="123">
        <f t="shared" si="62"/>
        <v>0</v>
      </c>
    </row>
    <row r="76" spans="1:44" ht="12.75">
      <c r="A76" s="145" t="s">
        <v>727</v>
      </c>
      <c r="B76" s="122"/>
      <c r="C76" s="122"/>
      <c r="D76" s="122">
        <f>SUM(E76:M76)</f>
        <v>254000</v>
      </c>
      <c r="E76" s="145">
        <f>'Design Day'!C49</f>
        <v>155900</v>
      </c>
      <c r="F76" s="145">
        <f>'Design Day'!D49</f>
        <v>95200</v>
      </c>
      <c r="G76" s="145">
        <f>'Design Day'!E49</f>
        <v>400</v>
      </c>
      <c r="H76" s="145">
        <f>'Design Day'!F49</f>
        <v>0</v>
      </c>
      <c r="I76" s="145">
        <f>'Design Day'!G49</f>
        <v>2500</v>
      </c>
      <c r="J76" s="145">
        <f>'Design Day'!H34</f>
        <v>0</v>
      </c>
      <c r="K76" s="145">
        <f>'Design Day'!I34</f>
        <v>0</v>
      </c>
      <c r="L76" s="145">
        <f>'Design Day'!J34</f>
        <v>0</v>
      </c>
      <c r="M76" s="145">
        <f>'Design Day'!K34</f>
        <v>0</v>
      </c>
      <c r="P76" s="122"/>
      <c r="Q76" s="122"/>
      <c r="AE76" s="125">
        <f t="shared" si="34"/>
        <v>24</v>
      </c>
      <c r="AF76" s="139">
        <f t="shared" si="50"/>
        <v>394.2</v>
      </c>
      <c r="AG76" s="140" t="str">
        <f t="shared" si="51"/>
        <v>SHOP EQUIPMENT</v>
      </c>
      <c r="AH76" s="123">
        <f t="shared" si="52"/>
        <v>7</v>
      </c>
      <c r="AI76" s="123">
        <f t="shared" si="53"/>
        <v>1374.41</v>
      </c>
      <c r="AJ76" s="123">
        <f t="shared" si="54"/>
        <v>771</v>
      </c>
      <c r="AK76" s="123">
        <f t="shared" si="55"/>
        <v>288</v>
      </c>
      <c r="AL76" s="123">
        <f t="shared" si="56"/>
        <v>1</v>
      </c>
      <c r="AM76" s="123">
        <f t="shared" si="57"/>
        <v>1</v>
      </c>
      <c r="AN76" s="123">
        <f t="shared" si="58"/>
        <v>314</v>
      </c>
      <c r="AO76" s="123">
        <f t="shared" si="59"/>
        <v>0</v>
      </c>
      <c r="AP76" s="123">
        <f t="shared" si="60"/>
        <v>0</v>
      </c>
      <c r="AQ76" s="123">
        <f t="shared" si="61"/>
        <v>0</v>
      </c>
      <c r="AR76" s="123">
        <f t="shared" si="62"/>
        <v>0</v>
      </c>
    </row>
    <row r="77" spans="1:44" ht="12.75">
      <c r="A77" s="145" t="s">
        <v>116</v>
      </c>
      <c r="B77" s="122"/>
      <c r="C77" s="122"/>
      <c r="D77" s="122">
        <f>SUM(E77:M77)</f>
        <v>139102</v>
      </c>
      <c r="E77" s="145">
        <f>Customers!D54</f>
        <v>124450.33333333333</v>
      </c>
      <c r="F77" s="145">
        <f>Customers!E54</f>
        <v>14561.25</v>
      </c>
      <c r="G77" s="145">
        <f>Customers!F54</f>
        <v>2</v>
      </c>
      <c r="H77" s="145">
        <f>Customers!G54</f>
        <v>5.833333333333333</v>
      </c>
      <c r="I77" s="145">
        <f>Customers!H54</f>
        <v>82.58333333333333</v>
      </c>
      <c r="J77" s="145">
        <f>Customers!I54</f>
        <v>0</v>
      </c>
      <c r="K77" s="145">
        <f>Customers!J54</f>
        <v>0</v>
      </c>
      <c r="L77" s="145">
        <f>Customers!K54</f>
        <v>0</v>
      </c>
      <c r="M77" s="145">
        <f>Customers!L54</f>
        <v>0</v>
      </c>
      <c r="P77" s="122"/>
      <c r="Q77" s="122"/>
      <c r="AE77" s="125">
        <f t="shared" si="34"/>
        <v>25</v>
      </c>
      <c r="AF77" s="139">
        <f t="shared" si="50"/>
        <v>394.3</v>
      </c>
      <c r="AG77" s="140" t="str">
        <f t="shared" si="51"/>
        <v>TOOLS &amp; OTHER EQUIPMENT</v>
      </c>
      <c r="AH77" s="123">
        <f t="shared" si="52"/>
        <v>7</v>
      </c>
      <c r="AI77" s="123">
        <f t="shared" si="53"/>
        <v>1827958.78</v>
      </c>
      <c r="AJ77" s="123">
        <f t="shared" si="54"/>
        <v>1025997</v>
      </c>
      <c r="AK77" s="123">
        <f t="shared" si="55"/>
        <v>382976</v>
      </c>
      <c r="AL77" s="123">
        <f t="shared" si="56"/>
        <v>1206</v>
      </c>
      <c r="AM77" s="123">
        <f t="shared" si="57"/>
        <v>804</v>
      </c>
      <c r="AN77" s="123">
        <f t="shared" si="58"/>
        <v>416976</v>
      </c>
      <c r="AO77" s="123">
        <f t="shared" si="59"/>
        <v>0</v>
      </c>
      <c r="AP77" s="123">
        <f t="shared" si="60"/>
        <v>0</v>
      </c>
      <c r="AQ77" s="123">
        <f t="shared" si="61"/>
        <v>0</v>
      </c>
      <c r="AR77" s="123">
        <f t="shared" si="62"/>
        <v>0</v>
      </c>
    </row>
    <row r="78" spans="1:44" ht="12.75">
      <c r="A78" s="145"/>
      <c r="B78" s="122"/>
      <c r="C78" s="122"/>
      <c r="D78" s="122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22"/>
      <c r="Q78" s="122"/>
      <c r="AE78" s="125">
        <f t="shared" si="34"/>
        <v>26</v>
      </c>
      <c r="AF78" s="139">
        <f t="shared" si="50"/>
        <v>395</v>
      </c>
      <c r="AG78" s="140" t="str">
        <f t="shared" si="51"/>
        <v>LABORATORY EQUIPMENT</v>
      </c>
      <c r="AH78" s="123">
        <f t="shared" si="52"/>
        <v>7</v>
      </c>
      <c r="AI78" s="123">
        <f t="shared" si="53"/>
        <v>10307.98</v>
      </c>
      <c r="AJ78" s="123">
        <f t="shared" si="54"/>
        <v>5786</v>
      </c>
      <c r="AK78" s="123">
        <f t="shared" si="55"/>
        <v>2160</v>
      </c>
      <c r="AL78" s="123">
        <f t="shared" si="56"/>
        <v>7</v>
      </c>
      <c r="AM78" s="123">
        <f t="shared" si="57"/>
        <v>5</v>
      </c>
      <c r="AN78" s="123">
        <f t="shared" si="58"/>
        <v>2351</v>
      </c>
      <c r="AO78" s="123">
        <f t="shared" si="59"/>
        <v>0</v>
      </c>
      <c r="AP78" s="123">
        <f t="shared" si="60"/>
        <v>0</v>
      </c>
      <c r="AQ78" s="123">
        <f t="shared" si="61"/>
        <v>0</v>
      </c>
      <c r="AR78" s="123">
        <f t="shared" si="62"/>
        <v>0</v>
      </c>
    </row>
    <row r="79" spans="1:44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45"/>
      <c r="L79" s="145"/>
      <c r="M79" s="145"/>
      <c r="N79" s="145"/>
      <c r="O79" s="145"/>
      <c r="P79" s="122"/>
      <c r="Q79" s="122"/>
      <c r="AE79" s="125">
        <f t="shared" si="34"/>
        <v>27</v>
      </c>
      <c r="AF79" s="139">
        <f t="shared" si="50"/>
        <v>396</v>
      </c>
      <c r="AG79" s="140" t="str">
        <f t="shared" si="51"/>
        <v>POWER OP EQUIP-GEN TOOLS</v>
      </c>
      <c r="AH79" s="123">
        <f t="shared" si="52"/>
        <v>7</v>
      </c>
      <c r="AI79" s="123">
        <f t="shared" si="53"/>
        <v>681428.81</v>
      </c>
      <c r="AJ79" s="123">
        <f t="shared" si="54"/>
        <v>382472</v>
      </c>
      <c r="AK79" s="123">
        <f t="shared" si="55"/>
        <v>142766</v>
      </c>
      <c r="AL79" s="123">
        <f t="shared" si="56"/>
        <v>450</v>
      </c>
      <c r="AM79" s="123">
        <f t="shared" si="57"/>
        <v>300</v>
      </c>
      <c r="AN79" s="123">
        <f t="shared" si="58"/>
        <v>155441</v>
      </c>
      <c r="AO79" s="123">
        <f t="shared" si="59"/>
        <v>0</v>
      </c>
      <c r="AP79" s="123">
        <f t="shared" si="60"/>
        <v>0</v>
      </c>
      <c r="AQ79" s="123">
        <f t="shared" si="61"/>
        <v>0</v>
      </c>
      <c r="AR79" s="123">
        <f t="shared" si="62"/>
        <v>0</v>
      </c>
    </row>
    <row r="80" spans="1:44" ht="12.75">
      <c r="A80" s="144" t="s">
        <v>0</v>
      </c>
      <c r="B80" s="144" t="s">
        <v>0</v>
      </c>
      <c r="C80" s="144" t="s">
        <v>0</v>
      </c>
      <c r="D80" s="144" t="s">
        <v>0</v>
      </c>
      <c r="E80" s="144" t="s">
        <v>0</v>
      </c>
      <c r="F80" s="144" t="s">
        <v>0</v>
      </c>
      <c r="G80" s="144" t="s">
        <v>0</v>
      </c>
      <c r="H80" s="144" t="s">
        <v>0</v>
      </c>
      <c r="I80" s="144" t="s">
        <v>0</v>
      </c>
      <c r="J80" s="144" t="s">
        <v>0</v>
      </c>
      <c r="K80" s="144" t="s">
        <v>0</v>
      </c>
      <c r="L80" s="144" t="s">
        <v>0</v>
      </c>
      <c r="M80" s="144" t="s">
        <v>0</v>
      </c>
      <c r="N80" s="122"/>
      <c r="O80" s="122"/>
      <c r="P80" s="122"/>
      <c r="Q80" s="122"/>
      <c r="AE80" s="125">
        <f t="shared" si="34"/>
        <v>28</v>
      </c>
      <c r="AF80" s="139">
        <f t="shared" si="50"/>
        <v>397.5</v>
      </c>
      <c r="AG80" s="140" t="str">
        <f t="shared" si="51"/>
        <v>COMMUNICATION EQUIP - TELEMETERING</v>
      </c>
      <c r="AH80" s="123">
        <f t="shared" si="52"/>
        <v>7</v>
      </c>
      <c r="AI80" s="123">
        <f t="shared" si="53"/>
        <v>0</v>
      </c>
      <c r="AJ80" s="123">
        <f t="shared" si="54"/>
        <v>0</v>
      </c>
      <c r="AK80" s="123">
        <f t="shared" si="55"/>
        <v>0</v>
      </c>
      <c r="AL80" s="123">
        <f t="shared" si="56"/>
        <v>0</v>
      </c>
      <c r="AM80" s="123">
        <f t="shared" si="57"/>
        <v>0</v>
      </c>
      <c r="AN80" s="123">
        <f t="shared" si="58"/>
        <v>0</v>
      </c>
      <c r="AO80" s="123">
        <f t="shared" si="59"/>
        <v>0</v>
      </c>
      <c r="AP80" s="123">
        <f t="shared" si="60"/>
        <v>0</v>
      </c>
      <c r="AQ80" s="123">
        <f t="shared" si="61"/>
        <v>0</v>
      </c>
      <c r="AR80" s="123">
        <f t="shared" si="62"/>
        <v>0</v>
      </c>
    </row>
    <row r="81" spans="1:44" ht="12.75">
      <c r="A81" s="122" t="s">
        <v>117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AE81" s="125">
        <f t="shared" si="34"/>
        <v>29</v>
      </c>
      <c r="AF81" s="139">
        <f t="shared" si="50"/>
        <v>398</v>
      </c>
      <c r="AG81" s="140" t="str">
        <f t="shared" si="51"/>
        <v>MISCELLANEOUS EQUIPMENT</v>
      </c>
      <c r="AH81" s="123">
        <f t="shared" si="52"/>
        <v>7</v>
      </c>
      <c r="AI81" s="141">
        <f t="shared" si="53"/>
        <v>99854.31</v>
      </c>
      <c r="AJ81" s="141">
        <f t="shared" si="54"/>
        <v>56046</v>
      </c>
      <c r="AK81" s="141">
        <f t="shared" si="55"/>
        <v>20920</v>
      </c>
      <c r="AL81" s="141">
        <f t="shared" si="56"/>
        <v>66</v>
      </c>
      <c r="AM81" s="141">
        <f t="shared" si="57"/>
        <v>44</v>
      </c>
      <c r="AN81" s="141">
        <f t="shared" si="58"/>
        <v>22778</v>
      </c>
      <c r="AO81" s="141">
        <f t="shared" si="59"/>
        <v>0</v>
      </c>
      <c r="AP81" s="141">
        <f t="shared" si="60"/>
        <v>0</v>
      </c>
      <c r="AQ81" s="141">
        <f t="shared" si="61"/>
        <v>0</v>
      </c>
      <c r="AR81" s="141">
        <f t="shared" si="62"/>
        <v>0</v>
      </c>
    </row>
    <row r="82" spans="1:44" ht="12.75">
      <c r="A82" s="144" t="s">
        <v>0</v>
      </c>
      <c r="B82" s="144" t="s">
        <v>0</v>
      </c>
      <c r="C82" s="144" t="s">
        <v>0</v>
      </c>
      <c r="D82" s="144" t="s">
        <v>0</v>
      </c>
      <c r="E82" s="144" t="s">
        <v>0</v>
      </c>
      <c r="F82" s="144" t="s">
        <v>0</v>
      </c>
      <c r="G82" s="144" t="s">
        <v>0</v>
      </c>
      <c r="H82" s="144" t="s">
        <v>0</v>
      </c>
      <c r="I82" s="144" t="s">
        <v>0</v>
      </c>
      <c r="J82" s="144" t="s">
        <v>0</v>
      </c>
      <c r="K82" s="144" t="s">
        <v>0</v>
      </c>
      <c r="L82" s="144" t="s">
        <v>0</v>
      </c>
      <c r="M82" s="144" t="s">
        <v>0</v>
      </c>
      <c r="N82" s="122"/>
      <c r="O82" s="122"/>
      <c r="P82" s="122"/>
      <c r="Q82" s="122"/>
      <c r="AE82" s="125">
        <f t="shared" si="34"/>
        <v>30</v>
      </c>
      <c r="AG82" s="140" t="s">
        <v>118</v>
      </c>
      <c r="AI82" s="141">
        <f aca="true" t="shared" si="63" ref="AI82:AR82">SUM(AI68:AI81)</f>
        <v>5078475.45</v>
      </c>
      <c r="AJ82" s="141">
        <f t="shared" si="63"/>
        <v>2850447</v>
      </c>
      <c r="AK82" s="141">
        <f t="shared" si="63"/>
        <v>1063991</v>
      </c>
      <c r="AL82" s="141">
        <f t="shared" si="63"/>
        <v>3351</v>
      </c>
      <c r="AM82" s="141">
        <f t="shared" si="63"/>
        <v>2236</v>
      </c>
      <c r="AN82" s="141">
        <f t="shared" si="63"/>
        <v>1158452</v>
      </c>
      <c r="AO82" s="141">
        <f t="shared" si="63"/>
        <v>0</v>
      </c>
      <c r="AP82" s="141">
        <f t="shared" si="63"/>
        <v>0</v>
      </c>
      <c r="AQ82" s="141">
        <f t="shared" si="63"/>
        <v>0</v>
      </c>
      <c r="AR82" s="141">
        <f t="shared" si="63"/>
        <v>0</v>
      </c>
    </row>
    <row r="83" spans="1:44" ht="12.75">
      <c r="A83" s="169" t="s">
        <v>119</v>
      </c>
      <c r="B83" s="122"/>
      <c r="C83" s="156" t="s">
        <v>120</v>
      </c>
      <c r="D83" s="156" t="s">
        <v>12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AE83" s="125">
        <f t="shared" si="34"/>
        <v>31</v>
      </c>
      <c r="AG83" s="140" t="s">
        <v>121</v>
      </c>
      <c r="AI83" s="123">
        <f aca="true" t="shared" si="64" ref="AI83:AR83">AI15+AI22+AI66+AI82</f>
        <v>249594248.99</v>
      </c>
      <c r="AJ83" s="123">
        <f t="shared" si="64"/>
        <v>140081494</v>
      </c>
      <c r="AK83" s="123">
        <f t="shared" si="64"/>
        <v>52276232</v>
      </c>
      <c r="AL83" s="123">
        <f t="shared" si="64"/>
        <v>163904</v>
      </c>
      <c r="AM83" s="123">
        <f t="shared" si="64"/>
        <v>108738</v>
      </c>
      <c r="AN83" s="123">
        <f t="shared" si="64"/>
        <v>56963881</v>
      </c>
      <c r="AO83" s="123">
        <f t="shared" si="64"/>
        <v>0</v>
      </c>
      <c r="AP83" s="123">
        <f t="shared" si="64"/>
        <v>0</v>
      </c>
      <c r="AQ83" s="123">
        <f t="shared" si="64"/>
        <v>0</v>
      </c>
      <c r="AR83" s="123">
        <f t="shared" si="64"/>
        <v>0</v>
      </c>
    </row>
    <row r="84" spans="1:17" ht="12.75">
      <c r="A84" s="169" t="s">
        <v>122</v>
      </c>
      <c r="B84" s="122"/>
      <c r="C84" s="156" t="s">
        <v>14</v>
      </c>
      <c r="D84" s="156" t="s">
        <v>15</v>
      </c>
      <c r="E84" s="122" t="str">
        <f>$C$35</f>
        <v>GS-RES.</v>
      </c>
      <c r="F84" s="122" t="str">
        <f>$C$36</f>
        <v>GS-OTHER</v>
      </c>
      <c r="G84" s="156" t="str">
        <f>$C$37</f>
        <v>IUS</v>
      </c>
      <c r="H84" s="122" t="str">
        <f>$C$38</f>
        <v>DS-ML/SC</v>
      </c>
      <c r="I84" s="122" t="str">
        <f>$C$39</f>
        <v>DS/IS/SS</v>
      </c>
      <c r="J84" s="122" t="str">
        <f>$C$40</f>
        <v>NOT USED</v>
      </c>
      <c r="K84" s="122" t="str">
        <f>$C$41</f>
        <v>NOT USED</v>
      </c>
      <c r="L84" s="122" t="str">
        <f>$C$42</f>
        <v>NOT USED</v>
      </c>
      <c r="M84" s="122" t="str">
        <f>$C$43</f>
        <v>NOT USED</v>
      </c>
      <c r="O84" s="122"/>
      <c r="P84" s="122"/>
      <c r="Q84" s="122"/>
    </row>
    <row r="85" spans="1:43" ht="12.75">
      <c r="A85" s="170">
        <v>151</v>
      </c>
      <c r="B85" s="145" t="s">
        <v>123</v>
      </c>
      <c r="C85" s="146">
        <v>2</v>
      </c>
      <c r="D85" s="148">
        <v>0</v>
      </c>
      <c r="E85" s="122"/>
      <c r="F85" s="122"/>
      <c r="G85" s="122"/>
      <c r="H85" s="122"/>
      <c r="I85" s="122"/>
      <c r="J85" s="122"/>
      <c r="K85" s="122"/>
      <c r="M85" s="122"/>
      <c r="P85" s="122"/>
      <c r="Q85" s="122"/>
      <c r="AG85" s="124"/>
      <c r="AK85" s="125" t="str">
        <f>""&amp;+$B$24</f>
        <v>COLUMBIA GAS OF KENTUCKY, INC.</v>
      </c>
      <c r="AQ85" s="123" t="str">
        <f>$B$25</f>
        <v>D/C STUDY</v>
      </c>
    </row>
    <row r="86" spans="1:43" ht="12.75">
      <c r="A86" s="170">
        <v>190</v>
      </c>
      <c r="B86" s="145" t="s">
        <v>124</v>
      </c>
      <c r="C86" s="146">
        <v>19</v>
      </c>
      <c r="D86" s="148">
        <v>4193252</v>
      </c>
      <c r="E86" s="122"/>
      <c r="F86" s="122"/>
      <c r="G86" s="122"/>
      <c r="H86" s="122"/>
      <c r="I86" s="122"/>
      <c r="J86" s="122"/>
      <c r="K86" s="122"/>
      <c r="M86" s="122"/>
      <c r="P86" s="122"/>
      <c r="Q86" s="122"/>
      <c r="AE86" s="123" t="str">
        <f>$B$30</f>
        <v>DEMAND-COMMODITY</v>
      </c>
      <c r="AK86" s="125" t="s">
        <v>125</v>
      </c>
      <c r="AQ86" s="123" t="str">
        <f>"PAGE 6 OF "&amp;FIXED($B$31,0,TRUE)</f>
        <v>PAGE 6 OF 28</v>
      </c>
    </row>
    <row r="87" spans="1:44" ht="12.75">
      <c r="A87" s="170">
        <v>252</v>
      </c>
      <c r="B87" s="145" t="s">
        <v>126</v>
      </c>
      <c r="C87" s="146">
        <v>7</v>
      </c>
      <c r="D87" s="148">
        <v>163698</v>
      </c>
      <c r="E87" s="145"/>
      <c r="F87" s="145"/>
      <c r="G87" s="145"/>
      <c r="H87" s="145"/>
      <c r="I87" s="145"/>
      <c r="J87" s="145"/>
      <c r="K87" s="145"/>
      <c r="M87" s="145"/>
      <c r="P87" s="122"/>
      <c r="Q87" s="122"/>
      <c r="AE87" s="128" t="str">
        <f>$B$29</f>
        <v>HISTORIC PERIOD - ORIGINAL FILING</v>
      </c>
      <c r="AF87" s="128"/>
      <c r="AG87" s="128"/>
      <c r="AH87" s="129"/>
      <c r="AI87" s="129"/>
      <c r="AJ87" s="128"/>
      <c r="AK87" s="130" t="str">
        <f>"FOR THE TWELVE MONTHS ENDED "&amp;$B$27</f>
        <v>FOR THE TWELVE MONTHS ENDED 09/30/2006</v>
      </c>
      <c r="AL87" s="128"/>
      <c r="AM87" s="128"/>
      <c r="AN87" s="128"/>
      <c r="AO87" s="128"/>
      <c r="AP87" s="128"/>
      <c r="AQ87" s="128" t="str">
        <f>"WITNESS: "&amp;$B$28</f>
        <v>WITNESS: R. GIBBONS</v>
      </c>
      <c r="AR87" s="131"/>
    </row>
    <row r="88" spans="1:44" ht="12.75">
      <c r="A88" s="170">
        <v>255</v>
      </c>
      <c r="B88" s="145" t="s">
        <v>127</v>
      </c>
      <c r="C88" s="146">
        <v>19</v>
      </c>
      <c r="D88" s="148">
        <v>0</v>
      </c>
      <c r="E88" s="122"/>
      <c r="F88" s="122"/>
      <c r="G88" s="122"/>
      <c r="H88" s="122"/>
      <c r="I88" s="122"/>
      <c r="J88" s="122"/>
      <c r="K88" s="122"/>
      <c r="M88" s="122"/>
      <c r="N88" s="122"/>
      <c r="P88" s="122"/>
      <c r="Q88" s="122"/>
      <c r="AE88" s="125" t="s">
        <v>9</v>
      </c>
      <c r="AF88" s="123" t="s">
        <v>10</v>
      </c>
      <c r="AH88" s="125" t="s">
        <v>11</v>
      </c>
      <c r="AI88" s="125" t="s">
        <v>12</v>
      </c>
      <c r="AJ88" s="125"/>
      <c r="AK88" s="125"/>
      <c r="AL88" s="125"/>
      <c r="AM88" s="125"/>
      <c r="AN88" s="125"/>
      <c r="AO88" s="125"/>
      <c r="AP88" s="125"/>
      <c r="AQ88" s="125"/>
      <c r="AR88" s="125"/>
    </row>
    <row r="89" spans="1:44" ht="12.75">
      <c r="A89" s="170">
        <v>282</v>
      </c>
      <c r="B89" s="145" t="s">
        <v>124</v>
      </c>
      <c r="C89" s="146">
        <v>19</v>
      </c>
      <c r="D89" s="148">
        <v>22025497</v>
      </c>
      <c r="E89" s="122"/>
      <c r="F89" s="122"/>
      <c r="G89" s="122"/>
      <c r="H89" s="122"/>
      <c r="I89" s="122"/>
      <c r="J89" s="122"/>
      <c r="K89" s="122"/>
      <c r="M89" s="122"/>
      <c r="N89" s="122"/>
      <c r="O89" s="122"/>
      <c r="P89" s="122"/>
      <c r="Q89" s="122"/>
      <c r="AE89" s="133" t="s">
        <v>13</v>
      </c>
      <c r="AF89" s="133" t="s">
        <v>13</v>
      </c>
      <c r="AG89" s="171" t="str">
        <f>AG5</f>
        <v> ACCOUNT TITLE</v>
      </c>
      <c r="AH89" s="133" t="s">
        <v>14</v>
      </c>
      <c r="AI89" s="133" t="s">
        <v>15</v>
      </c>
      <c r="AJ89" s="133" t="str">
        <f>"  "&amp;+$C$35</f>
        <v>  GS-RES.</v>
      </c>
      <c r="AK89" s="133" t="str">
        <f>$C$36</f>
        <v>GS-OTHER</v>
      </c>
      <c r="AL89" s="133" t="str">
        <f>$C$37</f>
        <v>IUS</v>
      </c>
      <c r="AM89" s="133" t="str">
        <f>$C$38</f>
        <v>DS-ML/SC</v>
      </c>
      <c r="AN89" s="133" t="str">
        <f>$C$39</f>
        <v>DS/IS/SS</v>
      </c>
      <c r="AO89" s="133" t="str">
        <f>$C$40</f>
        <v>NOT USED</v>
      </c>
      <c r="AP89" s="133" t="str">
        <f>$C$41</f>
        <v>NOT USED</v>
      </c>
      <c r="AQ89" s="133" t="str">
        <f>$C$42</f>
        <v>NOT USED</v>
      </c>
      <c r="AR89" s="133" t="str">
        <f>$C$43</f>
        <v>NOT USED</v>
      </c>
    </row>
    <row r="90" spans="1:44" ht="12.75">
      <c r="A90" s="170">
        <v>283</v>
      </c>
      <c r="B90" s="145" t="s">
        <v>124</v>
      </c>
      <c r="C90" s="146">
        <v>19</v>
      </c>
      <c r="D90" s="148">
        <v>103963</v>
      </c>
      <c r="E90" s="122"/>
      <c r="F90" s="122"/>
      <c r="G90" s="122"/>
      <c r="H90" s="122"/>
      <c r="I90" s="122"/>
      <c r="J90" s="122"/>
      <c r="K90" s="122"/>
      <c r="M90" s="122"/>
      <c r="N90" s="122"/>
      <c r="O90" s="122"/>
      <c r="P90" s="122"/>
      <c r="Q90" s="122"/>
      <c r="AE90" s="125"/>
      <c r="AF90" s="136" t="s">
        <v>17</v>
      </c>
      <c r="AG90" s="136" t="s">
        <v>18</v>
      </c>
      <c r="AH90" s="125" t="s">
        <v>19</v>
      </c>
      <c r="AI90" s="125" t="s">
        <v>20</v>
      </c>
      <c r="AJ90" s="125" t="s">
        <v>21</v>
      </c>
      <c r="AK90" s="125" t="s">
        <v>22</v>
      </c>
      <c r="AL90" s="125" t="s">
        <v>23</v>
      </c>
      <c r="AM90" s="125" t="s">
        <v>24</v>
      </c>
      <c r="AN90" s="125" t="s">
        <v>25</v>
      </c>
      <c r="AO90" s="125" t="s">
        <v>26</v>
      </c>
      <c r="AP90" s="125" t="s">
        <v>27</v>
      </c>
      <c r="AQ90" s="125" t="s">
        <v>28</v>
      </c>
      <c r="AR90" s="125" t="s">
        <v>29</v>
      </c>
    </row>
    <row r="91" spans="1:44" ht="12.75">
      <c r="A91" s="170">
        <v>186</v>
      </c>
      <c r="B91" s="145" t="s">
        <v>128</v>
      </c>
      <c r="C91" s="146">
        <v>7</v>
      </c>
      <c r="D91" s="148">
        <v>88123</v>
      </c>
      <c r="E91" s="122"/>
      <c r="F91" s="122"/>
      <c r="G91" s="122"/>
      <c r="H91" s="122"/>
      <c r="I91" s="122"/>
      <c r="J91" s="122"/>
      <c r="K91" s="122"/>
      <c r="M91" s="122"/>
      <c r="N91" s="122"/>
      <c r="O91" s="122"/>
      <c r="P91" s="122"/>
      <c r="Q91" s="122"/>
      <c r="AE91" s="125"/>
      <c r="AI91" s="125" t="s">
        <v>32</v>
      </c>
      <c r="AJ91" s="125" t="s">
        <v>32</v>
      </c>
      <c r="AK91" s="125" t="s">
        <v>32</v>
      </c>
      <c r="AL91" s="125" t="s">
        <v>32</v>
      </c>
      <c r="AM91" s="125" t="s">
        <v>32</v>
      </c>
      <c r="AN91" s="125" t="s">
        <v>32</v>
      </c>
      <c r="AO91" s="125" t="s">
        <v>32</v>
      </c>
      <c r="AP91" s="125" t="s">
        <v>32</v>
      </c>
      <c r="AQ91" s="125" t="s">
        <v>32</v>
      </c>
      <c r="AR91" s="125" t="s">
        <v>32</v>
      </c>
    </row>
    <row r="92" spans="1:33" ht="12.75">
      <c r="A92" s="170">
        <v>165</v>
      </c>
      <c r="B92" s="145" t="s">
        <v>129</v>
      </c>
      <c r="C92" s="146">
        <v>13</v>
      </c>
      <c r="D92" s="148">
        <v>344194</v>
      </c>
      <c r="E92" s="122"/>
      <c r="F92" s="122"/>
      <c r="G92" s="122"/>
      <c r="H92" s="122"/>
      <c r="I92" s="122"/>
      <c r="J92" s="122"/>
      <c r="K92" s="122"/>
      <c r="M92" s="122"/>
      <c r="N92" s="122"/>
      <c r="O92" s="122"/>
      <c r="P92" s="122"/>
      <c r="Q92" s="122"/>
      <c r="AE92" s="125">
        <v>1</v>
      </c>
      <c r="AG92" s="123" t="str">
        <f>A102</f>
        <v>INTANGIBLE PLANT</v>
      </c>
    </row>
    <row r="93" spans="1:31" ht="12.75">
      <c r="A93" s="170">
        <v>164</v>
      </c>
      <c r="B93" s="145" t="s">
        <v>130</v>
      </c>
      <c r="C93" s="146">
        <v>2</v>
      </c>
      <c r="D93" s="148">
        <v>47790396</v>
      </c>
      <c r="E93" s="122"/>
      <c r="F93" s="122"/>
      <c r="G93" s="122"/>
      <c r="H93" s="122"/>
      <c r="I93" s="122"/>
      <c r="J93" s="122"/>
      <c r="K93" s="122"/>
      <c r="M93" s="122"/>
      <c r="N93" s="122"/>
      <c r="O93" s="122"/>
      <c r="P93" s="122"/>
      <c r="Q93" s="122"/>
      <c r="AE93" s="125"/>
    </row>
    <row r="94" spans="1:44" ht="12.75">
      <c r="A94" s="170" t="s">
        <v>2</v>
      </c>
      <c r="B94" s="145" t="s">
        <v>2</v>
      </c>
      <c r="C94" s="146">
        <v>12</v>
      </c>
      <c r="D94" s="148">
        <v>0</v>
      </c>
      <c r="E94" s="122"/>
      <c r="F94" s="122"/>
      <c r="G94" s="122"/>
      <c r="H94" s="122"/>
      <c r="I94" s="122"/>
      <c r="J94" s="122"/>
      <c r="K94" s="122"/>
      <c r="M94" s="122"/>
      <c r="N94" s="122"/>
      <c r="O94" s="122"/>
      <c r="P94" s="122"/>
      <c r="Q94" s="122"/>
      <c r="AE94" s="125">
        <f>AE92+1</f>
        <v>2</v>
      </c>
      <c r="AF94" s="139">
        <f aca="true" t="shared" si="65" ref="AF94:AH98">A103</f>
        <v>301</v>
      </c>
      <c r="AG94" s="123" t="str">
        <f t="shared" si="65"/>
        <v>ORGANIZATION</v>
      </c>
      <c r="AH94" s="123">
        <f t="shared" si="65"/>
        <v>7</v>
      </c>
      <c r="AI94" s="123">
        <f>F103</f>
        <v>0</v>
      </c>
      <c r="AJ94" s="123">
        <f>ROUND((VLOOKUP($AH94,$A$661:$Y$709,13)*$AI94),0)</f>
        <v>0</v>
      </c>
      <c r="AK94" s="123">
        <f>ROUND((VLOOKUP($AH94,$A$661:$Y$709,14)*$AI94),0)</f>
        <v>0</v>
      </c>
      <c r="AL94" s="123">
        <f>ROUND((VLOOKUP($AH94,$A$661:$Y$709,15)*$AI94),0)</f>
        <v>0</v>
      </c>
      <c r="AM94" s="123">
        <f>ROUND((VLOOKUP($AH94,$A$661:$Y$709,16)*$AI94),0)</f>
        <v>0</v>
      </c>
      <c r="AN94" s="123">
        <f>ROUND((VLOOKUP($AH94,$A$661:$Y$709,17)*$AI94),0)</f>
        <v>0</v>
      </c>
      <c r="AO94" s="123">
        <f>ROUND((VLOOKUP($AH94,$A$661:$Y$709,18)*$AI94),0)</f>
        <v>0</v>
      </c>
      <c r="AP94" s="123">
        <f>ROUND((VLOOKUP($AH94,$A$661:$Y$709,19)*$AI94),0)</f>
        <v>0</v>
      </c>
      <c r="AQ94" s="123">
        <f>ROUND((VLOOKUP($AH94,$A$661:$Y$709,20)*$AI94),0)</f>
        <v>0</v>
      </c>
      <c r="AR94" s="123">
        <f>ROUND((VLOOKUP($AH94,$A$661:$Y$709,21)*$AI94),0)</f>
        <v>0</v>
      </c>
    </row>
    <row r="95" spans="2:44" ht="12.75">
      <c r="B95" s="145" t="s">
        <v>2</v>
      </c>
      <c r="C95" s="146">
        <v>12</v>
      </c>
      <c r="D95" s="148">
        <v>0</v>
      </c>
      <c r="E95" s="122"/>
      <c r="F95" s="122"/>
      <c r="G95" s="122"/>
      <c r="H95" s="122"/>
      <c r="I95" s="122"/>
      <c r="J95" s="122"/>
      <c r="K95" s="122"/>
      <c r="M95" s="122"/>
      <c r="N95" s="122"/>
      <c r="O95" s="122"/>
      <c r="P95" s="122"/>
      <c r="Q95" s="122"/>
      <c r="AE95" s="125">
        <f>AE94+1</f>
        <v>3</v>
      </c>
      <c r="AF95" s="139">
        <f t="shared" si="65"/>
        <v>303</v>
      </c>
      <c r="AG95" s="123" t="str">
        <f t="shared" si="65"/>
        <v>MISC. INTANGIBLE PLANT</v>
      </c>
      <c r="AH95" s="123">
        <f t="shared" si="65"/>
        <v>7</v>
      </c>
      <c r="AI95" s="123">
        <f>F104</f>
        <v>0</v>
      </c>
      <c r="AJ95" s="123">
        <f>ROUND((VLOOKUP($AH95,$A$661:$Y$709,13)*$AI95),0)</f>
        <v>0</v>
      </c>
      <c r="AK95" s="123">
        <f>ROUND((VLOOKUP($AH95,$A$661:$Y$709,14)*$AI95),0)</f>
        <v>0</v>
      </c>
      <c r="AL95" s="123">
        <f>ROUND((VLOOKUP($AH95,$A$661:$Y$709,15)*$AI95),0)</f>
        <v>0</v>
      </c>
      <c r="AM95" s="123">
        <f>ROUND((VLOOKUP($AH95,$A$661:$Y$709,16)*$AI95),0)</f>
        <v>0</v>
      </c>
      <c r="AN95" s="123">
        <f>ROUND((VLOOKUP($AH95,$A$661:$Y$709,17)*$AI95),0)</f>
        <v>0</v>
      </c>
      <c r="AO95" s="123">
        <f>ROUND((VLOOKUP($AH95,$A$661:$Y$709,18)*$AI95),0)</f>
        <v>0</v>
      </c>
      <c r="AP95" s="123">
        <f>ROUND((VLOOKUP($AH95,$A$661:$Y$709,19)*$AI95),0)</f>
        <v>0</v>
      </c>
      <c r="AQ95" s="123">
        <f>ROUND((VLOOKUP($AH95,$A$661:$Y$709,20)*$AI95),0)</f>
        <v>0</v>
      </c>
      <c r="AR95" s="123">
        <f>ROUND((VLOOKUP($AH95,$A$661:$Y$709,21)*$AI95),0)</f>
        <v>0</v>
      </c>
    </row>
    <row r="96" spans="15:44" ht="12.75">
      <c r="O96" s="122"/>
      <c r="P96" s="122"/>
      <c r="Q96" s="122"/>
      <c r="AE96" s="125">
        <f>AE95+1</f>
        <v>4</v>
      </c>
      <c r="AF96" s="139">
        <f t="shared" si="65"/>
        <v>303.1</v>
      </c>
      <c r="AG96" s="123" t="str">
        <f t="shared" si="65"/>
        <v>DIS SOFTWARE</v>
      </c>
      <c r="AH96" s="123">
        <f t="shared" si="65"/>
        <v>7</v>
      </c>
      <c r="AI96" s="123">
        <f>F105</f>
        <v>0</v>
      </c>
      <c r="AJ96" s="123">
        <f>ROUND((VLOOKUP($AH96,$A$661:$Y$709,13)*$AI96),0)</f>
        <v>0</v>
      </c>
      <c r="AK96" s="123">
        <f>ROUND((VLOOKUP($AH96,$A$661:$Y$709,14)*$AI96),0)</f>
        <v>0</v>
      </c>
      <c r="AL96" s="123">
        <f>ROUND((VLOOKUP($AH96,$A$661:$Y$709,15)*$AI96),0)</f>
        <v>0</v>
      </c>
      <c r="AM96" s="123">
        <f>ROUND((VLOOKUP($AH96,$A$661:$Y$709,16)*$AI96),0)</f>
        <v>0</v>
      </c>
      <c r="AN96" s="123">
        <f>ROUND((VLOOKUP($AH96,$A$661:$Y$709,17)*$AI96),0)</f>
        <v>0</v>
      </c>
      <c r="AO96" s="123">
        <f>ROUND((VLOOKUP($AH96,$A$661:$Y$709,18)*$AI96),0)</f>
        <v>0</v>
      </c>
      <c r="AP96" s="123">
        <f>ROUND((VLOOKUP($AH96,$A$661:$Y$709,19)*$AI96),0)</f>
        <v>0</v>
      </c>
      <c r="AQ96" s="123">
        <f>ROUND((VLOOKUP($AH96,$A$661:$Y$709,20)*$AI96),0)</f>
        <v>0</v>
      </c>
      <c r="AR96" s="123">
        <f>ROUND((VLOOKUP($AH96,$A$661:$Y$709,21)*$AI96),0)</f>
        <v>0</v>
      </c>
    </row>
    <row r="97" spans="1:44" ht="12.75">
      <c r="A97" s="144" t="s">
        <v>0</v>
      </c>
      <c r="B97" s="144" t="s">
        <v>0</v>
      </c>
      <c r="C97" s="144" t="s">
        <v>0</v>
      </c>
      <c r="D97" s="144" t="s">
        <v>0</v>
      </c>
      <c r="E97" s="144" t="s">
        <v>0</v>
      </c>
      <c r="F97" s="144" t="s">
        <v>0</v>
      </c>
      <c r="G97" s="144" t="s">
        <v>0</v>
      </c>
      <c r="H97" s="144" t="s">
        <v>0</v>
      </c>
      <c r="I97" s="144" t="s">
        <v>0</v>
      </c>
      <c r="J97" s="144" t="s">
        <v>0</v>
      </c>
      <c r="K97" s="144" t="s">
        <v>0</v>
      </c>
      <c r="L97" s="144" t="s">
        <v>0</v>
      </c>
      <c r="M97" s="144" t="s">
        <v>0</v>
      </c>
      <c r="N97" s="144" t="s">
        <v>0</v>
      </c>
      <c r="O97" s="144" t="s">
        <v>0</v>
      </c>
      <c r="P97" s="122"/>
      <c r="Q97" s="122"/>
      <c r="AE97" s="125">
        <f>AE96+1</f>
        <v>5</v>
      </c>
      <c r="AF97" s="139">
        <f t="shared" si="65"/>
        <v>303.2</v>
      </c>
      <c r="AG97" s="123" t="str">
        <f t="shared" si="65"/>
        <v>FARA SOFTWARE</v>
      </c>
      <c r="AH97" s="123">
        <f t="shared" si="65"/>
        <v>7</v>
      </c>
      <c r="AI97" s="123">
        <f>F106</f>
        <v>0</v>
      </c>
      <c r="AJ97" s="123">
        <f>ROUND((VLOOKUP($AH97,$A$661:$Y$709,13)*$AI97),0)</f>
        <v>0</v>
      </c>
      <c r="AK97" s="123">
        <f>ROUND((VLOOKUP($AH97,$A$661:$Y$709,14)*$AI97),0)</f>
        <v>0</v>
      </c>
      <c r="AL97" s="123">
        <f>ROUND((VLOOKUP($AH97,$A$661:$Y$709,15)*$AI97),0)</f>
        <v>0</v>
      </c>
      <c r="AM97" s="123">
        <f>ROUND((VLOOKUP($AH97,$A$661:$Y$709,16)*$AI97),0)</f>
        <v>0</v>
      </c>
      <c r="AN97" s="123">
        <f>ROUND((VLOOKUP($AH97,$A$661:$Y$709,17)*$AI97),0)</f>
        <v>0</v>
      </c>
      <c r="AO97" s="123">
        <f>ROUND((VLOOKUP($AH97,$A$661:$Y$709,18)*$AI97),0)</f>
        <v>0</v>
      </c>
      <c r="AP97" s="123">
        <f>ROUND((VLOOKUP($AH97,$A$661:$Y$709,19)*$AI97),0)</f>
        <v>0</v>
      </c>
      <c r="AQ97" s="123">
        <f>ROUND((VLOOKUP($AH97,$A$661:$Y$709,20)*$AI97),0)</f>
        <v>0</v>
      </c>
      <c r="AR97" s="123">
        <f>ROUND((VLOOKUP($AH97,$A$661:$Y$709,21)*$AI97),0)</f>
        <v>0</v>
      </c>
    </row>
    <row r="98" spans="1:44" ht="12.75">
      <c r="A98" s="122" t="s">
        <v>131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AE98" s="125">
        <f>AE97+1</f>
        <v>6</v>
      </c>
      <c r="AF98" s="139">
        <f t="shared" si="65"/>
        <v>303.3</v>
      </c>
      <c r="AG98" s="123" t="str">
        <f t="shared" si="65"/>
        <v>OTHER SOFTWARE</v>
      </c>
      <c r="AH98" s="123">
        <f t="shared" si="65"/>
        <v>7</v>
      </c>
      <c r="AI98" s="141">
        <f>F107</f>
        <v>61758</v>
      </c>
      <c r="AJ98" s="141">
        <f>ROUND((VLOOKUP($AH98,$A$661:$Y$709,13)*$AI98),0)</f>
        <v>34664</v>
      </c>
      <c r="AK98" s="141">
        <f>ROUND((VLOOKUP($AH98,$A$661:$Y$709,14)*$AI98),0)</f>
        <v>12939</v>
      </c>
      <c r="AL98" s="141">
        <f>ROUND((VLOOKUP($AH98,$A$661:$Y$709,15)*$AI98),0)</f>
        <v>41</v>
      </c>
      <c r="AM98" s="141">
        <f>ROUND((VLOOKUP($AH98,$A$661:$Y$709,16)*$AI98),0)</f>
        <v>27</v>
      </c>
      <c r="AN98" s="141">
        <f>ROUND((VLOOKUP($AH98,$A$661:$Y$709,17)*$AI98),0)</f>
        <v>14088</v>
      </c>
      <c r="AO98" s="141">
        <f>ROUND((VLOOKUP($AH98,$A$661:$Y$709,18)*$AI98),0)</f>
        <v>0</v>
      </c>
      <c r="AP98" s="141">
        <f>ROUND((VLOOKUP($AH98,$A$661:$Y$709,19)*$AI98),0)</f>
        <v>0</v>
      </c>
      <c r="AQ98" s="141">
        <f>ROUND((VLOOKUP($AH98,$A$661:$Y$709,20)*$AI98),0)</f>
        <v>0</v>
      </c>
      <c r="AR98" s="141">
        <f>ROUND((VLOOKUP($AH98,$A$661:$Y$709,21)*$AI98),0)</f>
        <v>0</v>
      </c>
    </row>
    <row r="99" spans="1:44" ht="12.75">
      <c r="A99" s="144" t="s">
        <v>0</v>
      </c>
      <c r="B99" s="144" t="s">
        <v>0</v>
      </c>
      <c r="C99" s="144" t="s">
        <v>0</v>
      </c>
      <c r="D99" s="144" t="s">
        <v>0</v>
      </c>
      <c r="E99" s="144" t="s">
        <v>0</v>
      </c>
      <c r="F99" s="144" t="s">
        <v>0</v>
      </c>
      <c r="G99" s="144" t="s">
        <v>0</v>
      </c>
      <c r="H99" s="144" t="s">
        <v>0</v>
      </c>
      <c r="I99" s="144" t="s">
        <v>0</v>
      </c>
      <c r="J99" s="144" t="s">
        <v>0</v>
      </c>
      <c r="K99" s="144" t="s">
        <v>0</v>
      </c>
      <c r="L99" s="144" t="s">
        <v>0</v>
      </c>
      <c r="M99" s="144" t="s">
        <v>0</v>
      </c>
      <c r="N99" s="144" t="s">
        <v>0</v>
      </c>
      <c r="O99" s="144" t="s">
        <v>0</v>
      </c>
      <c r="P99" s="122"/>
      <c r="Q99" s="122"/>
      <c r="AE99" s="125">
        <f>AE98+1</f>
        <v>7</v>
      </c>
      <c r="AG99" s="123" t="s">
        <v>132</v>
      </c>
      <c r="AI99" s="123">
        <f aca="true" t="shared" si="66" ref="AI99:AR99">SUM(AI94:AI98)</f>
        <v>61758</v>
      </c>
      <c r="AJ99" s="123">
        <f t="shared" si="66"/>
        <v>34664</v>
      </c>
      <c r="AK99" s="123">
        <f t="shared" si="66"/>
        <v>12939</v>
      </c>
      <c r="AL99" s="123">
        <f t="shared" si="66"/>
        <v>41</v>
      </c>
      <c r="AM99" s="123">
        <f t="shared" si="66"/>
        <v>27</v>
      </c>
      <c r="AN99" s="123">
        <f t="shared" si="66"/>
        <v>14088</v>
      </c>
      <c r="AO99" s="123">
        <f t="shared" si="66"/>
        <v>0</v>
      </c>
      <c r="AP99" s="123">
        <f t="shared" si="66"/>
        <v>0</v>
      </c>
      <c r="AQ99" s="123">
        <f t="shared" si="66"/>
        <v>0</v>
      </c>
      <c r="AR99" s="123">
        <f t="shared" si="66"/>
        <v>0</v>
      </c>
    </row>
    <row r="100" spans="1:31" ht="12.75">
      <c r="A100" s="122"/>
      <c r="B100" s="122"/>
      <c r="C100" s="156" t="s">
        <v>120</v>
      </c>
      <c r="D100" s="156" t="s">
        <v>133</v>
      </c>
      <c r="E100" s="156" t="s">
        <v>134</v>
      </c>
      <c r="F100" s="156" t="s">
        <v>135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AE100" s="125"/>
    </row>
    <row r="101" spans="1:33" ht="12.75">
      <c r="A101" s="122"/>
      <c r="B101" s="122"/>
      <c r="C101" s="156" t="s">
        <v>14</v>
      </c>
      <c r="D101" s="156" t="s">
        <v>136</v>
      </c>
      <c r="E101" s="156" t="s">
        <v>136</v>
      </c>
      <c r="F101" s="122" t="s">
        <v>2</v>
      </c>
      <c r="G101" s="122" t="str">
        <f>$C$35</f>
        <v>GS-RES.</v>
      </c>
      <c r="H101" s="122" t="str">
        <f>$C$36</f>
        <v>GS-OTHER</v>
      </c>
      <c r="I101" s="156" t="str">
        <f>$C$37</f>
        <v>IUS</v>
      </c>
      <c r="J101" s="122" t="str">
        <f>$C$38</f>
        <v>DS-ML/SC</v>
      </c>
      <c r="K101" s="122" t="str">
        <f>$C$39</f>
        <v>DS/IS/SS</v>
      </c>
      <c r="L101" s="122" t="str">
        <f>$C$40</f>
        <v>NOT USED</v>
      </c>
      <c r="M101" s="122" t="str">
        <f>$C$41</f>
        <v>NOT USED</v>
      </c>
      <c r="N101" s="122" t="str">
        <f>$C$42</f>
        <v>NOT USED</v>
      </c>
      <c r="O101" s="122" t="str">
        <f>$C$43</f>
        <v>NOT USED</v>
      </c>
      <c r="P101" s="122"/>
      <c r="Q101" s="122"/>
      <c r="AE101" s="125">
        <f>AE99+1</f>
        <v>8</v>
      </c>
      <c r="AG101" s="140" t="str">
        <f>A108</f>
        <v>PRODUCTION PLANT</v>
      </c>
    </row>
    <row r="102" spans="1:31" ht="12.75">
      <c r="A102" s="122" t="s">
        <v>137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AE102" s="125"/>
    </row>
    <row r="103" spans="1:44" ht="12.75">
      <c r="A103" s="170">
        <v>301</v>
      </c>
      <c r="B103" s="145" t="s">
        <v>138</v>
      </c>
      <c r="C103" s="146">
        <v>7</v>
      </c>
      <c r="D103" s="148">
        <v>521.2</v>
      </c>
      <c r="E103" s="148">
        <v>0</v>
      </c>
      <c r="F103" s="148">
        <v>0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AE103" s="125">
        <f>AE101+1</f>
        <v>9</v>
      </c>
      <c r="AF103" s="139">
        <f aca="true" t="shared" si="67" ref="AF103:AH105">A109</f>
        <v>304.1</v>
      </c>
      <c r="AG103" s="123" t="str">
        <f t="shared" si="67"/>
        <v>LAND</v>
      </c>
      <c r="AH103" s="123">
        <f t="shared" si="67"/>
        <v>2</v>
      </c>
      <c r="AI103" s="123">
        <f>F109</f>
        <v>0</v>
      </c>
      <c r="AJ103" s="123">
        <f>ROUND((VLOOKUP($AH103,$A$661:$Y$709,13)*$AI103),0)</f>
        <v>0</v>
      </c>
      <c r="AK103" s="123">
        <f>ROUND((VLOOKUP($AH103,$A$661:$Y$709,14)*$AI103),0)</f>
        <v>0</v>
      </c>
      <c r="AL103" s="123">
        <f>ROUND((VLOOKUP($AH103,$A$661:$Y$709,15)*$AI103),0)</f>
        <v>0</v>
      </c>
      <c r="AM103" s="123">
        <f>ROUND((VLOOKUP($AH103,$A$661:$Y$709,16)*$AI103),0)</f>
        <v>0</v>
      </c>
      <c r="AN103" s="123">
        <f>ROUND((VLOOKUP($AH103,$A$661:$Y$709,17)*$AI103),0)</f>
        <v>0</v>
      </c>
      <c r="AO103" s="123">
        <f>ROUND((VLOOKUP($AH103,$A$661:$Y$709,18)*$AI103),0)</f>
        <v>0</v>
      </c>
      <c r="AP103" s="123">
        <f>ROUND((VLOOKUP($AH103,$A$661:$Y$709,19)*$AI103),0)</f>
        <v>0</v>
      </c>
      <c r="AQ103" s="123">
        <f>ROUND((VLOOKUP($AH103,$A$661:$Y$709,20)*$AI103),0)</f>
        <v>0</v>
      </c>
      <c r="AR103" s="123">
        <f>ROUND((VLOOKUP($AH103,$A$661:$Y$709,21)*$AI103),0)</f>
        <v>0</v>
      </c>
    </row>
    <row r="104" spans="1:44" ht="12.75">
      <c r="A104" s="170">
        <v>303</v>
      </c>
      <c r="B104" s="145" t="s">
        <v>775</v>
      </c>
      <c r="C104" s="146">
        <v>7</v>
      </c>
      <c r="D104" s="148">
        <v>149442.93</v>
      </c>
      <c r="E104" s="148">
        <v>0</v>
      </c>
      <c r="F104" s="148">
        <v>0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AE104" s="125">
        <f>AE103+1</f>
        <v>10</v>
      </c>
      <c r="AF104" s="139">
        <f t="shared" si="67"/>
        <v>305</v>
      </c>
      <c r="AG104" s="123" t="str">
        <f t="shared" si="67"/>
        <v>STRUCTURES &amp; IMPROVEMENTS</v>
      </c>
      <c r="AH104" s="123">
        <f t="shared" si="67"/>
        <v>2</v>
      </c>
      <c r="AI104" s="123">
        <f>F110</f>
        <v>0</v>
      </c>
      <c r="AJ104" s="123">
        <f>ROUND((VLOOKUP($AH104,$A$661:$Y$709,13)*$AI104),0)</f>
        <v>0</v>
      </c>
      <c r="AK104" s="123">
        <f>ROUND((VLOOKUP($AH104,$A$661:$Y$709,14)*$AI104),0)</f>
        <v>0</v>
      </c>
      <c r="AL104" s="123">
        <f>ROUND((VLOOKUP($AH104,$A$661:$Y$709,15)*$AI104),0)</f>
        <v>0</v>
      </c>
      <c r="AM104" s="123">
        <f>ROUND((VLOOKUP($AH104,$A$661:$Y$709,16)*$AI104),0)</f>
        <v>0</v>
      </c>
      <c r="AN104" s="123">
        <f>ROUND((VLOOKUP($AH104,$A$661:$Y$709,17)*$AI104),0)</f>
        <v>0</v>
      </c>
      <c r="AO104" s="123">
        <f>ROUND((VLOOKUP($AH104,$A$661:$Y$709,18)*$AI104),0)</f>
        <v>0</v>
      </c>
      <c r="AP104" s="123">
        <f>ROUND((VLOOKUP($AH104,$A$661:$Y$709,19)*$AI104),0)</f>
        <v>0</v>
      </c>
      <c r="AQ104" s="123">
        <f>ROUND((VLOOKUP($AH104,$A$661:$Y$709,20)*$AI104),0)</f>
        <v>0</v>
      </c>
      <c r="AR104" s="123">
        <f>ROUND((VLOOKUP($AH104,$A$661:$Y$709,21)*$AI104),0)</f>
        <v>0</v>
      </c>
    </row>
    <row r="105" spans="1:44" ht="12.75">
      <c r="A105" s="170">
        <v>303.1</v>
      </c>
      <c r="B105" s="145" t="s">
        <v>139</v>
      </c>
      <c r="C105" s="146">
        <v>7</v>
      </c>
      <c r="D105" s="148">
        <v>0</v>
      </c>
      <c r="E105" s="148">
        <v>0</v>
      </c>
      <c r="F105" s="148"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AE105" s="125">
        <f>AE104+1</f>
        <v>11</v>
      </c>
      <c r="AF105" s="139">
        <f t="shared" si="67"/>
        <v>311</v>
      </c>
      <c r="AG105" s="123" t="str">
        <f t="shared" si="67"/>
        <v>LIQUEFIED PETROLEUM GAS EQUIP</v>
      </c>
      <c r="AH105" s="123">
        <f t="shared" si="67"/>
        <v>2</v>
      </c>
      <c r="AI105" s="141">
        <f>F111</f>
        <v>0</v>
      </c>
      <c r="AJ105" s="141">
        <f>ROUND((VLOOKUP($AH105,$A$661:$Y$709,13)*$AI105),0)</f>
        <v>0</v>
      </c>
      <c r="AK105" s="141">
        <f>ROUND((VLOOKUP($AH105,$A$661:$Y$709,14)*$AI105),0)</f>
        <v>0</v>
      </c>
      <c r="AL105" s="141">
        <f>ROUND((VLOOKUP($AH105,$A$661:$Y$709,15)*$AI105),0)</f>
        <v>0</v>
      </c>
      <c r="AM105" s="141">
        <f>ROUND((VLOOKUP($AH105,$A$661:$Y$709,16)*$AI105),0)</f>
        <v>0</v>
      </c>
      <c r="AN105" s="141">
        <f>ROUND((VLOOKUP($AH105,$A$661:$Y$709,17)*$AI105),0)</f>
        <v>0</v>
      </c>
      <c r="AO105" s="141">
        <f>ROUND((VLOOKUP($AH105,$A$661:$Y$709,18)*$AI105),0)</f>
        <v>0</v>
      </c>
      <c r="AP105" s="141">
        <f>ROUND((VLOOKUP($AH105,$A$661:$Y$709,19)*$AI105),0)</f>
        <v>0</v>
      </c>
      <c r="AQ105" s="141">
        <f>ROUND((VLOOKUP($AH105,$A$661:$Y$709,20)*$AI105),0)</f>
        <v>0</v>
      </c>
      <c r="AR105" s="141">
        <f>ROUND((VLOOKUP($AH105,$A$661:$Y$709,21)*$AI105),0)</f>
        <v>0</v>
      </c>
    </row>
    <row r="106" spans="1:44" ht="12.75">
      <c r="A106" s="170">
        <v>303.2</v>
      </c>
      <c r="B106" s="145" t="s">
        <v>140</v>
      </c>
      <c r="C106" s="146">
        <v>7</v>
      </c>
      <c r="D106" s="148">
        <v>0</v>
      </c>
      <c r="E106" s="148">
        <v>0</v>
      </c>
      <c r="F106" s="148">
        <v>0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AE106" s="125">
        <f>AE105+1</f>
        <v>12</v>
      </c>
      <c r="AG106" s="123" t="s">
        <v>141</v>
      </c>
      <c r="AI106" s="123">
        <f aca="true" t="shared" si="68" ref="AI106:AR106">SUM(AI103:AI105)</f>
        <v>0</v>
      </c>
      <c r="AJ106" s="123">
        <f t="shared" si="68"/>
        <v>0</v>
      </c>
      <c r="AK106" s="123">
        <f t="shared" si="68"/>
        <v>0</v>
      </c>
      <c r="AL106" s="123">
        <f t="shared" si="68"/>
        <v>0</v>
      </c>
      <c r="AM106" s="123">
        <f t="shared" si="68"/>
        <v>0</v>
      </c>
      <c r="AN106" s="123">
        <f t="shared" si="68"/>
        <v>0</v>
      </c>
      <c r="AO106" s="123">
        <f t="shared" si="68"/>
        <v>0</v>
      </c>
      <c r="AP106" s="123">
        <f t="shared" si="68"/>
        <v>0</v>
      </c>
      <c r="AQ106" s="123">
        <f t="shared" si="68"/>
        <v>0</v>
      </c>
      <c r="AR106" s="123">
        <f t="shared" si="68"/>
        <v>0</v>
      </c>
    </row>
    <row r="107" spans="1:31" ht="12.75">
      <c r="A107" s="170">
        <v>303.3</v>
      </c>
      <c r="B107" s="145" t="s">
        <v>776</v>
      </c>
      <c r="C107" s="146">
        <v>7</v>
      </c>
      <c r="D107" s="148">
        <v>869095</v>
      </c>
      <c r="E107" s="148">
        <v>391146.73</v>
      </c>
      <c r="F107" s="148">
        <v>61758</v>
      </c>
      <c r="P107" s="122"/>
      <c r="AE107" s="125"/>
    </row>
    <row r="108" spans="1:33" ht="12.75">
      <c r="A108" s="122" t="s">
        <v>142</v>
      </c>
      <c r="B108" s="122"/>
      <c r="C108" s="132"/>
      <c r="D108" s="172"/>
      <c r="E108" s="173"/>
      <c r="F108" s="173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AE108" s="125">
        <f>AE106+1</f>
        <v>13</v>
      </c>
      <c r="AF108" s="139"/>
      <c r="AG108" s="140" t="str">
        <f>A112</f>
        <v>DISTRIBUTION PLANT</v>
      </c>
    </row>
    <row r="109" spans="1:31" ht="12.75">
      <c r="A109" s="170">
        <v>304.1</v>
      </c>
      <c r="B109" s="145" t="s">
        <v>143</v>
      </c>
      <c r="C109" s="146">
        <v>2</v>
      </c>
      <c r="D109" s="148">
        <v>7678.39</v>
      </c>
      <c r="E109" s="148">
        <v>0</v>
      </c>
      <c r="F109" s="148">
        <v>0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AE109" s="125"/>
    </row>
    <row r="110" spans="1:44" ht="12.75">
      <c r="A110" s="170">
        <v>305</v>
      </c>
      <c r="B110" s="145" t="s">
        <v>144</v>
      </c>
      <c r="C110" s="146">
        <v>2</v>
      </c>
      <c r="D110" s="174">
        <v>0</v>
      </c>
      <c r="E110" s="148">
        <v>0</v>
      </c>
      <c r="F110" s="148">
        <v>0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AE110" s="125">
        <f>AE108+1</f>
        <v>14</v>
      </c>
      <c r="AF110" s="139">
        <f aca="true" t="shared" si="69" ref="AF110:AF127">A113</f>
        <v>374.1</v>
      </c>
      <c r="AG110" s="140" t="str">
        <f aca="true" t="shared" si="70" ref="AG110:AG127">B113</f>
        <v>LAND - CITY GATE &amp; M/L IND M&amp;R</v>
      </c>
      <c r="AH110" s="123">
        <f aca="true" t="shared" si="71" ref="AH110:AH127">C113</f>
        <v>5</v>
      </c>
      <c r="AI110" s="123">
        <f aca="true" t="shared" si="72" ref="AI110:AI127">F113</f>
        <v>0</v>
      </c>
      <c r="AJ110" s="123">
        <f aca="true" t="shared" si="73" ref="AJ110:AJ127">ROUND((VLOOKUP($AH110,$A$661:$Y$709,13)*$AI110),0)</f>
        <v>0</v>
      </c>
      <c r="AK110" s="123">
        <f aca="true" t="shared" si="74" ref="AK110:AK127">ROUND((VLOOKUP($AH110,$A$661:$Y$709,14)*$AI110),0)</f>
        <v>0</v>
      </c>
      <c r="AL110" s="123">
        <f aca="true" t="shared" si="75" ref="AL110:AL127">ROUND((VLOOKUP($AH110,$A$661:$Y$709,15)*$AI110),0)</f>
        <v>0</v>
      </c>
      <c r="AM110" s="123">
        <f aca="true" t="shared" si="76" ref="AM110:AM127">ROUND((VLOOKUP($AH110,$A$661:$Y$709,16)*$AI110),0)</f>
        <v>0</v>
      </c>
      <c r="AN110" s="123">
        <f aca="true" t="shared" si="77" ref="AN110:AN127">ROUND((VLOOKUP($AH110,$A$661:$Y$709,17)*$AI110),0)</f>
        <v>0</v>
      </c>
      <c r="AO110" s="123">
        <f aca="true" t="shared" si="78" ref="AO110:AO127">ROUND((VLOOKUP($AH110,$A$661:$Y$709,18)*$AI110),0)</f>
        <v>0</v>
      </c>
      <c r="AP110" s="123">
        <f aca="true" t="shared" si="79" ref="AP110:AP127">ROUND((VLOOKUP($AH110,$A$661:$Y$709,19)*$AI110),0)</f>
        <v>0</v>
      </c>
      <c r="AQ110" s="123">
        <f aca="true" t="shared" si="80" ref="AQ110:AQ127">ROUND((VLOOKUP($AH110,$A$661:$Y$709,20)*$AI110),0)</f>
        <v>0</v>
      </c>
      <c r="AR110" s="123">
        <f aca="true" t="shared" si="81" ref="AR110:AR127">ROUND((VLOOKUP($AH110,$A$661:$Y$709,21)*$AI110),0)</f>
        <v>0</v>
      </c>
    </row>
    <row r="111" spans="1:44" ht="12.75">
      <c r="A111" s="170">
        <v>311</v>
      </c>
      <c r="B111" s="145" t="s">
        <v>145</v>
      </c>
      <c r="C111" s="146">
        <v>2</v>
      </c>
      <c r="D111" s="174">
        <v>0</v>
      </c>
      <c r="E111" s="148">
        <v>0</v>
      </c>
      <c r="F111" s="148">
        <v>0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AE111" s="125">
        <f aca="true" t="shared" si="82" ref="AE111:AE127">AE110+1</f>
        <v>15</v>
      </c>
      <c r="AF111" s="139">
        <f t="shared" si="69"/>
        <v>374.2</v>
      </c>
      <c r="AG111" s="140" t="str">
        <f t="shared" si="70"/>
        <v>LAND - OTHER DISTRIBUTION</v>
      </c>
      <c r="AH111" s="123">
        <f t="shared" si="71"/>
        <v>5</v>
      </c>
      <c r="AI111" s="123">
        <f t="shared" si="72"/>
        <v>0</v>
      </c>
      <c r="AJ111" s="123">
        <f t="shared" si="73"/>
        <v>0</v>
      </c>
      <c r="AK111" s="123">
        <f t="shared" si="74"/>
        <v>0</v>
      </c>
      <c r="AL111" s="123">
        <f t="shared" si="75"/>
        <v>0</v>
      </c>
      <c r="AM111" s="123">
        <f t="shared" si="76"/>
        <v>0</v>
      </c>
      <c r="AN111" s="123">
        <f t="shared" si="77"/>
        <v>0</v>
      </c>
      <c r="AO111" s="123">
        <f t="shared" si="78"/>
        <v>0</v>
      </c>
      <c r="AP111" s="123">
        <f t="shared" si="79"/>
        <v>0</v>
      </c>
      <c r="AQ111" s="123">
        <f t="shared" si="80"/>
        <v>0</v>
      </c>
      <c r="AR111" s="123">
        <f t="shared" si="81"/>
        <v>0</v>
      </c>
    </row>
    <row r="112" spans="1:44" ht="12.75">
      <c r="A112" s="175" t="s">
        <v>146</v>
      </c>
      <c r="B112" s="122"/>
      <c r="C112" s="132"/>
      <c r="D112" s="172"/>
      <c r="E112" s="173"/>
      <c r="F112" s="173"/>
      <c r="G112" s="145"/>
      <c r="H112" s="145"/>
      <c r="I112" s="145"/>
      <c r="J112" s="145"/>
      <c r="K112" s="145"/>
      <c r="L112" s="122"/>
      <c r="M112" s="122"/>
      <c r="N112" s="122"/>
      <c r="O112" s="122"/>
      <c r="P112" s="122"/>
      <c r="AE112" s="125">
        <f t="shared" si="82"/>
        <v>16</v>
      </c>
      <c r="AF112" s="139">
        <f t="shared" si="69"/>
        <v>374.4</v>
      </c>
      <c r="AG112" s="140" t="str">
        <f t="shared" si="70"/>
        <v>LAND RIGHTS - OTHER DISTRIBUTION</v>
      </c>
      <c r="AH112" s="123">
        <f t="shared" si="71"/>
        <v>5</v>
      </c>
      <c r="AI112" s="123">
        <f t="shared" si="72"/>
        <v>0</v>
      </c>
      <c r="AJ112" s="123">
        <f t="shared" si="73"/>
        <v>0</v>
      </c>
      <c r="AK112" s="123">
        <f t="shared" si="74"/>
        <v>0</v>
      </c>
      <c r="AL112" s="123">
        <f t="shared" si="75"/>
        <v>0</v>
      </c>
      <c r="AM112" s="123">
        <f t="shared" si="76"/>
        <v>0</v>
      </c>
      <c r="AN112" s="123">
        <f t="shared" si="77"/>
        <v>0</v>
      </c>
      <c r="AO112" s="123">
        <f t="shared" si="78"/>
        <v>0</v>
      </c>
      <c r="AP112" s="123">
        <f t="shared" si="79"/>
        <v>0</v>
      </c>
      <c r="AQ112" s="123">
        <f t="shared" si="80"/>
        <v>0</v>
      </c>
      <c r="AR112" s="123">
        <f t="shared" si="81"/>
        <v>0</v>
      </c>
    </row>
    <row r="113" spans="1:44" ht="12.75">
      <c r="A113" s="176">
        <v>374.1</v>
      </c>
      <c r="B113" s="145" t="s">
        <v>147</v>
      </c>
      <c r="C113" s="145">
        <f aca="true" t="shared" si="83" ref="C113:C119">$C$25</f>
        <v>5</v>
      </c>
      <c r="D113" s="148">
        <v>206</v>
      </c>
      <c r="E113" s="148">
        <v>0</v>
      </c>
      <c r="F113" s="148">
        <v>0</v>
      </c>
      <c r="G113" s="145"/>
      <c r="H113" s="145"/>
      <c r="I113" s="145"/>
      <c r="J113" s="145"/>
      <c r="K113" s="145"/>
      <c r="L113" s="122"/>
      <c r="M113" s="122"/>
      <c r="N113" s="122"/>
      <c r="O113" s="122"/>
      <c r="P113" s="122"/>
      <c r="AE113" s="125">
        <f t="shared" si="82"/>
        <v>17</v>
      </c>
      <c r="AF113" s="139">
        <f t="shared" si="69"/>
        <v>374.5</v>
      </c>
      <c r="AG113" s="140" t="str">
        <f t="shared" si="70"/>
        <v>RIGHTS OF WAY</v>
      </c>
      <c r="AH113" s="123">
        <f t="shared" si="71"/>
        <v>5</v>
      </c>
      <c r="AI113" s="123">
        <f t="shared" si="72"/>
        <v>0</v>
      </c>
      <c r="AJ113" s="123">
        <f t="shared" si="73"/>
        <v>0</v>
      </c>
      <c r="AK113" s="123">
        <f t="shared" si="74"/>
        <v>0</v>
      </c>
      <c r="AL113" s="123">
        <f t="shared" si="75"/>
        <v>0</v>
      </c>
      <c r="AM113" s="123">
        <f t="shared" si="76"/>
        <v>0</v>
      </c>
      <c r="AN113" s="123">
        <f t="shared" si="77"/>
        <v>0</v>
      </c>
      <c r="AO113" s="123">
        <f t="shared" si="78"/>
        <v>0</v>
      </c>
      <c r="AP113" s="123">
        <f t="shared" si="79"/>
        <v>0</v>
      </c>
      <c r="AQ113" s="123">
        <f t="shared" si="80"/>
        <v>0</v>
      </c>
      <c r="AR113" s="123">
        <f t="shared" si="81"/>
        <v>0</v>
      </c>
    </row>
    <row r="114" spans="1:44" ht="12.75">
      <c r="A114" s="176">
        <v>374.2</v>
      </c>
      <c r="B114" s="145" t="s">
        <v>148</v>
      </c>
      <c r="C114" s="145">
        <f t="shared" si="83"/>
        <v>5</v>
      </c>
      <c r="D114" s="148">
        <v>879349.11</v>
      </c>
      <c r="E114" s="148">
        <v>0</v>
      </c>
      <c r="F114" s="148">
        <v>0</v>
      </c>
      <c r="G114" s="145"/>
      <c r="H114" s="145"/>
      <c r="I114" s="145"/>
      <c r="J114" s="145"/>
      <c r="K114" s="145"/>
      <c r="L114" s="122"/>
      <c r="M114" s="122"/>
      <c r="N114" s="122"/>
      <c r="O114" s="122"/>
      <c r="P114" s="122"/>
      <c r="AE114" s="125">
        <f t="shared" si="82"/>
        <v>18</v>
      </c>
      <c r="AF114" s="139">
        <f t="shared" si="69"/>
        <v>375.2</v>
      </c>
      <c r="AG114" s="140" t="str">
        <f t="shared" si="70"/>
        <v>CITY GATE - MEAS &amp; REG STRUCTURES</v>
      </c>
      <c r="AH114" s="123">
        <f t="shared" si="71"/>
        <v>5</v>
      </c>
      <c r="AI114" s="123">
        <f t="shared" si="72"/>
        <v>0</v>
      </c>
      <c r="AJ114" s="123">
        <f t="shared" si="73"/>
        <v>0</v>
      </c>
      <c r="AK114" s="123">
        <f t="shared" si="74"/>
        <v>0</v>
      </c>
      <c r="AL114" s="123">
        <f t="shared" si="75"/>
        <v>0</v>
      </c>
      <c r="AM114" s="123">
        <f t="shared" si="76"/>
        <v>0</v>
      </c>
      <c r="AN114" s="123">
        <f t="shared" si="77"/>
        <v>0</v>
      </c>
      <c r="AO114" s="123">
        <f t="shared" si="78"/>
        <v>0</v>
      </c>
      <c r="AP114" s="123">
        <f t="shared" si="79"/>
        <v>0</v>
      </c>
      <c r="AQ114" s="123">
        <f t="shared" si="80"/>
        <v>0</v>
      </c>
      <c r="AR114" s="123">
        <f t="shared" si="81"/>
        <v>0</v>
      </c>
    </row>
    <row r="115" spans="1:44" ht="12.75">
      <c r="A115" s="176">
        <v>374.4</v>
      </c>
      <c r="B115" s="145" t="s">
        <v>149</v>
      </c>
      <c r="C115" s="145">
        <f t="shared" si="83"/>
        <v>5</v>
      </c>
      <c r="D115" s="148">
        <v>462276</v>
      </c>
      <c r="E115" s="148">
        <v>13977</v>
      </c>
      <c r="F115" s="148">
        <v>0</v>
      </c>
      <c r="G115" s="145"/>
      <c r="H115" s="145"/>
      <c r="I115" s="145"/>
      <c r="J115" s="145"/>
      <c r="K115" s="145"/>
      <c r="L115" s="122"/>
      <c r="M115" s="122"/>
      <c r="N115" s="122"/>
      <c r="O115" s="122"/>
      <c r="P115" s="122"/>
      <c r="AE115" s="125">
        <f t="shared" si="82"/>
        <v>19</v>
      </c>
      <c r="AF115" s="139">
        <f t="shared" si="69"/>
        <v>375.3</v>
      </c>
      <c r="AG115" s="140" t="str">
        <f t="shared" si="70"/>
        <v>STRUC &amp; IMPROV-GENERAL M&amp;R</v>
      </c>
      <c r="AH115" s="123">
        <f t="shared" si="71"/>
        <v>5</v>
      </c>
      <c r="AI115" s="123">
        <f t="shared" si="72"/>
        <v>0</v>
      </c>
      <c r="AJ115" s="123">
        <f t="shared" si="73"/>
        <v>0</v>
      </c>
      <c r="AK115" s="123">
        <f t="shared" si="74"/>
        <v>0</v>
      </c>
      <c r="AL115" s="123">
        <f t="shared" si="75"/>
        <v>0</v>
      </c>
      <c r="AM115" s="123">
        <f t="shared" si="76"/>
        <v>0</v>
      </c>
      <c r="AN115" s="123">
        <f t="shared" si="77"/>
        <v>0</v>
      </c>
      <c r="AO115" s="123">
        <f t="shared" si="78"/>
        <v>0</v>
      </c>
      <c r="AP115" s="123">
        <f t="shared" si="79"/>
        <v>0</v>
      </c>
      <c r="AQ115" s="123">
        <f t="shared" si="80"/>
        <v>0</v>
      </c>
      <c r="AR115" s="123">
        <f t="shared" si="81"/>
        <v>0</v>
      </c>
    </row>
    <row r="116" spans="1:44" ht="12.75">
      <c r="A116" s="176">
        <v>374.5</v>
      </c>
      <c r="B116" s="145" t="s">
        <v>150</v>
      </c>
      <c r="C116" s="145">
        <f t="shared" si="83"/>
        <v>5</v>
      </c>
      <c r="D116" s="148">
        <f>2673208-6250</f>
        <v>2666958</v>
      </c>
      <c r="E116" s="148">
        <v>1389.2</v>
      </c>
      <c r="F116" s="148">
        <v>0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22"/>
      <c r="AE116" s="125">
        <f t="shared" si="82"/>
        <v>20</v>
      </c>
      <c r="AF116" s="139">
        <f t="shared" si="69"/>
        <v>375.4</v>
      </c>
      <c r="AG116" s="140" t="str">
        <f t="shared" si="70"/>
        <v>STRUC &amp; IMPROV-REGULATING</v>
      </c>
      <c r="AH116" s="123">
        <f t="shared" si="71"/>
        <v>5</v>
      </c>
      <c r="AI116" s="123">
        <f t="shared" si="72"/>
        <v>0</v>
      </c>
      <c r="AJ116" s="123">
        <f t="shared" si="73"/>
        <v>0</v>
      </c>
      <c r="AK116" s="123">
        <f t="shared" si="74"/>
        <v>0</v>
      </c>
      <c r="AL116" s="123">
        <f t="shared" si="75"/>
        <v>0</v>
      </c>
      <c r="AM116" s="123">
        <f t="shared" si="76"/>
        <v>0</v>
      </c>
      <c r="AN116" s="123">
        <f t="shared" si="77"/>
        <v>0</v>
      </c>
      <c r="AO116" s="123">
        <f t="shared" si="78"/>
        <v>0</v>
      </c>
      <c r="AP116" s="123">
        <f t="shared" si="79"/>
        <v>0</v>
      </c>
      <c r="AQ116" s="123">
        <f t="shared" si="80"/>
        <v>0</v>
      </c>
      <c r="AR116" s="123">
        <f t="shared" si="81"/>
        <v>0</v>
      </c>
    </row>
    <row r="117" spans="1:44" ht="12.75">
      <c r="A117" s="176">
        <v>375.2</v>
      </c>
      <c r="B117" s="145" t="s">
        <v>151</v>
      </c>
      <c r="C117" s="145">
        <f t="shared" si="83"/>
        <v>5</v>
      </c>
      <c r="D117" s="148">
        <v>5249.05</v>
      </c>
      <c r="E117" s="148">
        <v>0</v>
      </c>
      <c r="F117" s="148">
        <v>0</v>
      </c>
      <c r="G117" s="145"/>
      <c r="H117" s="145"/>
      <c r="I117" s="145"/>
      <c r="J117" s="145"/>
      <c r="K117" s="145"/>
      <c r="L117" s="145"/>
      <c r="M117" s="145"/>
      <c r="N117" s="145"/>
      <c r="O117" s="145"/>
      <c r="P117" s="122"/>
      <c r="AE117" s="125">
        <f t="shared" si="82"/>
        <v>21</v>
      </c>
      <c r="AF117" s="139">
        <f t="shared" si="69"/>
        <v>375.6</v>
      </c>
      <c r="AG117" s="140" t="str">
        <f t="shared" si="70"/>
        <v>STRUC &amp; IMPROV-DIST. IND. M &amp; R</v>
      </c>
      <c r="AH117" s="123">
        <f t="shared" si="71"/>
        <v>8</v>
      </c>
      <c r="AI117" s="123">
        <f t="shared" si="72"/>
        <v>0</v>
      </c>
      <c r="AJ117" s="123">
        <f t="shared" si="73"/>
        <v>0</v>
      </c>
      <c r="AK117" s="123">
        <f t="shared" si="74"/>
        <v>0</v>
      </c>
      <c r="AL117" s="123">
        <f t="shared" si="75"/>
        <v>0</v>
      </c>
      <c r="AM117" s="123">
        <f t="shared" si="76"/>
        <v>0</v>
      </c>
      <c r="AN117" s="123">
        <f t="shared" si="77"/>
        <v>0</v>
      </c>
      <c r="AO117" s="123">
        <f t="shared" si="78"/>
        <v>0</v>
      </c>
      <c r="AP117" s="123">
        <f t="shared" si="79"/>
        <v>0</v>
      </c>
      <c r="AQ117" s="123">
        <f t="shared" si="80"/>
        <v>0</v>
      </c>
      <c r="AR117" s="123">
        <f t="shared" si="81"/>
        <v>0</v>
      </c>
    </row>
    <row r="118" spans="1:44" ht="12.75">
      <c r="A118" s="176">
        <v>375.3</v>
      </c>
      <c r="B118" s="145" t="s">
        <v>152</v>
      </c>
      <c r="C118" s="145">
        <f t="shared" si="83"/>
        <v>5</v>
      </c>
      <c r="D118" s="148">
        <v>10848.26</v>
      </c>
      <c r="E118" s="148">
        <v>0</v>
      </c>
      <c r="F118" s="148">
        <v>0</v>
      </c>
      <c r="P118" s="122"/>
      <c r="AE118" s="125">
        <f t="shared" si="82"/>
        <v>22</v>
      </c>
      <c r="AF118" s="139">
        <f t="shared" si="69"/>
        <v>375.7</v>
      </c>
      <c r="AG118" s="140" t="str">
        <f t="shared" si="70"/>
        <v>STRUC &amp; IMPROV-OTHER DIST. SYSTEM</v>
      </c>
      <c r="AH118" s="123">
        <f t="shared" si="71"/>
        <v>7</v>
      </c>
      <c r="AI118" s="123">
        <f t="shared" si="72"/>
        <v>0</v>
      </c>
      <c r="AJ118" s="123">
        <f t="shared" si="73"/>
        <v>0</v>
      </c>
      <c r="AK118" s="123">
        <f t="shared" si="74"/>
        <v>0</v>
      </c>
      <c r="AL118" s="123">
        <f t="shared" si="75"/>
        <v>0</v>
      </c>
      <c r="AM118" s="123">
        <f t="shared" si="76"/>
        <v>0</v>
      </c>
      <c r="AN118" s="123">
        <f t="shared" si="77"/>
        <v>0</v>
      </c>
      <c r="AO118" s="123">
        <f t="shared" si="78"/>
        <v>0</v>
      </c>
      <c r="AP118" s="123">
        <f t="shared" si="79"/>
        <v>0</v>
      </c>
      <c r="AQ118" s="123">
        <f t="shared" si="80"/>
        <v>0</v>
      </c>
      <c r="AR118" s="123">
        <f t="shared" si="81"/>
        <v>0</v>
      </c>
    </row>
    <row r="119" spans="1:44" ht="12.75">
      <c r="A119" s="176">
        <v>375.4</v>
      </c>
      <c r="B119" s="145" t="s">
        <v>153</v>
      </c>
      <c r="C119" s="145">
        <f t="shared" si="83"/>
        <v>5</v>
      </c>
      <c r="D119" s="148">
        <f>563987-1900</f>
        <v>562087</v>
      </c>
      <c r="E119" s="148">
        <v>509.54</v>
      </c>
      <c r="F119" s="148">
        <v>0</v>
      </c>
      <c r="G119" s="145"/>
      <c r="H119" s="145"/>
      <c r="I119" s="145"/>
      <c r="J119" s="145"/>
      <c r="K119" s="145"/>
      <c r="L119" s="145"/>
      <c r="M119" s="145"/>
      <c r="N119" s="145"/>
      <c r="O119" s="145"/>
      <c r="P119" s="122"/>
      <c r="AE119" s="125">
        <f t="shared" si="82"/>
        <v>23</v>
      </c>
      <c r="AF119" s="139">
        <f t="shared" si="69"/>
        <v>375.71</v>
      </c>
      <c r="AG119" s="140" t="str">
        <f t="shared" si="70"/>
        <v>STRUCT &amp; IMPROV-OTHER DIST. SYSTEM-IMPROV</v>
      </c>
      <c r="AH119" s="123">
        <f t="shared" si="71"/>
        <v>7</v>
      </c>
      <c r="AI119" s="123">
        <f t="shared" si="72"/>
        <v>0</v>
      </c>
      <c r="AJ119" s="123">
        <f t="shared" si="73"/>
        <v>0</v>
      </c>
      <c r="AK119" s="123">
        <f t="shared" si="74"/>
        <v>0</v>
      </c>
      <c r="AL119" s="123">
        <f t="shared" si="75"/>
        <v>0</v>
      </c>
      <c r="AM119" s="123">
        <f t="shared" si="76"/>
        <v>0</v>
      </c>
      <c r="AN119" s="123">
        <f t="shared" si="77"/>
        <v>0</v>
      </c>
      <c r="AO119" s="123">
        <f t="shared" si="78"/>
        <v>0</v>
      </c>
      <c r="AP119" s="123">
        <f t="shared" si="79"/>
        <v>0</v>
      </c>
      <c r="AQ119" s="123">
        <f t="shared" si="80"/>
        <v>0</v>
      </c>
      <c r="AR119" s="123">
        <f t="shared" si="81"/>
        <v>0</v>
      </c>
    </row>
    <row r="120" spans="1:44" ht="12.75">
      <c r="A120" s="176">
        <v>375.6</v>
      </c>
      <c r="B120" s="145" t="s">
        <v>154</v>
      </c>
      <c r="C120" s="146">
        <v>8</v>
      </c>
      <c r="D120" s="148">
        <v>88210.2</v>
      </c>
      <c r="E120" s="148">
        <v>0</v>
      </c>
      <c r="F120" s="148">
        <v>0</v>
      </c>
      <c r="G120" s="122"/>
      <c r="H120" s="145"/>
      <c r="I120" s="145"/>
      <c r="J120" s="145"/>
      <c r="K120" s="145"/>
      <c r="L120" s="145"/>
      <c r="M120" s="145"/>
      <c r="N120" s="145"/>
      <c r="O120" s="145"/>
      <c r="P120" s="122"/>
      <c r="AE120" s="125">
        <f t="shared" si="82"/>
        <v>24</v>
      </c>
      <c r="AF120" s="139">
        <f t="shared" si="69"/>
        <v>375.8</v>
      </c>
      <c r="AG120" s="140" t="str">
        <f t="shared" si="70"/>
        <v>STRUC &amp; IMPROV-COMMUNICATION</v>
      </c>
      <c r="AH120" s="123">
        <f t="shared" si="71"/>
        <v>5</v>
      </c>
      <c r="AI120" s="123">
        <f t="shared" si="72"/>
        <v>0</v>
      </c>
      <c r="AJ120" s="123">
        <f t="shared" si="73"/>
        <v>0</v>
      </c>
      <c r="AK120" s="123">
        <f t="shared" si="74"/>
        <v>0</v>
      </c>
      <c r="AL120" s="123">
        <f t="shared" si="75"/>
        <v>0</v>
      </c>
      <c r="AM120" s="123">
        <f t="shared" si="76"/>
        <v>0</v>
      </c>
      <c r="AN120" s="123">
        <f t="shared" si="77"/>
        <v>0</v>
      </c>
      <c r="AO120" s="123">
        <f t="shared" si="78"/>
        <v>0</v>
      </c>
      <c r="AP120" s="123">
        <f t="shared" si="79"/>
        <v>0</v>
      </c>
      <c r="AQ120" s="123">
        <f t="shared" si="80"/>
        <v>0</v>
      </c>
      <c r="AR120" s="123">
        <f t="shared" si="81"/>
        <v>0</v>
      </c>
    </row>
    <row r="121" spans="1:44" ht="12.75">
      <c r="A121" s="176">
        <v>375.7</v>
      </c>
      <c r="B121" s="145" t="s">
        <v>155</v>
      </c>
      <c r="C121" s="146">
        <v>7</v>
      </c>
      <c r="D121" s="148">
        <f>7181697-20000</f>
        <v>7161697</v>
      </c>
      <c r="E121" s="148">
        <v>7756.85</v>
      </c>
      <c r="F121" s="148">
        <v>0</v>
      </c>
      <c r="G121" s="145"/>
      <c r="H121" s="122"/>
      <c r="I121" s="122"/>
      <c r="J121" s="122"/>
      <c r="K121" s="122"/>
      <c r="L121" s="122"/>
      <c r="M121" s="122"/>
      <c r="N121" s="122"/>
      <c r="O121" s="122"/>
      <c r="P121" s="122"/>
      <c r="AE121" s="125">
        <f t="shared" si="82"/>
        <v>25</v>
      </c>
      <c r="AF121" s="139">
        <f t="shared" si="69"/>
        <v>376</v>
      </c>
      <c r="AG121" s="140" t="str">
        <f t="shared" si="70"/>
        <v>MAINS</v>
      </c>
      <c r="AH121" s="123">
        <f t="shared" si="71"/>
        <v>5</v>
      </c>
      <c r="AI121" s="123">
        <f t="shared" si="72"/>
        <v>74797</v>
      </c>
      <c r="AJ121" s="123">
        <f t="shared" si="73"/>
        <v>27839</v>
      </c>
      <c r="AK121" s="123">
        <f t="shared" si="74"/>
        <v>17759</v>
      </c>
      <c r="AL121" s="123">
        <f t="shared" si="75"/>
        <v>71</v>
      </c>
      <c r="AM121" s="123">
        <f t="shared" si="76"/>
        <v>0</v>
      </c>
      <c r="AN121" s="123">
        <f t="shared" si="77"/>
        <v>29128</v>
      </c>
      <c r="AO121" s="123">
        <f t="shared" si="78"/>
        <v>0</v>
      </c>
      <c r="AP121" s="123">
        <f t="shared" si="79"/>
        <v>0</v>
      </c>
      <c r="AQ121" s="123">
        <f t="shared" si="80"/>
        <v>0</v>
      </c>
      <c r="AR121" s="123">
        <f t="shared" si="81"/>
        <v>0</v>
      </c>
    </row>
    <row r="122" spans="1:44" ht="12.75">
      <c r="A122" s="176">
        <v>375.71</v>
      </c>
      <c r="B122" s="145" t="s">
        <v>156</v>
      </c>
      <c r="C122" s="146">
        <v>7</v>
      </c>
      <c r="D122" s="148">
        <v>74308.31</v>
      </c>
      <c r="E122" s="148">
        <v>0</v>
      </c>
      <c r="F122" s="148">
        <v>0</v>
      </c>
      <c r="G122" s="145"/>
      <c r="H122" s="122"/>
      <c r="I122" s="122"/>
      <c r="J122" s="122"/>
      <c r="K122" s="122"/>
      <c r="L122" s="122"/>
      <c r="M122" s="122"/>
      <c r="N122" s="122"/>
      <c r="O122" s="122"/>
      <c r="P122" s="122"/>
      <c r="AE122" s="125">
        <f t="shared" si="82"/>
        <v>26</v>
      </c>
      <c r="AF122" s="139">
        <f t="shared" si="69"/>
        <v>378.1</v>
      </c>
      <c r="AG122" s="140" t="str">
        <f t="shared" si="70"/>
        <v>M &amp; R GENERAL</v>
      </c>
      <c r="AH122" s="123">
        <f t="shared" si="71"/>
        <v>5</v>
      </c>
      <c r="AI122" s="123">
        <f t="shared" si="72"/>
        <v>0</v>
      </c>
      <c r="AJ122" s="123">
        <f t="shared" si="73"/>
        <v>0</v>
      </c>
      <c r="AK122" s="123">
        <f t="shared" si="74"/>
        <v>0</v>
      </c>
      <c r="AL122" s="123">
        <f t="shared" si="75"/>
        <v>0</v>
      </c>
      <c r="AM122" s="123">
        <f t="shared" si="76"/>
        <v>0</v>
      </c>
      <c r="AN122" s="123">
        <f t="shared" si="77"/>
        <v>0</v>
      </c>
      <c r="AO122" s="123">
        <f t="shared" si="78"/>
        <v>0</v>
      </c>
      <c r="AP122" s="123">
        <f t="shared" si="79"/>
        <v>0</v>
      </c>
      <c r="AQ122" s="123">
        <f t="shared" si="80"/>
        <v>0</v>
      </c>
      <c r="AR122" s="123">
        <f t="shared" si="81"/>
        <v>0</v>
      </c>
    </row>
    <row r="123" spans="1:44" ht="12.75">
      <c r="A123" s="176">
        <v>375.8</v>
      </c>
      <c r="B123" s="145" t="s">
        <v>157</v>
      </c>
      <c r="C123" s="145">
        <f aca="true" t="shared" si="84" ref="C123:C128">$C$25</f>
        <v>5</v>
      </c>
      <c r="D123" s="148">
        <v>33260.58</v>
      </c>
      <c r="E123" s="148">
        <v>0</v>
      </c>
      <c r="F123" s="148">
        <v>0</v>
      </c>
      <c r="G123" s="145"/>
      <c r="H123" s="122"/>
      <c r="I123" s="122"/>
      <c r="J123" s="122"/>
      <c r="K123" s="122"/>
      <c r="L123" s="122"/>
      <c r="M123" s="122"/>
      <c r="N123" s="122"/>
      <c r="O123" s="122"/>
      <c r="P123" s="122"/>
      <c r="AE123" s="125">
        <f t="shared" si="82"/>
        <v>27</v>
      </c>
      <c r="AF123" s="139">
        <f t="shared" si="69"/>
        <v>378.2</v>
      </c>
      <c r="AG123" s="140" t="str">
        <f t="shared" si="70"/>
        <v>M &amp; R GENERAL - REGULATING</v>
      </c>
      <c r="AH123" s="123">
        <f t="shared" si="71"/>
        <v>5</v>
      </c>
      <c r="AI123" s="123">
        <f t="shared" si="72"/>
        <v>14425</v>
      </c>
      <c r="AJ123" s="123">
        <f t="shared" si="73"/>
        <v>5369</v>
      </c>
      <c r="AK123" s="123">
        <f t="shared" si="74"/>
        <v>3425</v>
      </c>
      <c r="AL123" s="123">
        <f t="shared" si="75"/>
        <v>14</v>
      </c>
      <c r="AM123" s="123">
        <f t="shared" si="76"/>
        <v>0</v>
      </c>
      <c r="AN123" s="123">
        <f t="shared" si="77"/>
        <v>5618</v>
      </c>
      <c r="AO123" s="123">
        <f t="shared" si="78"/>
        <v>0</v>
      </c>
      <c r="AP123" s="123">
        <f t="shared" si="79"/>
        <v>0</v>
      </c>
      <c r="AQ123" s="123">
        <f t="shared" si="80"/>
        <v>0</v>
      </c>
      <c r="AR123" s="123">
        <f t="shared" si="81"/>
        <v>0</v>
      </c>
    </row>
    <row r="124" spans="1:44" ht="12.75">
      <c r="A124" s="176">
        <v>376</v>
      </c>
      <c r="B124" s="145" t="s">
        <v>158</v>
      </c>
      <c r="C124" s="145">
        <f t="shared" si="84"/>
        <v>5</v>
      </c>
      <c r="D124" s="148">
        <f>131095417-9554116-1449150</f>
        <v>120092151</v>
      </c>
      <c r="E124" s="148">
        <v>2405979.98</v>
      </c>
      <c r="F124" s="148">
        <v>74797</v>
      </c>
      <c r="G124" s="145">
        <v>0</v>
      </c>
      <c r="H124" s="145">
        <v>0</v>
      </c>
      <c r="I124" s="145">
        <v>0</v>
      </c>
      <c r="J124" s="145">
        <v>0</v>
      </c>
      <c r="K124" s="145">
        <v>0</v>
      </c>
      <c r="L124" s="145">
        <v>0</v>
      </c>
      <c r="M124" s="145"/>
      <c r="N124" s="145">
        <v>0</v>
      </c>
      <c r="O124" s="145">
        <v>0</v>
      </c>
      <c r="P124" s="122"/>
      <c r="AE124" s="125">
        <f t="shared" si="82"/>
        <v>28</v>
      </c>
      <c r="AF124" s="139">
        <f t="shared" si="69"/>
        <v>378.3</v>
      </c>
      <c r="AG124" s="140" t="str">
        <f t="shared" si="70"/>
        <v>M &amp; R EQUIP - LOCAL GAS PURCHASES</v>
      </c>
      <c r="AH124" s="123">
        <f t="shared" si="71"/>
        <v>5</v>
      </c>
      <c r="AI124" s="123">
        <f t="shared" si="72"/>
        <v>0</v>
      </c>
      <c r="AJ124" s="123">
        <f t="shared" si="73"/>
        <v>0</v>
      </c>
      <c r="AK124" s="123">
        <f t="shared" si="74"/>
        <v>0</v>
      </c>
      <c r="AL124" s="123">
        <f t="shared" si="75"/>
        <v>0</v>
      </c>
      <c r="AM124" s="123">
        <f t="shared" si="76"/>
        <v>0</v>
      </c>
      <c r="AN124" s="123">
        <f t="shared" si="77"/>
        <v>0</v>
      </c>
      <c r="AO124" s="123">
        <f t="shared" si="78"/>
        <v>0</v>
      </c>
      <c r="AP124" s="123">
        <f t="shared" si="79"/>
        <v>0</v>
      </c>
      <c r="AQ124" s="123">
        <f t="shared" si="80"/>
        <v>0</v>
      </c>
      <c r="AR124" s="123">
        <f t="shared" si="81"/>
        <v>0</v>
      </c>
    </row>
    <row r="125" spans="1:44" ht="12.75">
      <c r="A125" s="176">
        <v>378.1</v>
      </c>
      <c r="B125" s="145" t="s">
        <v>159</v>
      </c>
      <c r="C125" s="145">
        <f t="shared" si="84"/>
        <v>5</v>
      </c>
      <c r="D125" s="148">
        <f>251815-70</f>
        <v>251745</v>
      </c>
      <c r="E125" s="148">
        <v>0</v>
      </c>
      <c r="F125" s="148">
        <v>0</v>
      </c>
      <c r="G125" s="145"/>
      <c r="H125" s="145"/>
      <c r="I125" s="145"/>
      <c r="J125" s="145"/>
      <c r="K125" s="145"/>
      <c r="L125" s="145"/>
      <c r="M125" s="145"/>
      <c r="N125" s="145"/>
      <c r="O125" s="145"/>
      <c r="P125" s="122"/>
      <c r="AE125" s="125">
        <f t="shared" si="82"/>
        <v>29</v>
      </c>
      <c r="AF125" s="139">
        <f t="shared" si="69"/>
        <v>379.1</v>
      </c>
      <c r="AG125" s="140" t="str">
        <f t="shared" si="70"/>
        <v>STA EQUIP - CITY</v>
      </c>
      <c r="AH125" s="123">
        <f t="shared" si="71"/>
        <v>5</v>
      </c>
      <c r="AI125" s="123">
        <f t="shared" si="72"/>
        <v>0</v>
      </c>
      <c r="AJ125" s="123">
        <f t="shared" si="73"/>
        <v>0</v>
      </c>
      <c r="AK125" s="123">
        <f t="shared" si="74"/>
        <v>0</v>
      </c>
      <c r="AL125" s="123">
        <f t="shared" si="75"/>
        <v>0</v>
      </c>
      <c r="AM125" s="123">
        <f t="shared" si="76"/>
        <v>0</v>
      </c>
      <c r="AN125" s="123">
        <f t="shared" si="77"/>
        <v>0</v>
      </c>
      <c r="AO125" s="123">
        <f t="shared" si="78"/>
        <v>0</v>
      </c>
      <c r="AP125" s="123">
        <f t="shared" si="79"/>
        <v>0</v>
      </c>
      <c r="AQ125" s="123">
        <f t="shared" si="80"/>
        <v>0</v>
      </c>
      <c r="AR125" s="123">
        <f t="shared" si="81"/>
        <v>0</v>
      </c>
    </row>
    <row r="126" spans="1:44" ht="12.75">
      <c r="A126" s="176">
        <v>378.2</v>
      </c>
      <c r="B126" s="145" t="s">
        <v>160</v>
      </c>
      <c r="C126" s="145">
        <f t="shared" si="84"/>
        <v>5</v>
      </c>
      <c r="D126" s="148">
        <v>4268414</v>
      </c>
      <c r="E126" s="148">
        <v>20180.12</v>
      </c>
      <c r="F126" s="148">
        <v>14425</v>
      </c>
      <c r="P126" s="122"/>
      <c r="AE126" s="125">
        <f t="shared" si="82"/>
        <v>30</v>
      </c>
      <c r="AF126" s="139">
        <f t="shared" si="69"/>
        <v>380</v>
      </c>
      <c r="AG126" s="140" t="str">
        <f t="shared" si="70"/>
        <v>SERVICES</v>
      </c>
      <c r="AH126" s="123">
        <f t="shared" si="71"/>
        <v>15</v>
      </c>
      <c r="AI126" s="123">
        <f t="shared" si="72"/>
        <v>69469.47</v>
      </c>
      <c r="AJ126" s="123">
        <f t="shared" si="73"/>
        <v>62372</v>
      </c>
      <c r="AK126" s="123">
        <f t="shared" si="74"/>
        <v>6914</v>
      </c>
      <c r="AL126" s="123">
        <f t="shared" si="75"/>
        <v>1</v>
      </c>
      <c r="AM126" s="123">
        <f t="shared" si="76"/>
        <v>0</v>
      </c>
      <c r="AN126" s="123">
        <f t="shared" si="77"/>
        <v>183</v>
      </c>
      <c r="AO126" s="123">
        <f t="shared" si="78"/>
        <v>0</v>
      </c>
      <c r="AP126" s="123">
        <f t="shared" si="79"/>
        <v>0</v>
      </c>
      <c r="AQ126" s="123">
        <f t="shared" si="80"/>
        <v>0</v>
      </c>
      <c r="AR126" s="123">
        <f t="shared" si="81"/>
        <v>0</v>
      </c>
    </row>
    <row r="127" spans="1:44" ht="12.75">
      <c r="A127" s="176">
        <v>378.3</v>
      </c>
      <c r="B127" s="145" t="s">
        <v>161</v>
      </c>
      <c r="C127" s="145">
        <f t="shared" si="84"/>
        <v>5</v>
      </c>
      <c r="D127" s="148">
        <f>54310-9304</f>
        <v>45006</v>
      </c>
      <c r="E127" s="148">
        <v>0</v>
      </c>
      <c r="F127" s="148">
        <v>0</v>
      </c>
      <c r="P127" s="122"/>
      <c r="AE127" s="125">
        <f t="shared" si="82"/>
        <v>31</v>
      </c>
      <c r="AF127" s="139">
        <f t="shared" si="69"/>
        <v>381</v>
      </c>
      <c r="AG127" s="140" t="str">
        <f t="shared" si="70"/>
        <v>METERS</v>
      </c>
      <c r="AH127" s="123">
        <f t="shared" si="71"/>
        <v>16</v>
      </c>
      <c r="AI127" s="123">
        <f t="shared" si="72"/>
        <v>501</v>
      </c>
      <c r="AJ127" s="123">
        <f t="shared" si="73"/>
        <v>312</v>
      </c>
      <c r="AK127" s="123">
        <f t="shared" si="74"/>
        <v>180</v>
      </c>
      <c r="AL127" s="123">
        <f t="shared" si="75"/>
        <v>0</v>
      </c>
      <c r="AM127" s="123">
        <f t="shared" si="76"/>
        <v>1</v>
      </c>
      <c r="AN127" s="123">
        <f t="shared" si="77"/>
        <v>9</v>
      </c>
      <c r="AO127" s="123">
        <f t="shared" si="78"/>
        <v>0</v>
      </c>
      <c r="AP127" s="123">
        <f t="shared" si="79"/>
        <v>0</v>
      </c>
      <c r="AQ127" s="123">
        <f t="shared" si="80"/>
        <v>0</v>
      </c>
      <c r="AR127" s="123">
        <f t="shared" si="81"/>
        <v>0</v>
      </c>
    </row>
    <row r="128" spans="1:43" ht="12.75">
      <c r="A128" s="176">
        <v>379.1</v>
      </c>
      <c r="B128" s="145" t="s">
        <v>162</v>
      </c>
      <c r="C128" s="145">
        <f t="shared" si="84"/>
        <v>5</v>
      </c>
      <c r="D128" s="148">
        <v>257908.74</v>
      </c>
      <c r="E128" s="148">
        <v>0</v>
      </c>
      <c r="F128" s="148">
        <v>0</v>
      </c>
      <c r="P128" s="122"/>
      <c r="AG128" s="124"/>
      <c r="AK128" s="125" t="str">
        <f>""&amp;+$B$24</f>
        <v>COLUMBIA GAS OF KENTUCKY, INC.</v>
      </c>
      <c r="AQ128" s="123" t="str">
        <f>$B$25</f>
        <v>D/C STUDY</v>
      </c>
    </row>
    <row r="129" spans="1:43" ht="12.75">
      <c r="A129" s="176">
        <v>380</v>
      </c>
      <c r="B129" s="145" t="s">
        <v>163</v>
      </c>
      <c r="C129" s="146">
        <v>15</v>
      </c>
      <c r="D129" s="148">
        <f>74401413-144040</f>
        <v>74257373</v>
      </c>
      <c r="E129" s="148">
        <v>18298.97</v>
      </c>
      <c r="F129" s="148">
        <v>69469.47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/>
      <c r="N129" s="145">
        <v>0</v>
      </c>
      <c r="O129" s="145">
        <v>0</v>
      </c>
      <c r="P129" s="122"/>
      <c r="AE129" s="123" t="str">
        <f>$B$30</f>
        <v>DEMAND-COMMODITY</v>
      </c>
      <c r="AK129" s="125" t="s">
        <v>164</v>
      </c>
      <c r="AQ129" s="123" t="str">
        <f>"PAGE 7 OF "&amp;FIXED($B$31,0,TRUE)</f>
        <v>PAGE 7 OF 28</v>
      </c>
    </row>
    <row r="130" spans="1:44" ht="12.75">
      <c r="A130" s="176">
        <v>381</v>
      </c>
      <c r="B130" s="145" t="s">
        <v>165</v>
      </c>
      <c r="C130" s="146">
        <v>16</v>
      </c>
      <c r="D130" s="148">
        <v>9813831</v>
      </c>
      <c r="E130" s="148">
        <v>1277698.12</v>
      </c>
      <c r="F130" s="148">
        <v>501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AE130" s="128" t="str">
        <f>$B$29</f>
        <v>HISTORIC PERIOD - ORIGINAL FILING</v>
      </c>
      <c r="AF130" s="128"/>
      <c r="AG130" s="128"/>
      <c r="AH130" s="129"/>
      <c r="AI130" s="129"/>
      <c r="AJ130" s="128"/>
      <c r="AK130" s="130" t="str">
        <f>"FOR THE TWELVE MONTHS ENDED "&amp;$B$27</f>
        <v>FOR THE TWELVE MONTHS ENDED 09/30/2006</v>
      </c>
      <c r="AL130" s="128"/>
      <c r="AM130" s="128"/>
      <c r="AN130" s="128"/>
      <c r="AO130" s="128"/>
      <c r="AP130" s="128"/>
      <c r="AQ130" s="128" t="str">
        <f>"WITNESS: "&amp;$B$28</f>
        <v>WITNESS: R. GIBBONS</v>
      </c>
      <c r="AR130" s="131"/>
    </row>
    <row r="131" spans="1:44" ht="12.75">
      <c r="A131" s="176">
        <v>382</v>
      </c>
      <c r="B131" s="145" t="s">
        <v>166</v>
      </c>
      <c r="C131" s="146">
        <v>16</v>
      </c>
      <c r="D131" s="148">
        <f>7539163-593</f>
        <v>7538570</v>
      </c>
      <c r="E131" s="148">
        <v>0</v>
      </c>
      <c r="F131" s="148">
        <v>94257.91</v>
      </c>
      <c r="G131" s="122"/>
      <c r="H131" s="122"/>
      <c r="I131" s="122"/>
      <c r="J131" s="145"/>
      <c r="K131" s="145"/>
      <c r="L131" s="145"/>
      <c r="M131" s="145"/>
      <c r="N131" s="145"/>
      <c r="O131" s="145"/>
      <c r="P131" s="122"/>
      <c r="AE131" s="125" t="s">
        <v>9</v>
      </c>
      <c r="AF131" s="123" t="s">
        <v>10</v>
      </c>
      <c r="AH131" s="125" t="s">
        <v>11</v>
      </c>
      <c r="AI131" s="125" t="s">
        <v>12</v>
      </c>
      <c r="AJ131" s="125"/>
      <c r="AK131" s="125"/>
      <c r="AL131" s="125"/>
      <c r="AM131" s="125"/>
      <c r="AN131" s="125"/>
      <c r="AO131" s="125"/>
      <c r="AP131" s="125"/>
      <c r="AQ131" s="125"/>
      <c r="AR131" s="125"/>
    </row>
    <row r="132" spans="1:44" ht="12.75">
      <c r="A132" s="176">
        <v>383</v>
      </c>
      <c r="B132" s="145" t="s">
        <v>167</v>
      </c>
      <c r="C132" s="146">
        <v>16</v>
      </c>
      <c r="D132" s="148">
        <f>2865231-82944</f>
        <v>2782287</v>
      </c>
      <c r="E132" s="148">
        <v>0</v>
      </c>
      <c r="F132" s="148">
        <v>48281.73</v>
      </c>
      <c r="G132" s="145"/>
      <c r="H132" s="145"/>
      <c r="I132" s="145"/>
      <c r="J132" s="122"/>
      <c r="K132" s="122"/>
      <c r="L132" s="122"/>
      <c r="M132" s="122"/>
      <c r="N132" s="122"/>
      <c r="O132" s="122"/>
      <c r="P132" s="122"/>
      <c r="AE132" s="133" t="s">
        <v>13</v>
      </c>
      <c r="AF132" s="133" t="s">
        <v>13</v>
      </c>
      <c r="AG132" s="171" t="str">
        <f>AG5</f>
        <v> ACCOUNT TITLE</v>
      </c>
      <c r="AH132" s="133" t="s">
        <v>14</v>
      </c>
      <c r="AI132" s="133" t="s">
        <v>15</v>
      </c>
      <c r="AJ132" s="133" t="str">
        <f>"  "&amp;+$C$35</f>
        <v>  GS-RES.</v>
      </c>
      <c r="AK132" s="133" t="str">
        <f>$C$36</f>
        <v>GS-OTHER</v>
      </c>
      <c r="AL132" s="133" t="str">
        <f>$C$37</f>
        <v>IUS</v>
      </c>
      <c r="AM132" s="133" t="str">
        <f>$C$38</f>
        <v>DS-ML/SC</v>
      </c>
      <c r="AN132" s="133" t="str">
        <f>$C$39</f>
        <v>DS/IS/SS</v>
      </c>
      <c r="AO132" s="133" t="str">
        <f>$C$40</f>
        <v>NOT USED</v>
      </c>
      <c r="AP132" s="133" t="str">
        <f>$C$41</f>
        <v>NOT USED</v>
      </c>
      <c r="AQ132" s="133" t="str">
        <f>$C$42</f>
        <v>NOT USED</v>
      </c>
      <c r="AR132" s="133" t="str">
        <f>$C$43</f>
        <v>NOT USED</v>
      </c>
    </row>
    <row r="133" spans="1:44" ht="12.75">
      <c r="A133" s="176">
        <v>384</v>
      </c>
      <c r="B133" s="145" t="s">
        <v>168</v>
      </c>
      <c r="C133" s="146">
        <v>16</v>
      </c>
      <c r="D133" s="148">
        <v>2364403.23</v>
      </c>
      <c r="E133" s="148">
        <v>0</v>
      </c>
      <c r="F133" s="148">
        <v>0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AE133" s="125"/>
      <c r="AF133" s="136" t="s">
        <v>17</v>
      </c>
      <c r="AG133" s="136" t="s">
        <v>18</v>
      </c>
      <c r="AH133" s="125" t="s">
        <v>19</v>
      </c>
      <c r="AI133" s="125" t="s">
        <v>20</v>
      </c>
      <c r="AJ133" s="125" t="s">
        <v>21</v>
      </c>
      <c r="AK133" s="125" t="s">
        <v>22</v>
      </c>
      <c r="AL133" s="125" t="s">
        <v>23</v>
      </c>
      <c r="AM133" s="125" t="s">
        <v>24</v>
      </c>
      <c r="AN133" s="125" t="s">
        <v>25</v>
      </c>
      <c r="AO133" s="125" t="s">
        <v>26</v>
      </c>
      <c r="AP133" s="125" t="s">
        <v>27</v>
      </c>
      <c r="AQ133" s="125" t="s">
        <v>28</v>
      </c>
      <c r="AR133" s="125" t="s">
        <v>29</v>
      </c>
    </row>
    <row r="134" spans="1:44" ht="12.75">
      <c r="A134" s="176">
        <v>385</v>
      </c>
      <c r="B134" s="145" t="s">
        <v>169</v>
      </c>
      <c r="C134" s="146">
        <v>17</v>
      </c>
      <c r="D134" s="148">
        <f>2135544-70300</f>
        <v>2065244</v>
      </c>
      <c r="E134" s="148">
        <v>514965.19</v>
      </c>
      <c r="F134" s="148">
        <v>2235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/>
      <c r="N134" s="145">
        <v>0</v>
      </c>
      <c r="O134" s="145">
        <v>0</v>
      </c>
      <c r="AE134" s="125"/>
      <c r="AI134" s="125" t="s">
        <v>32</v>
      </c>
      <c r="AJ134" s="125" t="s">
        <v>32</v>
      </c>
      <c r="AK134" s="125" t="s">
        <v>32</v>
      </c>
      <c r="AL134" s="125" t="s">
        <v>32</v>
      </c>
      <c r="AM134" s="125" t="s">
        <v>32</v>
      </c>
      <c r="AN134" s="125" t="s">
        <v>32</v>
      </c>
      <c r="AO134" s="125" t="s">
        <v>32</v>
      </c>
      <c r="AP134" s="125" t="s">
        <v>32</v>
      </c>
      <c r="AQ134" s="125" t="s">
        <v>32</v>
      </c>
      <c r="AR134" s="125" t="s">
        <v>32</v>
      </c>
    </row>
    <row r="135" spans="1:44" ht="12.75">
      <c r="A135" s="176">
        <v>387.2</v>
      </c>
      <c r="B135" s="145" t="s">
        <v>170</v>
      </c>
      <c r="C135" s="146">
        <v>7</v>
      </c>
      <c r="D135" s="148">
        <v>183023</v>
      </c>
      <c r="E135" s="148">
        <v>3951.13</v>
      </c>
      <c r="F135" s="148">
        <v>0</v>
      </c>
      <c r="G135" s="145"/>
      <c r="H135" s="145"/>
      <c r="I135" s="145"/>
      <c r="J135" s="122"/>
      <c r="K135" s="122"/>
      <c r="L135" s="122"/>
      <c r="M135" s="122"/>
      <c r="N135" s="122"/>
      <c r="O135" s="122"/>
      <c r="AE135" s="125">
        <v>1</v>
      </c>
      <c r="AF135" s="139">
        <f aca="true" t="shared" si="85" ref="AF135:AF144">A131</f>
        <v>382</v>
      </c>
      <c r="AG135" s="140" t="str">
        <f aca="true" t="shared" si="86" ref="AG135:AG144">B131</f>
        <v>METER INSTALLATIONS</v>
      </c>
      <c r="AH135" s="123">
        <f aca="true" t="shared" si="87" ref="AH135:AH144">C131</f>
        <v>16</v>
      </c>
      <c r="AI135" s="123">
        <f aca="true" t="shared" si="88" ref="AI135:AI144">F131</f>
        <v>94257.91</v>
      </c>
      <c r="AJ135" s="123">
        <f aca="true" t="shared" si="89" ref="AJ135:AJ144">ROUND((VLOOKUP($AH135,$A$661:$Y$709,13)*$AI135),0)</f>
        <v>58629</v>
      </c>
      <c r="AK135" s="123">
        <f aca="true" t="shared" si="90" ref="AK135:AK144">ROUND((VLOOKUP($AH135,$A$661:$Y$709,14)*$AI135),0)</f>
        <v>33866</v>
      </c>
      <c r="AL135" s="123">
        <f aca="true" t="shared" si="91" ref="AL135:AL144">ROUND((VLOOKUP($AH135,$A$661:$Y$709,15)*$AI135),0)</f>
        <v>23</v>
      </c>
      <c r="AM135" s="123">
        <f aca="true" t="shared" si="92" ref="AM135:AM144">ROUND((VLOOKUP($AH135,$A$661:$Y$709,16)*$AI135),0)</f>
        <v>111</v>
      </c>
      <c r="AN135" s="123">
        <f aca="true" t="shared" si="93" ref="AN135:AN144">ROUND((VLOOKUP($AH135,$A$661:$Y$709,17)*$AI135),0)</f>
        <v>1629</v>
      </c>
      <c r="AO135" s="123">
        <f aca="true" t="shared" si="94" ref="AO135:AO144">ROUND((VLOOKUP($AH135,$A$661:$Y$709,18)*$AI135),0)</f>
        <v>0</v>
      </c>
      <c r="AP135" s="123">
        <f aca="true" t="shared" si="95" ref="AP135:AP144">ROUND((VLOOKUP($AH135,$A$661:$Y$709,19)*$AI135),0)</f>
        <v>0</v>
      </c>
      <c r="AQ135" s="123">
        <f aca="true" t="shared" si="96" ref="AQ135:AQ144">ROUND((VLOOKUP($AH135,$A$661:$Y$709,20)*$AI135),0)</f>
        <v>0</v>
      </c>
      <c r="AR135" s="123">
        <f aca="true" t="shared" si="97" ref="AR135:AR144">ROUND((VLOOKUP($AH135,$A$661:$Y$709,21)*$AI135),0)</f>
        <v>0</v>
      </c>
    </row>
    <row r="136" spans="1:44" ht="12.75">
      <c r="A136" s="176">
        <v>387.41</v>
      </c>
      <c r="B136" s="145" t="s">
        <v>171</v>
      </c>
      <c r="C136" s="146">
        <v>7</v>
      </c>
      <c r="D136" s="148">
        <v>711146</v>
      </c>
      <c r="E136" s="148">
        <v>0</v>
      </c>
      <c r="F136" s="148">
        <v>0</v>
      </c>
      <c r="G136" s="122"/>
      <c r="H136" s="122"/>
      <c r="I136" s="122"/>
      <c r="J136" s="145"/>
      <c r="K136" s="145"/>
      <c r="L136" s="145"/>
      <c r="M136" s="145"/>
      <c r="N136" s="145"/>
      <c r="O136" s="145"/>
      <c r="AE136" s="125">
        <f aca="true" t="shared" si="98" ref="AE136:AE145">AE135+1</f>
        <v>2</v>
      </c>
      <c r="AF136" s="139">
        <f t="shared" si="85"/>
        <v>383</v>
      </c>
      <c r="AG136" s="140" t="str">
        <f t="shared" si="86"/>
        <v>HOUSE REGULATORS</v>
      </c>
      <c r="AH136" s="123">
        <f t="shared" si="87"/>
        <v>16</v>
      </c>
      <c r="AI136" s="123">
        <f t="shared" si="88"/>
        <v>48281.73</v>
      </c>
      <c r="AJ136" s="123">
        <f t="shared" si="89"/>
        <v>30032</v>
      </c>
      <c r="AK136" s="123">
        <f t="shared" si="90"/>
        <v>17347</v>
      </c>
      <c r="AL136" s="123">
        <f t="shared" si="91"/>
        <v>12</v>
      </c>
      <c r="AM136" s="123">
        <f t="shared" si="92"/>
        <v>57</v>
      </c>
      <c r="AN136" s="123">
        <f t="shared" si="93"/>
        <v>834</v>
      </c>
      <c r="AO136" s="123">
        <f t="shared" si="94"/>
        <v>0</v>
      </c>
      <c r="AP136" s="123">
        <f t="shared" si="95"/>
        <v>0</v>
      </c>
      <c r="AQ136" s="123">
        <f t="shared" si="96"/>
        <v>0</v>
      </c>
      <c r="AR136" s="123">
        <f t="shared" si="97"/>
        <v>0</v>
      </c>
    </row>
    <row r="137" spans="1:44" ht="12.75">
      <c r="A137" s="176">
        <v>387.42</v>
      </c>
      <c r="B137" s="145" t="s">
        <v>172</v>
      </c>
      <c r="C137" s="146">
        <v>7</v>
      </c>
      <c r="D137" s="148">
        <v>867132</v>
      </c>
      <c r="E137" s="148">
        <v>24701.55</v>
      </c>
      <c r="F137" s="148">
        <v>0</v>
      </c>
      <c r="G137" s="145"/>
      <c r="H137" s="145"/>
      <c r="I137" s="145"/>
      <c r="J137" s="145"/>
      <c r="K137" s="145"/>
      <c r="L137" s="145"/>
      <c r="M137" s="145"/>
      <c r="N137" s="145"/>
      <c r="O137" s="145"/>
      <c r="AE137" s="125">
        <f t="shared" si="98"/>
        <v>3</v>
      </c>
      <c r="AF137" s="139">
        <f t="shared" si="85"/>
        <v>384</v>
      </c>
      <c r="AG137" s="140" t="str">
        <f t="shared" si="86"/>
        <v>HOUSE REG INSTALLATIONS</v>
      </c>
      <c r="AH137" s="123">
        <f t="shared" si="87"/>
        <v>16</v>
      </c>
      <c r="AI137" s="123">
        <f t="shared" si="88"/>
        <v>0</v>
      </c>
      <c r="AJ137" s="123">
        <f t="shared" si="89"/>
        <v>0</v>
      </c>
      <c r="AK137" s="123">
        <f t="shared" si="90"/>
        <v>0</v>
      </c>
      <c r="AL137" s="123">
        <f t="shared" si="91"/>
        <v>0</v>
      </c>
      <c r="AM137" s="123">
        <f t="shared" si="92"/>
        <v>0</v>
      </c>
      <c r="AN137" s="123">
        <f t="shared" si="93"/>
        <v>0</v>
      </c>
      <c r="AO137" s="123">
        <f t="shared" si="94"/>
        <v>0</v>
      </c>
      <c r="AP137" s="123">
        <f t="shared" si="95"/>
        <v>0</v>
      </c>
      <c r="AQ137" s="123">
        <f t="shared" si="96"/>
        <v>0</v>
      </c>
      <c r="AR137" s="123">
        <f t="shared" si="97"/>
        <v>0</v>
      </c>
    </row>
    <row r="138" spans="1:44" ht="12.75">
      <c r="A138" s="176">
        <v>387.44</v>
      </c>
      <c r="B138" s="145" t="s">
        <v>173</v>
      </c>
      <c r="C138" s="146">
        <v>7</v>
      </c>
      <c r="D138" s="148">
        <v>126365</v>
      </c>
      <c r="E138" s="148">
        <v>95.3</v>
      </c>
      <c r="F138" s="148">
        <v>0</v>
      </c>
      <c r="G138" s="145"/>
      <c r="H138" s="145"/>
      <c r="I138" s="145"/>
      <c r="J138" s="145"/>
      <c r="K138" s="145"/>
      <c r="L138" s="145"/>
      <c r="M138" s="145"/>
      <c r="N138" s="145"/>
      <c r="O138" s="145"/>
      <c r="AE138" s="125">
        <f t="shared" si="98"/>
        <v>4</v>
      </c>
      <c r="AF138" s="139">
        <f t="shared" si="85"/>
        <v>385</v>
      </c>
      <c r="AG138" s="140" t="str">
        <f t="shared" si="86"/>
        <v>IND M&amp;R EQUIPMENT</v>
      </c>
      <c r="AH138" s="123">
        <f t="shared" si="87"/>
        <v>17</v>
      </c>
      <c r="AI138" s="123">
        <f t="shared" si="88"/>
        <v>2235</v>
      </c>
      <c r="AJ138" s="123">
        <f t="shared" si="89"/>
        <v>0</v>
      </c>
      <c r="AK138" s="123">
        <f t="shared" si="90"/>
        <v>1227</v>
      </c>
      <c r="AL138" s="123">
        <f t="shared" si="91"/>
        <v>18</v>
      </c>
      <c r="AM138" s="123">
        <f t="shared" si="92"/>
        <v>61</v>
      </c>
      <c r="AN138" s="123">
        <f t="shared" si="93"/>
        <v>929</v>
      </c>
      <c r="AO138" s="123">
        <f t="shared" si="94"/>
        <v>0</v>
      </c>
      <c r="AP138" s="123">
        <f t="shared" si="95"/>
        <v>0</v>
      </c>
      <c r="AQ138" s="123">
        <f t="shared" si="96"/>
        <v>0</v>
      </c>
      <c r="AR138" s="123">
        <f t="shared" si="97"/>
        <v>0</v>
      </c>
    </row>
    <row r="139" spans="1:44" ht="12.75">
      <c r="A139" s="176">
        <v>387.45</v>
      </c>
      <c r="B139" s="145" t="s">
        <v>174</v>
      </c>
      <c r="C139" s="146">
        <v>7</v>
      </c>
      <c r="D139" s="148">
        <v>1030870</v>
      </c>
      <c r="E139" s="148">
        <v>81112.89</v>
      </c>
      <c r="F139" s="148">
        <v>33051</v>
      </c>
      <c r="G139" s="122"/>
      <c r="H139" s="122"/>
      <c r="I139" s="122"/>
      <c r="J139" s="145"/>
      <c r="K139" s="122"/>
      <c r="L139" s="122"/>
      <c r="M139" s="122"/>
      <c r="N139" s="122"/>
      <c r="O139" s="122"/>
      <c r="AE139" s="125">
        <f t="shared" si="98"/>
        <v>5</v>
      </c>
      <c r="AF139" s="139">
        <f t="shared" si="85"/>
        <v>387.2</v>
      </c>
      <c r="AG139" s="140" t="str">
        <f t="shared" si="86"/>
        <v>ODORIZATION</v>
      </c>
      <c r="AH139" s="123">
        <f t="shared" si="87"/>
        <v>7</v>
      </c>
      <c r="AI139" s="123">
        <f t="shared" si="88"/>
        <v>0</v>
      </c>
      <c r="AJ139" s="123">
        <f t="shared" si="89"/>
        <v>0</v>
      </c>
      <c r="AK139" s="123">
        <f t="shared" si="90"/>
        <v>0</v>
      </c>
      <c r="AL139" s="123">
        <f t="shared" si="91"/>
        <v>0</v>
      </c>
      <c r="AM139" s="123">
        <f t="shared" si="92"/>
        <v>0</v>
      </c>
      <c r="AN139" s="123">
        <f t="shared" si="93"/>
        <v>0</v>
      </c>
      <c r="AO139" s="123">
        <f t="shared" si="94"/>
        <v>0</v>
      </c>
      <c r="AP139" s="123">
        <f t="shared" si="95"/>
        <v>0</v>
      </c>
      <c r="AQ139" s="123">
        <f t="shared" si="96"/>
        <v>0</v>
      </c>
      <c r="AR139" s="123">
        <f t="shared" si="97"/>
        <v>0</v>
      </c>
    </row>
    <row r="140" spans="1:44" ht="12.75">
      <c r="A140" s="176">
        <v>387.46</v>
      </c>
      <c r="B140" s="145" t="s">
        <v>175</v>
      </c>
      <c r="C140" s="146">
        <v>7</v>
      </c>
      <c r="D140" s="148">
        <v>127354.97</v>
      </c>
      <c r="E140" s="148">
        <v>0</v>
      </c>
      <c r="F140" s="148">
        <v>0</v>
      </c>
      <c r="G140" s="145"/>
      <c r="H140" s="145"/>
      <c r="I140" s="145"/>
      <c r="J140" s="122"/>
      <c r="K140" s="122"/>
      <c r="L140" s="145"/>
      <c r="M140" s="122"/>
      <c r="N140" s="122"/>
      <c r="O140" s="122"/>
      <c r="AE140" s="125">
        <f t="shared" si="98"/>
        <v>6</v>
      </c>
      <c r="AF140" s="139">
        <f t="shared" si="85"/>
        <v>387.41</v>
      </c>
      <c r="AG140" s="140" t="str">
        <f t="shared" si="86"/>
        <v>TELEPHONE</v>
      </c>
      <c r="AH140" s="123">
        <f t="shared" si="87"/>
        <v>7</v>
      </c>
      <c r="AI140" s="123">
        <f t="shared" si="88"/>
        <v>0</v>
      </c>
      <c r="AJ140" s="123">
        <f t="shared" si="89"/>
        <v>0</v>
      </c>
      <c r="AK140" s="123">
        <f t="shared" si="90"/>
        <v>0</v>
      </c>
      <c r="AL140" s="123">
        <f t="shared" si="91"/>
        <v>0</v>
      </c>
      <c r="AM140" s="123">
        <f t="shared" si="92"/>
        <v>0</v>
      </c>
      <c r="AN140" s="123">
        <f t="shared" si="93"/>
        <v>0</v>
      </c>
      <c r="AO140" s="123">
        <f t="shared" si="94"/>
        <v>0</v>
      </c>
      <c r="AP140" s="123">
        <f t="shared" si="95"/>
        <v>0</v>
      </c>
      <c r="AQ140" s="123">
        <f t="shared" si="96"/>
        <v>0</v>
      </c>
      <c r="AR140" s="123">
        <f t="shared" si="97"/>
        <v>0</v>
      </c>
    </row>
    <row r="141" spans="1:44" ht="12.75">
      <c r="A141" s="177" t="s">
        <v>176</v>
      </c>
      <c r="B141" s="122"/>
      <c r="C141" s="132"/>
      <c r="D141" s="172"/>
      <c r="E141" s="173"/>
      <c r="F141" s="173"/>
      <c r="G141" s="122"/>
      <c r="H141" s="122"/>
      <c r="I141" s="122"/>
      <c r="J141" s="122"/>
      <c r="K141" s="122"/>
      <c r="L141" s="122"/>
      <c r="M141" s="122"/>
      <c r="N141" s="122"/>
      <c r="O141" s="122"/>
      <c r="AE141" s="125">
        <f t="shared" si="98"/>
        <v>7</v>
      </c>
      <c r="AF141" s="139">
        <f t="shared" si="85"/>
        <v>387.42</v>
      </c>
      <c r="AG141" s="140" t="str">
        <f t="shared" si="86"/>
        <v>RADIO</v>
      </c>
      <c r="AH141" s="123">
        <f t="shared" si="87"/>
        <v>7</v>
      </c>
      <c r="AI141" s="123">
        <f t="shared" si="88"/>
        <v>0</v>
      </c>
      <c r="AJ141" s="123">
        <f t="shared" si="89"/>
        <v>0</v>
      </c>
      <c r="AK141" s="123">
        <f t="shared" si="90"/>
        <v>0</v>
      </c>
      <c r="AL141" s="123">
        <f t="shared" si="91"/>
        <v>0</v>
      </c>
      <c r="AM141" s="123">
        <f t="shared" si="92"/>
        <v>0</v>
      </c>
      <c r="AN141" s="123">
        <f t="shared" si="93"/>
        <v>0</v>
      </c>
      <c r="AO141" s="123">
        <f t="shared" si="94"/>
        <v>0</v>
      </c>
      <c r="AP141" s="123">
        <f t="shared" si="95"/>
        <v>0</v>
      </c>
      <c r="AQ141" s="123">
        <f t="shared" si="96"/>
        <v>0</v>
      </c>
      <c r="AR141" s="123">
        <f t="shared" si="97"/>
        <v>0</v>
      </c>
    </row>
    <row r="142" spans="1:44" ht="12.75">
      <c r="A142" s="176">
        <v>391.1</v>
      </c>
      <c r="B142" s="145" t="s">
        <v>177</v>
      </c>
      <c r="C142" s="146">
        <v>7</v>
      </c>
      <c r="D142" s="148">
        <v>1252321</v>
      </c>
      <c r="E142" s="148">
        <v>6526.66</v>
      </c>
      <c r="F142" s="148">
        <v>0</v>
      </c>
      <c r="AE142" s="125">
        <f t="shared" si="98"/>
        <v>8</v>
      </c>
      <c r="AF142" s="139">
        <f t="shared" si="85"/>
        <v>387.44</v>
      </c>
      <c r="AG142" s="140" t="str">
        <f t="shared" si="86"/>
        <v>OTHER COMMUNICATION</v>
      </c>
      <c r="AH142" s="123">
        <f t="shared" si="87"/>
        <v>7</v>
      </c>
      <c r="AI142" s="123">
        <f t="shared" si="88"/>
        <v>0</v>
      </c>
      <c r="AJ142" s="123">
        <f t="shared" si="89"/>
        <v>0</v>
      </c>
      <c r="AK142" s="123">
        <f t="shared" si="90"/>
        <v>0</v>
      </c>
      <c r="AL142" s="123">
        <f t="shared" si="91"/>
        <v>0</v>
      </c>
      <c r="AM142" s="123">
        <f t="shared" si="92"/>
        <v>0</v>
      </c>
      <c r="AN142" s="123">
        <f t="shared" si="93"/>
        <v>0</v>
      </c>
      <c r="AO142" s="123">
        <f t="shared" si="94"/>
        <v>0</v>
      </c>
      <c r="AP142" s="123">
        <f t="shared" si="95"/>
        <v>0</v>
      </c>
      <c r="AQ142" s="123">
        <f t="shared" si="96"/>
        <v>0</v>
      </c>
      <c r="AR142" s="123">
        <f t="shared" si="97"/>
        <v>0</v>
      </c>
    </row>
    <row r="143" spans="1:44" ht="12.75">
      <c r="A143" s="176">
        <v>391.11</v>
      </c>
      <c r="B143" s="145" t="s">
        <v>178</v>
      </c>
      <c r="C143" s="146">
        <v>7</v>
      </c>
      <c r="D143" s="148">
        <v>38508.39</v>
      </c>
      <c r="E143" s="148">
        <v>0</v>
      </c>
      <c r="F143" s="148">
        <v>0</v>
      </c>
      <c r="AE143" s="125">
        <f t="shared" si="98"/>
        <v>9</v>
      </c>
      <c r="AF143" s="139">
        <f t="shared" si="85"/>
        <v>387.45</v>
      </c>
      <c r="AG143" s="140" t="str">
        <f t="shared" si="86"/>
        <v>TELEMETERING</v>
      </c>
      <c r="AH143" s="123">
        <f t="shared" si="87"/>
        <v>7</v>
      </c>
      <c r="AI143" s="123">
        <f t="shared" si="88"/>
        <v>33051</v>
      </c>
      <c r="AJ143" s="123">
        <f t="shared" si="89"/>
        <v>18551</v>
      </c>
      <c r="AK143" s="123">
        <f t="shared" si="90"/>
        <v>6925</v>
      </c>
      <c r="AL143" s="123">
        <f t="shared" si="91"/>
        <v>22</v>
      </c>
      <c r="AM143" s="123">
        <f t="shared" si="92"/>
        <v>15</v>
      </c>
      <c r="AN143" s="123">
        <f t="shared" si="93"/>
        <v>7539</v>
      </c>
      <c r="AO143" s="123">
        <f t="shared" si="94"/>
        <v>0</v>
      </c>
      <c r="AP143" s="123">
        <f t="shared" si="95"/>
        <v>0</v>
      </c>
      <c r="AQ143" s="123">
        <f t="shared" si="96"/>
        <v>0</v>
      </c>
      <c r="AR143" s="123">
        <f t="shared" si="97"/>
        <v>0</v>
      </c>
    </row>
    <row r="144" spans="1:44" ht="12.75">
      <c r="A144" s="176">
        <v>391.12</v>
      </c>
      <c r="B144" s="145" t="s">
        <v>179</v>
      </c>
      <c r="C144" s="146">
        <v>7</v>
      </c>
      <c r="D144" s="148">
        <v>466875</v>
      </c>
      <c r="E144" s="148">
        <v>198973.39</v>
      </c>
      <c r="F144" s="148">
        <v>300</v>
      </c>
      <c r="G144" s="145"/>
      <c r="H144" s="145"/>
      <c r="I144" s="145"/>
      <c r="J144" s="145"/>
      <c r="K144" s="145"/>
      <c r="L144" s="145"/>
      <c r="M144" s="145"/>
      <c r="N144" s="145"/>
      <c r="O144" s="145"/>
      <c r="AE144" s="125">
        <f t="shared" si="98"/>
        <v>10</v>
      </c>
      <c r="AF144" s="139">
        <f t="shared" si="85"/>
        <v>387.46</v>
      </c>
      <c r="AG144" s="140" t="str">
        <f t="shared" si="86"/>
        <v>CIS</v>
      </c>
      <c r="AH144" s="123">
        <f t="shared" si="87"/>
        <v>7</v>
      </c>
      <c r="AI144" s="141">
        <f t="shared" si="88"/>
        <v>0</v>
      </c>
      <c r="AJ144" s="141">
        <f t="shared" si="89"/>
        <v>0</v>
      </c>
      <c r="AK144" s="141">
        <f t="shared" si="90"/>
        <v>0</v>
      </c>
      <c r="AL144" s="141">
        <f t="shared" si="91"/>
        <v>0</v>
      </c>
      <c r="AM144" s="141">
        <f t="shared" si="92"/>
        <v>0</v>
      </c>
      <c r="AN144" s="141">
        <f t="shared" si="93"/>
        <v>0</v>
      </c>
      <c r="AO144" s="141">
        <f t="shared" si="94"/>
        <v>0</v>
      </c>
      <c r="AP144" s="141">
        <f t="shared" si="95"/>
        <v>0</v>
      </c>
      <c r="AQ144" s="141">
        <f t="shared" si="96"/>
        <v>0</v>
      </c>
      <c r="AR144" s="141">
        <f t="shared" si="97"/>
        <v>0</v>
      </c>
    </row>
    <row r="145" spans="1:44" ht="12.75">
      <c r="A145" s="176">
        <v>392.21</v>
      </c>
      <c r="B145" s="145" t="s">
        <v>180</v>
      </c>
      <c r="C145" s="146">
        <v>7</v>
      </c>
      <c r="D145" s="148">
        <v>129059.89</v>
      </c>
      <c r="E145" s="148">
        <v>0</v>
      </c>
      <c r="F145" s="148">
        <v>0</v>
      </c>
      <c r="G145" s="122"/>
      <c r="H145" s="122"/>
      <c r="I145" s="122"/>
      <c r="J145" s="122"/>
      <c r="K145" s="122"/>
      <c r="L145" s="122"/>
      <c r="M145" s="122"/>
      <c r="N145" s="122"/>
      <c r="O145" s="122"/>
      <c r="AE145" s="125">
        <f t="shared" si="98"/>
        <v>11</v>
      </c>
      <c r="AG145" s="123" t="s">
        <v>181</v>
      </c>
      <c r="AI145" s="123">
        <f aca="true" t="shared" si="99" ref="AI145:AR145">SUM(AI110:AI127)+SUM(AI135:AI144)</f>
        <v>337018.11</v>
      </c>
      <c r="AJ145" s="123">
        <f t="shared" si="99"/>
        <v>203104</v>
      </c>
      <c r="AK145" s="123">
        <f t="shared" si="99"/>
        <v>87643</v>
      </c>
      <c r="AL145" s="123">
        <f t="shared" si="99"/>
        <v>161</v>
      </c>
      <c r="AM145" s="123">
        <f t="shared" si="99"/>
        <v>245</v>
      </c>
      <c r="AN145" s="123">
        <f t="shared" si="99"/>
        <v>45869</v>
      </c>
      <c r="AO145" s="123">
        <f t="shared" si="99"/>
        <v>0</v>
      </c>
      <c r="AP145" s="123">
        <f t="shared" si="99"/>
        <v>0</v>
      </c>
      <c r="AQ145" s="123">
        <f t="shared" si="99"/>
        <v>0</v>
      </c>
      <c r="AR145" s="123">
        <f t="shared" si="99"/>
        <v>0</v>
      </c>
    </row>
    <row r="146" spans="1:31" ht="12.75">
      <c r="A146" s="176">
        <v>393</v>
      </c>
      <c r="B146" s="145" t="s">
        <v>182</v>
      </c>
      <c r="C146" s="146">
        <v>7</v>
      </c>
      <c r="D146" s="148">
        <v>3398.75</v>
      </c>
      <c r="E146" s="148">
        <v>0</v>
      </c>
      <c r="F146" s="148">
        <v>0</v>
      </c>
      <c r="G146" s="145"/>
      <c r="H146" s="145"/>
      <c r="I146" s="145"/>
      <c r="J146" s="145"/>
      <c r="K146" s="145"/>
      <c r="L146" s="145"/>
      <c r="M146" s="145"/>
      <c r="N146" s="145"/>
      <c r="O146" s="145"/>
      <c r="AE146" s="125"/>
    </row>
    <row r="147" spans="1:33" ht="12.75">
      <c r="A147" s="176">
        <v>394.1</v>
      </c>
      <c r="B147" s="145" t="s">
        <v>183</v>
      </c>
      <c r="C147" s="146">
        <v>7</v>
      </c>
      <c r="D147" s="148">
        <v>0</v>
      </c>
      <c r="E147" s="148">
        <v>0</v>
      </c>
      <c r="F147" s="148">
        <v>0</v>
      </c>
      <c r="AE147" s="125">
        <f>AE145+1</f>
        <v>12</v>
      </c>
      <c r="AG147" s="123" t="s">
        <v>176</v>
      </c>
    </row>
    <row r="148" spans="1:31" ht="12.75">
      <c r="A148" s="176">
        <v>394.11</v>
      </c>
      <c r="B148" s="145" t="s">
        <v>184</v>
      </c>
      <c r="C148" s="146">
        <v>7</v>
      </c>
      <c r="D148" s="148">
        <v>26580.01</v>
      </c>
      <c r="E148" s="148">
        <v>0</v>
      </c>
      <c r="F148" s="148">
        <v>0</v>
      </c>
      <c r="AE148" s="125"/>
    </row>
    <row r="149" spans="1:44" ht="12.75">
      <c r="A149" s="176">
        <v>394.12</v>
      </c>
      <c r="B149" s="145" t="s">
        <v>185</v>
      </c>
      <c r="C149" s="146">
        <v>7</v>
      </c>
      <c r="D149" s="148">
        <v>335308.07</v>
      </c>
      <c r="E149" s="148">
        <v>0</v>
      </c>
      <c r="F149" s="148">
        <v>0</v>
      </c>
      <c r="AE149" s="125">
        <f>AE147+1</f>
        <v>13</v>
      </c>
      <c r="AF149" s="139">
        <f aca="true" t="shared" si="100" ref="AF149:AF162">A142</f>
        <v>391.1</v>
      </c>
      <c r="AG149" s="140" t="str">
        <f aca="true" t="shared" si="101" ref="AG149:AG162">B142</f>
        <v>OFF FURN &amp; EQUIP - UNSPEC</v>
      </c>
      <c r="AH149" s="123">
        <f aca="true" t="shared" si="102" ref="AH149:AH162">C142</f>
        <v>7</v>
      </c>
      <c r="AI149" s="123">
        <f aca="true" t="shared" si="103" ref="AI149:AI162">F142</f>
        <v>0</v>
      </c>
      <c r="AJ149" s="123">
        <f aca="true" t="shared" si="104" ref="AJ149:AJ162">ROUND((VLOOKUP($AH149,$A$661:$Y$709,13)*$AI149),0)</f>
        <v>0</v>
      </c>
      <c r="AK149" s="123">
        <f aca="true" t="shared" si="105" ref="AK149:AK162">ROUND((VLOOKUP($AH149,$A$661:$Y$709,14)*$AI149),0)</f>
        <v>0</v>
      </c>
      <c r="AL149" s="123">
        <f aca="true" t="shared" si="106" ref="AL149:AL162">ROUND((VLOOKUP($AH149,$A$661:$Y$709,15)*$AI149),0)</f>
        <v>0</v>
      </c>
      <c r="AM149" s="123">
        <f aca="true" t="shared" si="107" ref="AM149:AM162">ROUND((VLOOKUP($AH149,$A$661:$Y$709,16)*$AI149),0)</f>
        <v>0</v>
      </c>
      <c r="AN149" s="123">
        <f aca="true" t="shared" si="108" ref="AN149:AN162">ROUND((VLOOKUP($AH149,$A$661:$Y$709,17)*$AI149),0)</f>
        <v>0</v>
      </c>
      <c r="AO149" s="123">
        <f aca="true" t="shared" si="109" ref="AO149:AO162">ROUND((VLOOKUP($AH149,$A$661:$Y$709,18)*$AI149),0)</f>
        <v>0</v>
      </c>
      <c r="AP149" s="123">
        <f aca="true" t="shared" si="110" ref="AP149:AP162">ROUND((VLOOKUP($AH149,$A$661:$Y$709,19)*$AI149),0)</f>
        <v>0</v>
      </c>
      <c r="AQ149" s="123">
        <f aca="true" t="shared" si="111" ref="AQ149:AQ162">ROUND((VLOOKUP($AH149,$A$661:$Y$709,20)*$AI149),0)</f>
        <v>0</v>
      </c>
      <c r="AR149" s="123">
        <f aca="true" t="shared" si="112" ref="AR149:AR162">ROUND((VLOOKUP($AH149,$A$661:$Y$709,21)*$AI149),0)</f>
        <v>0</v>
      </c>
    </row>
    <row r="150" spans="1:44" ht="12.75">
      <c r="A150" s="176">
        <v>394.2</v>
      </c>
      <c r="B150" s="145" t="s">
        <v>186</v>
      </c>
      <c r="C150" s="146">
        <v>7</v>
      </c>
      <c r="D150" s="148">
        <v>1374.41</v>
      </c>
      <c r="E150" s="148">
        <v>0</v>
      </c>
      <c r="F150" s="148">
        <v>0</v>
      </c>
      <c r="AE150" s="125">
        <f aca="true" t="shared" si="113" ref="AE150:AE164">AE149+1</f>
        <v>14</v>
      </c>
      <c r="AF150" s="139">
        <f t="shared" si="100"/>
        <v>391.11</v>
      </c>
      <c r="AG150" s="140" t="str">
        <f t="shared" si="101"/>
        <v>OFF FURN &amp; EQUIP - DATA HAND</v>
      </c>
      <c r="AH150" s="123">
        <f t="shared" si="102"/>
        <v>7</v>
      </c>
      <c r="AI150" s="123">
        <f t="shared" si="103"/>
        <v>0</v>
      </c>
      <c r="AJ150" s="123">
        <f t="shared" si="104"/>
        <v>0</v>
      </c>
      <c r="AK150" s="123">
        <f t="shared" si="105"/>
        <v>0</v>
      </c>
      <c r="AL150" s="123">
        <f t="shared" si="106"/>
        <v>0</v>
      </c>
      <c r="AM150" s="123">
        <f t="shared" si="107"/>
        <v>0</v>
      </c>
      <c r="AN150" s="123">
        <f t="shared" si="108"/>
        <v>0</v>
      </c>
      <c r="AO150" s="123">
        <f t="shared" si="109"/>
        <v>0</v>
      </c>
      <c r="AP150" s="123">
        <f t="shared" si="110"/>
        <v>0</v>
      </c>
      <c r="AQ150" s="123">
        <f t="shared" si="111"/>
        <v>0</v>
      </c>
      <c r="AR150" s="123">
        <f t="shared" si="112"/>
        <v>0</v>
      </c>
    </row>
    <row r="151" spans="1:44" ht="12.75">
      <c r="A151" s="176">
        <v>394.3</v>
      </c>
      <c r="B151" s="145" t="s">
        <v>187</v>
      </c>
      <c r="C151" s="146">
        <v>7</v>
      </c>
      <c r="D151" s="148">
        <v>1758433</v>
      </c>
      <c r="E151" s="148">
        <v>69525.78</v>
      </c>
      <c r="F151" s="148">
        <v>17239</v>
      </c>
      <c r="AE151" s="125">
        <f t="shared" si="113"/>
        <v>15</v>
      </c>
      <c r="AF151" s="139">
        <f t="shared" si="100"/>
        <v>391.12</v>
      </c>
      <c r="AG151" s="140" t="str">
        <f t="shared" si="101"/>
        <v>OFF FURN &amp; EQUIP - INFO SYSTEM</v>
      </c>
      <c r="AH151" s="123">
        <f t="shared" si="102"/>
        <v>7</v>
      </c>
      <c r="AI151" s="123">
        <f t="shared" si="103"/>
        <v>300</v>
      </c>
      <c r="AJ151" s="123">
        <f t="shared" si="104"/>
        <v>168</v>
      </c>
      <c r="AK151" s="123">
        <f t="shared" si="105"/>
        <v>63</v>
      </c>
      <c r="AL151" s="123">
        <f t="shared" si="106"/>
        <v>0</v>
      </c>
      <c r="AM151" s="123">
        <f t="shared" si="107"/>
        <v>0</v>
      </c>
      <c r="AN151" s="123">
        <f t="shared" si="108"/>
        <v>68</v>
      </c>
      <c r="AO151" s="123">
        <f t="shared" si="109"/>
        <v>0</v>
      </c>
      <c r="AP151" s="123">
        <f t="shared" si="110"/>
        <v>0</v>
      </c>
      <c r="AQ151" s="123">
        <f t="shared" si="111"/>
        <v>0</v>
      </c>
      <c r="AR151" s="123">
        <f t="shared" si="112"/>
        <v>0</v>
      </c>
    </row>
    <row r="152" spans="1:44" ht="12.75">
      <c r="A152" s="176">
        <v>395</v>
      </c>
      <c r="B152" s="145" t="s">
        <v>188</v>
      </c>
      <c r="C152" s="146">
        <v>7</v>
      </c>
      <c r="D152" s="148">
        <v>10307.98</v>
      </c>
      <c r="E152" s="148">
        <v>0</v>
      </c>
      <c r="F152" s="148">
        <v>0</v>
      </c>
      <c r="AE152" s="125">
        <f t="shared" si="113"/>
        <v>16</v>
      </c>
      <c r="AF152" s="139">
        <f t="shared" si="100"/>
        <v>392.21</v>
      </c>
      <c r="AG152" s="140" t="str">
        <f t="shared" si="101"/>
        <v>TR EQ - TRAILER &lt;= $1,000</v>
      </c>
      <c r="AH152" s="123">
        <f t="shared" si="102"/>
        <v>7</v>
      </c>
      <c r="AI152" s="123">
        <f t="shared" si="103"/>
        <v>0</v>
      </c>
      <c r="AJ152" s="123">
        <f t="shared" si="104"/>
        <v>0</v>
      </c>
      <c r="AK152" s="123">
        <f t="shared" si="105"/>
        <v>0</v>
      </c>
      <c r="AL152" s="123">
        <f t="shared" si="106"/>
        <v>0</v>
      </c>
      <c r="AM152" s="123">
        <f t="shared" si="107"/>
        <v>0</v>
      </c>
      <c r="AN152" s="123">
        <f t="shared" si="108"/>
        <v>0</v>
      </c>
      <c r="AO152" s="123">
        <f t="shared" si="109"/>
        <v>0</v>
      </c>
      <c r="AP152" s="123">
        <f t="shared" si="110"/>
        <v>0</v>
      </c>
      <c r="AQ152" s="123">
        <f t="shared" si="111"/>
        <v>0</v>
      </c>
      <c r="AR152" s="123">
        <f t="shared" si="112"/>
        <v>0</v>
      </c>
    </row>
    <row r="153" spans="1:44" ht="12.75">
      <c r="A153" s="176">
        <v>396</v>
      </c>
      <c r="B153" s="145" t="s">
        <v>189</v>
      </c>
      <c r="C153" s="146">
        <v>7</v>
      </c>
      <c r="D153" s="148">
        <v>681428.81</v>
      </c>
      <c r="E153" s="148">
        <v>0</v>
      </c>
      <c r="F153" s="148">
        <v>0</v>
      </c>
      <c r="AE153" s="125">
        <f t="shared" si="113"/>
        <v>17</v>
      </c>
      <c r="AF153" s="139">
        <f t="shared" si="100"/>
        <v>393</v>
      </c>
      <c r="AG153" s="140" t="str">
        <f t="shared" si="101"/>
        <v>STORES EQUIPMENT</v>
      </c>
      <c r="AH153" s="123">
        <f t="shared" si="102"/>
        <v>7</v>
      </c>
      <c r="AI153" s="123">
        <f t="shared" si="103"/>
        <v>0</v>
      </c>
      <c r="AJ153" s="123">
        <f t="shared" si="104"/>
        <v>0</v>
      </c>
      <c r="AK153" s="123">
        <f t="shared" si="105"/>
        <v>0</v>
      </c>
      <c r="AL153" s="123">
        <f t="shared" si="106"/>
        <v>0</v>
      </c>
      <c r="AM153" s="123">
        <f t="shared" si="107"/>
        <v>0</v>
      </c>
      <c r="AN153" s="123">
        <f t="shared" si="108"/>
        <v>0</v>
      </c>
      <c r="AO153" s="123">
        <f t="shared" si="109"/>
        <v>0</v>
      </c>
      <c r="AP153" s="123">
        <f t="shared" si="110"/>
        <v>0</v>
      </c>
      <c r="AQ153" s="123">
        <f t="shared" si="111"/>
        <v>0</v>
      </c>
      <c r="AR153" s="123">
        <f t="shared" si="112"/>
        <v>0</v>
      </c>
    </row>
    <row r="154" spans="1:44" ht="12.75">
      <c r="A154" s="176">
        <v>397.5</v>
      </c>
      <c r="B154" s="145" t="s">
        <v>190</v>
      </c>
      <c r="C154" s="146">
        <v>7</v>
      </c>
      <c r="D154" s="148">
        <v>0</v>
      </c>
      <c r="E154" s="148">
        <v>0</v>
      </c>
      <c r="F154" s="148">
        <v>0</v>
      </c>
      <c r="AE154" s="125">
        <f t="shared" si="113"/>
        <v>18</v>
      </c>
      <c r="AF154" s="139">
        <f t="shared" si="100"/>
        <v>394.1</v>
      </c>
      <c r="AG154" s="140" t="str">
        <f t="shared" si="101"/>
        <v>TOOLS,SHOP, &amp; GAR EQ-GARAGE &amp; SERV</v>
      </c>
      <c r="AH154" s="123">
        <f t="shared" si="102"/>
        <v>7</v>
      </c>
      <c r="AI154" s="123">
        <f t="shared" si="103"/>
        <v>0</v>
      </c>
      <c r="AJ154" s="123">
        <f t="shared" si="104"/>
        <v>0</v>
      </c>
      <c r="AK154" s="123">
        <f t="shared" si="105"/>
        <v>0</v>
      </c>
      <c r="AL154" s="123">
        <f t="shared" si="106"/>
        <v>0</v>
      </c>
      <c r="AM154" s="123">
        <f t="shared" si="107"/>
        <v>0</v>
      </c>
      <c r="AN154" s="123">
        <f t="shared" si="108"/>
        <v>0</v>
      </c>
      <c r="AO154" s="123">
        <f t="shared" si="109"/>
        <v>0</v>
      </c>
      <c r="AP154" s="123">
        <f t="shared" si="110"/>
        <v>0</v>
      </c>
      <c r="AQ154" s="123">
        <f t="shared" si="111"/>
        <v>0</v>
      </c>
      <c r="AR154" s="123">
        <f t="shared" si="112"/>
        <v>0</v>
      </c>
    </row>
    <row r="155" spans="1:44" ht="12.75">
      <c r="A155" s="176">
        <v>398</v>
      </c>
      <c r="B155" s="145" t="s">
        <v>191</v>
      </c>
      <c r="C155" s="146">
        <v>7</v>
      </c>
      <c r="D155" s="148">
        <v>99854.31</v>
      </c>
      <c r="E155" s="148">
        <v>0</v>
      </c>
      <c r="F155" s="148">
        <v>0</v>
      </c>
      <c r="G155" s="122"/>
      <c r="H155" s="122"/>
      <c r="I155" s="122"/>
      <c r="J155" s="122"/>
      <c r="K155" s="122"/>
      <c r="L155" s="122"/>
      <c r="M155" s="122"/>
      <c r="N155" s="122"/>
      <c r="O155" s="122"/>
      <c r="AE155" s="125">
        <f t="shared" si="113"/>
        <v>19</v>
      </c>
      <c r="AF155" s="139">
        <f t="shared" si="100"/>
        <v>394.11</v>
      </c>
      <c r="AG155" s="140" t="str">
        <f t="shared" si="101"/>
        <v>CNG EQUIP STATIONARY</v>
      </c>
      <c r="AH155" s="123">
        <f t="shared" si="102"/>
        <v>7</v>
      </c>
      <c r="AI155" s="123">
        <f t="shared" si="103"/>
        <v>0</v>
      </c>
      <c r="AJ155" s="123">
        <f t="shared" si="104"/>
        <v>0</v>
      </c>
      <c r="AK155" s="123">
        <f t="shared" si="105"/>
        <v>0</v>
      </c>
      <c r="AL155" s="123">
        <f t="shared" si="106"/>
        <v>0</v>
      </c>
      <c r="AM155" s="123">
        <f t="shared" si="107"/>
        <v>0</v>
      </c>
      <c r="AN155" s="123">
        <f t="shared" si="108"/>
        <v>0</v>
      </c>
      <c r="AO155" s="123">
        <f t="shared" si="109"/>
        <v>0</v>
      </c>
      <c r="AP155" s="123">
        <f t="shared" si="110"/>
        <v>0</v>
      </c>
      <c r="AQ155" s="123">
        <f t="shared" si="111"/>
        <v>0</v>
      </c>
      <c r="AR155" s="123">
        <f t="shared" si="112"/>
        <v>0</v>
      </c>
    </row>
    <row r="156" spans="1:44" ht="12.75">
      <c r="A156" s="122"/>
      <c r="B156" s="122" t="s">
        <v>192</v>
      </c>
      <c r="C156" s="122"/>
      <c r="D156" s="122">
        <f aca="true" t="shared" si="114" ref="D156:O156">SUM(D103:D155)</f>
        <v>244557460.58999994</v>
      </c>
      <c r="E156" s="122">
        <f t="shared" si="114"/>
        <v>5036788.399999999</v>
      </c>
      <c r="F156" s="122">
        <f t="shared" si="114"/>
        <v>416315.11</v>
      </c>
      <c r="G156" s="122">
        <f t="shared" si="114"/>
        <v>0</v>
      </c>
      <c r="H156" s="122">
        <f t="shared" si="114"/>
        <v>0</v>
      </c>
      <c r="I156" s="122">
        <f t="shared" si="114"/>
        <v>0</v>
      </c>
      <c r="J156" s="122">
        <f t="shared" si="114"/>
        <v>0</v>
      </c>
      <c r="K156" s="122">
        <f t="shared" si="114"/>
        <v>0</v>
      </c>
      <c r="L156" s="122">
        <f t="shared" si="114"/>
        <v>0</v>
      </c>
      <c r="M156" s="122">
        <f t="shared" si="114"/>
        <v>0</v>
      </c>
      <c r="N156" s="122">
        <f t="shared" si="114"/>
        <v>0</v>
      </c>
      <c r="O156" s="122">
        <f t="shared" si="114"/>
        <v>0</v>
      </c>
      <c r="P156" s="122"/>
      <c r="AE156" s="125">
        <f t="shared" si="113"/>
        <v>20</v>
      </c>
      <c r="AF156" s="139">
        <f t="shared" si="100"/>
        <v>394.12</v>
      </c>
      <c r="AG156" s="140" t="str">
        <f t="shared" si="101"/>
        <v>CNG EQUIP PORTABLE</v>
      </c>
      <c r="AH156" s="123">
        <f t="shared" si="102"/>
        <v>7</v>
      </c>
      <c r="AI156" s="123">
        <f t="shared" si="103"/>
        <v>0</v>
      </c>
      <c r="AJ156" s="123">
        <f t="shared" si="104"/>
        <v>0</v>
      </c>
      <c r="AK156" s="123">
        <f t="shared" si="105"/>
        <v>0</v>
      </c>
      <c r="AL156" s="123">
        <f t="shared" si="106"/>
        <v>0</v>
      </c>
      <c r="AM156" s="123">
        <f t="shared" si="107"/>
        <v>0</v>
      </c>
      <c r="AN156" s="123">
        <f t="shared" si="108"/>
        <v>0</v>
      </c>
      <c r="AO156" s="123">
        <f t="shared" si="109"/>
        <v>0</v>
      </c>
      <c r="AP156" s="123">
        <f t="shared" si="110"/>
        <v>0</v>
      </c>
      <c r="AQ156" s="123">
        <f t="shared" si="111"/>
        <v>0</v>
      </c>
      <c r="AR156" s="123">
        <f t="shared" si="112"/>
        <v>0</v>
      </c>
    </row>
    <row r="157" spans="1:44" ht="12.75">
      <c r="A157" s="144" t="s">
        <v>0</v>
      </c>
      <c r="B157" s="144" t="s">
        <v>0</v>
      </c>
      <c r="C157" s="144" t="s">
        <v>0</v>
      </c>
      <c r="D157" s="144" t="s">
        <v>0</v>
      </c>
      <c r="E157" s="144" t="s">
        <v>0</v>
      </c>
      <c r="F157" s="144" t="s">
        <v>0</v>
      </c>
      <c r="G157" s="144" t="s">
        <v>0</v>
      </c>
      <c r="H157" s="144" t="s">
        <v>0</v>
      </c>
      <c r="I157" s="144" t="s">
        <v>0</v>
      </c>
      <c r="J157" s="144" t="s">
        <v>0</v>
      </c>
      <c r="K157" s="144" t="s">
        <v>0</v>
      </c>
      <c r="L157" s="144" t="s">
        <v>0</v>
      </c>
      <c r="M157" s="144" t="s">
        <v>0</v>
      </c>
      <c r="N157" s="144" t="s">
        <v>0</v>
      </c>
      <c r="O157" s="144" t="s">
        <v>0</v>
      </c>
      <c r="P157" s="122"/>
      <c r="AE157" s="125">
        <f t="shared" si="113"/>
        <v>21</v>
      </c>
      <c r="AF157" s="139">
        <f t="shared" si="100"/>
        <v>394.2</v>
      </c>
      <c r="AG157" s="140" t="str">
        <f t="shared" si="101"/>
        <v>SHOP EQUIPMENT</v>
      </c>
      <c r="AH157" s="123">
        <f t="shared" si="102"/>
        <v>7</v>
      </c>
      <c r="AI157" s="123">
        <f t="shared" si="103"/>
        <v>0</v>
      </c>
      <c r="AJ157" s="123">
        <f t="shared" si="104"/>
        <v>0</v>
      </c>
      <c r="AK157" s="123">
        <f t="shared" si="105"/>
        <v>0</v>
      </c>
      <c r="AL157" s="123">
        <f t="shared" si="106"/>
        <v>0</v>
      </c>
      <c r="AM157" s="123">
        <f t="shared" si="107"/>
        <v>0</v>
      </c>
      <c r="AN157" s="123">
        <f t="shared" si="108"/>
        <v>0</v>
      </c>
      <c r="AO157" s="123">
        <f t="shared" si="109"/>
        <v>0</v>
      </c>
      <c r="AP157" s="123">
        <f t="shared" si="110"/>
        <v>0</v>
      </c>
      <c r="AQ157" s="123">
        <f t="shared" si="111"/>
        <v>0</v>
      </c>
      <c r="AR157" s="123">
        <f t="shared" si="112"/>
        <v>0</v>
      </c>
    </row>
    <row r="158" spans="1:44" ht="12.75">
      <c r="A158" s="122" t="s">
        <v>193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AE158" s="125">
        <f t="shared" si="113"/>
        <v>22</v>
      </c>
      <c r="AF158" s="139">
        <f t="shared" si="100"/>
        <v>394.3</v>
      </c>
      <c r="AG158" s="140" t="str">
        <f t="shared" si="101"/>
        <v>TOOLS &amp; OTHER EQUIPMENT</v>
      </c>
      <c r="AH158" s="123">
        <f t="shared" si="102"/>
        <v>7</v>
      </c>
      <c r="AI158" s="123">
        <f t="shared" si="103"/>
        <v>17239</v>
      </c>
      <c r="AJ158" s="123">
        <f t="shared" si="104"/>
        <v>9676</v>
      </c>
      <c r="AK158" s="123">
        <f t="shared" si="105"/>
        <v>3612</v>
      </c>
      <c r="AL158" s="123">
        <f t="shared" si="106"/>
        <v>11</v>
      </c>
      <c r="AM158" s="123">
        <f t="shared" si="107"/>
        <v>8</v>
      </c>
      <c r="AN158" s="123">
        <f t="shared" si="108"/>
        <v>3932</v>
      </c>
      <c r="AO158" s="123">
        <f t="shared" si="109"/>
        <v>0</v>
      </c>
      <c r="AP158" s="123">
        <f t="shared" si="110"/>
        <v>0</v>
      </c>
      <c r="AQ158" s="123">
        <f t="shared" si="111"/>
        <v>0</v>
      </c>
      <c r="AR158" s="123">
        <f t="shared" si="112"/>
        <v>0</v>
      </c>
    </row>
    <row r="159" spans="1:44" ht="12.75">
      <c r="A159" s="144" t="s">
        <v>0</v>
      </c>
      <c r="B159" s="144" t="s">
        <v>0</v>
      </c>
      <c r="C159" s="144" t="s">
        <v>0</v>
      </c>
      <c r="D159" s="144" t="s">
        <v>0</v>
      </c>
      <c r="E159" s="144" t="s">
        <v>0</v>
      </c>
      <c r="F159" s="144" t="s">
        <v>0</v>
      </c>
      <c r="G159" s="144" t="s">
        <v>0</v>
      </c>
      <c r="H159" s="144" t="s">
        <v>0</v>
      </c>
      <c r="I159" s="144" t="s">
        <v>0</v>
      </c>
      <c r="J159" s="144" t="s">
        <v>0</v>
      </c>
      <c r="K159" s="144" t="s">
        <v>0</v>
      </c>
      <c r="L159" s="144" t="s">
        <v>0</v>
      </c>
      <c r="M159" s="144" t="s">
        <v>0</v>
      </c>
      <c r="N159" s="144" t="s">
        <v>0</v>
      </c>
      <c r="O159" s="144" t="s">
        <v>0</v>
      </c>
      <c r="P159" s="122"/>
      <c r="AE159" s="125">
        <f t="shared" si="113"/>
        <v>23</v>
      </c>
      <c r="AF159" s="139">
        <f t="shared" si="100"/>
        <v>395</v>
      </c>
      <c r="AG159" s="140" t="str">
        <f t="shared" si="101"/>
        <v>LABORATORY EQUIPMENT</v>
      </c>
      <c r="AH159" s="123">
        <f t="shared" si="102"/>
        <v>7</v>
      </c>
      <c r="AI159" s="123">
        <f t="shared" si="103"/>
        <v>0</v>
      </c>
      <c r="AJ159" s="123">
        <f t="shared" si="104"/>
        <v>0</v>
      </c>
      <c r="AK159" s="123">
        <f t="shared" si="105"/>
        <v>0</v>
      </c>
      <c r="AL159" s="123">
        <f t="shared" si="106"/>
        <v>0</v>
      </c>
      <c r="AM159" s="123">
        <f t="shared" si="107"/>
        <v>0</v>
      </c>
      <c r="AN159" s="123">
        <f t="shared" si="108"/>
        <v>0</v>
      </c>
      <c r="AO159" s="123">
        <f t="shared" si="109"/>
        <v>0</v>
      </c>
      <c r="AP159" s="123">
        <f t="shared" si="110"/>
        <v>0</v>
      </c>
      <c r="AQ159" s="123">
        <f t="shared" si="111"/>
        <v>0</v>
      </c>
      <c r="AR159" s="123">
        <f t="shared" si="112"/>
        <v>0</v>
      </c>
    </row>
    <row r="160" spans="1:44" ht="12.75">
      <c r="A160" s="122"/>
      <c r="B160" s="122"/>
      <c r="C160" s="156" t="s">
        <v>120</v>
      </c>
      <c r="D160" s="156" t="s">
        <v>194</v>
      </c>
      <c r="E160" s="156" t="s">
        <v>195</v>
      </c>
      <c r="F160" s="122"/>
      <c r="G160" s="122"/>
      <c r="H160" s="122"/>
      <c r="I160" s="122"/>
      <c r="J160" s="122"/>
      <c r="K160" s="122"/>
      <c r="L160" s="122"/>
      <c r="M160" s="122"/>
      <c r="N160" s="122"/>
      <c r="P160" s="122"/>
      <c r="AE160" s="125">
        <f t="shared" si="113"/>
        <v>24</v>
      </c>
      <c r="AF160" s="139">
        <f t="shared" si="100"/>
        <v>396</v>
      </c>
      <c r="AG160" s="140" t="str">
        <f t="shared" si="101"/>
        <v>POWER OP EQUIP-GEN TOOLS</v>
      </c>
      <c r="AH160" s="123">
        <f t="shared" si="102"/>
        <v>7</v>
      </c>
      <c r="AI160" s="123">
        <f t="shared" si="103"/>
        <v>0</v>
      </c>
      <c r="AJ160" s="123">
        <f t="shared" si="104"/>
        <v>0</v>
      </c>
      <c r="AK160" s="123">
        <f t="shared" si="105"/>
        <v>0</v>
      </c>
      <c r="AL160" s="123">
        <f t="shared" si="106"/>
        <v>0</v>
      </c>
      <c r="AM160" s="123">
        <f t="shared" si="107"/>
        <v>0</v>
      </c>
      <c r="AN160" s="123">
        <f t="shared" si="108"/>
        <v>0</v>
      </c>
      <c r="AO160" s="123">
        <f t="shared" si="109"/>
        <v>0</v>
      </c>
      <c r="AP160" s="123">
        <f t="shared" si="110"/>
        <v>0</v>
      </c>
      <c r="AQ160" s="123">
        <f t="shared" si="111"/>
        <v>0</v>
      </c>
      <c r="AR160" s="123">
        <f t="shared" si="112"/>
        <v>0</v>
      </c>
    </row>
    <row r="161" spans="1:44" ht="12.75">
      <c r="A161" s="122"/>
      <c r="B161" s="122"/>
      <c r="C161" s="156" t="s">
        <v>14</v>
      </c>
      <c r="D161" s="156" t="s">
        <v>136</v>
      </c>
      <c r="E161" s="156" t="s">
        <v>136</v>
      </c>
      <c r="F161" s="122"/>
      <c r="G161" s="122" t="str">
        <f>$C$35</f>
        <v>GS-RES.</v>
      </c>
      <c r="H161" s="122" t="str">
        <f>$C$36</f>
        <v>GS-OTHER</v>
      </c>
      <c r="I161" s="122" t="str">
        <f>$C$37</f>
        <v>IUS</v>
      </c>
      <c r="J161" s="122" t="str">
        <f>$C$38</f>
        <v>DS-ML/SC</v>
      </c>
      <c r="K161" s="122" t="str">
        <f>$C$39</f>
        <v>DS/IS/SS</v>
      </c>
      <c r="L161" s="122" t="str">
        <f>$C$40</f>
        <v>NOT USED</v>
      </c>
      <c r="M161" s="122" t="str">
        <f>$C$41</f>
        <v>NOT USED</v>
      </c>
      <c r="N161" s="122" t="str">
        <f>$C$42</f>
        <v>NOT USED</v>
      </c>
      <c r="O161" s="122" t="str">
        <f>$C$43</f>
        <v>NOT USED</v>
      </c>
      <c r="AE161" s="125">
        <f t="shared" si="113"/>
        <v>25</v>
      </c>
      <c r="AF161" s="139">
        <f t="shared" si="100"/>
        <v>397.5</v>
      </c>
      <c r="AG161" s="140" t="str">
        <f t="shared" si="101"/>
        <v>COMMUNICATION EQUIP - TELEMETERING</v>
      </c>
      <c r="AH161" s="123">
        <f t="shared" si="102"/>
        <v>7</v>
      </c>
      <c r="AI161" s="123">
        <f t="shared" si="103"/>
        <v>0</v>
      </c>
      <c r="AJ161" s="123">
        <f t="shared" si="104"/>
        <v>0</v>
      </c>
      <c r="AK161" s="123">
        <f t="shared" si="105"/>
        <v>0</v>
      </c>
      <c r="AL161" s="123">
        <f t="shared" si="106"/>
        <v>0</v>
      </c>
      <c r="AM161" s="123">
        <f t="shared" si="107"/>
        <v>0</v>
      </c>
      <c r="AN161" s="123">
        <f t="shared" si="108"/>
        <v>0</v>
      </c>
      <c r="AO161" s="123">
        <f t="shared" si="109"/>
        <v>0</v>
      </c>
      <c r="AP161" s="123">
        <f t="shared" si="110"/>
        <v>0</v>
      </c>
      <c r="AQ161" s="123">
        <f t="shared" si="111"/>
        <v>0</v>
      </c>
      <c r="AR161" s="123">
        <f t="shared" si="112"/>
        <v>0</v>
      </c>
    </row>
    <row r="162" spans="1:44" ht="12.75">
      <c r="A162" s="122" t="str">
        <f aca="true" t="shared" si="115" ref="A162:A200">A102</f>
        <v>INTANGIBLE PLANT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AE162" s="125">
        <f t="shared" si="113"/>
        <v>26</v>
      </c>
      <c r="AF162" s="139">
        <f t="shared" si="100"/>
        <v>398</v>
      </c>
      <c r="AG162" s="140" t="str">
        <f t="shared" si="101"/>
        <v>MISCELLANEOUS EQUIPMENT</v>
      </c>
      <c r="AH162" s="123">
        <f t="shared" si="102"/>
        <v>7</v>
      </c>
      <c r="AI162" s="141">
        <f t="shared" si="103"/>
        <v>0</v>
      </c>
      <c r="AJ162" s="141">
        <f t="shared" si="104"/>
        <v>0</v>
      </c>
      <c r="AK162" s="141">
        <f t="shared" si="105"/>
        <v>0</v>
      </c>
      <c r="AL162" s="141">
        <f t="shared" si="106"/>
        <v>0</v>
      </c>
      <c r="AM162" s="141">
        <f t="shared" si="107"/>
        <v>0</v>
      </c>
      <c r="AN162" s="141">
        <f t="shared" si="108"/>
        <v>0</v>
      </c>
      <c r="AO162" s="141">
        <f t="shared" si="109"/>
        <v>0</v>
      </c>
      <c r="AP162" s="141">
        <f t="shared" si="110"/>
        <v>0</v>
      </c>
      <c r="AQ162" s="141">
        <f t="shared" si="111"/>
        <v>0</v>
      </c>
      <c r="AR162" s="141">
        <f t="shared" si="112"/>
        <v>0</v>
      </c>
    </row>
    <row r="163" spans="1:44" ht="12.75">
      <c r="A163" s="178">
        <f t="shared" si="115"/>
        <v>301</v>
      </c>
      <c r="B163" s="122" t="str">
        <f aca="true" t="shared" si="116" ref="B163:C167">B103</f>
        <v>ORGANIZATION</v>
      </c>
      <c r="C163" s="122">
        <f t="shared" si="116"/>
        <v>7</v>
      </c>
      <c r="D163" s="148">
        <v>0</v>
      </c>
      <c r="E163" s="145">
        <v>0</v>
      </c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AE163" s="125">
        <f t="shared" si="113"/>
        <v>27</v>
      </c>
      <c r="AG163" s="123" t="s">
        <v>196</v>
      </c>
      <c r="AI163" s="141">
        <f aca="true" t="shared" si="117" ref="AI163:AR163">SUM(AI149:AI162)</f>
        <v>17539</v>
      </c>
      <c r="AJ163" s="141">
        <f t="shared" si="117"/>
        <v>9844</v>
      </c>
      <c r="AK163" s="141">
        <f t="shared" si="117"/>
        <v>3675</v>
      </c>
      <c r="AL163" s="141">
        <f t="shared" si="117"/>
        <v>11</v>
      </c>
      <c r="AM163" s="141">
        <f t="shared" si="117"/>
        <v>8</v>
      </c>
      <c r="AN163" s="141">
        <f t="shared" si="117"/>
        <v>4000</v>
      </c>
      <c r="AO163" s="141">
        <f t="shared" si="117"/>
        <v>0</v>
      </c>
      <c r="AP163" s="141">
        <f t="shared" si="117"/>
        <v>0</v>
      </c>
      <c r="AQ163" s="141">
        <f t="shared" si="117"/>
        <v>0</v>
      </c>
      <c r="AR163" s="141">
        <f t="shared" si="117"/>
        <v>0</v>
      </c>
    </row>
    <row r="164" spans="1:44" ht="12.75">
      <c r="A164" s="178">
        <f t="shared" si="115"/>
        <v>303</v>
      </c>
      <c r="B164" s="122" t="str">
        <f t="shared" si="116"/>
        <v>MISC. INTANGIBLE PLANT</v>
      </c>
      <c r="C164" s="122">
        <f t="shared" si="116"/>
        <v>7</v>
      </c>
      <c r="D164" s="148">
        <v>102097</v>
      </c>
      <c r="E164" s="145">
        <v>0</v>
      </c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AE164" s="125">
        <f t="shared" si="113"/>
        <v>28</v>
      </c>
      <c r="AG164" s="123" t="s">
        <v>197</v>
      </c>
      <c r="AI164" s="141">
        <f aca="true" t="shared" si="118" ref="AI164:AR164">AI99+AI106+AI145+AI163</f>
        <v>416315.11</v>
      </c>
      <c r="AJ164" s="141">
        <f t="shared" si="118"/>
        <v>247612</v>
      </c>
      <c r="AK164" s="141">
        <f t="shared" si="118"/>
        <v>104257</v>
      </c>
      <c r="AL164" s="141">
        <f t="shared" si="118"/>
        <v>213</v>
      </c>
      <c r="AM164" s="141">
        <f t="shared" si="118"/>
        <v>280</v>
      </c>
      <c r="AN164" s="141">
        <f t="shared" si="118"/>
        <v>63957</v>
      </c>
      <c r="AO164" s="141">
        <f t="shared" si="118"/>
        <v>0</v>
      </c>
      <c r="AP164" s="141">
        <f t="shared" si="118"/>
        <v>0</v>
      </c>
      <c r="AQ164" s="141">
        <f t="shared" si="118"/>
        <v>0</v>
      </c>
      <c r="AR164" s="141">
        <f t="shared" si="118"/>
        <v>0</v>
      </c>
    </row>
    <row r="165" spans="1:31" ht="12.75">
      <c r="A165" s="178">
        <f t="shared" si="115"/>
        <v>303.1</v>
      </c>
      <c r="B165" s="122" t="str">
        <f t="shared" si="116"/>
        <v>DIS SOFTWARE</v>
      </c>
      <c r="C165" s="122">
        <f t="shared" si="116"/>
        <v>7</v>
      </c>
      <c r="D165" s="148">
        <v>0</v>
      </c>
      <c r="E165" s="145">
        <v>0</v>
      </c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AE165" s="125"/>
    </row>
    <row r="166" spans="1:44" ht="12.75">
      <c r="A166" s="178">
        <f t="shared" si="115"/>
        <v>303.2</v>
      </c>
      <c r="B166" s="122" t="str">
        <f t="shared" si="116"/>
        <v>FARA SOFTWARE</v>
      </c>
      <c r="C166" s="122">
        <f t="shared" si="116"/>
        <v>7</v>
      </c>
      <c r="D166" s="148">
        <v>0</v>
      </c>
      <c r="E166" s="145">
        <v>0</v>
      </c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AE166" s="125">
        <f>AE164+1</f>
        <v>29</v>
      </c>
      <c r="AG166" s="140" t="s">
        <v>198</v>
      </c>
      <c r="AI166" s="123">
        <f aca="true" t="shared" si="119" ref="AI166:AR166">AI83+AI164</f>
        <v>250010564.10000002</v>
      </c>
      <c r="AJ166" s="123">
        <f t="shared" si="119"/>
        <v>140329106</v>
      </c>
      <c r="AK166" s="123">
        <f t="shared" si="119"/>
        <v>52380489</v>
      </c>
      <c r="AL166" s="123">
        <f t="shared" si="119"/>
        <v>164117</v>
      </c>
      <c r="AM166" s="123">
        <f t="shared" si="119"/>
        <v>109018</v>
      </c>
      <c r="AN166" s="123">
        <f t="shared" si="119"/>
        <v>57027838</v>
      </c>
      <c r="AO166" s="123">
        <f t="shared" si="119"/>
        <v>0</v>
      </c>
      <c r="AP166" s="123">
        <f t="shared" si="119"/>
        <v>0</v>
      </c>
      <c r="AQ166" s="123">
        <f t="shared" si="119"/>
        <v>0</v>
      </c>
      <c r="AR166" s="123">
        <f t="shared" si="119"/>
        <v>0</v>
      </c>
    </row>
    <row r="167" spans="1:43" ht="12.75">
      <c r="A167" s="178">
        <f t="shared" si="115"/>
        <v>303.3</v>
      </c>
      <c r="B167" s="122" t="str">
        <f t="shared" si="116"/>
        <v>OTHER SOFTWARE</v>
      </c>
      <c r="C167" s="122">
        <f t="shared" si="116"/>
        <v>7</v>
      </c>
      <c r="D167" s="148">
        <v>559800</v>
      </c>
      <c r="E167" s="145">
        <v>0</v>
      </c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AG167" s="124"/>
      <c r="AK167" s="125" t="str">
        <f>" "&amp;+$B$24</f>
        <v> COLUMBIA GAS OF KENTUCKY, INC.</v>
      </c>
      <c r="AQ167" s="123" t="str">
        <f>$B$25</f>
        <v>D/C STUDY</v>
      </c>
    </row>
    <row r="168" spans="1:43" ht="12.75">
      <c r="A168" s="178" t="str">
        <f t="shared" si="115"/>
        <v>PRODUCTION PLANT</v>
      </c>
      <c r="B168" s="122"/>
      <c r="C168" s="122"/>
      <c r="D168" s="148"/>
      <c r="E168" s="145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AE168" s="123" t="str">
        <f>$B$30</f>
        <v>DEMAND-COMMODITY</v>
      </c>
      <c r="AK168" s="125" t="s">
        <v>199</v>
      </c>
      <c r="AQ168" s="123" t="str">
        <f>"PAGE 8 OF "&amp;FIXED($B$31,0,TRUE)</f>
        <v>PAGE 8 OF 28</v>
      </c>
    </row>
    <row r="169" spans="1:44" ht="12.75">
      <c r="A169" s="178">
        <f t="shared" si="115"/>
        <v>304.1</v>
      </c>
      <c r="B169" s="122" t="str">
        <f aca="true" t="shared" si="120" ref="B169:C171">B109</f>
        <v>LAND</v>
      </c>
      <c r="C169" s="122">
        <f t="shared" si="120"/>
        <v>2</v>
      </c>
      <c r="D169" s="148">
        <v>0</v>
      </c>
      <c r="E169" s="145">
        <v>0</v>
      </c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AE169" s="128" t="str">
        <f>$B$29</f>
        <v>HISTORIC PERIOD - ORIGINAL FILING</v>
      </c>
      <c r="AF169" s="128"/>
      <c r="AG169" s="128"/>
      <c r="AH169" s="129"/>
      <c r="AI169" s="129"/>
      <c r="AJ169" s="128"/>
      <c r="AK169" s="130" t="str">
        <f>"FOR THE TWELVE MONTHS ENDED "&amp;$B$27</f>
        <v>FOR THE TWELVE MONTHS ENDED 09/30/2006</v>
      </c>
      <c r="AL169" s="128"/>
      <c r="AM169" s="128"/>
      <c r="AN169" s="128"/>
      <c r="AO169" s="128"/>
      <c r="AP169" s="128"/>
      <c r="AQ169" s="128" t="str">
        <f>"WITNESS: "&amp;$B$28</f>
        <v>WITNESS: R. GIBBONS</v>
      </c>
      <c r="AR169" s="131"/>
    </row>
    <row r="170" spans="1:44" ht="12.75">
      <c r="A170" s="178">
        <f t="shared" si="115"/>
        <v>305</v>
      </c>
      <c r="B170" s="122" t="str">
        <f t="shared" si="120"/>
        <v>STRUCTURES &amp; IMPROVEMENTS</v>
      </c>
      <c r="C170" s="122">
        <f t="shared" si="120"/>
        <v>2</v>
      </c>
      <c r="D170" s="148">
        <v>0</v>
      </c>
      <c r="E170" s="145">
        <v>0</v>
      </c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AE170" s="125" t="s">
        <v>9</v>
      </c>
      <c r="AF170" s="123" t="s">
        <v>10</v>
      </c>
      <c r="AH170" s="125" t="s">
        <v>11</v>
      </c>
      <c r="AI170" s="125" t="s">
        <v>12</v>
      </c>
      <c r="AJ170" s="125"/>
      <c r="AK170" s="125"/>
      <c r="AL170" s="125"/>
      <c r="AM170" s="125"/>
      <c r="AN170" s="125"/>
      <c r="AO170" s="125"/>
      <c r="AP170" s="125"/>
      <c r="AQ170" s="125"/>
      <c r="AR170" s="125"/>
    </row>
    <row r="171" spans="1:44" ht="12.75">
      <c r="A171" s="178">
        <f t="shared" si="115"/>
        <v>311</v>
      </c>
      <c r="B171" s="122" t="str">
        <f t="shared" si="120"/>
        <v>LIQUEFIED PETROLEUM GAS EQUIP</v>
      </c>
      <c r="C171" s="122">
        <f t="shared" si="120"/>
        <v>2</v>
      </c>
      <c r="D171" s="148">
        <v>0</v>
      </c>
      <c r="E171" s="145">
        <v>0</v>
      </c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AE171" s="133" t="s">
        <v>13</v>
      </c>
      <c r="AF171" s="133" t="s">
        <v>13</v>
      </c>
      <c r="AG171" s="171" t="str">
        <f>AG5</f>
        <v> ACCOUNT TITLE</v>
      </c>
      <c r="AH171" s="133" t="s">
        <v>14</v>
      </c>
      <c r="AI171" s="133" t="s">
        <v>15</v>
      </c>
      <c r="AJ171" s="133" t="str">
        <f>"  "&amp;+$C$35</f>
        <v>  GS-RES.</v>
      </c>
      <c r="AK171" s="133" t="str">
        <f>$C$36</f>
        <v>GS-OTHER</v>
      </c>
      <c r="AL171" s="133" t="str">
        <f>$C$37</f>
        <v>IUS</v>
      </c>
      <c r="AM171" s="133" t="str">
        <f>$C$38</f>
        <v>DS-ML/SC</v>
      </c>
      <c r="AN171" s="133" t="str">
        <f>$C$39</f>
        <v>DS/IS/SS</v>
      </c>
      <c r="AO171" s="133" t="str">
        <f>$C$40</f>
        <v>NOT USED</v>
      </c>
      <c r="AP171" s="133" t="str">
        <f>$C$41</f>
        <v>NOT USED</v>
      </c>
      <c r="AQ171" s="133" t="str">
        <f>$C$42</f>
        <v>NOT USED</v>
      </c>
      <c r="AR171" s="133" t="str">
        <f>$C$43</f>
        <v>NOT USED</v>
      </c>
    </row>
    <row r="172" spans="1:44" ht="12.75">
      <c r="A172" s="178" t="str">
        <f t="shared" si="115"/>
        <v>DISTRIBUTION PLANT</v>
      </c>
      <c r="B172" s="122"/>
      <c r="C172" s="122"/>
      <c r="D172" s="148"/>
      <c r="E172" s="145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AE172" s="125"/>
      <c r="AF172" s="136" t="s">
        <v>17</v>
      </c>
      <c r="AG172" s="136" t="s">
        <v>18</v>
      </c>
      <c r="AH172" s="125" t="s">
        <v>19</v>
      </c>
      <c r="AI172" s="125" t="s">
        <v>20</v>
      </c>
      <c r="AJ172" s="125" t="s">
        <v>21</v>
      </c>
      <c r="AK172" s="125" t="s">
        <v>22</v>
      </c>
      <c r="AL172" s="125" t="s">
        <v>23</v>
      </c>
      <c r="AM172" s="125" t="s">
        <v>24</v>
      </c>
      <c r="AN172" s="125" t="s">
        <v>25</v>
      </c>
      <c r="AO172" s="125" t="s">
        <v>26</v>
      </c>
      <c r="AP172" s="125" t="s">
        <v>27</v>
      </c>
      <c r="AQ172" s="125" t="s">
        <v>28</v>
      </c>
      <c r="AR172" s="125" t="s">
        <v>29</v>
      </c>
    </row>
    <row r="173" spans="1:44" ht="12.75">
      <c r="A173" s="178">
        <f t="shared" si="115"/>
        <v>374.1</v>
      </c>
      <c r="B173" s="122" t="str">
        <f aca="true" t="shared" si="121" ref="B173:B200">B113</f>
        <v>LAND - CITY GATE &amp; M/L IND M&amp;R</v>
      </c>
      <c r="C173" s="145">
        <f aca="true" t="shared" si="122" ref="C173:C179">$C$25</f>
        <v>5</v>
      </c>
      <c r="D173" s="148">
        <v>0</v>
      </c>
      <c r="E173" s="145">
        <v>0</v>
      </c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AE173" s="125"/>
      <c r="AI173" s="125" t="s">
        <v>32</v>
      </c>
      <c r="AJ173" s="125" t="s">
        <v>32</v>
      </c>
      <c r="AK173" s="125" t="s">
        <v>32</v>
      </c>
      <c r="AL173" s="125" t="s">
        <v>32</v>
      </c>
      <c r="AM173" s="125" t="s">
        <v>32</v>
      </c>
      <c r="AN173" s="125" t="s">
        <v>32</v>
      </c>
      <c r="AO173" s="125" t="s">
        <v>32</v>
      </c>
      <c r="AP173" s="125" t="s">
        <v>32</v>
      </c>
      <c r="AQ173" s="125" t="s">
        <v>32</v>
      </c>
      <c r="AR173" s="125" t="s">
        <v>32</v>
      </c>
    </row>
    <row r="174" spans="1:33" ht="12.75">
      <c r="A174" s="178">
        <f t="shared" si="115"/>
        <v>374.2</v>
      </c>
      <c r="B174" s="122" t="str">
        <f t="shared" si="121"/>
        <v>LAND - OTHER DISTRIBUTION</v>
      </c>
      <c r="C174" s="145">
        <f t="shared" si="122"/>
        <v>5</v>
      </c>
      <c r="D174" s="148">
        <v>0</v>
      </c>
      <c r="E174" s="145">
        <v>0</v>
      </c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AE174" s="125">
        <v>1</v>
      </c>
      <c r="AG174" s="123" t="str">
        <f>A162</f>
        <v>INTANGIBLE PLANT</v>
      </c>
    </row>
    <row r="175" spans="1:31" ht="12.75">
      <c r="A175" s="178">
        <f t="shared" si="115"/>
        <v>374.4</v>
      </c>
      <c r="B175" s="122" t="str">
        <f t="shared" si="121"/>
        <v>LAND RIGHTS - OTHER DISTRIBUTION</v>
      </c>
      <c r="C175" s="145">
        <f t="shared" si="122"/>
        <v>5</v>
      </c>
      <c r="D175" s="148">
        <v>107284</v>
      </c>
      <c r="E175" s="145">
        <v>0</v>
      </c>
      <c r="F175" s="122"/>
      <c r="G175" s="145"/>
      <c r="H175" s="145"/>
      <c r="I175" s="145"/>
      <c r="J175" s="145"/>
      <c r="K175" s="145"/>
      <c r="L175" s="122"/>
      <c r="M175" s="122"/>
      <c r="N175" s="122"/>
      <c r="O175" s="122"/>
      <c r="AE175" s="125"/>
    </row>
    <row r="176" spans="1:44" ht="12.75">
      <c r="A176" s="178">
        <f t="shared" si="115"/>
        <v>374.5</v>
      </c>
      <c r="B176" s="122" t="str">
        <f t="shared" si="121"/>
        <v>RIGHTS OF WAY</v>
      </c>
      <c r="C176" s="145">
        <f t="shared" si="122"/>
        <v>5</v>
      </c>
      <c r="D176" s="148">
        <v>600467</v>
      </c>
      <c r="E176" s="145">
        <v>0</v>
      </c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AE176" s="125">
        <f>AE174+1</f>
        <v>2</v>
      </c>
      <c r="AF176" s="139">
        <f aca="true" t="shared" si="123" ref="AF176:AH180">A163</f>
        <v>301</v>
      </c>
      <c r="AG176" s="123" t="str">
        <f t="shared" si="123"/>
        <v>ORGANIZATION</v>
      </c>
      <c r="AH176" s="123">
        <f t="shared" si="123"/>
        <v>7</v>
      </c>
      <c r="AI176" s="123">
        <f>D163+E163</f>
        <v>0</v>
      </c>
      <c r="AJ176" s="123">
        <f>ROUND((VLOOKUP($AH176,$A$661:$Y$709,13)*$AI176),0)</f>
        <v>0</v>
      </c>
      <c r="AK176" s="123">
        <f>ROUND((VLOOKUP($AH176,$A$661:$Y$709,14)*$AI176),0)</f>
        <v>0</v>
      </c>
      <c r="AL176" s="123">
        <f>ROUND((VLOOKUP($AH176,$A$661:$Y$709,15)*$AI176),0)</f>
        <v>0</v>
      </c>
      <c r="AM176" s="123">
        <f>ROUND((VLOOKUP($AH176,$A$661:$Y$709,16)*$AI176),0)</f>
        <v>0</v>
      </c>
      <c r="AN176" s="123">
        <f>ROUND((VLOOKUP($AH176,$A$661:$Y$709,17)*$AI176),0)</f>
        <v>0</v>
      </c>
      <c r="AO176" s="123">
        <f>ROUND((VLOOKUP($AH176,$A$661:$Y$709,18)*$AI176),0)</f>
        <v>0</v>
      </c>
      <c r="AP176" s="123">
        <f>ROUND((VLOOKUP($AH176,$A$661:$Y$709,19)*$AI176),0)</f>
        <v>0</v>
      </c>
      <c r="AQ176" s="123">
        <f>ROUND((VLOOKUP($AH176,$A$661:$Y$709,20)*$AI176),0)</f>
        <v>0</v>
      </c>
      <c r="AR176" s="123">
        <f>ROUND((VLOOKUP($AH176,$A$661:$Y$709,21)*$AI176),0)</f>
        <v>0</v>
      </c>
    </row>
    <row r="177" spans="1:44" ht="12.75">
      <c r="A177" s="178">
        <f t="shared" si="115"/>
        <v>375.2</v>
      </c>
      <c r="B177" s="122" t="str">
        <f t="shared" si="121"/>
        <v>CITY GATE - MEAS &amp; REG STRUCTURES</v>
      </c>
      <c r="C177" s="145">
        <f t="shared" si="122"/>
        <v>5</v>
      </c>
      <c r="D177" s="148">
        <v>5523</v>
      </c>
      <c r="E177" s="145">
        <v>0</v>
      </c>
      <c r="F177" s="122"/>
      <c r="G177" s="145"/>
      <c r="H177" s="145"/>
      <c r="I177" s="145"/>
      <c r="J177" s="145"/>
      <c r="K177" s="145"/>
      <c r="L177" s="122"/>
      <c r="M177" s="122"/>
      <c r="N177" s="122"/>
      <c r="O177" s="122"/>
      <c r="AE177" s="125">
        <f>AE176+1</f>
        <v>3</v>
      </c>
      <c r="AF177" s="139">
        <f t="shared" si="123"/>
        <v>303</v>
      </c>
      <c r="AG177" s="123" t="str">
        <f t="shared" si="123"/>
        <v>MISC. INTANGIBLE PLANT</v>
      </c>
      <c r="AH177" s="123">
        <f t="shared" si="123"/>
        <v>7</v>
      </c>
      <c r="AI177" s="123">
        <f>D164+E164</f>
        <v>102097</v>
      </c>
      <c r="AJ177" s="123">
        <f>ROUND((VLOOKUP($AH177,$A$661:$Y$709,13)*$AI177),0)</f>
        <v>57305</v>
      </c>
      <c r="AK177" s="123">
        <f>ROUND((VLOOKUP($AH177,$A$661:$Y$709,14)*$AI177),0)</f>
        <v>21390</v>
      </c>
      <c r="AL177" s="123">
        <f>ROUND((VLOOKUP($AH177,$A$661:$Y$709,15)*$AI177),0)</f>
        <v>67</v>
      </c>
      <c r="AM177" s="123">
        <f>ROUND((VLOOKUP($AH177,$A$661:$Y$709,16)*$AI177),0)</f>
        <v>45</v>
      </c>
      <c r="AN177" s="123">
        <f>ROUND((VLOOKUP($AH177,$A$661:$Y$709,17)*$AI177),0)</f>
        <v>23289</v>
      </c>
      <c r="AO177" s="123">
        <f>ROUND((VLOOKUP($AH177,$A$661:$Y$709,18)*$AI177),0)</f>
        <v>0</v>
      </c>
      <c r="AP177" s="123">
        <f>ROUND((VLOOKUP($AH177,$A$661:$Y$709,19)*$AI177),0)</f>
        <v>0</v>
      </c>
      <c r="AQ177" s="123">
        <f>ROUND((VLOOKUP($AH177,$A$661:$Y$709,20)*$AI177),0)</f>
        <v>0</v>
      </c>
      <c r="AR177" s="123">
        <f>ROUND((VLOOKUP($AH177,$A$661:$Y$709,21)*$AI177),0)</f>
        <v>0</v>
      </c>
    </row>
    <row r="178" spans="1:44" ht="12.75">
      <c r="A178" s="178">
        <f t="shared" si="115"/>
        <v>375.3</v>
      </c>
      <c r="B178" s="122" t="str">
        <f t="shared" si="121"/>
        <v>STRUC &amp; IMPROV-GENERAL M&amp;R</v>
      </c>
      <c r="C178" s="145">
        <f t="shared" si="122"/>
        <v>5</v>
      </c>
      <c r="D178" s="148">
        <v>10948</v>
      </c>
      <c r="E178" s="145">
        <v>0</v>
      </c>
      <c r="AE178" s="125">
        <f>AE177+1</f>
        <v>4</v>
      </c>
      <c r="AF178" s="139">
        <f t="shared" si="123"/>
        <v>303.1</v>
      </c>
      <c r="AG178" s="123" t="str">
        <f t="shared" si="123"/>
        <v>DIS SOFTWARE</v>
      </c>
      <c r="AH178" s="123">
        <f t="shared" si="123"/>
        <v>7</v>
      </c>
      <c r="AI178" s="123">
        <f>D165+E165</f>
        <v>0</v>
      </c>
      <c r="AJ178" s="123">
        <f>ROUND((VLOOKUP($AH178,$A$661:$Y$709,13)*$AI178),0)</f>
        <v>0</v>
      </c>
      <c r="AK178" s="123">
        <f>ROUND((VLOOKUP($AH178,$A$661:$Y$709,14)*$AI178),0)</f>
        <v>0</v>
      </c>
      <c r="AL178" s="123">
        <f>ROUND((VLOOKUP($AH178,$A$661:$Y$709,15)*$AI178),0)</f>
        <v>0</v>
      </c>
      <c r="AM178" s="123">
        <f>ROUND((VLOOKUP($AH178,$A$661:$Y$709,16)*$AI178),0)</f>
        <v>0</v>
      </c>
      <c r="AN178" s="123">
        <f>ROUND((VLOOKUP($AH178,$A$661:$Y$709,17)*$AI178),0)</f>
        <v>0</v>
      </c>
      <c r="AO178" s="123">
        <f>ROUND((VLOOKUP($AH178,$A$661:$Y$709,18)*$AI178),0)</f>
        <v>0</v>
      </c>
      <c r="AP178" s="123">
        <f>ROUND((VLOOKUP($AH178,$A$661:$Y$709,19)*$AI178),0)</f>
        <v>0</v>
      </c>
      <c r="AQ178" s="123">
        <f>ROUND((VLOOKUP($AH178,$A$661:$Y$709,20)*$AI178),0)</f>
        <v>0</v>
      </c>
      <c r="AR178" s="123">
        <f>ROUND((VLOOKUP($AH178,$A$661:$Y$709,21)*$AI178),0)</f>
        <v>0</v>
      </c>
    </row>
    <row r="179" spans="1:44" ht="12.75">
      <c r="A179" s="178">
        <f t="shared" si="115"/>
        <v>375.4</v>
      </c>
      <c r="B179" s="122" t="str">
        <f t="shared" si="121"/>
        <v>STRUC &amp; IMPROV-REGULATING</v>
      </c>
      <c r="C179" s="145">
        <f t="shared" si="122"/>
        <v>5</v>
      </c>
      <c r="D179" s="148">
        <v>296213</v>
      </c>
      <c r="E179" s="145">
        <v>0</v>
      </c>
      <c r="F179" s="122"/>
      <c r="G179" s="145"/>
      <c r="H179" s="122"/>
      <c r="I179" s="122"/>
      <c r="J179" s="122"/>
      <c r="K179" s="122"/>
      <c r="L179" s="122"/>
      <c r="M179" s="122"/>
      <c r="N179" s="122"/>
      <c r="O179" s="122"/>
      <c r="AE179" s="125">
        <f>AE178+1</f>
        <v>5</v>
      </c>
      <c r="AF179" s="139">
        <f t="shared" si="123"/>
        <v>303.2</v>
      </c>
      <c r="AG179" s="123" t="str">
        <f t="shared" si="123"/>
        <v>FARA SOFTWARE</v>
      </c>
      <c r="AH179" s="123">
        <f t="shared" si="123"/>
        <v>7</v>
      </c>
      <c r="AI179" s="123">
        <f>D166+E166</f>
        <v>0</v>
      </c>
      <c r="AJ179" s="123">
        <f>ROUND((VLOOKUP($AH179,$A$661:$Y$709,13)*$AI179),0)</f>
        <v>0</v>
      </c>
      <c r="AK179" s="123">
        <f>ROUND((VLOOKUP($AH179,$A$661:$Y$709,14)*$AI179),0)</f>
        <v>0</v>
      </c>
      <c r="AL179" s="123">
        <f>ROUND((VLOOKUP($AH179,$A$661:$Y$709,15)*$AI179),0)</f>
        <v>0</v>
      </c>
      <c r="AM179" s="123">
        <f>ROUND((VLOOKUP($AH179,$A$661:$Y$709,16)*$AI179),0)</f>
        <v>0</v>
      </c>
      <c r="AN179" s="123">
        <f>ROUND((VLOOKUP($AH179,$A$661:$Y$709,17)*$AI179),0)</f>
        <v>0</v>
      </c>
      <c r="AO179" s="123">
        <f>ROUND((VLOOKUP($AH179,$A$661:$Y$709,18)*$AI179),0)</f>
        <v>0</v>
      </c>
      <c r="AP179" s="123">
        <f>ROUND((VLOOKUP($AH179,$A$661:$Y$709,19)*$AI179),0)</f>
        <v>0</v>
      </c>
      <c r="AQ179" s="123">
        <f>ROUND((VLOOKUP($AH179,$A$661:$Y$709,20)*$AI179),0)</f>
        <v>0</v>
      </c>
      <c r="AR179" s="123">
        <f>ROUND((VLOOKUP($AH179,$A$661:$Y$709,21)*$AI179),0)</f>
        <v>0</v>
      </c>
    </row>
    <row r="180" spans="1:44" ht="12.75">
      <c r="A180" s="178">
        <f t="shared" si="115"/>
        <v>375.6</v>
      </c>
      <c r="B180" s="122" t="str">
        <f t="shared" si="121"/>
        <v>STRUC &amp; IMPROV-DIST. IND. M &amp; R</v>
      </c>
      <c r="C180" s="122">
        <f>C120</f>
        <v>8</v>
      </c>
      <c r="D180" s="148">
        <v>36468</v>
      </c>
      <c r="E180" s="145">
        <v>0</v>
      </c>
      <c r="F180" s="122"/>
      <c r="G180" s="145">
        <v>0</v>
      </c>
      <c r="H180" s="145">
        <v>0</v>
      </c>
      <c r="I180" s="145">
        <v>0</v>
      </c>
      <c r="J180" s="145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</v>
      </c>
      <c r="AE180" s="125">
        <f>AE179+1</f>
        <v>6</v>
      </c>
      <c r="AF180" s="139">
        <f t="shared" si="123"/>
        <v>303.3</v>
      </c>
      <c r="AG180" s="123" t="str">
        <f t="shared" si="123"/>
        <v>OTHER SOFTWARE</v>
      </c>
      <c r="AH180" s="123">
        <f t="shared" si="123"/>
        <v>7</v>
      </c>
      <c r="AI180" s="141">
        <f>D167+E167</f>
        <v>559800</v>
      </c>
      <c r="AJ180" s="141">
        <f>ROUND((VLOOKUP($AH180,$A$661:$Y$709,13)*$AI180),0)</f>
        <v>314205</v>
      </c>
      <c r="AK180" s="141">
        <f>ROUND((VLOOKUP($AH180,$A$661:$Y$709,14)*$AI180),0)</f>
        <v>117284</v>
      </c>
      <c r="AL180" s="141">
        <f>ROUND((VLOOKUP($AH180,$A$661:$Y$709,15)*$AI180),0)</f>
        <v>369</v>
      </c>
      <c r="AM180" s="141">
        <f>ROUND((VLOOKUP($AH180,$A$661:$Y$709,16)*$AI180),0)</f>
        <v>246</v>
      </c>
      <c r="AN180" s="141">
        <f>ROUND((VLOOKUP($AH180,$A$661:$Y$709,17)*$AI180),0)</f>
        <v>127696</v>
      </c>
      <c r="AO180" s="141">
        <f>ROUND((VLOOKUP($AH180,$A$661:$Y$709,18)*$AI180),0)</f>
        <v>0</v>
      </c>
      <c r="AP180" s="141">
        <f>ROUND((VLOOKUP($AH180,$A$661:$Y$709,19)*$AI180),0)</f>
        <v>0</v>
      </c>
      <c r="AQ180" s="141">
        <f>ROUND((VLOOKUP($AH180,$A$661:$Y$709,20)*$AI180),0)</f>
        <v>0</v>
      </c>
      <c r="AR180" s="141">
        <f>ROUND((VLOOKUP($AH180,$A$661:$Y$709,21)*$AI180),0)</f>
        <v>0</v>
      </c>
    </row>
    <row r="181" spans="1:44" ht="12.75">
      <c r="A181" s="178">
        <f t="shared" si="115"/>
        <v>375.7</v>
      </c>
      <c r="B181" s="122" t="str">
        <f t="shared" si="121"/>
        <v>STRUC &amp; IMPROV-OTHER DIST. SYSTEM</v>
      </c>
      <c r="C181" s="122">
        <f>C121</f>
        <v>7</v>
      </c>
      <c r="D181" s="148">
        <v>1832185</v>
      </c>
      <c r="E181" s="145">
        <v>0</v>
      </c>
      <c r="F181" s="122"/>
      <c r="G181" s="145"/>
      <c r="H181" s="122"/>
      <c r="I181" s="122"/>
      <c r="J181" s="122"/>
      <c r="K181" s="122"/>
      <c r="L181" s="122"/>
      <c r="M181" s="122"/>
      <c r="N181" s="122"/>
      <c r="O181" s="122"/>
      <c r="AE181" s="125">
        <f>AE180+1</f>
        <v>7</v>
      </c>
      <c r="AG181" s="123" t="s">
        <v>200</v>
      </c>
      <c r="AI181" s="123">
        <f aca="true" t="shared" si="124" ref="AI181:AR181">SUM(AI176:AI180)</f>
        <v>661897</v>
      </c>
      <c r="AJ181" s="123">
        <f t="shared" si="124"/>
        <v>371510</v>
      </c>
      <c r="AK181" s="123">
        <f t="shared" si="124"/>
        <v>138674</v>
      </c>
      <c r="AL181" s="123">
        <f t="shared" si="124"/>
        <v>436</v>
      </c>
      <c r="AM181" s="123">
        <f t="shared" si="124"/>
        <v>291</v>
      </c>
      <c r="AN181" s="123">
        <f t="shared" si="124"/>
        <v>150985</v>
      </c>
      <c r="AO181" s="123">
        <f t="shared" si="124"/>
        <v>0</v>
      </c>
      <c r="AP181" s="123">
        <f t="shared" si="124"/>
        <v>0</v>
      </c>
      <c r="AQ181" s="123">
        <f t="shared" si="124"/>
        <v>0</v>
      </c>
      <c r="AR181" s="123">
        <f t="shared" si="124"/>
        <v>0</v>
      </c>
    </row>
    <row r="182" spans="1:32" ht="12.75">
      <c r="A182" s="178">
        <f t="shared" si="115"/>
        <v>375.71</v>
      </c>
      <c r="B182" s="122" t="str">
        <f t="shared" si="121"/>
        <v>STRUCT &amp; IMPROV-OTHER DIST. SYSTEM-IMPROV</v>
      </c>
      <c r="C182" s="122">
        <f>C122</f>
        <v>7</v>
      </c>
      <c r="D182" s="148">
        <v>62460</v>
      </c>
      <c r="E182" s="145">
        <v>0</v>
      </c>
      <c r="F182" s="122"/>
      <c r="G182" s="145">
        <v>0</v>
      </c>
      <c r="H182" s="145">
        <v>0</v>
      </c>
      <c r="I182" s="145">
        <v>0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AE182" s="125"/>
      <c r="AF182" s="139"/>
    </row>
    <row r="183" spans="1:33" ht="12.75">
      <c r="A183" s="178">
        <f t="shared" si="115"/>
        <v>375.8</v>
      </c>
      <c r="B183" s="122" t="str">
        <f t="shared" si="121"/>
        <v>STRUC &amp; IMPROV-COMMUNICATION</v>
      </c>
      <c r="C183" s="145">
        <f aca="true" t="shared" si="125" ref="C183:C188">$C$25</f>
        <v>5</v>
      </c>
      <c r="D183" s="148">
        <v>21805</v>
      </c>
      <c r="E183" s="145">
        <v>0</v>
      </c>
      <c r="F183" s="122"/>
      <c r="G183" s="145">
        <v>0</v>
      </c>
      <c r="H183" s="145">
        <v>0</v>
      </c>
      <c r="I183" s="145">
        <v>0</v>
      </c>
      <c r="J183" s="145">
        <v>0</v>
      </c>
      <c r="K183" s="145">
        <v>0</v>
      </c>
      <c r="L183" s="145">
        <v>0</v>
      </c>
      <c r="M183" s="145">
        <v>0</v>
      </c>
      <c r="N183" s="145">
        <v>0</v>
      </c>
      <c r="O183" s="145">
        <v>0</v>
      </c>
      <c r="AE183" s="125">
        <f>AE181+1</f>
        <v>8</v>
      </c>
      <c r="AG183" s="123" t="str">
        <f>A168</f>
        <v>PRODUCTION PLANT</v>
      </c>
    </row>
    <row r="184" spans="1:31" ht="12.75">
      <c r="A184" s="178">
        <f t="shared" si="115"/>
        <v>376</v>
      </c>
      <c r="B184" s="122" t="str">
        <f t="shared" si="121"/>
        <v>MAINS</v>
      </c>
      <c r="C184" s="145">
        <f t="shared" si="125"/>
        <v>5</v>
      </c>
      <c r="D184" s="148">
        <v>43358060</v>
      </c>
      <c r="E184" s="145">
        <v>0</v>
      </c>
      <c r="F184" s="122"/>
      <c r="G184" s="145">
        <v>0</v>
      </c>
      <c r="H184" s="145">
        <v>0</v>
      </c>
      <c r="I184" s="145">
        <v>0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AE184" s="125"/>
    </row>
    <row r="185" spans="1:44" ht="12.75">
      <c r="A185" s="178">
        <f t="shared" si="115"/>
        <v>378.1</v>
      </c>
      <c r="B185" s="122" t="str">
        <f t="shared" si="121"/>
        <v>M &amp; R GENERAL</v>
      </c>
      <c r="C185" s="145">
        <f t="shared" si="125"/>
        <v>5</v>
      </c>
      <c r="D185" s="148">
        <v>264333</v>
      </c>
      <c r="E185" s="145">
        <v>0</v>
      </c>
      <c r="F185" s="122"/>
      <c r="G185" s="145"/>
      <c r="H185" s="122"/>
      <c r="I185" s="122"/>
      <c r="J185" s="122"/>
      <c r="K185" s="122"/>
      <c r="L185" s="122"/>
      <c r="M185" s="122"/>
      <c r="N185" s="122"/>
      <c r="O185" s="122"/>
      <c r="AE185" s="125">
        <f>AE183+1</f>
        <v>9</v>
      </c>
      <c r="AF185" s="139">
        <f aca="true" t="shared" si="126" ref="AF185:AH187">A169</f>
        <v>304.1</v>
      </c>
      <c r="AG185" s="123" t="str">
        <f t="shared" si="126"/>
        <v>LAND</v>
      </c>
      <c r="AH185" s="123">
        <f t="shared" si="126"/>
        <v>2</v>
      </c>
      <c r="AI185" s="123">
        <f>D169+E169</f>
        <v>0</v>
      </c>
      <c r="AJ185" s="123">
        <f>ROUND((VLOOKUP($AH185,$A$661:$Y$709,13)*$AI185),0)</f>
        <v>0</v>
      </c>
      <c r="AK185" s="123">
        <f>ROUND((VLOOKUP($AH185,$A$661:$Y$709,14)*$AI185),0)</f>
        <v>0</v>
      </c>
      <c r="AL185" s="123">
        <f>ROUND((VLOOKUP($AH185,$A$661:$Y$709,15)*$AI185),0)</f>
        <v>0</v>
      </c>
      <c r="AM185" s="123">
        <f>ROUND((VLOOKUP($AH185,$A$661:$Y$709,16)*$AI185),0)</f>
        <v>0</v>
      </c>
      <c r="AN185" s="123">
        <f>ROUND((VLOOKUP($AH185,$A$661:$Y$709,17)*$AI185),0)</f>
        <v>0</v>
      </c>
      <c r="AO185" s="123">
        <f>ROUND((VLOOKUP($AH185,$A$661:$Y$709,18)*$AI185),0)</f>
        <v>0</v>
      </c>
      <c r="AP185" s="123">
        <f>ROUND((VLOOKUP($AH185,$A$661:$Y$709,19)*$AI185),0)</f>
        <v>0</v>
      </c>
      <c r="AQ185" s="123">
        <f>ROUND((VLOOKUP($AH185,$A$661:$Y$709,20)*$AI185),0)</f>
        <v>0</v>
      </c>
      <c r="AR185" s="123">
        <f>ROUND((VLOOKUP($AH185,$A$661:$Y$709,21)*$AI185),0)</f>
        <v>0</v>
      </c>
    </row>
    <row r="186" spans="1:44" ht="12.75">
      <c r="A186" s="178">
        <f t="shared" si="115"/>
        <v>378.2</v>
      </c>
      <c r="B186" s="122" t="str">
        <f t="shared" si="121"/>
        <v>M &amp; R GENERAL - REGULATING</v>
      </c>
      <c r="C186" s="145">
        <f t="shared" si="125"/>
        <v>5</v>
      </c>
      <c r="D186" s="148">
        <v>2049544</v>
      </c>
      <c r="E186" s="145">
        <v>0</v>
      </c>
      <c r="F186" s="122"/>
      <c r="G186" s="145"/>
      <c r="H186" s="145"/>
      <c r="I186" s="145"/>
      <c r="J186" s="145"/>
      <c r="K186" s="145"/>
      <c r="L186" s="145"/>
      <c r="M186" s="145"/>
      <c r="N186" s="145"/>
      <c r="O186" s="145"/>
      <c r="AE186" s="125">
        <f>AE185+1</f>
        <v>10</v>
      </c>
      <c r="AF186" s="139">
        <f t="shared" si="126"/>
        <v>305</v>
      </c>
      <c r="AG186" s="123" t="str">
        <f t="shared" si="126"/>
        <v>STRUCTURES &amp; IMPROVEMENTS</v>
      </c>
      <c r="AH186" s="123">
        <f t="shared" si="126"/>
        <v>2</v>
      </c>
      <c r="AI186" s="123">
        <f>D170+E170</f>
        <v>0</v>
      </c>
      <c r="AJ186" s="123">
        <f>ROUND((VLOOKUP($AH186,$A$661:$Y$709,13)*$AI186),0)</f>
        <v>0</v>
      </c>
      <c r="AK186" s="123">
        <f>ROUND((VLOOKUP($AH186,$A$661:$Y$709,14)*$AI186),0)</f>
        <v>0</v>
      </c>
      <c r="AL186" s="123">
        <f>ROUND((VLOOKUP($AH186,$A$661:$Y$709,15)*$AI186),0)</f>
        <v>0</v>
      </c>
      <c r="AM186" s="123">
        <f>ROUND((VLOOKUP($AH186,$A$661:$Y$709,16)*$AI186),0)</f>
        <v>0</v>
      </c>
      <c r="AN186" s="123">
        <f>ROUND((VLOOKUP($AH186,$A$661:$Y$709,17)*$AI186),0)</f>
        <v>0</v>
      </c>
      <c r="AO186" s="123">
        <f>ROUND((VLOOKUP($AH186,$A$661:$Y$709,18)*$AI186),0)</f>
        <v>0</v>
      </c>
      <c r="AP186" s="123">
        <f>ROUND((VLOOKUP($AH186,$A$661:$Y$709,19)*$AI186),0)</f>
        <v>0</v>
      </c>
      <c r="AQ186" s="123">
        <f>ROUND((VLOOKUP($AH186,$A$661:$Y$709,20)*$AI186),0)</f>
        <v>0</v>
      </c>
      <c r="AR186" s="123">
        <f>ROUND((VLOOKUP($AH186,$A$661:$Y$709,21)*$AI186),0)</f>
        <v>0</v>
      </c>
    </row>
    <row r="187" spans="1:44" ht="12.75">
      <c r="A187" s="178">
        <f t="shared" si="115"/>
        <v>378.3</v>
      </c>
      <c r="B187" s="122" t="str">
        <f t="shared" si="121"/>
        <v>M &amp; R EQUIP - LOCAL GAS PURCHASES</v>
      </c>
      <c r="C187" s="145">
        <f t="shared" si="125"/>
        <v>5</v>
      </c>
      <c r="D187" s="148">
        <v>24509</v>
      </c>
      <c r="E187" s="145">
        <v>0</v>
      </c>
      <c r="F187" s="122"/>
      <c r="G187" s="145"/>
      <c r="H187" s="145"/>
      <c r="I187" s="145"/>
      <c r="J187" s="145"/>
      <c r="K187" s="145"/>
      <c r="L187" s="145"/>
      <c r="M187" s="145"/>
      <c r="N187" s="145"/>
      <c r="O187" s="145"/>
      <c r="AE187" s="125">
        <f>AE186+1</f>
        <v>11</v>
      </c>
      <c r="AF187" s="139">
        <f t="shared" si="126"/>
        <v>311</v>
      </c>
      <c r="AG187" s="123" t="str">
        <f t="shared" si="126"/>
        <v>LIQUEFIED PETROLEUM GAS EQUIP</v>
      </c>
      <c r="AH187" s="123">
        <f t="shared" si="126"/>
        <v>2</v>
      </c>
      <c r="AI187" s="141">
        <f>D171+E171</f>
        <v>0</v>
      </c>
      <c r="AJ187" s="141">
        <f>ROUND((VLOOKUP($AH187,$A$661:$Y$709,13)*$AI187),0)</f>
        <v>0</v>
      </c>
      <c r="AK187" s="141">
        <f>ROUND((VLOOKUP($AH187,$A$661:$Y$709,14)*$AI187),0)</f>
        <v>0</v>
      </c>
      <c r="AL187" s="141">
        <f>ROUND((VLOOKUP($AH187,$A$661:$Y$709,15)*$AI187),0)</f>
        <v>0</v>
      </c>
      <c r="AM187" s="141">
        <f>ROUND((VLOOKUP($AH187,$A$661:$Y$709,16)*$AI187),0)</f>
        <v>0</v>
      </c>
      <c r="AN187" s="141">
        <f>ROUND((VLOOKUP($AH187,$A$661:$Y$709,17)*$AI187),0)</f>
        <v>0</v>
      </c>
      <c r="AO187" s="141">
        <f>ROUND((VLOOKUP($AH187,$A$661:$Y$709,18)*$AI187),0)</f>
        <v>0</v>
      </c>
      <c r="AP187" s="141">
        <f>ROUND((VLOOKUP($AH187,$A$661:$Y$709,19)*$AI187),0)</f>
        <v>0</v>
      </c>
      <c r="AQ187" s="141">
        <f>ROUND((VLOOKUP($AH187,$A$661:$Y$709,20)*$AI187),0)</f>
        <v>0</v>
      </c>
      <c r="AR187" s="141">
        <f>ROUND((VLOOKUP($AH187,$A$661:$Y$709,21)*$AI187),0)</f>
        <v>0</v>
      </c>
    </row>
    <row r="188" spans="1:44" ht="12.75">
      <c r="A188" s="178">
        <f t="shared" si="115"/>
        <v>379.1</v>
      </c>
      <c r="B188" s="122" t="str">
        <f t="shared" si="121"/>
        <v>STA EQUIP - CITY</v>
      </c>
      <c r="C188" s="145">
        <f t="shared" si="125"/>
        <v>5</v>
      </c>
      <c r="D188" s="148">
        <v>248640</v>
      </c>
      <c r="E188" s="145">
        <v>0</v>
      </c>
      <c r="F188" s="122"/>
      <c r="G188" s="145"/>
      <c r="H188" s="145"/>
      <c r="I188" s="145"/>
      <c r="J188" s="145"/>
      <c r="K188" s="145"/>
      <c r="L188" s="145"/>
      <c r="M188" s="145"/>
      <c r="N188" s="145"/>
      <c r="O188" s="145"/>
      <c r="AE188" s="125">
        <f>AE187+1</f>
        <v>12</v>
      </c>
      <c r="AF188" s="139"/>
      <c r="AG188" s="123" t="s">
        <v>201</v>
      </c>
      <c r="AI188" s="123">
        <f aca="true" t="shared" si="127" ref="AI188:AR188">SUM(AI185:AI187)</f>
        <v>0</v>
      </c>
      <c r="AJ188" s="123">
        <f t="shared" si="127"/>
        <v>0</v>
      </c>
      <c r="AK188" s="123">
        <f t="shared" si="127"/>
        <v>0</v>
      </c>
      <c r="AL188" s="123">
        <f t="shared" si="127"/>
        <v>0</v>
      </c>
      <c r="AM188" s="123">
        <f t="shared" si="127"/>
        <v>0</v>
      </c>
      <c r="AN188" s="123">
        <f t="shared" si="127"/>
        <v>0</v>
      </c>
      <c r="AO188" s="123">
        <f t="shared" si="127"/>
        <v>0</v>
      </c>
      <c r="AP188" s="123">
        <f t="shared" si="127"/>
        <v>0</v>
      </c>
      <c r="AQ188" s="123">
        <f t="shared" si="127"/>
        <v>0</v>
      </c>
      <c r="AR188" s="123">
        <f t="shared" si="127"/>
        <v>0</v>
      </c>
    </row>
    <row r="189" spans="1:44" ht="12.75">
      <c r="A189" s="178">
        <f t="shared" si="115"/>
        <v>380</v>
      </c>
      <c r="B189" s="122" t="str">
        <f t="shared" si="121"/>
        <v>SERVICES</v>
      </c>
      <c r="C189" s="122">
        <f aca="true" t="shared" si="128" ref="C189:C200">C129</f>
        <v>15</v>
      </c>
      <c r="D189" s="148">
        <v>48523518</v>
      </c>
      <c r="E189" s="145">
        <v>0</v>
      </c>
      <c r="F189" s="122"/>
      <c r="G189" s="145">
        <v>0</v>
      </c>
      <c r="H189" s="145">
        <v>0</v>
      </c>
      <c r="I189" s="145">
        <v>0</v>
      </c>
      <c r="J189" s="145">
        <v>0</v>
      </c>
      <c r="K189" s="145">
        <v>0</v>
      </c>
      <c r="L189" s="145">
        <v>0</v>
      </c>
      <c r="M189" s="145">
        <v>0</v>
      </c>
      <c r="N189" s="145">
        <v>0</v>
      </c>
      <c r="O189" s="145">
        <v>0</v>
      </c>
      <c r="AE189" s="125"/>
      <c r="AF189" s="139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</row>
    <row r="190" spans="1:44" ht="12.75">
      <c r="A190" s="178">
        <f t="shared" si="115"/>
        <v>381</v>
      </c>
      <c r="B190" s="122" t="str">
        <f t="shared" si="121"/>
        <v>METERS</v>
      </c>
      <c r="C190" s="122">
        <f t="shared" si="128"/>
        <v>16</v>
      </c>
      <c r="D190" s="148">
        <v>3709949</v>
      </c>
      <c r="E190" s="145">
        <v>0</v>
      </c>
      <c r="F190" s="122"/>
      <c r="G190" s="145"/>
      <c r="H190" s="145"/>
      <c r="I190" s="145"/>
      <c r="J190" s="145"/>
      <c r="K190" s="145"/>
      <c r="L190" s="145"/>
      <c r="M190" s="145"/>
      <c r="N190" s="145"/>
      <c r="O190" s="145"/>
      <c r="AE190" s="125">
        <f>AE188+1</f>
        <v>13</v>
      </c>
      <c r="AG190" s="139" t="str">
        <f>A172</f>
        <v>DISTRIBUTION PLANT</v>
      </c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</row>
    <row r="191" spans="1:31" ht="12.75">
      <c r="A191" s="178">
        <f t="shared" si="115"/>
        <v>382</v>
      </c>
      <c r="B191" s="122" t="str">
        <f t="shared" si="121"/>
        <v>METER INSTALLATIONS</v>
      </c>
      <c r="C191" s="122">
        <f t="shared" si="128"/>
        <v>16</v>
      </c>
      <c r="D191" s="148">
        <v>3068495</v>
      </c>
      <c r="E191" s="145">
        <v>0</v>
      </c>
      <c r="F191" s="122"/>
      <c r="G191" s="122"/>
      <c r="H191" s="145"/>
      <c r="I191" s="145"/>
      <c r="J191" s="145"/>
      <c r="K191" s="145"/>
      <c r="L191" s="145"/>
      <c r="M191" s="145"/>
      <c r="N191" s="145"/>
      <c r="O191" s="145"/>
      <c r="AE191" s="125"/>
    </row>
    <row r="192" spans="1:44" ht="12.75">
      <c r="A192" s="178">
        <f t="shared" si="115"/>
        <v>383</v>
      </c>
      <c r="B192" s="122" t="str">
        <f t="shared" si="121"/>
        <v>HOUSE REGULATORS</v>
      </c>
      <c r="C192" s="122">
        <f t="shared" si="128"/>
        <v>16</v>
      </c>
      <c r="D192" s="148">
        <v>943205</v>
      </c>
      <c r="E192" s="145">
        <v>0</v>
      </c>
      <c r="F192" s="122"/>
      <c r="G192" s="145"/>
      <c r="H192" s="145"/>
      <c r="I192" s="145"/>
      <c r="J192" s="145"/>
      <c r="K192" s="145"/>
      <c r="L192" s="145"/>
      <c r="M192" s="145"/>
      <c r="N192" s="145"/>
      <c r="O192" s="145"/>
      <c r="AE192" s="125">
        <f>AE190+1</f>
        <v>14</v>
      </c>
      <c r="AF192" s="139">
        <f aca="true" t="shared" si="129" ref="AF192:AF203">A173</f>
        <v>374.1</v>
      </c>
      <c r="AG192" s="123" t="str">
        <f aca="true" t="shared" si="130" ref="AG192:AG203">B173</f>
        <v>LAND - CITY GATE &amp; M/L IND M&amp;R</v>
      </c>
      <c r="AH192" s="123">
        <f aca="true" t="shared" si="131" ref="AH192:AH203">C173</f>
        <v>5</v>
      </c>
      <c r="AI192" s="123">
        <f aca="true" t="shared" si="132" ref="AI192:AI202">D173+E173</f>
        <v>0</v>
      </c>
      <c r="AJ192" s="123">
        <f aca="true" t="shared" si="133" ref="AJ192:AJ203">ROUND((VLOOKUP($AH192,$A$661:$Y$709,13)*$AI192),0)</f>
        <v>0</v>
      </c>
      <c r="AK192" s="123">
        <f aca="true" t="shared" si="134" ref="AK192:AK203">ROUND((VLOOKUP($AH192,$A$661:$Y$709,14)*$AI192),0)</f>
        <v>0</v>
      </c>
      <c r="AL192" s="123">
        <f aca="true" t="shared" si="135" ref="AL192:AL203">ROUND((VLOOKUP($AH192,$A$661:$Y$709,15)*$AI192),0)</f>
        <v>0</v>
      </c>
      <c r="AM192" s="123">
        <f aca="true" t="shared" si="136" ref="AM192:AM203">ROUND((VLOOKUP($AH192,$A$661:$Y$709,16)*$AI192),0)</f>
        <v>0</v>
      </c>
      <c r="AN192" s="123">
        <f aca="true" t="shared" si="137" ref="AN192:AN203">ROUND((VLOOKUP($AH192,$A$661:$Y$709,17)*$AI192),0)</f>
        <v>0</v>
      </c>
      <c r="AO192" s="123">
        <f aca="true" t="shared" si="138" ref="AO192:AO203">ROUND((VLOOKUP($AH192,$A$661:$Y$709,18)*$AI192),0)</f>
        <v>0</v>
      </c>
      <c r="AP192" s="123">
        <f aca="true" t="shared" si="139" ref="AP192:AP203">ROUND((VLOOKUP($AH192,$A$661:$Y$709,19)*$AI192),0)</f>
        <v>0</v>
      </c>
      <c r="AQ192" s="123">
        <f aca="true" t="shared" si="140" ref="AQ192:AQ203">ROUND((VLOOKUP($AH192,$A$661:$Y$709,20)*$AI192),0)</f>
        <v>0</v>
      </c>
      <c r="AR192" s="123">
        <f aca="true" t="shared" si="141" ref="AR192:AR203">ROUND((VLOOKUP($AH192,$A$661:$Y$709,21)*$AI192),0)</f>
        <v>0</v>
      </c>
    </row>
    <row r="193" spans="1:44" ht="12.75">
      <c r="A193" s="178">
        <f t="shared" si="115"/>
        <v>384</v>
      </c>
      <c r="B193" s="122" t="str">
        <f t="shared" si="121"/>
        <v>HOUSE REG INSTALLATIONS</v>
      </c>
      <c r="C193" s="122">
        <f t="shared" si="128"/>
        <v>16</v>
      </c>
      <c r="D193" s="148">
        <v>1621811</v>
      </c>
      <c r="E193" s="145">
        <v>0</v>
      </c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AE193" s="125">
        <f aca="true" t="shared" si="142" ref="AE193:AE210">AE192+1</f>
        <v>15</v>
      </c>
      <c r="AF193" s="139">
        <f t="shared" si="129"/>
        <v>374.2</v>
      </c>
      <c r="AG193" s="123" t="str">
        <f t="shared" si="130"/>
        <v>LAND - OTHER DISTRIBUTION</v>
      </c>
      <c r="AH193" s="123">
        <f t="shared" si="131"/>
        <v>5</v>
      </c>
      <c r="AI193" s="123">
        <f t="shared" si="132"/>
        <v>0</v>
      </c>
      <c r="AJ193" s="123">
        <f t="shared" si="133"/>
        <v>0</v>
      </c>
      <c r="AK193" s="123">
        <f t="shared" si="134"/>
        <v>0</v>
      </c>
      <c r="AL193" s="123">
        <f t="shared" si="135"/>
        <v>0</v>
      </c>
      <c r="AM193" s="123">
        <f t="shared" si="136"/>
        <v>0</v>
      </c>
      <c r="AN193" s="123">
        <f t="shared" si="137"/>
        <v>0</v>
      </c>
      <c r="AO193" s="123">
        <f t="shared" si="138"/>
        <v>0</v>
      </c>
      <c r="AP193" s="123">
        <f t="shared" si="139"/>
        <v>0</v>
      </c>
      <c r="AQ193" s="123">
        <f t="shared" si="140"/>
        <v>0</v>
      </c>
      <c r="AR193" s="123">
        <f t="shared" si="141"/>
        <v>0</v>
      </c>
    </row>
    <row r="194" spans="1:44" ht="12.75">
      <c r="A194" s="178">
        <f t="shared" si="115"/>
        <v>385</v>
      </c>
      <c r="B194" s="122" t="str">
        <f t="shared" si="121"/>
        <v>IND M&amp;R EQUIPMENT</v>
      </c>
      <c r="C194" s="122">
        <f t="shared" si="128"/>
        <v>17</v>
      </c>
      <c r="D194" s="148">
        <v>941308</v>
      </c>
      <c r="E194" s="145">
        <v>0</v>
      </c>
      <c r="F194" s="122"/>
      <c r="G194" s="145">
        <v>0</v>
      </c>
      <c r="H194" s="145">
        <v>0</v>
      </c>
      <c r="I194" s="145">
        <v>0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AE194" s="125">
        <f t="shared" si="142"/>
        <v>16</v>
      </c>
      <c r="AF194" s="139">
        <f t="shared" si="129"/>
        <v>374.4</v>
      </c>
      <c r="AG194" s="123" t="str">
        <f t="shared" si="130"/>
        <v>LAND RIGHTS - OTHER DISTRIBUTION</v>
      </c>
      <c r="AH194" s="123">
        <f t="shared" si="131"/>
        <v>5</v>
      </c>
      <c r="AI194" s="123">
        <f t="shared" si="132"/>
        <v>107284</v>
      </c>
      <c r="AJ194" s="123">
        <f t="shared" si="133"/>
        <v>39930</v>
      </c>
      <c r="AK194" s="123">
        <f t="shared" si="134"/>
        <v>25472</v>
      </c>
      <c r="AL194" s="123">
        <f t="shared" si="135"/>
        <v>102</v>
      </c>
      <c r="AM194" s="123">
        <f t="shared" si="136"/>
        <v>0</v>
      </c>
      <c r="AN194" s="123">
        <f t="shared" si="137"/>
        <v>41780</v>
      </c>
      <c r="AO194" s="123">
        <f t="shared" si="138"/>
        <v>0</v>
      </c>
      <c r="AP194" s="123">
        <f t="shared" si="139"/>
        <v>0</v>
      </c>
      <c r="AQ194" s="123">
        <f t="shared" si="140"/>
        <v>0</v>
      </c>
      <c r="AR194" s="123">
        <f t="shared" si="141"/>
        <v>0</v>
      </c>
    </row>
    <row r="195" spans="1:44" ht="12.75">
      <c r="A195" s="178">
        <f t="shared" si="115"/>
        <v>387.2</v>
      </c>
      <c r="B195" s="122" t="str">
        <f t="shared" si="121"/>
        <v>ODORIZATION</v>
      </c>
      <c r="C195" s="122">
        <f t="shared" si="128"/>
        <v>7</v>
      </c>
      <c r="D195" s="148">
        <v>105197</v>
      </c>
      <c r="E195" s="145">
        <v>0</v>
      </c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AE195" s="125">
        <f t="shared" si="142"/>
        <v>17</v>
      </c>
      <c r="AF195" s="139">
        <f t="shared" si="129"/>
        <v>374.5</v>
      </c>
      <c r="AG195" s="123" t="str">
        <f t="shared" si="130"/>
        <v>RIGHTS OF WAY</v>
      </c>
      <c r="AH195" s="123">
        <f t="shared" si="131"/>
        <v>5</v>
      </c>
      <c r="AI195" s="123">
        <f t="shared" si="132"/>
        <v>600467</v>
      </c>
      <c r="AJ195" s="123">
        <f t="shared" si="133"/>
        <v>223488</v>
      </c>
      <c r="AK195" s="123">
        <f t="shared" si="134"/>
        <v>142569</v>
      </c>
      <c r="AL195" s="123">
        <f t="shared" si="135"/>
        <v>570</v>
      </c>
      <c r="AM195" s="123">
        <f t="shared" si="136"/>
        <v>0</v>
      </c>
      <c r="AN195" s="123">
        <f t="shared" si="137"/>
        <v>233840</v>
      </c>
      <c r="AO195" s="123">
        <f t="shared" si="138"/>
        <v>0</v>
      </c>
      <c r="AP195" s="123">
        <f t="shared" si="139"/>
        <v>0</v>
      </c>
      <c r="AQ195" s="123">
        <f t="shared" si="140"/>
        <v>0</v>
      </c>
      <c r="AR195" s="123">
        <f t="shared" si="141"/>
        <v>0</v>
      </c>
    </row>
    <row r="196" spans="1:44" ht="12.75">
      <c r="A196" s="178">
        <f t="shared" si="115"/>
        <v>387.41</v>
      </c>
      <c r="B196" s="122" t="str">
        <f t="shared" si="121"/>
        <v>TELEPHONE</v>
      </c>
      <c r="C196" s="122">
        <f t="shared" si="128"/>
        <v>7</v>
      </c>
      <c r="D196" s="148">
        <v>206416</v>
      </c>
      <c r="E196" s="145">
        <v>0</v>
      </c>
      <c r="F196" s="122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AE196" s="125">
        <f t="shared" si="142"/>
        <v>18</v>
      </c>
      <c r="AF196" s="139">
        <f t="shared" si="129"/>
        <v>375.2</v>
      </c>
      <c r="AG196" s="123" t="str">
        <f t="shared" si="130"/>
        <v>CITY GATE - MEAS &amp; REG STRUCTURES</v>
      </c>
      <c r="AH196" s="123">
        <f t="shared" si="131"/>
        <v>5</v>
      </c>
      <c r="AI196" s="123">
        <f t="shared" si="132"/>
        <v>5523</v>
      </c>
      <c r="AJ196" s="123">
        <f t="shared" si="133"/>
        <v>2056</v>
      </c>
      <c r="AK196" s="123">
        <f t="shared" si="134"/>
        <v>1311</v>
      </c>
      <c r="AL196" s="123">
        <f t="shared" si="135"/>
        <v>5</v>
      </c>
      <c r="AM196" s="123">
        <f t="shared" si="136"/>
        <v>0</v>
      </c>
      <c r="AN196" s="123">
        <f t="shared" si="137"/>
        <v>2151</v>
      </c>
      <c r="AO196" s="123">
        <f t="shared" si="138"/>
        <v>0</v>
      </c>
      <c r="AP196" s="123">
        <f t="shared" si="139"/>
        <v>0</v>
      </c>
      <c r="AQ196" s="123">
        <f t="shared" si="140"/>
        <v>0</v>
      </c>
      <c r="AR196" s="123">
        <f t="shared" si="141"/>
        <v>0</v>
      </c>
    </row>
    <row r="197" spans="1:44" ht="12.75">
      <c r="A197" s="178">
        <f t="shared" si="115"/>
        <v>387.42</v>
      </c>
      <c r="B197" s="122" t="str">
        <f t="shared" si="121"/>
        <v>RADIO</v>
      </c>
      <c r="C197" s="122">
        <f t="shared" si="128"/>
        <v>7</v>
      </c>
      <c r="D197" s="148">
        <v>450670</v>
      </c>
      <c r="E197" s="145">
        <v>0</v>
      </c>
      <c r="F197" s="122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AE197" s="125">
        <f t="shared" si="142"/>
        <v>19</v>
      </c>
      <c r="AF197" s="139">
        <f t="shared" si="129"/>
        <v>375.3</v>
      </c>
      <c r="AG197" s="123" t="str">
        <f t="shared" si="130"/>
        <v>STRUC &amp; IMPROV-GENERAL M&amp;R</v>
      </c>
      <c r="AH197" s="123">
        <f t="shared" si="131"/>
        <v>5</v>
      </c>
      <c r="AI197" s="123">
        <f t="shared" si="132"/>
        <v>10948</v>
      </c>
      <c r="AJ197" s="123">
        <f t="shared" si="133"/>
        <v>4075</v>
      </c>
      <c r="AK197" s="123">
        <f t="shared" si="134"/>
        <v>2599</v>
      </c>
      <c r="AL197" s="123">
        <f t="shared" si="135"/>
        <v>10</v>
      </c>
      <c r="AM197" s="123">
        <f t="shared" si="136"/>
        <v>0</v>
      </c>
      <c r="AN197" s="123">
        <f t="shared" si="137"/>
        <v>4263</v>
      </c>
      <c r="AO197" s="123">
        <f t="shared" si="138"/>
        <v>0</v>
      </c>
      <c r="AP197" s="123">
        <f t="shared" si="139"/>
        <v>0</v>
      </c>
      <c r="AQ197" s="123">
        <f t="shared" si="140"/>
        <v>0</v>
      </c>
      <c r="AR197" s="123">
        <f t="shared" si="141"/>
        <v>0</v>
      </c>
    </row>
    <row r="198" spans="1:44" ht="12.75">
      <c r="A198" s="178">
        <f t="shared" si="115"/>
        <v>387.44</v>
      </c>
      <c r="B198" s="122" t="str">
        <f t="shared" si="121"/>
        <v>OTHER COMMUNICATION</v>
      </c>
      <c r="C198" s="122">
        <f t="shared" si="128"/>
        <v>7</v>
      </c>
      <c r="D198" s="148">
        <v>48564</v>
      </c>
      <c r="E198" s="145">
        <v>0</v>
      </c>
      <c r="F198" s="122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AE198" s="125">
        <f t="shared" si="142"/>
        <v>20</v>
      </c>
      <c r="AF198" s="139">
        <f t="shared" si="129"/>
        <v>375.4</v>
      </c>
      <c r="AG198" s="123" t="str">
        <f t="shared" si="130"/>
        <v>STRUC &amp; IMPROV-REGULATING</v>
      </c>
      <c r="AH198" s="123">
        <f t="shared" si="131"/>
        <v>5</v>
      </c>
      <c r="AI198" s="123">
        <f t="shared" si="132"/>
        <v>296213</v>
      </c>
      <c r="AJ198" s="123">
        <f t="shared" si="133"/>
        <v>110248</v>
      </c>
      <c r="AK198" s="123">
        <f t="shared" si="134"/>
        <v>70330</v>
      </c>
      <c r="AL198" s="123">
        <f t="shared" si="135"/>
        <v>281</v>
      </c>
      <c r="AM198" s="123">
        <f t="shared" si="136"/>
        <v>0</v>
      </c>
      <c r="AN198" s="123">
        <f t="shared" si="137"/>
        <v>115354</v>
      </c>
      <c r="AO198" s="123">
        <f t="shared" si="138"/>
        <v>0</v>
      </c>
      <c r="AP198" s="123">
        <f t="shared" si="139"/>
        <v>0</v>
      </c>
      <c r="AQ198" s="123">
        <f t="shared" si="140"/>
        <v>0</v>
      </c>
      <c r="AR198" s="123">
        <f t="shared" si="141"/>
        <v>0</v>
      </c>
    </row>
    <row r="199" spans="1:44" ht="12.75">
      <c r="A199" s="178">
        <f t="shared" si="115"/>
        <v>387.45</v>
      </c>
      <c r="B199" s="122" t="str">
        <f t="shared" si="121"/>
        <v>TELEMETERING</v>
      </c>
      <c r="C199" s="122">
        <f t="shared" si="128"/>
        <v>7</v>
      </c>
      <c r="D199" s="148">
        <v>363811</v>
      </c>
      <c r="E199" s="145">
        <v>0</v>
      </c>
      <c r="F199" s="122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AE199" s="125">
        <f t="shared" si="142"/>
        <v>21</v>
      </c>
      <c r="AF199" s="139">
        <f t="shared" si="129"/>
        <v>375.6</v>
      </c>
      <c r="AG199" s="123" t="str">
        <f t="shared" si="130"/>
        <v>STRUC &amp; IMPROV-DIST. IND. M &amp; R</v>
      </c>
      <c r="AH199" s="123">
        <f t="shared" si="131"/>
        <v>8</v>
      </c>
      <c r="AI199" s="123">
        <f t="shared" si="132"/>
        <v>36468</v>
      </c>
      <c r="AJ199" s="123">
        <f t="shared" si="133"/>
        <v>0</v>
      </c>
      <c r="AK199" s="123">
        <f t="shared" si="134"/>
        <v>20022</v>
      </c>
      <c r="AL199" s="123">
        <f t="shared" si="135"/>
        <v>286</v>
      </c>
      <c r="AM199" s="123">
        <f t="shared" si="136"/>
        <v>1001</v>
      </c>
      <c r="AN199" s="123">
        <f t="shared" si="137"/>
        <v>15159</v>
      </c>
      <c r="AO199" s="123">
        <f t="shared" si="138"/>
        <v>0</v>
      </c>
      <c r="AP199" s="123">
        <f t="shared" si="139"/>
        <v>0</v>
      </c>
      <c r="AQ199" s="123">
        <f t="shared" si="140"/>
        <v>0</v>
      </c>
      <c r="AR199" s="123">
        <f t="shared" si="141"/>
        <v>0</v>
      </c>
    </row>
    <row r="200" spans="1:44" ht="12.75">
      <c r="A200" s="178">
        <f t="shared" si="115"/>
        <v>387.46</v>
      </c>
      <c r="B200" s="122" t="str">
        <f t="shared" si="121"/>
        <v>CIS</v>
      </c>
      <c r="C200" s="122">
        <f t="shared" si="128"/>
        <v>7</v>
      </c>
      <c r="D200" s="148">
        <v>96637</v>
      </c>
      <c r="E200" s="145">
        <v>0</v>
      </c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AE200" s="125">
        <f t="shared" si="142"/>
        <v>22</v>
      </c>
      <c r="AF200" s="139">
        <f t="shared" si="129"/>
        <v>375.7</v>
      </c>
      <c r="AG200" s="123" t="str">
        <f t="shared" si="130"/>
        <v>STRUC &amp; IMPROV-OTHER DIST. SYSTEM</v>
      </c>
      <c r="AH200" s="123">
        <f t="shared" si="131"/>
        <v>7</v>
      </c>
      <c r="AI200" s="123">
        <f t="shared" si="132"/>
        <v>1832185</v>
      </c>
      <c r="AJ200" s="123">
        <f t="shared" si="133"/>
        <v>1028369</v>
      </c>
      <c r="AK200" s="123">
        <f t="shared" si="134"/>
        <v>383861</v>
      </c>
      <c r="AL200" s="123">
        <f t="shared" si="135"/>
        <v>1209</v>
      </c>
      <c r="AM200" s="123">
        <f t="shared" si="136"/>
        <v>806</v>
      </c>
      <c r="AN200" s="123">
        <f t="shared" si="137"/>
        <v>417940</v>
      </c>
      <c r="AO200" s="123">
        <f t="shared" si="138"/>
        <v>0</v>
      </c>
      <c r="AP200" s="123">
        <f t="shared" si="139"/>
        <v>0</v>
      </c>
      <c r="AQ200" s="123">
        <f t="shared" si="140"/>
        <v>0</v>
      </c>
      <c r="AR200" s="123">
        <f t="shared" si="141"/>
        <v>0</v>
      </c>
    </row>
    <row r="201" spans="4:44" ht="12.75">
      <c r="D201" s="179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AE201" s="125">
        <f t="shared" si="142"/>
        <v>23</v>
      </c>
      <c r="AF201" s="139">
        <f t="shared" si="129"/>
        <v>375.71</v>
      </c>
      <c r="AG201" s="123" t="str">
        <f t="shared" si="130"/>
        <v>STRUCT &amp; IMPROV-OTHER DIST. SYSTEM-IMPROV</v>
      </c>
      <c r="AH201" s="123">
        <f t="shared" si="131"/>
        <v>7</v>
      </c>
      <c r="AI201" s="123">
        <f t="shared" si="132"/>
        <v>62460</v>
      </c>
      <c r="AJ201" s="123">
        <f t="shared" si="133"/>
        <v>35058</v>
      </c>
      <c r="AK201" s="123">
        <f t="shared" si="134"/>
        <v>13086</v>
      </c>
      <c r="AL201" s="123">
        <f t="shared" si="135"/>
        <v>41</v>
      </c>
      <c r="AM201" s="123">
        <f t="shared" si="136"/>
        <v>27</v>
      </c>
      <c r="AN201" s="123">
        <f t="shared" si="137"/>
        <v>14248</v>
      </c>
      <c r="AO201" s="123">
        <f t="shared" si="138"/>
        <v>0</v>
      </c>
      <c r="AP201" s="123">
        <f t="shared" si="139"/>
        <v>0</v>
      </c>
      <c r="AQ201" s="123">
        <f t="shared" si="140"/>
        <v>0</v>
      </c>
      <c r="AR201" s="123">
        <f t="shared" si="141"/>
        <v>0</v>
      </c>
    </row>
    <row r="202" spans="4:44" ht="12.75">
      <c r="D202" s="179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AE202" s="125">
        <f t="shared" si="142"/>
        <v>24</v>
      </c>
      <c r="AF202" s="139">
        <f t="shared" si="129"/>
        <v>375.8</v>
      </c>
      <c r="AG202" s="123" t="str">
        <f t="shared" si="130"/>
        <v>STRUC &amp; IMPROV-COMMUNICATION</v>
      </c>
      <c r="AH202" s="123">
        <f t="shared" si="131"/>
        <v>5</v>
      </c>
      <c r="AI202" s="123">
        <f t="shared" si="132"/>
        <v>21805</v>
      </c>
      <c r="AJ202" s="123">
        <f t="shared" si="133"/>
        <v>8116</v>
      </c>
      <c r="AK202" s="123">
        <f t="shared" si="134"/>
        <v>5177</v>
      </c>
      <c r="AL202" s="123">
        <f t="shared" si="135"/>
        <v>21</v>
      </c>
      <c r="AM202" s="123">
        <f t="shared" si="136"/>
        <v>0</v>
      </c>
      <c r="AN202" s="123">
        <f t="shared" si="137"/>
        <v>8492</v>
      </c>
      <c r="AO202" s="123">
        <f t="shared" si="138"/>
        <v>0</v>
      </c>
      <c r="AP202" s="123">
        <f t="shared" si="139"/>
        <v>0</v>
      </c>
      <c r="AQ202" s="123">
        <f t="shared" si="140"/>
        <v>0</v>
      </c>
      <c r="AR202" s="123">
        <f t="shared" si="141"/>
        <v>0</v>
      </c>
    </row>
    <row r="203" spans="1:44" ht="12.75">
      <c r="A203" s="178" t="str">
        <f aca="true" t="shared" si="143" ref="A203:A211">A141</f>
        <v>GENERAL PLANT</v>
      </c>
      <c r="B203" s="122"/>
      <c r="C203" s="122"/>
      <c r="D203" s="173"/>
      <c r="E203" s="145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AE203" s="125">
        <f t="shared" si="142"/>
        <v>25</v>
      </c>
      <c r="AF203" s="139">
        <f t="shared" si="129"/>
        <v>376</v>
      </c>
      <c r="AG203" s="123" t="str">
        <f t="shared" si="130"/>
        <v>MAINS</v>
      </c>
      <c r="AH203" s="123">
        <f t="shared" si="131"/>
        <v>5</v>
      </c>
      <c r="AI203" s="123">
        <f>D184+E184-SUM(G184:O184)</f>
        <v>43358060</v>
      </c>
      <c r="AJ203" s="123">
        <f t="shared" si="133"/>
        <v>16137436</v>
      </c>
      <c r="AK203" s="123">
        <f t="shared" si="134"/>
        <v>10294504</v>
      </c>
      <c r="AL203" s="123">
        <f t="shared" si="135"/>
        <v>41190</v>
      </c>
      <c r="AM203" s="123">
        <f t="shared" si="136"/>
        <v>0</v>
      </c>
      <c r="AN203" s="123">
        <f t="shared" si="137"/>
        <v>16884929</v>
      </c>
      <c r="AO203" s="123">
        <f t="shared" si="138"/>
        <v>0</v>
      </c>
      <c r="AP203" s="123">
        <f t="shared" si="139"/>
        <v>0</v>
      </c>
      <c r="AQ203" s="123">
        <f t="shared" si="140"/>
        <v>0</v>
      </c>
      <c r="AR203" s="123">
        <f t="shared" si="141"/>
        <v>0</v>
      </c>
    </row>
    <row r="204" spans="1:44" ht="12.75">
      <c r="A204" s="178">
        <f t="shared" si="143"/>
        <v>391.1</v>
      </c>
      <c r="B204" s="122" t="str">
        <f aca="true" t="shared" si="144" ref="B204:C211">B142</f>
        <v>OFF FURN &amp; EQUIP - UNSPEC</v>
      </c>
      <c r="C204" s="122">
        <f t="shared" si="144"/>
        <v>7</v>
      </c>
      <c r="D204" s="148">
        <v>493713</v>
      </c>
      <c r="E204" s="145">
        <v>0</v>
      </c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AE204" s="125">
        <f t="shared" si="142"/>
        <v>26</v>
      </c>
      <c r="AF204" s="139">
        <f aca="true" t="shared" si="145" ref="AF204:AF209">A184</f>
        <v>376</v>
      </c>
      <c r="AG204" s="123" t="str">
        <f>"DIRECT "&amp;+B184</f>
        <v>DIRECT MAINS</v>
      </c>
      <c r="AI204" s="123">
        <f>SUM(AJ204:AR204)</f>
        <v>0</v>
      </c>
      <c r="AJ204" s="123">
        <f aca="true" t="shared" si="146" ref="AJ204:AR204">G184</f>
        <v>0</v>
      </c>
      <c r="AK204" s="123">
        <f t="shared" si="146"/>
        <v>0</v>
      </c>
      <c r="AL204" s="123">
        <f t="shared" si="146"/>
        <v>0</v>
      </c>
      <c r="AM204" s="123">
        <f t="shared" si="146"/>
        <v>0</v>
      </c>
      <c r="AN204" s="123">
        <f t="shared" si="146"/>
        <v>0</v>
      </c>
      <c r="AO204" s="123">
        <f t="shared" si="146"/>
        <v>0</v>
      </c>
      <c r="AP204" s="123">
        <f t="shared" si="146"/>
        <v>0</v>
      </c>
      <c r="AQ204" s="123">
        <f t="shared" si="146"/>
        <v>0</v>
      </c>
      <c r="AR204" s="123">
        <f t="shared" si="146"/>
        <v>0</v>
      </c>
    </row>
    <row r="205" spans="1:44" ht="12.75">
      <c r="A205" s="178">
        <f t="shared" si="143"/>
        <v>391.11</v>
      </c>
      <c r="B205" s="122" t="str">
        <f t="shared" si="144"/>
        <v>OFF FURN &amp; EQUIP - DATA HAND</v>
      </c>
      <c r="C205" s="122">
        <f t="shared" si="144"/>
        <v>7</v>
      </c>
      <c r="D205" s="148">
        <v>-4522</v>
      </c>
      <c r="E205" s="145">
        <v>0</v>
      </c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AE205" s="125">
        <f t="shared" si="142"/>
        <v>27</v>
      </c>
      <c r="AF205" s="139">
        <f t="shared" si="145"/>
        <v>378.1</v>
      </c>
      <c r="AG205" s="123" t="str">
        <f aca="true" t="shared" si="147" ref="AG205:AH209">B185</f>
        <v>M &amp; R GENERAL</v>
      </c>
      <c r="AH205" s="123">
        <f t="shared" si="147"/>
        <v>5</v>
      </c>
      <c r="AI205" s="123">
        <f>D185+E185</f>
        <v>264333</v>
      </c>
      <c r="AJ205" s="123">
        <f>ROUND((VLOOKUP($AH205,$A$661:$Y$709,13)*$AI205),0)</f>
        <v>98382</v>
      </c>
      <c r="AK205" s="123">
        <f>ROUND((VLOOKUP($AH205,$A$661:$Y$709,14)*$AI205),0)</f>
        <v>62761</v>
      </c>
      <c r="AL205" s="123">
        <f>ROUND((VLOOKUP($AH205,$A$661:$Y$709,15)*$AI205),0)</f>
        <v>251</v>
      </c>
      <c r="AM205" s="123">
        <f>ROUND((VLOOKUP($AH205,$A$661:$Y$709,16)*$AI205),0)</f>
        <v>0</v>
      </c>
      <c r="AN205" s="123">
        <f>ROUND((VLOOKUP($AH205,$A$661:$Y$709,17)*$AI205),0)</f>
        <v>102939</v>
      </c>
      <c r="AO205" s="123">
        <f>ROUND((VLOOKUP($AH205,$A$661:$Y$709,18)*$AI205),0)</f>
        <v>0</v>
      </c>
      <c r="AP205" s="123">
        <f>ROUND((VLOOKUP($AH205,$A$661:$Y$709,19)*$AI205),0)</f>
        <v>0</v>
      </c>
      <c r="AQ205" s="123">
        <f>ROUND((VLOOKUP($AH205,$A$661:$Y$709,20)*$AI205),0)</f>
        <v>0</v>
      </c>
      <c r="AR205" s="123">
        <f>ROUND((VLOOKUP($AH205,$A$661:$Y$709,21)*$AI205),0)</f>
        <v>0</v>
      </c>
    </row>
    <row r="206" spans="1:44" ht="12.75">
      <c r="A206" s="178">
        <f t="shared" si="143"/>
        <v>391.12</v>
      </c>
      <c r="B206" s="122" t="str">
        <f t="shared" si="144"/>
        <v>OFF FURN &amp; EQUIP - INFO SYSTEM</v>
      </c>
      <c r="C206" s="122">
        <f t="shared" si="144"/>
        <v>7</v>
      </c>
      <c r="D206" s="148">
        <v>346828</v>
      </c>
      <c r="E206" s="145">
        <v>0</v>
      </c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AE206" s="125">
        <f t="shared" si="142"/>
        <v>28</v>
      </c>
      <c r="AF206" s="139">
        <f t="shared" si="145"/>
        <v>378.2</v>
      </c>
      <c r="AG206" s="123" t="str">
        <f t="shared" si="147"/>
        <v>M &amp; R GENERAL - REGULATING</v>
      </c>
      <c r="AH206" s="123">
        <f t="shared" si="147"/>
        <v>5</v>
      </c>
      <c r="AI206" s="123">
        <f>D186+E186</f>
        <v>2049544</v>
      </c>
      <c r="AJ206" s="123">
        <f>ROUND((VLOOKUP($AH206,$A$661:$Y$709,13)*$AI206),0)</f>
        <v>762820</v>
      </c>
      <c r="AK206" s="123">
        <f>ROUND((VLOOKUP($AH206,$A$661:$Y$709,14)*$AI206),0)</f>
        <v>486623</v>
      </c>
      <c r="AL206" s="123">
        <f>ROUND((VLOOKUP($AH206,$A$661:$Y$709,15)*$AI206),0)</f>
        <v>1947</v>
      </c>
      <c r="AM206" s="123">
        <f>ROUND((VLOOKUP($AH206,$A$661:$Y$709,16)*$AI206),0)</f>
        <v>0</v>
      </c>
      <c r="AN206" s="123">
        <f>ROUND((VLOOKUP($AH206,$A$661:$Y$709,17)*$AI206),0)</f>
        <v>798154</v>
      </c>
      <c r="AO206" s="123">
        <f>ROUND((VLOOKUP($AH206,$A$661:$Y$709,18)*$AI206),0)</f>
        <v>0</v>
      </c>
      <c r="AP206" s="123">
        <f>ROUND((VLOOKUP($AH206,$A$661:$Y$709,19)*$AI206),0)</f>
        <v>0</v>
      </c>
      <c r="AQ206" s="123">
        <f>ROUND((VLOOKUP($AH206,$A$661:$Y$709,20)*$AI206),0)</f>
        <v>0</v>
      </c>
      <c r="AR206" s="123">
        <f>ROUND((VLOOKUP($AH206,$A$661:$Y$709,21)*$AI206),0)</f>
        <v>0</v>
      </c>
    </row>
    <row r="207" spans="1:44" ht="12.75">
      <c r="A207" s="178">
        <f t="shared" si="143"/>
        <v>392.21</v>
      </c>
      <c r="B207" s="122" t="str">
        <f t="shared" si="144"/>
        <v>TR EQ - TRAILER &lt;= $1,000</v>
      </c>
      <c r="C207" s="122">
        <f t="shared" si="144"/>
        <v>7</v>
      </c>
      <c r="D207" s="148">
        <f>47535+3399</f>
        <v>50934</v>
      </c>
      <c r="E207" s="145">
        <v>0</v>
      </c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AE207" s="125">
        <f t="shared" si="142"/>
        <v>29</v>
      </c>
      <c r="AF207" s="139">
        <f t="shared" si="145"/>
        <v>378.3</v>
      </c>
      <c r="AG207" s="123" t="str">
        <f t="shared" si="147"/>
        <v>M &amp; R EQUIP - LOCAL GAS PURCHASES</v>
      </c>
      <c r="AH207" s="123">
        <f t="shared" si="147"/>
        <v>5</v>
      </c>
      <c r="AI207" s="123">
        <f>D187+E187</f>
        <v>24509</v>
      </c>
      <c r="AJ207" s="123">
        <f>ROUND((VLOOKUP($AH207,$A$661:$Y$709,13)*$AI207),0)</f>
        <v>9122</v>
      </c>
      <c r="AK207" s="123">
        <f>ROUND((VLOOKUP($AH207,$A$661:$Y$709,14)*$AI207),0)</f>
        <v>5819</v>
      </c>
      <c r="AL207" s="123">
        <f>ROUND((VLOOKUP($AH207,$A$661:$Y$709,15)*$AI207),0)</f>
        <v>23</v>
      </c>
      <c r="AM207" s="123">
        <f>ROUND((VLOOKUP($AH207,$A$661:$Y$709,16)*$AI207),0)</f>
        <v>0</v>
      </c>
      <c r="AN207" s="123">
        <f>ROUND((VLOOKUP($AH207,$A$661:$Y$709,17)*$AI207),0)</f>
        <v>9545</v>
      </c>
      <c r="AO207" s="123">
        <f>ROUND((VLOOKUP($AH207,$A$661:$Y$709,18)*$AI207),0)</f>
        <v>0</v>
      </c>
      <c r="AP207" s="123">
        <f>ROUND((VLOOKUP($AH207,$A$661:$Y$709,19)*$AI207),0)</f>
        <v>0</v>
      </c>
      <c r="AQ207" s="123">
        <f>ROUND((VLOOKUP($AH207,$A$661:$Y$709,20)*$AI207),0)</f>
        <v>0</v>
      </c>
      <c r="AR207" s="123">
        <f>ROUND((VLOOKUP($AH207,$A$661:$Y$709,21)*$AI207),0)</f>
        <v>0</v>
      </c>
    </row>
    <row r="208" spans="1:44" ht="12.75">
      <c r="A208" s="178">
        <f t="shared" si="143"/>
        <v>393</v>
      </c>
      <c r="B208" s="122" t="str">
        <f t="shared" si="144"/>
        <v>STORES EQUIPMENT</v>
      </c>
      <c r="C208" s="122">
        <f t="shared" si="144"/>
        <v>7</v>
      </c>
      <c r="D208" s="148">
        <v>833</v>
      </c>
      <c r="E208" s="145">
        <v>0</v>
      </c>
      <c r="F208" s="122"/>
      <c r="G208" s="145"/>
      <c r="H208" s="145"/>
      <c r="I208" s="145"/>
      <c r="J208" s="145"/>
      <c r="K208" s="145"/>
      <c r="L208" s="122"/>
      <c r="M208" s="122"/>
      <c r="N208" s="122"/>
      <c r="O208" s="122"/>
      <c r="P208" s="122"/>
      <c r="AE208" s="125">
        <f t="shared" si="142"/>
        <v>30</v>
      </c>
      <c r="AF208" s="139">
        <f t="shared" si="145"/>
        <v>379.1</v>
      </c>
      <c r="AG208" s="123" t="str">
        <f t="shared" si="147"/>
        <v>STA EQUIP - CITY</v>
      </c>
      <c r="AH208" s="123">
        <f t="shared" si="147"/>
        <v>5</v>
      </c>
      <c r="AI208" s="123">
        <f>D188+E188</f>
        <v>248640</v>
      </c>
      <c r="AJ208" s="123">
        <f>ROUND((VLOOKUP($AH208,$A$661:$Y$709,13)*$AI208),0)</f>
        <v>92541</v>
      </c>
      <c r="AK208" s="123">
        <f>ROUND((VLOOKUP($AH208,$A$661:$Y$709,14)*$AI208),0)</f>
        <v>59035</v>
      </c>
      <c r="AL208" s="123">
        <f>ROUND((VLOOKUP($AH208,$A$661:$Y$709,15)*$AI208),0)</f>
        <v>236</v>
      </c>
      <c r="AM208" s="123">
        <f>ROUND((VLOOKUP($AH208,$A$661:$Y$709,16)*$AI208),0)</f>
        <v>0</v>
      </c>
      <c r="AN208" s="123">
        <f>ROUND((VLOOKUP($AH208,$A$661:$Y$709,17)*$AI208),0)</f>
        <v>96828</v>
      </c>
      <c r="AO208" s="123">
        <f>ROUND((VLOOKUP($AH208,$A$661:$Y$709,18)*$AI208),0)</f>
        <v>0</v>
      </c>
      <c r="AP208" s="123">
        <f>ROUND((VLOOKUP($AH208,$A$661:$Y$709,19)*$AI208),0)</f>
        <v>0</v>
      </c>
      <c r="AQ208" s="123">
        <f>ROUND((VLOOKUP($AH208,$A$661:$Y$709,20)*$AI208),0)</f>
        <v>0</v>
      </c>
      <c r="AR208" s="123">
        <f>ROUND((VLOOKUP($AH208,$A$661:$Y$709,21)*$AI208),0)</f>
        <v>0</v>
      </c>
    </row>
    <row r="209" spans="1:44" ht="12.75">
      <c r="A209" s="178">
        <f t="shared" si="143"/>
        <v>394.1</v>
      </c>
      <c r="B209" s="122" t="str">
        <f t="shared" si="144"/>
        <v>TOOLS,SHOP, &amp; GAR EQ-GARAGE &amp; SERV</v>
      </c>
      <c r="C209" s="122">
        <f t="shared" si="144"/>
        <v>7</v>
      </c>
      <c r="D209" s="148">
        <v>-111721</v>
      </c>
      <c r="E209" s="145">
        <v>0</v>
      </c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AE209" s="125">
        <f t="shared" si="142"/>
        <v>31</v>
      </c>
      <c r="AF209" s="139">
        <f t="shared" si="145"/>
        <v>380</v>
      </c>
      <c r="AG209" s="123" t="str">
        <f t="shared" si="147"/>
        <v>SERVICES</v>
      </c>
      <c r="AH209" s="123">
        <f t="shared" si="147"/>
        <v>15</v>
      </c>
      <c r="AI209" s="123">
        <f>D189+E189-SUM(G189:O189)</f>
        <v>48523518</v>
      </c>
      <c r="AJ209" s="123">
        <f>ROUND((VLOOKUP($AH209,$A$661:$Y$709,13)*$AI209),0)</f>
        <v>43566355</v>
      </c>
      <c r="AK209" s="123">
        <f>ROUND((VLOOKUP($AH209,$A$661:$Y$709,14)*$AI209),0)</f>
        <v>4829061</v>
      </c>
      <c r="AL209" s="123">
        <f>ROUND((VLOOKUP($AH209,$A$661:$Y$709,15)*$AI209),0)</f>
        <v>485</v>
      </c>
      <c r="AM209" s="123">
        <f>ROUND((VLOOKUP($AH209,$A$661:$Y$709,16)*$AI209),0)</f>
        <v>0</v>
      </c>
      <c r="AN209" s="123">
        <f>ROUND((VLOOKUP($AH209,$A$661:$Y$709,17)*$AI209),0)</f>
        <v>127617</v>
      </c>
      <c r="AO209" s="123">
        <f>ROUND((VLOOKUP($AH209,$A$661:$Y$709,18)*$AI209),0)</f>
        <v>0</v>
      </c>
      <c r="AP209" s="123">
        <f>ROUND((VLOOKUP($AH209,$A$661:$Y$709,19)*$AI209),0)</f>
        <v>0</v>
      </c>
      <c r="AQ209" s="123">
        <f>ROUND((VLOOKUP($AH209,$A$661:$Y$709,20)*$AI209),0)</f>
        <v>0</v>
      </c>
      <c r="AR209" s="123">
        <f>ROUND((VLOOKUP($AH209,$A$661:$Y$709,21)*$AI209),0)</f>
        <v>0</v>
      </c>
    </row>
    <row r="210" spans="1:44" ht="12.75">
      <c r="A210" s="178">
        <f t="shared" si="143"/>
        <v>394.11</v>
      </c>
      <c r="B210" s="122" t="str">
        <f t="shared" si="144"/>
        <v>CNG EQUIP STATIONARY</v>
      </c>
      <c r="C210" s="122">
        <f t="shared" si="144"/>
        <v>7</v>
      </c>
      <c r="D210" s="148">
        <v>74802</v>
      </c>
      <c r="E210" s="145">
        <v>0</v>
      </c>
      <c r="F210" s="122"/>
      <c r="G210" s="122"/>
      <c r="H210" s="122"/>
      <c r="I210" s="122"/>
      <c r="J210" s="145"/>
      <c r="K210" s="145"/>
      <c r="L210" s="122"/>
      <c r="M210" s="122"/>
      <c r="N210" s="122"/>
      <c r="O210" s="122"/>
      <c r="P210" s="122"/>
      <c r="AE210" s="125">
        <f t="shared" si="142"/>
        <v>32</v>
      </c>
      <c r="AF210" s="139">
        <f>A189</f>
        <v>380</v>
      </c>
      <c r="AG210" s="123" t="str">
        <f>"DIRECT "&amp;+B189</f>
        <v>DIRECT SERVICES</v>
      </c>
      <c r="AI210" s="123">
        <f>SUM(AJ210:AR210)</f>
        <v>0</v>
      </c>
      <c r="AJ210" s="123">
        <f aca="true" t="shared" si="148" ref="AJ210:AR210">G189</f>
        <v>0</v>
      </c>
      <c r="AK210" s="123">
        <f t="shared" si="148"/>
        <v>0</v>
      </c>
      <c r="AL210" s="123">
        <f t="shared" si="148"/>
        <v>0</v>
      </c>
      <c r="AM210" s="123">
        <f t="shared" si="148"/>
        <v>0</v>
      </c>
      <c r="AN210" s="123">
        <f t="shared" si="148"/>
        <v>0</v>
      </c>
      <c r="AO210" s="123">
        <f t="shared" si="148"/>
        <v>0</v>
      </c>
      <c r="AP210" s="123">
        <f t="shared" si="148"/>
        <v>0</v>
      </c>
      <c r="AQ210" s="123">
        <f t="shared" si="148"/>
        <v>0</v>
      </c>
      <c r="AR210" s="123">
        <f t="shared" si="148"/>
        <v>0</v>
      </c>
    </row>
    <row r="211" spans="1:43" ht="12.75">
      <c r="A211" s="178">
        <f t="shared" si="143"/>
        <v>394.12</v>
      </c>
      <c r="B211" s="122" t="str">
        <f t="shared" si="144"/>
        <v>CNG EQUIP PORTABLE</v>
      </c>
      <c r="C211" s="122">
        <f t="shared" si="144"/>
        <v>7</v>
      </c>
      <c r="D211" s="148">
        <v>0</v>
      </c>
      <c r="E211" s="145">
        <v>0</v>
      </c>
      <c r="F211" s="122"/>
      <c r="G211" s="122"/>
      <c r="H211" s="145"/>
      <c r="I211" s="122"/>
      <c r="J211" s="122"/>
      <c r="K211" s="122"/>
      <c r="L211" s="122"/>
      <c r="M211" s="122"/>
      <c r="N211" s="122"/>
      <c r="O211" s="122"/>
      <c r="P211" s="122"/>
      <c r="AG211" s="124"/>
      <c r="AK211" s="125" t="str">
        <f>""&amp;+$B$24</f>
        <v>COLUMBIA GAS OF KENTUCKY, INC.</v>
      </c>
      <c r="AQ211" s="123" t="str">
        <f>$B$25</f>
        <v>D/C STUDY</v>
      </c>
    </row>
    <row r="212" spans="1:43" ht="12.75">
      <c r="A212" s="178">
        <v>394.13</v>
      </c>
      <c r="B212" s="122" t="s">
        <v>202</v>
      </c>
      <c r="C212" s="122">
        <f>C150</f>
        <v>7</v>
      </c>
      <c r="D212" s="148">
        <v>181232</v>
      </c>
      <c r="E212" s="145">
        <v>0</v>
      </c>
      <c r="F212" s="122"/>
      <c r="G212" s="145"/>
      <c r="H212" s="122"/>
      <c r="I212" s="122"/>
      <c r="J212" s="122"/>
      <c r="K212" s="122"/>
      <c r="L212" s="122"/>
      <c r="M212" s="122"/>
      <c r="N212" s="122"/>
      <c r="O212" s="122"/>
      <c r="P212" s="122"/>
      <c r="AE212" s="123" t="str">
        <f>$B$30</f>
        <v>DEMAND-COMMODITY</v>
      </c>
      <c r="AK212" s="125" t="s">
        <v>203</v>
      </c>
      <c r="AQ212" s="123" t="str">
        <f>"PAGE 9 OF "&amp;FIXED($B$31,0,TRUE)</f>
        <v>PAGE 9 OF 28</v>
      </c>
    </row>
    <row r="213" spans="1:44" ht="12.75">
      <c r="A213" s="178">
        <f aca="true" t="shared" si="149" ref="A213:C219">A150</f>
        <v>394.2</v>
      </c>
      <c r="B213" s="122" t="str">
        <f t="shared" si="149"/>
        <v>SHOP EQUIPMENT</v>
      </c>
      <c r="C213" s="122">
        <f t="shared" si="149"/>
        <v>7</v>
      </c>
      <c r="D213" s="148">
        <v>1539</v>
      </c>
      <c r="E213" s="145">
        <v>0</v>
      </c>
      <c r="G213" s="145"/>
      <c r="AE213" s="128" t="str">
        <f>$B$29</f>
        <v>HISTORIC PERIOD - ORIGINAL FILING</v>
      </c>
      <c r="AF213" s="128"/>
      <c r="AG213" s="128"/>
      <c r="AH213" s="129"/>
      <c r="AI213" s="129"/>
      <c r="AJ213" s="128"/>
      <c r="AK213" s="130" t="str">
        <f>"FOR THE TWELVE MONTHS ENDED "&amp;$B$27</f>
        <v>FOR THE TWELVE MONTHS ENDED 09/30/2006</v>
      </c>
      <c r="AL213" s="128"/>
      <c r="AM213" s="128"/>
      <c r="AN213" s="128"/>
      <c r="AO213" s="128"/>
      <c r="AP213" s="128"/>
      <c r="AQ213" s="128" t="str">
        <f>"WITNESS: "&amp;$B$28</f>
        <v>WITNESS: R. GIBBONS</v>
      </c>
      <c r="AR213" s="131"/>
    </row>
    <row r="214" spans="1:44" ht="12.75">
      <c r="A214" s="178">
        <f t="shared" si="149"/>
        <v>394.3</v>
      </c>
      <c r="B214" s="122" t="str">
        <f t="shared" si="149"/>
        <v>TOOLS &amp; OTHER EQUIPMENT</v>
      </c>
      <c r="C214" s="122">
        <f t="shared" si="149"/>
        <v>7</v>
      </c>
      <c r="D214" s="148">
        <v>894405</v>
      </c>
      <c r="E214" s="145">
        <v>0</v>
      </c>
      <c r="G214" s="145"/>
      <c r="AE214" s="125" t="s">
        <v>9</v>
      </c>
      <c r="AF214" s="123" t="s">
        <v>10</v>
      </c>
      <c r="AH214" s="125" t="s">
        <v>11</v>
      </c>
      <c r="AI214" s="125" t="s">
        <v>12</v>
      </c>
      <c r="AJ214" s="125"/>
      <c r="AK214" s="125"/>
      <c r="AL214" s="125"/>
      <c r="AM214" s="125"/>
      <c r="AN214" s="125"/>
      <c r="AO214" s="125"/>
      <c r="AP214" s="125"/>
      <c r="AQ214" s="125"/>
      <c r="AR214" s="125"/>
    </row>
    <row r="215" spans="1:44" ht="12.75">
      <c r="A215" s="178">
        <f t="shared" si="149"/>
        <v>395</v>
      </c>
      <c r="B215" s="122" t="str">
        <f t="shared" si="149"/>
        <v>LABORATORY EQUIPMENT</v>
      </c>
      <c r="C215" s="122">
        <f t="shared" si="149"/>
        <v>7</v>
      </c>
      <c r="D215" s="148">
        <v>3536</v>
      </c>
      <c r="E215" s="145">
        <v>0</v>
      </c>
      <c r="G215" s="145"/>
      <c r="AE215" s="133" t="s">
        <v>13</v>
      </c>
      <c r="AF215" s="133" t="s">
        <v>13</v>
      </c>
      <c r="AG215" s="171" t="str">
        <f>AG5</f>
        <v> ACCOUNT TITLE</v>
      </c>
      <c r="AH215" s="133" t="s">
        <v>14</v>
      </c>
      <c r="AI215" s="133" t="s">
        <v>15</v>
      </c>
      <c r="AJ215" s="133" t="str">
        <f>"  "&amp;+$C$35</f>
        <v>  GS-RES.</v>
      </c>
      <c r="AK215" s="133" t="str">
        <f>$C$36</f>
        <v>GS-OTHER</v>
      </c>
      <c r="AL215" s="133" t="str">
        <f>$C$37</f>
        <v>IUS</v>
      </c>
      <c r="AM215" s="133" t="str">
        <f>$C$38</f>
        <v>DS-ML/SC</v>
      </c>
      <c r="AN215" s="133" t="str">
        <f>$C$39</f>
        <v>DS/IS/SS</v>
      </c>
      <c r="AO215" s="133" t="str">
        <f>$C$40</f>
        <v>NOT USED</v>
      </c>
      <c r="AP215" s="133" t="str">
        <f>$C$41</f>
        <v>NOT USED</v>
      </c>
      <c r="AQ215" s="133" t="str">
        <f>$C$42</f>
        <v>NOT USED</v>
      </c>
      <c r="AR215" s="133" t="str">
        <f>$C$43</f>
        <v>NOT USED</v>
      </c>
    </row>
    <row r="216" spans="1:44" ht="12.75">
      <c r="A216" s="178">
        <f t="shared" si="149"/>
        <v>396</v>
      </c>
      <c r="B216" s="122" t="str">
        <f t="shared" si="149"/>
        <v>POWER OP EQUIP-GEN TOOLS</v>
      </c>
      <c r="C216" s="122">
        <f t="shared" si="149"/>
        <v>7</v>
      </c>
      <c r="D216" s="148">
        <v>575431</v>
      </c>
      <c r="E216" s="145">
        <v>0</v>
      </c>
      <c r="G216" s="145"/>
      <c r="AE216" s="125"/>
      <c r="AF216" s="136" t="s">
        <v>17</v>
      </c>
      <c r="AG216" s="136" t="s">
        <v>18</v>
      </c>
      <c r="AH216" s="125" t="s">
        <v>19</v>
      </c>
      <c r="AI216" s="125" t="s">
        <v>20</v>
      </c>
      <c r="AJ216" s="125" t="s">
        <v>21</v>
      </c>
      <c r="AK216" s="125" t="s">
        <v>22</v>
      </c>
      <c r="AL216" s="125" t="s">
        <v>23</v>
      </c>
      <c r="AM216" s="125" t="s">
        <v>24</v>
      </c>
      <c r="AN216" s="125" t="s">
        <v>25</v>
      </c>
      <c r="AO216" s="125" t="s">
        <v>26</v>
      </c>
      <c r="AP216" s="125" t="s">
        <v>27</v>
      </c>
      <c r="AQ216" s="125" t="s">
        <v>28</v>
      </c>
      <c r="AR216" s="125" t="s">
        <v>29</v>
      </c>
    </row>
    <row r="217" spans="1:44" ht="12.75">
      <c r="A217" s="178">
        <f t="shared" si="149"/>
        <v>397.5</v>
      </c>
      <c r="B217" s="122" t="str">
        <f t="shared" si="149"/>
        <v>COMMUNICATION EQUIP - TELEMETERING</v>
      </c>
      <c r="C217" s="122">
        <f t="shared" si="149"/>
        <v>7</v>
      </c>
      <c r="D217" s="179">
        <v>0</v>
      </c>
      <c r="E217" s="145">
        <v>0</v>
      </c>
      <c r="AE217" s="125"/>
      <c r="AI217" s="125" t="s">
        <v>32</v>
      </c>
      <c r="AJ217" s="125" t="s">
        <v>32</v>
      </c>
      <c r="AK217" s="125" t="s">
        <v>32</v>
      </c>
      <c r="AL217" s="125" t="s">
        <v>32</v>
      </c>
      <c r="AM217" s="125" t="s">
        <v>32</v>
      </c>
      <c r="AN217" s="125" t="s">
        <v>32</v>
      </c>
      <c r="AO217" s="125" t="s">
        <v>32</v>
      </c>
      <c r="AP217" s="125" t="s">
        <v>32</v>
      </c>
      <c r="AQ217" s="125" t="s">
        <v>32</v>
      </c>
      <c r="AR217" s="125" t="s">
        <v>32</v>
      </c>
    </row>
    <row r="218" spans="1:33" ht="12.75">
      <c r="A218" s="178">
        <f t="shared" si="149"/>
        <v>398</v>
      </c>
      <c r="B218" s="122" t="str">
        <f t="shared" si="149"/>
        <v>MISCELLANEOUS EQUIPMENT</v>
      </c>
      <c r="C218" s="122">
        <f t="shared" si="149"/>
        <v>7</v>
      </c>
      <c r="D218" s="148">
        <v>51309</v>
      </c>
      <c r="E218" s="145">
        <v>0</v>
      </c>
      <c r="AE218" s="125"/>
      <c r="AF218" s="139"/>
      <c r="AG218" s="180"/>
    </row>
    <row r="219" spans="2:44" ht="12.75">
      <c r="B219" s="123" t="s">
        <v>523</v>
      </c>
      <c r="C219" s="122">
        <f t="shared" si="149"/>
        <v>0</v>
      </c>
      <c r="D219" s="181">
        <v>-58729</v>
      </c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AE219" s="125">
        <v>1</v>
      </c>
      <c r="AF219" s="139">
        <f aca="true" t="shared" si="150" ref="AF219:AH223">A190</f>
        <v>381</v>
      </c>
      <c r="AG219" s="123" t="str">
        <f t="shared" si="150"/>
        <v>METERS</v>
      </c>
      <c r="AH219" s="123">
        <f t="shared" si="150"/>
        <v>16</v>
      </c>
      <c r="AI219" s="123">
        <f>D190+E190</f>
        <v>3709949</v>
      </c>
      <c r="AJ219" s="123">
        <f>ROUND((VLOOKUP($AH219,$A$661:$Y$709,13)*$AI219),0)</f>
        <v>2307625</v>
      </c>
      <c r="AK219" s="123">
        <f>ROUND((VLOOKUP($AH219,$A$661:$Y$709,14)*$AI219),0)</f>
        <v>1332948</v>
      </c>
      <c r="AL219" s="123">
        <f>ROUND((VLOOKUP($AH219,$A$661:$Y$709,15)*$AI219),0)</f>
        <v>890</v>
      </c>
      <c r="AM219" s="123">
        <f>ROUND((VLOOKUP($AH219,$A$661:$Y$709,16)*$AI219),0)</f>
        <v>4378</v>
      </c>
      <c r="AN219" s="123">
        <f>ROUND((VLOOKUP($AH219,$A$661:$Y$709,17)*$AI219),0)</f>
        <v>64108</v>
      </c>
      <c r="AO219" s="123">
        <f>ROUND((VLOOKUP($AH219,$A$661:$Y$709,18)*$AI219),0)</f>
        <v>0</v>
      </c>
      <c r="AP219" s="123">
        <f>ROUND((VLOOKUP($AH219,$A$661:$Y$709,19)*$AI219),0)</f>
        <v>0</v>
      </c>
      <c r="AQ219" s="123">
        <f>ROUND((VLOOKUP($AH219,$A$661:$Y$709,20)*$AI219),0)</f>
        <v>0</v>
      </c>
      <c r="AR219" s="123">
        <f>ROUND((VLOOKUP($AH219,$A$661:$Y$709,21)*$AI219),0)</f>
        <v>0</v>
      </c>
    </row>
    <row r="220" spans="1:44" ht="12.75">
      <c r="A220" s="122"/>
      <c r="B220" s="122" t="s">
        <v>204</v>
      </c>
      <c r="C220" s="122"/>
      <c r="D220" s="122">
        <f>SUM(D163:D219)</f>
        <v>112159507</v>
      </c>
      <c r="E220" s="122">
        <f>SUM(E163:E218)</f>
        <v>0</v>
      </c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AE220" s="125">
        <f aca="true" t="shared" si="151" ref="AE220:AE231">AE219+1</f>
        <v>2</v>
      </c>
      <c r="AF220" s="139">
        <f t="shared" si="150"/>
        <v>382</v>
      </c>
      <c r="AG220" s="123" t="str">
        <f t="shared" si="150"/>
        <v>METER INSTALLATIONS</v>
      </c>
      <c r="AH220" s="123">
        <f t="shared" si="150"/>
        <v>16</v>
      </c>
      <c r="AI220" s="123">
        <f>D191+E191</f>
        <v>3068495</v>
      </c>
      <c r="AJ220" s="123">
        <f>ROUND((VLOOKUP($AH220,$A$661:$Y$709,13)*$AI220),0)</f>
        <v>1908635</v>
      </c>
      <c r="AK220" s="123">
        <f>ROUND((VLOOKUP($AH220,$A$661:$Y$709,14)*$AI220),0)</f>
        <v>1102480</v>
      </c>
      <c r="AL220" s="123">
        <f>ROUND((VLOOKUP($AH220,$A$661:$Y$709,15)*$AI220),0)</f>
        <v>736</v>
      </c>
      <c r="AM220" s="123">
        <f>ROUND((VLOOKUP($AH220,$A$661:$Y$709,16)*$AI220),0)</f>
        <v>3621</v>
      </c>
      <c r="AN220" s="123">
        <f>ROUND((VLOOKUP($AH220,$A$661:$Y$709,17)*$AI220),0)</f>
        <v>53024</v>
      </c>
      <c r="AO220" s="123">
        <f>ROUND((VLOOKUP($AH220,$A$661:$Y$709,18)*$AI220),0)</f>
        <v>0</v>
      </c>
      <c r="AP220" s="123">
        <f>ROUND((VLOOKUP($AH220,$A$661:$Y$709,19)*$AI220),0)</f>
        <v>0</v>
      </c>
      <c r="AQ220" s="123">
        <f>ROUND((VLOOKUP($AH220,$A$661:$Y$709,20)*$AI220),0)</f>
        <v>0</v>
      </c>
      <c r="AR220" s="123">
        <f>ROUND((VLOOKUP($AH220,$A$661:$Y$709,21)*$AI220),0)</f>
        <v>0</v>
      </c>
    </row>
    <row r="221" spans="1:44" ht="12.75">
      <c r="A221" s="144" t="s">
        <v>0</v>
      </c>
      <c r="B221" s="144" t="s">
        <v>0</v>
      </c>
      <c r="C221" s="144" t="s">
        <v>0</v>
      </c>
      <c r="D221" s="144" t="s">
        <v>0</v>
      </c>
      <c r="E221" s="144" t="s">
        <v>0</v>
      </c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AE221" s="125">
        <f t="shared" si="151"/>
        <v>3</v>
      </c>
      <c r="AF221" s="139">
        <f t="shared" si="150"/>
        <v>383</v>
      </c>
      <c r="AG221" s="123" t="str">
        <f t="shared" si="150"/>
        <v>HOUSE REGULATORS</v>
      </c>
      <c r="AH221" s="123">
        <f t="shared" si="150"/>
        <v>16</v>
      </c>
      <c r="AI221" s="123">
        <f>D192+E192</f>
        <v>943205</v>
      </c>
      <c r="AJ221" s="123">
        <f>ROUND((VLOOKUP($AH221,$A$661:$Y$709,13)*$AI221),0)</f>
        <v>586683</v>
      </c>
      <c r="AK221" s="123">
        <f>ROUND((VLOOKUP($AH221,$A$661:$Y$709,14)*$AI221),0)</f>
        <v>338884</v>
      </c>
      <c r="AL221" s="123">
        <f>ROUND((VLOOKUP($AH221,$A$661:$Y$709,15)*$AI221),0)</f>
        <v>226</v>
      </c>
      <c r="AM221" s="123">
        <f>ROUND((VLOOKUP($AH221,$A$661:$Y$709,16)*$AI221),0)</f>
        <v>1113</v>
      </c>
      <c r="AN221" s="123">
        <f>ROUND((VLOOKUP($AH221,$A$661:$Y$709,17)*$AI221),0)</f>
        <v>16299</v>
      </c>
      <c r="AO221" s="123">
        <f>ROUND((VLOOKUP($AH221,$A$661:$Y$709,18)*$AI221),0)</f>
        <v>0</v>
      </c>
      <c r="AP221" s="123">
        <f>ROUND((VLOOKUP($AH221,$A$661:$Y$709,19)*$AI221),0)</f>
        <v>0</v>
      </c>
      <c r="AQ221" s="123">
        <f>ROUND((VLOOKUP($AH221,$A$661:$Y$709,20)*$AI221),0)</f>
        <v>0</v>
      </c>
      <c r="AR221" s="123">
        <f>ROUND((VLOOKUP($AH221,$A$661:$Y$709,21)*$AI221),0)</f>
        <v>0</v>
      </c>
    </row>
    <row r="222" spans="1:44" ht="12.75">
      <c r="A222" s="122" t="s">
        <v>205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AE222" s="125">
        <f t="shared" si="151"/>
        <v>4</v>
      </c>
      <c r="AF222" s="139">
        <f t="shared" si="150"/>
        <v>384</v>
      </c>
      <c r="AG222" s="123" t="str">
        <f t="shared" si="150"/>
        <v>HOUSE REG INSTALLATIONS</v>
      </c>
      <c r="AH222" s="123">
        <f t="shared" si="150"/>
        <v>16</v>
      </c>
      <c r="AI222" s="123">
        <f>D193+E193</f>
        <v>1621811</v>
      </c>
      <c r="AJ222" s="123">
        <f>ROUND((VLOOKUP($AH222,$A$661:$Y$709,13)*$AI222),0)</f>
        <v>1008783</v>
      </c>
      <c r="AK222" s="123">
        <f>ROUND((VLOOKUP($AH222,$A$661:$Y$709,14)*$AI222),0)</f>
        <v>582700</v>
      </c>
      <c r="AL222" s="123">
        <f>ROUND((VLOOKUP($AH222,$A$661:$Y$709,15)*$AI222),0)</f>
        <v>389</v>
      </c>
      <c r="AM222" s="123">
        <f>ROUND((VLOOKUP($AH222,$A$661:$Y$709,16)*$AI222),0)</f>
        <v>1914</v>
      </c>
      <c r="AN222" s="123">
        <f>ROUND((VLOOKUP($AH222,$A$661:$Y$709,17)*$AI222),0)</f>
        <v>28025</v>
      </c>
      <c r="AO222" s="123">
        <f>ROUND((VLOOKUP($AH222,$A$661:$Y$709,18)*$AI222),0)</f>
        <v>0</v>
      </c>
      <c r="AP222" s="123">
        <f>ROUND((VLOOKUP($AH222,$A$661:$Y$709,19)*$AI222),0)</f>
        <v>0</v>
      </c>
      <c r="AQ222" s="123">
        <f>ROUND((VLOOKUP($AH222,$A$661:$Y$709,20)*$AI222),0)</f>
        <v>0</v>
      </c>
      <c r="AR222" s="123">
        <f>ROUND((VLOOKUP($AH222,$A$661:$Y$709,21)*$AI222),0)</f>
        <v>0</v>
      </c>
    </row>
    <row r="223" spans="1:44" ht="12.75">
      <c r="A223" s="144" t="s">
        <v>0</v>
      </c>
      <c r="B223" s="144" t="s">
        <v>0</v>
      </c>
      <c r="C223" s="144" t="s">
        <v>0</v>
      </c>
      <c r="D223" s="144" t="s">
        <v>0</v>
      </c>
      <c r="E223" s="144" t="s">
        <v>0</v>
      </c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AE223" s="125">
        <f t="shared" si="151"/>
        <v>5</v>
      </c>
      <c r="AF223" s="139">
        <f t="shared" si="150"/>
        <v>385</v>
      </c>
      <c r="AG223" s="123" t="str">
        <f t="shared" si="150"/>
        <v>IND M&amp;R EQUIPMENT</v>
      </c>
      <c r="AH223" s="123">
        <f t="shared" si="150"/>
        <v>17</v>
      </c>
      <c r="AI223" s="123">
        <f>D194+E194-SUM(G194:O194)</f>
        <v>941308</v>
      </c>
      <c r="AJ223" s="123">
        <f>ROUND((VLOOKUP($AH223,$A$661:$Y$709,13)*$AI223),0)</f>
        <v>0</v>
      </c>
      <c r="AK223" s="123">
        <f>ROUND((VLOOKUP($AH223,$A$661:$Y$709,14)*$AI223),0)</f>
        <v>516797</v>
      </c>
      <c r="AL223" s="123">
        <f>ROUND((VLOOKUP($AH223,$A$661:$Y$709,15)*$AI223),0)</f>
        <v>7380</v>
      </c>
      <c r="AM223" s="123">
        <f>ROUND((VLOOKUP($AH223,$A$661:$Y$709,16)*$AI223),0)</f>
        <v>25839</v>
      </c>
      <c r="AN223" s="123">
        <f>ROUND((VLOOKUP($AH223,$A$661:$Y$709,17)*$AI223),0)</f>
        <v>391292</v>
      </c>
      <c r="AO223" s="123">
        <f>ROUND((VLOOKUP($AH223,$A$661:$Y$709,18)*$AI223),0)</f>
        <v>0</v>
      </c>
      <c r="AP223" s="123">
        <f>ROUND((VLOOKUP($AH223,$A$661:$Y$709,19)*$AI223),0)</f>
        <v>0</v>
      </c>
      <c r="AQ223" s="123">
        <f>ROUND((VLOOKUP($AH223,$A$661:$Y$709,20)*$AI223),0)</f>
        <v>0</v>
      </c>
      <c r="AR223" s="123">
        <f>ROUND((VLOOKUP($AH223,$A$661:$Y$709,21)*$AI223),0)</f>
        <v>0</v>
      </c>
    </row>
    <row r="224" spans="1:44" ht="12.7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AE224" s="125">
        <f t="shared" si="151"/>
        <v>6</v>
      </c>
      <c r="AF224" s="139">
        <f aca="true" t="shared" si="152" ref="AF224:AF230">A194</f>
        <v>385</v>
      </c>
      <c r="AG224" s="123" t="str">
        <f>"DIRECT "&amp;+B194</f>
        <v>DIRECT IND M&amp;R EQUIPMENT</v>
      </c>
      <c r="AI224" s="123">
        <f>SUM(AJ224:AR224)</f>
        <v>0</v>
      </c>
      <c r="AJ224" s="123">
        <f aca="true" t="shared" si="153" ref="AJ224:AR224">G194</f>
        <v>0</v>
      </c>
      <c r="AK224" s="123">
        <f t="shared" si="153"/>
        <v>0</v>
      </c>
      <c r="AL224" s="123">
        <f t="shared" si="153"/>
        <v>0</v>
      </c>
      <c r="AM224" s="123">
        <f t="shared" si="153"/>
        <v>0</v>
      </c>
      <c r="AN224" s="123">
        <f t="shared" si="153"/>
        <v>0</v>
      </c>
      <c r="AO224" s="123">
        <f t="shared" si="153"/>
        <v>0</v>
      </c>
      <c r="AP224" s="123">
        <f t="shared" si="153"/>
        <v>0</v>
      </c>
      <c r="AQ224" s="123">
        <f t="shared" si="153"/>
        <v>0</v>
      </c>
      <c r="AR224" s="123">
        <f t="shared" si="153"/>
        <v>0</v>
      </c>
    </row>
    <row r="225" spans="1:44" ht="12.75">
      <c r="A225" s="122"/>
      <c r="B225" s="122"/>
      <c r="C225" s="122"/>
      <c r="D225" s="156" t="s">
        <v>136</v>
      </c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AE225" s="125">
        <f t="shared" si="151"/>
        <v>7</v>
      </c>
      <c r="AF225" s="139">
        <f t="shared" si="152"/>
        <v>387.2</v>
      </c>
      <c r="AG225" s="123" t="str">
        <f aca="true" t="shared" si="154" ref="AG225:AH230">B195</f>
        <v>ODORIZATION</v>
      </c>
      <c r="AH225" s="123">
        <f t="shared" si="154"/>
        <v>7</v>
      </c>
      <c r="AI225" s="123">
        <f aca="true" t="shared" si="155" ref="AI225:AI230">D195+E195</f>
        <v>105197</v>
      </c>
      <c r="AJ225" s="123">
        <f aca="true" t="shared" si="156" ref="AJ225:AJ230">ROUND((VLOOKUP($AH225,$A$661:$Y$709,13)*$AI225),0)</f>
        <v>59045</v>
      </c>
      <c r="AK225" s="123">
        <f aca="true" t="shared" si="157" ref="AK225:AK230">ROUND((VLOOKUP($AH225,$A$661:$Y$709,14)*$AI225),0)</f>
        <v>22040</v>
      </c>
      <c r="AL225" s="123">
        <f aca="true" t="shared" si="158" ref="AL225:AL230">ROUND((VLOOKUP($AH225,$A$661:$Y$709,15)*$AI225),0)</f>
        <v>69</v>
      </c>
      <c r="AM225" s="123">
        <f aca="true" t="shared" si="159" ref="AM225:AM230">ROUND((VLOOKUP($AH225,$A$661:$Y$709,16)*$AI225),0)</f>
        <v>46</v>
      </c>
      <c r="AN225" s="123">
        <f aca="true" t="shared" si="160" ref="AN225:AN230">ROUND((VLOOKUP($AH225,$A$661:$Y$709,17)*$AI225),0)</f>
        <v>23996</v>
      </c>
      <c r="AO225" s="123">
        <f aca="true" t="shared" si="161" ref="AO225:AO230">ROUND((VLOOKUP($AH225,$A$661:$Y$709,18)*$AI225),0)</f>
        <v>0</v>
      </c>
      <c r="AP225" s="123">
        <f aca="true" t="shared" si="162" ref="AP225:AP230">ROUND((VLOOKUP($AH225,$A$661:$Y$709,19)*$AI225),0)</f>
        <v>0</v>
      </c>
      <c r="AQ225" s="123">
        <f aca="true" t="shared" si="163" ref="AQ225:AQ230">ROUND((VLOOKUP($AH225,$A$661:$Y$709,20)*$AI225),0)</f>
        <v>0</v>
      </c>
      <c r="AR225" s="123">
        <f aca="true" t="shared" si="164" ref="AR225:AR230">ROUND((VLOOKUP($AH225,$A$661:$Y$709,21)*$AI225),0)</f>
        <v>0</v>
      </c>
    </row>
    <row r="226" spans="1:44" ht="12.75">
      <c r="A226" s="178" t="str">
        <f aca="true" t="shared" si="165" ref="A226:A264">A162</f>
        <v>INTANGIBLE PLANT</v>
      </c>
      <c r="B226" s="175"/>
      <c r="C226" s="122"/>
      <c r="D226" s="156" t="s">
        <v>206</v>
      </c>
      <c r="E226" s="145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AE226" s="125">
        <f t="shared" si="151"/>
        <v>8</v>
      </c>
      <c r="AF226" s="139">
        <f t="shared" si="152"/>
        <v>387.41</v>
      </c>
      <c r="AG226" s="123" t="str">
        <f t="shared" si="154"/>
        <v>TELEPHONE</v>
      </c>
      <c r="AH226" s="123">
        <f t="shared" si="154"/>
        <v>7</v>
      </c>
      <c r="AI226" s="123">
        <f t="shared" si="155"/>
        <v>206416</v>
      </c>
      <c r="AJ226" s="123">
        <f t="shared" si="156"/>
        <v>115857</v>
      </c>
      <c r="AK226" s="123">
        <f t="shared" si="157"/>
        <v>43246</v>
      </c>
      <c r="AL226" s="123">
        <f t="shared" si="158"/>
        <v>136</v>
      </c>
      <c r="AM226" s="123">
        <f t="shared" si="159"/>
        <v>91</v>
      </c>
      <c r="AN226" s="123">
        <f t="shared" si="160"/>
        <v>47086</v>
      </c>
      <c r="AO226" s="123">
        <f t="shared" si="161"/>
        <v>0</v>
      </c>
      <c r="AP226" s="123">
        <f t="shared" si="162"/>
        <v>0</v>
      </c>
      <c r="AQ226" s="123">
        <f t="shared" si="163"/>
        <v>0</v>
      </c>
      <c r="AR226" s="123">
        <f t="shared" si="164"/>
        <v>0</v>
      </c>
    </row>
    <row r="227" spans="1:44" ht="12.75">
      <c r="A227" s="178">
        <f t="shared" si="165"/>
        <v>301</v>
      </c>
      <c r="B227" s="178" t="str">
        <f aca="true" t="shared" si="166" ref="B227:C231">B163</f>
        <v>ORGANIZATION</v>
      </c>
      <c r="C227" s="122">
        <f t="shared" si="166"/>
        <v>7</v>
      </c>
      <c r="D227" s="148">
        <v>0</v>
      </c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AE227" s="125">
        <f t="shared" si="151"/>
        <v>9</v>
      </c>
      <c r="AF227" s="139">
        <f t="shared" si="152"/>
        <v>387.42</v>
      </c>
      <c r="AG227" s="123" t="str">
        <f t="shared" si="154"/>
        <v>RADIO</v>
      </c>
      <c r="AH227" s="123">
        <f t="shared" si="154"/>
        <v>7</v>
      </c>
      <c r="AI227" s="123">
        <f t="shared" si="155"/>
        <v>450670</v>
      </c>
      <c r="AJ227" s="123">
        <f t="shared" si="156"/>
        <v>252952</v>
      </c>
      <c r="AK227" s="123">
        <f t="shared" si="157"/>
        <v>94420</v>
      </c>
      <c r="AL227" s="123">
        <f t="shared" si="158"/>
        <v>297</v>
      </c>
      <c r="AM227" s="123">
        <f t="shared" si="159"/>
        <v>198</v>
      </c>
      <c r="AN227" s="123">
        <f t="shared" si="160"/>
        <v>102802</v>
      </c>
      <c r="AO227" s="123">
        <f t="shared" si="161"/>
        <v>0</v>
      </c>
      <c r="AP227" s="123">
        <f t="shared" si="162"/>
        <v>0</v>
      </c>
      <c r="AQ227" s="123">
        <f t="shared" si="163"/>
        <v>0</v>
      </c>
      <c r="AR227" s="123">
        <f t="shared" si="164"/>
        <v>0</v>
      </c>
    </row>
    <row r="228" spans="1:44" ht="12.75">
      <c r="A228" s="178">
        <f t="shared" si="165"/>
        <v>303</v>
      </c>
      <c r="B228" s="178" t="str">
        <f t="shared" si="166"/>
        <v>MISC. INTANGIBLE PLANT</v>
      </c>
      <c r="C228" s="122">
        <f t="shared" si="166"/>
        <v>7</v>
      </c>
      <c r="D228" s="148">
        <v>5884</v>
      </c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AE228" s="125">
        <f t="shared" si="151"/>
        <v>10</v>
      </c>
      <c r="AF228" s="139">
        <f t="shared" si="152"/>
        <v>387.44</v>
      </c>
      <c r="AG228" s="123" t="str">
        <f t="shared" si="154"/>
        <v>OTHER COMMUNICATION</v>
      </c>
      <c r="AH228" s="123">
        <f t="shared" si="154"/>
        <v>7</v>
      </c>
      <c r="AI228" s="123">
        <f t="shared" si="155"/>
        <v>48564</v>
      </c>
      <c r="AJ228" s="123">
        <f t="shared" si="156"/>
        <v>27258</v>
      </c>
      <c r="AK228" s="123">
        <f t="shared" si="157"/>
        <v>10175</v>
      </c>
      <c r="AL228" s="123">
        <f t="shared" si="158"/>
        <v>32</v>
      </c>
      <c r="AM228" s="123">
        <f t="shared" si="159"/>
        <v>21</v>
      </c>
      <c r="AN228" s="123">
        <f t="shared" si="160"/>
        <v>11078</v>
      </c>
      <c r="AO228" s="123">
        <f t="shared" si="161"/>
        <v>0</v>
      </c>
      <c r="AP228" s="123">
        <f t="shared" si="162"/>
        <v>0</v>
      </c>
      <c r="AQ228" s="123">
        <f t="shared" si="163"/>
        <v>0</v>
      </c>
      <c r="AR228" s="123">
        <f t="shared" si="164"/>
        <v>0</v>
      </c>
    </row>
    <row r="229" spans="1:44" ht="12.75">
      <c r="A229" s="178">
        <f t="shared" si="165"/>
        <v>303.1</v>
      </c>
      <c r="B229" s="178" t="str">
        <f t="shared" si="166"/>
        <v>DIS SOFTWARE</v>
      </c>
      <c r="C229" s="122">
        <f t="shared" si="166"/>
        <v>7</v>
      </c>
      <c r="D229" s="148">
        <v>109</v>
      </c>
      <c r="E229" s="145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AE229" s="125">
        <f t="shared" si="151"/>
        <v>11</v>
      </c>
      <c r="AF229" s="139">
        <f t="shared" si="152"/>
        <v>387.45</v>
      </c>
      <c r="AG229" s="123" t="str">
        <f t="shared" si="154"/>
        <v>TELEMETERING</v>
      </c>
      <c r="AH229" s="123">
        <f t="shared" si="154"/>
        <v>7</v>
      </c>
      <c r="AI229" s="123">
        <f t="shared" si="155"/>
        <v>363811</v>
      </c>
      <c r="AJ229" s="123">
        <f t="shared" si="156"/>
        <v>204200</v>
      </c>
      <c r="AK229" s="123">
        <f t="shared" si="157"/>
        <v>76222</v>
      </c>
      <c r="AL229" s="123">
        <f t="shared" si="158"/>
        <v>240</v>
      </c>
      <c r="AM229" s="123">
        <f t="shared" si="159"/>
        <v>160</v>
      </c>
      <c r="AN229" s="123">
        <f t="shared" si="160"/>
        <v>82989</v>
      </c>
      <c r="AO229" s="123">
        <f t="shared" si="161"/>
        <v>0</v>
      </c>
      <c r="AP229" s="123">
        <f t="shared" si="162"/>
        <v>0</v>
      </c>
      <c r="AQ229" s="123">
        <f t="shared" si="163"/>
        <v>0</v>
      </c>
      <c r="AR229" s="123">
        <f t="shared" si="164"/>
        <v>0</v>
      </c>
    </row>
    <row r="230" spans="1:44" ht="12.75">
      <c r="A230" s="178">
        <f t="shared" si="165"/>
        <v>303.2</v>
      </c>
      <c r="B230" s="178" t="str">
        <f t="shared" si="166"/>
        <v>FARA SOFTWARE</v>
      </c>
      <c r="C230" s="122">
        <f t="shared" si="166"/>
        <v>7</v>
      </c>
      <c r="D230" s="148">
        <v>0</v>
      </c>
      <c r="E230" s="145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AE230" s="125">
        <f t="shared" si="151"/>
        <v>12</v>
      </c>
      <c r="AF230" s="139">
        <f t="shared" si="152"/>
        <v>387.46</v>
      </c>
      <c r="AG230" s="123" t="str">
        <f t="shared" si="154"/>
        <v>CIS</v>
      </c>
      <c r="AH230" s="123">
        <f t="shared" si="154"/>
        <v>7</v>
      </c>
      <c r="AI230" s="141">
        <f t="shared" si="155"/>
        <v>96637</v>
      </c>
      <c r="AJ230" s="141">
        <f t="shared" si="156"/>
        <v>54240</v>
      </c>
      <c r="AK230" s="141">
        <f t="shared" si="157"/>
        <v>20246</v>
      </c>
      <c r="AL230" s="141">
        <f t="shared" si="158"/>
        <v>64</v>
      </c>
      <c r="AM230" s="141">
        <f t="shared" si="159"/>
        <v>43</v>
      </c>
      <c r="AN230" s="141">
        <f t="shared" si="160"/>
        <v>22044</v>
      </c>
      <c r="AO230" s="141">
        <f t="shared" si="161"/>
        <v>0</v>
      </c>
      <c r="AP230" s="141">
        <f t="shared" si="162"/>
        <v>0</v>
      </c>
      <c r="AQ230" s="141">
        <f t="shared" si="163"/>
        <v>0</v>
      </c>
      <c r="AR230" s="141">
        <f t="shared" si="164"/>
        <v>0</v>
      </c>
    </row>
    <row r="231" spans="1:44" ht="12.75">
      <c r="A231" s="178">
        <f t="shared" si="165"/>
        <v>303.3</v>
      </c>
      <c r="B231" s="178" t="str">
        <f t="shared" si="166"/>
        <v>OTHER SOFTWARE</v>
      </c>
      <c r="C231" s="122">
        <f t="shared" si="166"/>
        <v>7</v>
      </c>
      <c r="D231" s="148">
        <v>217401</v>
      </c>
      <c r="E231" s="122"/>
      <c r="F231" s="122"/>
      <c r="G231" s="145">
        <f>E571</f>
        <v>0</v>
      </c>
      <c r="H231" s="145">
        <f>F571</f>
        <v>0</v>
      </c>
      <c r="I231" s="145">
        <f>G570</f>
        <v>0</v>
      </c>
      <c r="J231" s="145">
        <f>H570</f>
        <v>0</v>
      </c>
      <c r="K231" s="145">
        <f>I570</f>
        <v>0</v>
      </c>
      <c r="L231" s="145">
        <f>J570</f>
        <v>0</v>
      </c>
      <c r="M231" s="145">
        <f>K570</f>
        <v>0</v>
      </c>
      <c r="N231" s="145">
        <v>0</v>
      </c>
      <c r="O231" s="145">
        <f>M570</f>
        <v>0</v>
      </c>
      <c r="Q231" s="143"/>
      <c r="AE231" s="125">
        <f t="shared" si="151"/>
        <v>13</v>
      </c>
      <c r="AG231" s="123" t="s">
        <v>112</v>
      </c>
      <c r="AI231" s="123">
        <f aca="true" t="shared" si="167" ref="AI231:AR231">SUM(AI192:AI210)+SUM(AI219:AI230)</f>
        <v>108998020</v>
      </c>
      <c r="AJ231" s="123">
        <f t="shared" si="167"/>
        <v>68643274</v>
      </c>
      <c r="AK231" s="123">
        <f t="shared" si="167"/>
        <v>20542388</v>
      </c>
      <c r="AL231" s="123">
        <f t="shared" si="167"/>
        <v>57116</v>
      </c>
      <c r="AM231" s="123">
        <f t="shared" si="167"/>
        <v>39258</v>
      </c>
      <c r="AN231" s="123">
        <f t="shared" si="167"/>
        <v>19715982</v>
      </c>
      <c r="AO231" s="123">
        <f t="shared" si="167"/>
        <v>0</v>
      </c>
      <c r="AP231" s="123">
        <f t="shared" si="167"/>
        <v>0</v>
      </c>
      <c r="AQ231" s="123">
        <f t="shared" si="167"/>
        <v>0</v>
      </c>
      <c r="AR231" s="123">
        <f t="shared" si="167"/>
        <v>0</v>
      </c>
    </row>
    <row r="232" spans="1:31" ht="12.75">
      <c r="A232" s="178" t="str">
        <f t="shared" si="165"/>
        <v>PRODUCTION PLANT</v>
      </c>
      <c r="B232" s="178"/>
      <c r="C232" s="122"/>
      <c r="D232" s="14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AE232" s="125"/>
    </row>
    <row r="233" spans="1:33" ht="12.75">
      <c r="A233" s="178">
        <f t="shared" si="165"/>
        <v>304.1</v>
      </c>
      <c r="B233" s="178" t="str">
        <f aca="true" t="shared" si="168" ref="B233:C235">B169</f>
        <v>LAND</v>
      </c>
      <c r="C233" s="122">
        <f t="shared" si="168"/>
        <v>2</v>
      </c>
      <c r="D233" s="148">
        <v>0</v>
      </c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AE233" s="125">
        <f>AE231+1</f>
        <v>14</v>
      </c>
      <c r="AG233" s="139" t="str">
        <f>A203</f>
        <v>GENERAL PLANT</v>
      </c>
    </row>
    <row r="234" spans="1:31" ht="12.75">
      <c r="A234" s="178">
        <f t="shared" si="165"/>
        <v>305</v>
      </c>
      <c r="B234" s="178" t="str">
        <f t="shared" si="168"/>
        <v>STRUCTURES &amp; IMPROVEMENTS</v>
      </c>
      <c r="C234" s="122">
        <f t="shared" si="168"/>
        <v>2</v>
      </c>
      <c r="D234" s="148">
        <v>0</v>
      </c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AE234" s="125"/>
    </row>
    <row r="235" spans="1:44" ht="12.75">
      <c r="A235" s="178">
        <f t="shared" si="165"/>
        <v>311</v>
      </c>
      <c r="B235" s="178" t="str">
        <f t="shared" si="168"/>
        <v>LIQUEFIED PETROLEUM GAS EQUIP</v>
      </c>
      <c r="C235" s="122">
        <f t="shared" si="168"/>
        <v>2</v>
      </c>
      <c r="D235" s="148">
        <v>0</v>
      </c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AE235" s="125">
        <f>AE233+1</f>
        <v>15</v>
      </c>
      <c r="AF235" s="139">
        <f aca="true" t="shared" si="169" ref="AF235:AF249">A204</f>
        <v>391.1</v>
      </c>
      <c r="AG235" s="123" t="str">
        <f aca="true" t="shared" si="170" ref="AG235:AG249">B204</f>
        <v>OFF FURN &amp; EQUIP - UNSPEC</v>
      </c>
      <c r="AH235" s="123">
        <f aca="true" t="shared" si="171" ref="AH235:AH249">C204</f>
        <v>7</v>
      </c>
      <c r="AI235" s="123">
        <f aca="true" t="shared" si="172" ref="AI235:AI249">D204+E204</f>
        <v>493713</v>
      </c>
      <c r="AJ235" s="123">
        <f aca="true" t="shared" si="173" ref="AJ235:AJ249">ROUND((VLOOKUP($AH235,$A$661:$Y$709,13)*$AI235),0)</f>
        <v>277111</v>
      </c>
      <c r="AK235" s="123">
        <f aca="true" t="shared" si="174" ref="AK235:AK249">ROUND((VLOOKUP($AH235,$A$661:$Y$709,14)*$AI235),0)</f>
        <v>103438</v>
      </c>
      <c r="AL235" s="123">
        <f aca="true" t="shared" si="175" ref="AL235:AL249">ROUND((VLOOKUP($AH235,$A$661:$Y$709,15)*$AI235),0)</f>
        <v>326</v>
      </c>
      <c r="AM235" s="123">
        <f aca="true" t="shared" si="176" ref="AM235:AM249">ROUND((VLOOKUP($AH235,$A$661:$Y$709,16)*$AI235),0)</f>
        <v>217</v>
      </c>
      <c r="AN235" s="123">
        <f aca="true" t="shared" si="177" ref="AN235:AN249">ROUND((VLOOKUP($AH235,$A$661:$Y$709,17)*$AI235),0)</f>
        <v>112621</v>
      </c>
      <c r="AO235" s="123">
        <f aca="true" t="shared" si="178" ref="AO235:AO249">ROUND((VLOOKUP($AH235,$A$661:$Y$709,18)*$AI235),0)</f>
        <v>0</v>
      </c>
      <c r="AP235" s="123">
        <f aca="true" t="shared" si="179" ref="AP235:AP249">ROUND((VLOOKUP($AH235,$A$661:$Y$709,19)*$AI235),0)</f>
        <v>0</v>
      </c>
      <c r="AQ235" s="123">
        <f aca="true" t="shared" si="180" ref="AQ235:AQ249">ROUND((VLOOKUP($AH235,$A$661:$Y$709,20)*$AI235),0)</f>
        <v>0</v>
      </c>
      <c r="AR235" s="123">
        <f aca="true" t="shared" si="181" ref="AR235:AR249">ROUND((VLOOKUP($AH235,$A$661:$Y$709,21)*$AI235),0)</f>
        <v>0</v>
      </c>
    </row>
    <row r="236" spans="1:44" ht="12.75">
      <c r="A236" s="178" t="str">
        <f t="shared" si="165"/>
        <v>DISTRIBUTION PLANT</v>
      </c>
      <c r="B236" s="178"/>
      <c r="C236" s="122"/>
      <c r="D236" s="148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AE236" s="125">
        <f aca="true" t="shared" si="182" ref="AE236:AE250">AE235+1</f>
        <v>16</v>
      </c>
      <c r="AF236" s="139">
        <f t="shared" si="169"/>
        <v>391.11</v>
      </c>
      <c r="AG236" s="123" t="str">
        <f t="shared" si="170"/>
        <v>OFF FURN &amp; EQUIP - DATA HAND</v>
      </c>
      <c r="AH236" s="123">
        <f t="shared" si="171"/>
        <v>7</v>
      </c>
      <c r="AI236" s="123">
        <f t="shared" si="172"/>
        <v>-4522</v>
      </c>
      <c r="AJ236" s="123">
        <f t="shared" si="173"/>
        <v>-2538</v>
      </c>
      <c r="AK236" s="123">
        <f t="shared" si="174"/>
        <v>-947</v>
      </c>
      <c r="AL236" s="123">
        <f t="shared" si="175"/>
        <v>-3</v>
      </c>
      <c r="AM236" s="123">
        <f t="shared" si="176"/>
        <v>-2</v>
      </c>
      <c r="AN236" s="123">
        <f t="shared" si="177"/>
        <v>-1032</v>
      </c>
      <c r="AO236" s="123">
        <f t="shared" si="178"/>
        <v>0</v>
      </c>
      <c r="AP236" s="123">
        <f t="shared" si="179"/>
        <v>0</v>
      </c>
      <c r="AQ236" s="123">
        <f t="shared" si="180"/>
        <v>0</v>
      </c>
      <c r="AR236" s="123">
        <f t="shared" si="181"/>
        <v>0</v>
      </c>
    </row>
    <row r="237" spans="1:44" ht="12.75">
      <c r="A237" s="178">
        <f t="shared" si="165"/>
        <v>374.1</v>
      </c>
      <c r="B237" s="178" t="str">
        <f aca="true" t="shared" si="183" ref="B237:B264">B173</f>
        <v>LAND - CITY GATE &amp; M/L IND M&amp;R</v>
      </c>
      <c r="C237" s="145">
        <f aca="true" t="shared" si="184" ref="C237:C243">$C$25</f>
        <v>5</v>
      </c>
      <c r="D237" s="148">
        <v>0</v>
      </c>
      <c r="E237" s="145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AE237" s="125">
        <f t="shared" si="182"/>
        <v>17</v>
      </c>
      <c r="AF237" s="139">
        <f t="shared" si="169"/>
        <v>391.12</v>
      </c>
      <c r="AG237" s="123" t="str">
        <f t="shared" si="170"/>
        <v>OFF FURN &amp; EQUIP - INFO SYSTEM</v>
      </c>
      <c r="AH237" s="123">
        <f t="shared" si="171"/>
        <v>7</v>
      </c>
      <c r="AI237" s="123">
        <f t="shared" si="172"/>
        <v>346828</v>
      </c>
      <c r="AJ237" s="123">
        <f t="shared" si="173"/>
        <v>194668</v>
      </c>
      <c r="AK237" s="123">
        <f t="shared" si="174"/>
        <v>72664</v>
      </c>
      <c r="AL237" s="123">
        <f t="shared" si="175"/>
        <v>229</v>
      </c>
      <c r="AM237" s="123">
        <f t="shared" si="176"/>
        <v>153</v>
      </c>
      <c r="AN237" s="123">
        <f t="shared" si="177"/>
        <v>79115</v>
      </c>
      <c r="AO237" s="123">
        <f t="shared" si="178"/>
        <v>0</v>
      </c>
      <c r="AP237" s="123">
        <f t="shared" si="179"/>
        <v>0</v>
      </c>
      <c r="AQ237" s="123">
        <f t="shared" si="180"/>
        <v>0</v>
      </c>
      <c r="AR237" s="123">
        <f t="shared" si="181"/>
        <v>0</v>
      </c>
    </row>
    <row r="238" spans="1:44" ht="12.75">
      <c r="A238" s="178">
        <f t="shared" si="165"/>
        <v>374.2</v>
      </c>
      <c r="B238" s="178" t="str">
        <f t="shared" si="183"/>
        <v>LAND - OTHER DISTRIBUTION</v>
      </c>
      <c r="C238" s="145">
        <f t="shared" si="184"/>
        <v>5</v>
      </c>
      <c r="D238" s="148">
        <v>0</v>
      </c>
      <c r="E238" s="145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AE238" s="125">
        <f t="shared" si="182"/>
        <v>18</v>
      </c>
      <c r="AF238" s="139">
        <f t="shared" si="169"/>
        <v>392.21</v>
      </c>
      <c r="AG238" s="123" t="str">
        <f t="shared" si="170"/>
        <v>TR EQ - TRAILER &lt;= $1,000</v>
      </c>
      <c r="AH238" s="123">
        <f t="shared" si="171"/>
        <v>7</v>
      </c>
      <c r="AI238" s="123">
        <f t="shared" si="172"/>
        <v>50934</v>
      </c>
      <c r="AJ238" s="123">
        <f t="shared" si="173"/>
        <v>28588</v>
      </c>
      <c r="AK238" s="123">
        <f t="shared" si="174"/>
        <v>10671</v>
      </c>
      <c r="AL238" s="123">
        <f t="shared" si="175"/>
        <v>34</v>
      </c>
      <c r="AM238" s="123">
        <f t="shared" si="176"/>
        <v>22</v>
      </c>
      <c r="AN238" s="123">
        <f t="shared" si="177"/>
        <v>11619</v>
      </c>
      <c r="AO238" s="123">
        <f t="shared" si="178"/>
        <v>0</v>
      </c>
      <c r="AP238" s="123">
        <f t="shared" si="179"/>
        <v>0</v>
      </c>
      <c r="AQ238" s="123">
        <f t="shared" si="180"/>
        <v>0</v>
      </c>
      <c r="AR238" s="123">
        <f t="shared" si="181"/>
        <v>0</v>
      </c>
    </row>
    <row r="239" spans="1:44" ht="12.75">
      <c r="A239" s="178">
        <f t="shared" si="165"/>
        <v>374.4</v>
      </c>
      <c r="B239" s="178" t="str">
        <f t="shared" si="183"/>
        <v>LAND RIGHTS - OTHER DISTRIBUTION</v>
      </c>
      <c r="C239" s="145">
        <f t="shared" si="184"/>
        <v>5</v>
      </c>
      <c r="D239" s="148">
        <v>8954</v>
      </c>
      <c r="E239" s="145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AE239" s="125">
        <f t="shared" si="182"/>
        <v>19</v>
      </c>
      <c r="AF239" s="139">
        <f t="shared" si="169"/>
        <v>393</v>
      </c>
      <c r="AG239" s="123" t="str">
        <f t="shared" si="170"/>
        <v>STORES EQUIPMENT</v>
      </c>
      <c r="AH239" s="123">
        <f t="shared" si="171"/>
        <v>7</v>
      </c>
      <c r="AI239" s="123">
        <f t="shared" si="172"/>
        <v>833</v>
      </c>
      <c r="AJ239" s="123">
        <f t="shared" si="173"/>
        <v>468</v>
      </c>
      <c r="AK239" s="123">
        <f t="shared" si="174"/>
        <v>175</v>
      </c>
      <c r="AL239" s="123">
        <f t="shared" si="175"/>
        <v>1</v>
      </c>
      <c r="AM239" s="123">
        <f t="shared" si="176"/>
        <v>0</v>
      </c>
      <c r="AN239" s="123">
        <f t="shared" si="177"/>
        <v>190</v>
      </c>
      <c r="AO239" s="123">
        <f t="shared" si="178"/>
        <v>0</v>
      </c>
      <c r="AP239" s="123">
        <f t="shared" si="179"/>
        <v>0</v>
      </c>
      <c r="AQ239" s="123">
        <f t="shared" si="180"/>
        <v>0</v>
      </c>
      <c r="AR239" s="123">
        <f t="shared" si="181"/>
        <v>0</v>
      </c>
    </row>
    <row r="240" spans="1:44" ht="12.75">
      <c r="A240" s="178">
        <f t="shared" si="165"/>
        <v>374.5</v>
      </c>
      <c r="B240" s="178" t="str">
        <f t="shared" si="183"/>
        <v>RIGHTS OF WAY</v>
      </c>
      <c r="C240" s="145">
        <f t="shared" si="184"/>
        <v>5</v>
      </c>
      <c r="D240" s="148">
        <v>37090</v>
      </c>
      <c r="E240" s="145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AE240" s="125">
        <f t="shared" si="182"/>
        <v>20</v>
      </c>
      <c r="AF240" s="139">
        <f t="shared" si="169"/>
        <v>394.1</v>
      </c>
      <c r="AG240" s="123" t="str">
        <f t="shared" si="170"/>
        <v>TOOLS,SHOP, &amp; GAR EQ-GARAGE &amp; SERV</v>
      </c>
      <c r="AH240" s="123">
        <f t="shared" si="171"/>
        <v>7</v>
      </c>
      <c r="AI240" s="123">
        <f t="shared" si="172"/>
        <v>-111721</v>
      </c>
      <c r="AJ240" s="123">
        <f t="shared" si="173"/>
        <v>-62707</v>
      </c>
      <c r="AK240" s="123">
        <f t="shared" si="174"/>
        <v>-23407</v>
      </c>
      <c r="AL240" s="123">
        <f t="shared" si="175"/>
        <v>-74</v>
      </c>
      <c r="AM240" s="123">
        <f t="shared" si="176"/>
        <v>-49</v>
      </c>
      <c r="AN240" s="123">
        <f t="shared" si="177"/>
        <v>-25485</v>
      </c>
      <c r="AO240" s="123">
        <f t="shared" si="178"/>
        <v>0</v>
      </c>
      <c r="AP240" s="123">
        <f t="shared" si="179"/>
        <v>0</v>
      </c>
      <c r="AQ240" s="123">
        <f t="shared" si="180"/>
        <v>0</v>
      </c>
      <c r="AR240" s="123">
        <f t="shared" si="181"/>
        <v>0</v>
      </c>
    </row>
    <row r="241" spans="1:44" ht="12.75">
      <c r="A241" s="178">
        <f t="shared" si="165"/>
        <v>375.2</v>
      </c>
      <c r="B241" s="178" t="str">
        <f t="shared" si="183"/>
        <v>CITY GATE - MEAS &amp; REG STRUCTURES</v>
      </c>
      <c r="C241" s="145">
        <f t="shared" si="184"/>
        <v>5</v>
      </c>
      <c r="D241" s="148">
        <v>156</v>
      </c>
      <c r="E241" s="145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AE241" s="125">
        <f t="shared" si="182"/>
        <v>21</v>
      </c>
      <c r="AF241" s="139">
        <f t="shared" si="169"/>
        <v>394.11</v>
      </c>
      <c r="AG241" s="123" t="str">
        <f t="shared" si="170"/>
        <v>CNG EQUIP STATIONARY</v>
      </c>
      <c r="AH241" s="123">
        <f t="shared" si="171"/>
        <v>7</v>
      </c>
      <c r="AI241" s="123">
        <f t="shared" si="172"/>
        <v>74802</v>
      </c>
      <c r="AJ241" s="123">
        <f t="shared" si="173"/>
        <v>41985</v>
      </c>
      <c r="AK241" s="123">
        <f t="shared" si="174"/>
        <v>15672</v>
      </c>
      <c r="AL241" s="123">
        <f t="shared" si="175"/>
        <v>49</v>
      </c>
      <c r="AM241" s="123">
        <f t="shared" si="176"/>
        <v>33</v>
      </c>
      <c r="AN241" s="123">
        <f t="shared" si="177"/>
        <v>17063</v>
      </c>
      <c r="AO241" s="123">
        <f t="shared" si="178"/>
        <v>0</v>
      </c>
      <c r="AP241" s="123">
        <f t="shared" si="179"/>
        <v>0</v>
      </c>
      <c r="AQ241" s="123">
        <f t="shared" si="180"/>
        <v>0</v>
      </c>
      <c r="AR241" s="123">
        <f t="shared" si="181"/>
        <v>0</v>
      </c>
    </row>
    <row r="242" spans="1:44" ht="12.75">
      <c r="A242" s="178">
        <f t="shared" si="165"/>
        <v>375.3</v>
      </c>
      <c r="B242" s="178" t="str">
        <f t="shared" si="183"/>
        <v>STRUC &amp; IMPROV-GENERAL M&amp;R</v>
      </c>
      <c r="C242" s="145">
        <f t="shared" si="184"/>
        <v>5</v>
      </c>
      <c r="D242" s="148">
        <v>323</v>
      </c>
      <c r="E242" s="145"/>
      <c r="AE242" s="125">
        <f t="shared" si="182"/>
        <v>22</v>
      </c>
      <c r="AF242" s="139">
        <f t="shared" si="169"/>
        <v>394.12</v>
      </c>
      <c r="AG242" s="123" t="str">
        <f t="shared" si="170"/>
        <v>CNG EQUIP PORTABLE</v>
      </c>
      <c r="AH242" s="123">
        <f t="shared" si="171"/>
        <v>7</v>
      </c>
      <c r="AI242" s="123">
        <f t="shared" si="172"/>
        <v>0</v>
      </c>
      <c r="AJ242" s="123">
        <f t="shared" si="173"/>
        <v>0</v>
      </c>
      <c r="AK242" s="123">
        <f t="shared" si="174"/>
        <v>0</v>
      </c>
      <c r="AL242" s="123">
        <f t="shared" si="175"/>
        <v>0</v>
      </c>
      <c r="AM242" s="123">
        <f t="shared" si="176"/>
        <v>0</v>
      </c>
      <c r="AN242" s="123">
        <f t="shared" si="177"/>
        <v>0</v>
      </c>
      <c r="AO242" s="123">
        <f t="shared" si="178"/>
        <v>0</v>
      </c>
      <c r="AP242" s="123">
        <f t="shared" si="179"/>
        <v>0</v>
      </c>
      <c r="AQ242" s="123">
        <f t="shared" si="180"/>
        <v>0</v>
      </c>
      <c r="AR242" s="123">
        <f t="shared" si="181"/>
        <v>0</v>
      </c>
    </row>
    <row r="243" spans="1:44" ht="12.75">
      <c r="A243" s="178">
        <f t="shared" si="165"/>
        <v>375.4</v>
      </c>
      <c r="B243" s="178" t="str">
        <f t="shared" si="183"/>
        <v>STRUC &amp; IMPROV-REGULATING</v>
      </c>
      <c r="C243" s="145">
        <f t="shared" si="184"/>
        <v>5</v>
      </c>
      <c r="D243" s="148">
        <v>16765</v>
      </c>
      <c r="E243" s="145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AE243" s="125">
        <f t="shared" si="182"/>
        <v>23</v>
      </c>
      <c r="AF243" s="139">
        <f t="shared" si="169"/>
        <v>394.13</v>
      </c>
      <c r="AG243" s="123" t="str">
        <f t="shared" si="170"/>
        <v>UNDERGROUND STORAGE TANKS</v>
      </c>
      <c r="AH243" s="123">
        <f t="shared" si="171"/>
        <v>7</v>
      </c>
      <c r="AI243" s="123">
        <f t="shared" si="172"/>
        <v>181232</v>
      </c>
      <c r="AJ243" s="123">
        <f t="shared" si="173"/>
        <v>101722</v>
      </c>
      <c r="AK243" s="123">
        <f t="shared" si="174"/>
        <v>37970</v>
      </c>
      <c r="AL243" s="123">
        <f t="shared" si="175"/>
        <v>120</v>
      </c>
      <c r="AM243" s="123">
        <f t="shared" si="176"/>
        <v>80</v>
      </c>
      <c r="AN243" s="123">
        <f t="shared" si="177"/>
        <v>41341</v>
      </c>
      <c r="AO243" s="123">
        <f t="shared" si="178"/>
        <v>0</v>
      </c>
      <c r="AP243" s="123">
        <f t="shared" si="179"/>
        <v>0</v>
      </c>
      <c r="AQ243" s="123">
        <f t="shared" si="180"/>
        <v>0</v>
      </c>
      <c r="AR243" s="123">
        <f t="shared" si="181"/>
        <v>0</v>
      </c>
    </row>
    <row r="244" spans="1:44" ht="12.75">
      <c r="A244" s="178">
        <f t="shared" si="165"/>
        <v>375.6</v>
      </c>
      <c r="B244" s="178" t="str">
        <f t="shared" si="183"/>
        <v>STRUC &amp; IMPROV-DIST. IND. M &amp; R</v>
      </c>
      <c r="C244" s="122">
        <f>C180</f>
        <v>8</v>
      </c>
      <c r="D244" s="148">
        <v>2629</v>
      </c>
      <c r="E244" s="145"/>
      <c r="F244" s="122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AE244" s="125">
        <f t="shared" si="182"/>
        <v>24</v>
      </c>
      <c r="AF244" s="139">
        <f t="shared" si="169"/>
        <v>394.2</v>
      </c>
      <c r="AG244" s="123" t="str">
        <f t="shared" si="170"/>
        <v>SHOP EQUIPMENT</v>
      </c>
      <c r="AH244" s="123">
        <f t="shared" si="171"/>
        <v>7</v>
      </c>
      <c r="AI244" s="123">
        <f t="shared" si="172"/>
        <v>1539</v>
      </c>
      <c r="AJ244" s="123">
        <f t="shared" si="173"/>
        <v>864</v>
      </c>
      <c r="AK244" s="123">
        <f t="shared" si="174"/>
        <v>322</v>
      </c>
      <c r="AL244" s="123">
        <f t="shared" si="175"/>
        <v>1</v>
      </c>
      <c r="AM244" s="123">
        <f t="shared" si="176"/>
        <v>1</v>
      </c>
      <c r="AN244" s="123">
        <f t="shared" si="177"/>
        <v>351</v>
      </c>
      <c r="AO244" s="123">
        <f t="shared" si="178"/>
        <v>0</v>
      </c>
      <c r="AP244" s="123">
        <f t="shared" si="179"/>
        <v>0</v>
      </c>
      <c r="AQ244" s="123">
        <f t="shared" si="180"/>
        <v>0</v>
      </c>
      <c r="AR244" s="123">
        <f t="shared" si="181"/>
        <v>0</v>
      </c>
    </row>
    <row r="245" spans="1:44" ht="12.75">
      <c r="A245" s="178">
        <f t="shared" si="165"/>
        <v>375.7</v>
      </c>
      <c r="B245" s="178" t="str">
        <f t="shared" si="183"/>
        <v>STRUC &amp; IMPROV-OTHER DIST. SYSTEM</v>
      </c>
      <c r="C245" s="122">
        <f>C181</f>
        <v>7</v>
      </c>
      <c r="D245" s="148">
        <v>144106</v>
      </c>
      <c r="E245" s="145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AE245" s="125">
        <f t="shared" si="182"/>
        <v>25</v>
      </c>
      <c r="AF245" s="139">
        <f t="shared" si="169"/>
        <v>394.3</v>
      </c>
      <c r="AG245" s="123" t="str">
        <f t="shared" si="170"/>
        <v>TOOLS &amp; OTHER EQUIPMENT</v>
      </c>
      <c r="AH245" s="123">
        <f t="shared" si="171"/>
        <v>7</v>
      </c>
      <c r="AI245" s="123">
        <f t="shared" si="172"/>
        <v>894405</v>
      </c>
      <c r="AJ245" s="123">
        <f t="shared" si="173"/>
        <v>502012</v>
      </c>
      <c r="AK245" s="123">
        <f t="shared" si="174"/>
        <v>187387</v>
      </c>
      <c r="AL245" s="123">
        <f t="shared" si="175"/>
        <v>590</v>
      </c>
      <c r="AM245" s="123">
        <f t="shared" si="176"/>
        <v>394</v>
      </c>
      <c r="AN245" s="123">
        <f t="shared" si="177"/>
        <v>204023</v>
      </c>
      <c r="AO245" s="123">
        <f t="shared" si="178"/>
        <v>0</v>
      </c>
      <c r="AP245" s="123">
        <f t="shared" si="179"/>
        <v>0</v>
      </c>
      <c r="AQ245" s="123">
        <f t="shared" si="180"/>
        <v>0</v>
      </c>
      <c r="AR245" s="123">
        <f t="shared" si="181"/>
        <v>0</v>
      </c>
    </row>
    <row r="246" spans="1:44" ht="12.75">
      <c r="A246" s="178">
        <f t="shared" si="165"/>
        <v>375.71</v>
      </c>
      <c r="B246" s="178" t="str">
        <f t="shared" si="183"/>
        <v>STRUCT &amp; IMPROV-OTHER DIST. SYSTEM-IMPROV</v>
      </c>
      <c r="C246" s="122">
        <f>C182</f>
        <v>7</v>
      </c>
      <c r="D246" s="148">
        <v>10156</v>
      </c>
      <c r="E246" s="145"/>
      <c r="F246" s="122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AE246" s="125">
        <f t="shared" si="182"/>
        <v>26</v>
      </c>
      <c r="AF246" s="139">
        <f t="shared" si="169"/>
        <v>395</v>
      </c>
      <c r="AG246" s="123" t="str">
        <f t="shared" si="170"/>
        <v>LABORATORY EQUIPMENT</v>
      </c>
      <c r="AH246" s="123">
        <f t="shared" si="171"/>
        <v>7</v>
      </c>
      <c r="AI246" s="123">
        <f t="shared" si="172"/>
        <v>3536</v>
      </c>
      <c r="AJ246" s="123">
        <f t="shared" si="173"/>
        <v>1985</v>
      </c>
      <c r="AK246" s="123">
        <f t="shared" si="174"/>
        <v>741</v>
      </c>
      <c r="AL246" s="123">
        <f t="shared" si="175"/>
        <v>2</v>
      </c>
      <c r="AM246" s="123">
        <f t="shared" si="176"/>
        <v>2</v>
      </c>
      <c r="AN246" s="123">
        <f t="shared" si="177"/>
        <v>807</v>
      </c>
      <c r="AO246" s="123">
        <f t="shared" si="178"/>
        <v>0</v>
      </c>
      <c r="AP246" s="123">
        <f t="shared" si="179"/>
        <v>0</v>
      </c>
      <c r="AQ246" s="123">
        <f t="shared" si="180"/>
        <v>0</v>
      </c>
      <c r="AR246" s="123">
        <f t="shared" si="181"/>
        <v>0</v>
      </c>
    </row>
    <row r="247" spans="1:44" ht="12.75">
      <c r="A247" s="178">
        <f t="shared" si="165"/>
        <v>375.8</v>
      </c>
      <c r="B247" s="178" t="str">
        <f t="shared" si="183"/>
        <v>STRUC &amp; IMPROV-COMMUNICATION</v>
      </c>
      <c r="C247" s="145">
        <f aca="true" t="shared" si="185" ref="C247:C252">$C$25</f>
        <v>5</v>
      </c>
      <c r="D247" s="148">
        <v>1540</v>
      </c>
      <c r="E247" s="145"/>
      <c r="F247" s="122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AE247" s="125">
        <f t="shared" si="182"/>
        <v>27</v>
      </c>
      <c r="AF247" s="139">
        <f t="shared" si="169"/>
        <v>396</v>
      </c>
      <c r="AG247" s="123" t="str">
        <f t="shared" si="170"/>
        <v>POWER OP EQUIP-GEN TOOLS</v>
      </c>
      <c r="AH247" s="123">
        <f t="shared" si="171"/>
        <v>7</v>
      </c>
      <c r="AI247" s="123">
        <f t="shared" si="172"/>
        <v>575431</v>
      </c>
      <c r="AJ247" s="123">
        <f t="shared" si="173"/>
        <v>322978</v>
      </c>
      <c r="AK247" s="123">
        <f t="shared" si="174"/>
        <v>120559</v>
      </c>
      <c r="AL247" s="123">
        <f t="shared" si="175"/>
        <v>380</v>
      </c>
      <c r="AM247" s="123">
        <f t="shared" si="176"/>
        <v>253</v>
      </c>
      <c r="AN247" s="123">
        <f t="shared" si="177"/>
        <v>131262</v>
      </c>
      <c r="AO247" s="123">
        <f t="shared" si="178"/>
        <v>0</v>
      </c>
      <c r="AP247" s="123">
        <f t="shared" si="179"/>
        <v>0</v>
      </c>
      <c r="AQ247" s="123">
        <f t="shared" si="180"/>
        <v>0</v>
      </c>
      <c r="AR247" s="123">
        <f t="shared" si="181"/>
        <v>0</v>
      </c>
    </row>
    <row r="248" spans="1:44" ht="12.75">
      <c r="A248" s="178">
        <f t="shared" si="165"/>
        <v>376</v>
      </c>
      <c r="B248" s="178" t="str">
        <f t="shared" si="183"/>
        <v>MAINS</v>
      </c>
      <c r="C248" s="145">
        <f t="shared" si="185"/>
        <v>5</v>
      </c>
      <c r="D248" s="148">
        <f>2725693+K625</f>
        <v>2727331.0543</v>
      </c>
      <c r="E248" s="145"/>
      <c r="F248" s="122"/>
      <c r="G248" s="145">
        <v>0</v>
      </c>
      <c r="H248" s="145">
        <v>0</v>
      </c>
      <c r="I248" s="145">
        <v>0</v>
      </c>
      <c r="J248" s="145">
        <v>0</v>
      </c>
      <c r="K248" s="145">
        <v>0</v>
      </c>
      <c r="L248" s="145">
        <v>0</v>
      </c>
      <c r="M248" s="145">
        <v>0</v>
      </c>
      <c r="N248" s="145">
        <v>0</v>
      </c>
      <c r="O248" s="145">
        <v>0</v>
      </c>
      <c r="AE248" s="125">
        <f t="shared" si="182"/>
        <v>28</v>
      </c>
      <c r="AF248" s="139">
        <f t="shared" si="169"/>
        <v>397.5</v>
      </c>
      <c r="AG248" s="123" t="str">
        <f t="shared" si="170"/>
        <v>COMMUNICATION EQUIP - TELEMETERING</v>
      </c>
      <c r="AH248" s="123">
        <f t="shared" si="171"/>
        <v>7</v>
      </c>
      <c r="AI248" s="123">
        <f>D219+E217</f>
        <v>-58729</v>
      </c>
      <c r="AJ248" s="123">
        <f t="shared" si="173"/>
        <v>-32963</v>
      </c>
      <c r="AK248" s="123">
        <f t="shared" si="174"/>
        <v>-12304</v>
      </c>
      <c r="AL248" s="123">
        <f t="shared" si="175"/>
        <v>-39</v>
      </c>
      <c r="AM248" s="123">
        <f t="shared" si="176"/>
        <v>-26</v>
      </c>
      <c r="AN248" s="123">
        <f t="shared" si="177"/>
        <v>-13397</v>
      </c>
      <c r="AO248" s="123">
        <f t="shared" si="178"/>
        <v>0</v>
      </c>
      <c r="AP248" s="123">
        <f t="shared" si="179"/>
        <v>0</v>
      </c>
      <c r="AQ248" s="123">
        <f t="shared" si="180"/>
        <v>0</v>
      </c>
      <c r="AR248" s="123">
        <f t="shared" si="181"/>
        <v>0</v>
      </c>
    </row>
    <row r="249" spans="1:44" ht="12.75">
      <c r="A249" s="178">
        <f t="shared" si="165"/>
        <v>378.1</v>
      </c>
      <c r="B249" s="178" t="str">
        <f t="shared" si="183"/>
        <v>M &amp; R GENERAL</v>
      </c>
      <c r="C249" s="145">
        <f t="shared" si="185"/>
        <v>5</v>
      </c>
      <c r="D249" s="148">
        <v>8031</v>
      </c>
      <c r="E249" s="145"/>
      <c r="F249" s="122"/>
      <c r="G249" s="122"/>
      <c r="H249" s="122"/>
      <c r="I249" s="122"/>
      <c r="J249" s="122"/>
      <c r="K249" s="122"/>
      <c r="L249" s="122"/>
      <c r="M249" s="122"/>
      <c r="N249" s="122"/>
      <c r="P249" s="122"/>
      <c r="AE249" s="125">
        <f t="shared" si="182"/>
        <v>29</v>
      </c>
      <c r="AF249" s="139">
        <f t="shared" si="169"/>
        <v>398</v>
      </c>
      <c r="AG249" s="123" t="str">
        <f t="shared" si="170"/>
        <v>MISCELLANEOUS EQUIPMENT</v>
      </c>
      <c r="AH249" s="123">
        <f t="shared" si="171"/>
        <v>7</v>
      </c>
      <c r="AI249" s="141">
        <f t="shared" si="172"/>
        <v>51309</v>
      </c>
      <c r="AJ249" s="141">
        <f t="shared" si="173"/>
        <v>28799</v>
      </c>
      <c r="AK249" s="141">
        <f t="shared" si="174"/>
        <v>10750</v>
      </c>
      <c r="AL249" s="141">
        <f t="shared" si="175"/>
        <v>34</v>
      </c>
      <c r="AM249" s="141">
        <f t="shared" si="176"/>
        <v>23</v>
      </c>
      <c r="AN249" s="141">
        <f t="shared" si="177"/>
        <v>11704</v>
      </c>
      <c r="AO249" s="141">
        <f t="shared" si="178"/>
        <v>0</v>
      </c>
      <c r="AP249" s="141">
        <f t="shared" si="179"/>
        <v>0</v>
      </c>
      <c r="AQ249" s="141">
        <f t="shared" si="180"/>
        <v>0</v>
      </c>
      <c r="AR249" s="141">
        <f t="shared" si="181"/>
        <v>0</v>
      </c>
    </row>
    <row r="250" spans="1:44" ht="12.75">
      <c r="A250" s="178">
        <f t="shared" si="165"/>
        <v>378.2</v>
      </c>
      <c r="B250" s="178" t="str">
        <f t="shared" si="183"/>
        <v>M &amp; R GENERAL - REGULATING</v>
      </c>
      <c r="C250" s="145">
        <f t="shared" si="185"/>
        <v>5</v>
      </c>
      <c r="D250" s="148">
        <f>136806+K627</f>
        <v>137266.1575</v>
      </c>
      <c r="E250" s="145"/>
      <c r="F250" s="122"/>
      <c r="G250" s="122"/>
      <c r="H250" s="122"/>
      <c r="I250" s="122"/>
      <c r="J250" s="122"/>
      <c r="K250" s="122"/>
      <c r="L250" s="122"/>
      <c r="M250" s="122"/>
      <c r="N250" s="122"/>
      <c r="P250" s="122"/>
      <c r="AE250" s="125">
        <f t="shared" si="182"/>
        <v>30</v>
      </c>
      <c r="AF250" s="139"/>
      <c r="AG250" s="140" t="s">
        <v>118</v>
      </c>
      <c r="AI250" s="141">
        <f aca="true" t="shared" si="186" ref="AI250:AR250">SUM(AI235:AI249)</f>
        <v>2499590</v>
      </c>
      <c r="AJ250" s="141">
        <f t="shared" si="186"/>
        <v>1402972</v>
      </c>
      <c r="AK250" s="141">
        <f t="shared" si="186"/>
        <v>523691</v>
      </c>
      <c r="AL250" s="141">
        <f t="shared" si="186"/>
        <v>1650</v>
      </c>
      <c r="AM250" s="141">
        <f t="shared" si="186"/>
        <v>1101</v>
      </c>
      <c r="AN250" s="141">
        <f t="shared" si="186"/>
        <v>570182</v>
      </c>
      <c r="AO250" s="141">
        <f t="shared" si="186"/>
        <v>0</v>
      </c>
      <c r="AP250" s="141">
        <f t="shared" si="186"/>
        <v>0</v>
      </c>
      <c r="AQ250" s="141">
        <f t="shared" si="186"/>
        <v>0</v>
      </c>
      <c r="AR250" s="141">
        <f t="shared" si="186"/>
        <v>0</v>
      </c>
    </row>
    <row r="251" spans="1:32" ht="12.75">
      <c r="A251" s="178">
        <f t="shared" si="165"/>
        <v>378.3</v>
      </c>
      <c r="B251" s="178" t="str">
        <f t="shared" si="183"/>
        <v>M &amp; R EQUIP - LOCAL GAS PURCHASES</v>
      </c>
      <c r="C251" s="145">
        <f t="shared" si="185"/>
        <v>5</v>
      </c>
      <c r="D251" s="148">
        <v>1436</v>
      </c>
      <c r="E251" s="145"/>
      <c r="F251" s="122"/>
      <c r="G251" s="122"/>
      <c r="H251" s="122"/>
      <c r="I251" s="122"/>
      <c r="J251" s="122"/>
      <c r="K251" s="122"/>
      <c r="L251" s="122"/>
      <c r="M251" s="122"/>
      <c r="N251" s="122"/>
      <c r="P251" s="122"/>
      <c r="AE251" s="125"/>
      <c r="AF251" s="139"/>
    </row>
    <row r="252" spans="1:44" ht="12.75">
      <c r="A252" s="178">
        <f t="shared" si="165"/>
        <v>379.1</v>
      </c>
      <c r="B252" s="178" t="str">
        <f t="shared" si="183"/>
        <v>STA EQUIP - CITY</v>
      </c>
      <c r="C252" s="145">
        <f t="shared" si="185"/>
        <v>5</v>
      </c>
      <c r="D252" s="148">
        <v>4565</v>
      </c>
      <c r="E252" s="145"/>
      <c r="F252" s="122"/>
      <c r="G252" s="145"/>
      <c r="H252" s="145"/>
      <c r="I252" s="145"/>
      <c r="J252" s="145"/>
      <c r="K252" s="145"/>
      <c r="L252" s="145"/>
      <c r="M252" s="145"/>
      <c r="N252" s="145"/>
      <c r="P252" s="145"/>
      <c r="AE252" s="125">
        <f>AE250+1</f>
        <v>31</v>
      </c>
      <c r="AG252" s="140" t="s">
        <v>204</v>
      </c>
      <c r="AI252" s="123">
        <f aca="true" t="shared" si="187" ref="AI252:AR252">AI181+AI188+AI231+AI250</f>
        <v>112159507</v>
      </c>
      <c r="AJ252" s="123">
        <f t="shared" si="187"/>
        <v>70417756</v>
      </c>
      <c r="AK252" s="123">
        <f t="shared" si="187"/>
        <v>21204753</v>
      </c>
      <c r="AL252" s="123">
        <f t="shared" si="187"/>
        <v>59202</v>
      </c>
      <c r="AM252" s="123">
        <f t="shared" si="187"/>
        <v>40650</v>
      </c>
      <c r="AN252" s="123">
        <f t="shared" si="187"/>
        <v>20437149</v>
      </c>
      <c r="AO252" s="123">
        <f t="shared" si="187"/>
        <v>0</v>
      </c>
      <c r="AP252" s="123">
        <f t="shared" si="187"/>
        <v>0</v>
      </c>
      <c r="AQ252" s="123">
        <f t="shared" si="187"/>
        <v>0</v>
      </c>
      <c r="AR252" s="123">
        <f t="shared" si="187"/>
        <v>0</v>
      </c>
    </row>
    <row r="253" spans="1:43" ht="12.75">
      <c r="A253" s="178">
        <f t="shared" si="165"/>
        <v>380</v>
      </c>
      <c r="B253" s="178" t="str">
        <f t="shared" si="183"/>
        <v>SERVICES</v>
      </c>
      <c r="C253" s="122">
        <f aca="true" t="shared" si="188" ref="C253:C264">C189</f>
        <v>15</v>
      </c>
      <c r="D253" s="148">
        <f>2720334+K630</f>
        <v>2722897.4061</v>
      </c>
      <c r="E253" s="145"/>
      <c r="F253" s="122"/>
      <c r="G253" s="122"/>
      <c r="H253" s="122"/>
      <c r="I253" s="122"/>
      <c r="J253" s="122"/>
      <c r="K253" s="122"/>
      <c r="L253" s="122"/>
      <c r="M253" s="122"/>
      <c r="N253" s="122"/>
      <c r="P253" s="122"/>
      <c r="AG253" s="124"/>
      <c r="AK253" s="125" t="str">
        <f>" "&amp;+$B$24</f>
        <v> COLUMBIA GAS OF KENTUCKY, INC.</v>
      </c>
      <c r="AQ253" s="123" t="str">
        <f>$B$25</f>
        <v>D/C STUDY</v>
      </c>
    </row>
    <row r="254" spans="1:43" ht="12.75">
      <c r="A254" s="178">
        <f t="shared" si="165"/>
        <v>381</v>
      </c>
      <c r="B254" s="178" t="str">
        <f t="shared" si="183"/>
        <v>METERS</v>
      </c>
      <c r="C254" s="122">
        <f t="shared" si="188"/>
        <v>16</v>
      </c>
      <c r="D254" s="148">
        <f>383767+K631</f>
        <v>383784.3346</v>
      </c>
      <c r="E254" s="145"/>
      <c r="F254" s="122"/>
      <c r="G254" s="145"/>
      <c r="H254" s="145"/>
      <c r="I254" s="145"/>
      <c r="J254" s="145"/>
      <c r="K254" s="145"/>
      <c r="L254" s="145"/>
      <c r="M254" s="145"/>
      <c r="N254" s="145"/>
      <c r="P254" s="145"/>
      <c r="AE254" s="123" t="str">
        <f>$B$30</f>
        <v>DEMAND-COMMODITY</v>
      </c>
      <c r="AK254" s="125" t="s">
        <v>207</v>
      </c>
      <c r="AQ254" s="123" t="str">
        <f>"PAGE 10 OF "&amp;FIXED($B$31,0,TRUE)</f>
        <v>PAGE 10 OF 28</v>
      </c>
    </row>
    <row r="255" spans="1:44" ht="12.75">
      <c r="A255" s="178">
        <f t="shared" si="165"/>
        <v>382</v>
      </c>
      <c r="B255" s="178" t="str">
        <f t="shared" si="183"/>
        <v>METER INSTALLATIONS</v>
      </c>
      <c r="C255" s="122">
        <f t="shared" si="188"/>
        <v>16</v>
      </c>
      <c r="D255" s="148">
        <f>230680+K632</f>
        <v>233564.2948</v>
      </c>
      <c r="E255" s="145"/>
      <c r="F255" s="122"/>
      <c r="G255" s="122"/>
      <c r="H255" s="122"/>
      <c r="I255" s="122"/>
      <c r="J255" s="122"/>
      <c r="K255" s="122"/>
      <c r="L255" s="122"/>
      <c r="M255" s="122"/>
      <c r="N255" s="122"/>
      <c r="P255" s="122"/>
      <c r="AE255" s="128" t="str">
        <f>$B$29</f>
        <v>HISTORIC PERIOD - ORIGINAL FILING</v>
      </c>
      <c r="AF255" s="128"/>
      <c r="AG255" s="128"/>
      <c r="AH255" s="129"/>
      <c r="AI255" s="129"/>
      <c r="AJ255" s="129"/>
      <c r="AK255" s="130" t="str">
        <f>"FOR THE TWELVE MONTHS ENDED "&amp;$B$27</f>
        <v>FOR THE TWELVE MONTHS ENDED 09/30/2006</v>
      </c>
      <c r="AL255" s="128"/>
      <c r="AM255" s="128"/>
      <c r="AN255" s="128"/>
      <c r="AO255" s="128"/>
      <c r="AP255" s="128"/>
      <c r="AQ255" s="128" t="str">
        <f>"WITNESS: "&amp;$B$28</f>
        <v>WITNESS: R. GIBBONS</v>
      </c>
      <c r="AR255" s="131"/>
    </row>
    <row r="256" spans="1:35" ht="12.75">
      <c r="A256" s="178">
        <f t="shared" si="165"/>
        <v>383</v>
      </c>
      <c r="B256" s="178" t="str">
        <f t="shared" si="183"/>
        <v>HOUSE REGULATORS</v>
      </c>
      <c r="C256" s="122">
        <f t="shared" si="188"/>
        <v>16</v>
      </c>
      <c r="D256" s="148">
        <f>77626+K633</f>
        <v>78973.0678</v>
      </c>
      <c r="E256" s="145"/>
      <c r="F256" s="122"/>
      <c r="G256" s="145"/>
      <c r="H256" s="145"/>
      <c r="I256" s="145"/>
      <c r="J256" s="145"/>
      <c r="K256" s="145"/>
      <c r="L256" s="145"/>
      <c r="M256" s="145"/>
      <c r="N256" s="145"/>
      <c r="P256" s="145"/>
      <c r="AE256" s="125" t="s">
        <v>9</v>
      </c>
      <c r="AF256" s="123" t="s">
        <v>10</v>
      </c>
      <c r="AH256" s="125" t="s">
        <v>11</v>
      </c>
      <c r="AI256" s="125" t="s">
        <v>12</v>
      </c>
    </row>
    <row r="257" spans="1:44" ht="12.75">
      <c r="A257" s="178">
        <f t="shared" si="165"/>
        <v>384</v>
      </c>
      <c r="B257" s="178" t="str">
        <f t="shared" si="183"/>
        <v>HOUSE REG INSTALLATIONS</v>
      </c>
      <c r="C257" s="122">
        <f t="shared" si="188"/>
        <v>16</v>
      </c>
      <c r="D257" s="148">
        <v>33575</v>
      </c>
      <c r="E257" s="145"/>
      <c r="F257" s="122"/>
      <c r="G257" s="122"/>
      <c r="H257" s="122"/>
      <c r="I257" s="122"/>
      <c r="J257" s="122"/>
      <c r="K257" s="122"/>
      <c r="L257" s="122"/>
      <c r="M257" s="122"/>
      <c r="N257" s="122"/>
      <c r="P257" s="122"/>
      <c r="AE257" s="133" t="s">
        <v>13</v>
      </c>
      <c r="AF257" s="133" t="s">
        <v>13</v>
      </c>
      <c r="AG257" s="171" t="str">
        <f>AG5</f>
        <v> ACCOUNT TITLE</v>
      </c>
      <c r="AH257" s="141" t="s">
        <v>14</v>
      </c>
      <c r="AI257" s="133" t="s">
        <v>15</v>
      </c>
      <c r="AJ257" s="133" t="str">
        <f>"  "&amp;+$C$35</f>
        <v>  GS-RES.</v>
      </c>
      <c r="AK257" s="133" t="str">
        <f>$C$36</f>
        <v>GS-OTHER</v>
      </c>
      <c r="AL257" s="133" t="str">
        <f>$C$37</f>
        <v>IUS</v>
      </c>
      <c r="AM257" s="133" t="str">
        <f>$C$38</f>
        <v>DS-ML/SC</v>
      </c>
      <c r="AN257" s="133" t="str">
        <f>$C$39</f>
        <v>DS/IS/SS</v>
      </c>
      <c r="AO257" s="133" t="str">
        <f>$C$40</f>
        <v>NOT USED</v>
      </c>
      <c r="AP257" s="133" t="str">
        <f>$C$41</f>
        <v>NOT USED</v>
      </c>
      <c r="AQ257" s="133" t="str">
        <f>$C$42</f>
        <v>NOT USED</v>
      </c>
      <c r="AR257" s="133" t="str">
        <f>$C$43</f>
        <v>NOT USED</v>
      </c>
    </row>
    <row r="258" spans="1:44" ht="12.75">
      <c r="A258" s="178">
        <f t="shared" si="165"/>
        <v>385</v>
      </c>
      <c r="B258" s="178" t="str">
        <f t="shared" si="183"/>
        <v>IND M&amp;R EQUIPMENT</v>
      </c>
      <c r="C258" s="122">
        <f t="shared" si="188"/>
        <v>17</v>
      </c>
      <c r="D258" s="148">
        <f>126946+K635</f>
        <v>127055.962</v>
      </c>
      <c r="E258" s="145"/>
      <c r="F258" s="122"/>
      <c r="G258" s="122"/>
      <c r="H258" s="122"/>
      <c r="I258" s="122"/>
      <c r="J258" s="122"/>
      <c r="K258" s="122"/>
      <c r="L258" s="122"/>
      <c r="M258" s="122"/>
      <c r="N258" s="122"/>
      <c r="P258" s="122"/>
      <c r="AF258" s="136" t="s">
        <v>17</v>
      </c>
      <c r="AG258" s="136" t="s">
        <v>18</v>
      </c>
      <c r="AH258" s="125" t="s">
        <v>19</v>
      </c>
      <c r="AI258" s="125" t="s">
        <v>20</v>
      </c>
      <c r="AJ258" s="125" t="s">
        <v>21</v>
      </c>
      <c r="AK258" s="125" t="s">
        <v>22</v>
      </c>
      <c r="AL258" s="125" t="s">
        <v>23</v>
      </c>
      <c r="AM258" s="125" t="s">
        <v>24</v>
      </c>
      <c r="AN258" s="125" t="s">
        <v>25</v>
      </c>
      <c r="AO258" s="125" t="s">
        <v>26</v>
      </c>
      <c r="AP258" s="125" t="s">
        <v>27</v>
      </c>
      <c r="AQ258" s="125" t="s">
        <v>28</v>
      </c>
      <c r="AR258" s="125" t="s">
        <v>29</v>
      </c>
    </row>
    <row r="259" spans="1:44" ht="12.75">
      <c r="A259" s="178">
        <f t="shared" si="165"/>
        <v>387.2</v>
      </c>
      <c r="B259" s="178" t="str">
        <f t="shared" si="183"/>
        <v>ODORIZATION</v>
      </c>
      <c r="C259" s="122">
        <f t="shared" si="188"/>
        <v>7</v>
      </c>
      <c r="D259" s="148">
        <v>12415</v>
      </c>
      <c r="E259" s="145"/>
      <c r="F259" s="122"/>
      <c r="G259" s="122"/>
      <c r="H259" s="122"/>
      <c r="I259" s="122"/>
      <c r="J259" s="122"/>
      <c r="K259" s="122"/>
      <c r="L259" s="122"/>
      <c r="M259" s="122"/>
      <c r="N259" s="122"/>
      <c r="P259" s="122"/>
      <c r="AI259" s="125" t="s">
        <v>32</v>
      </c>
      <c r="AJ259" s="125" t="s">
        <v>32</v>
      </c>
      <c r="AK259" s="125" t="s">
        <v>32</v>
      </c>
      <c r="AL259" s="125" t="s">
        <v>32</v>
      </c>
      <c r="AM259" s="125" t="s">
        <v>32</v>
      </c>
      <c r="AN259" s="125" t="s">
        <v>32</v>
      </c>
      <c r="AO259" s="125" t="s">
        <v>32</v>
      </c>
      <c r="AP259" s="125" t="s">
        <v>32</v>
      </c>
      <c r="AQ259" s="125" t="s">
        <v>32</v>
      </c>
      <c r="AR259" s="125" t="s">
        <v>32</v>
      </c>
    </row>
    <row r="260" spans="1:33" ht="12.75">
      <c r="A260" s="178">
        <f t="shared" si="165"/>
        <v>387.41</v>
      </c>
      <c r="B260" s="178" t="str">
        <f t="shared" si="183"/>
        <v>TELEPHONE</v>
      </c>
      <c r="C260" s="122">
        <f t="shared" si="188"/>
        <v>7</v>
      </c>
      <c r="D260" s="148">
        <v>26739</v>
      </c>
      <c r="E260" s="145"/>
      <c r="F260" s="122"/>
      <c r="G260" s="122"/>
      <c r="H260" s="122"/>
      <c r="I260" s="122"/>
      <c r="J260" s="122"/>
      <c r="K260" s="122"/>
      <c r="L260" s="122"/>
      <c r="M260" s="122"/>
      <c r="N260" s="122"/>
      <c r="P260" s="122"/>
      <c r="AG260" s="123" t="str">
        <f>A226</f>
        <v>INTANGIBLE PLANT</v>
      </c>
    </row>
    <row r="261" spans="1:16" ht="12.75">
      <c r="A261" s="178">
        <f t="shared" si="165"/>
        <v>387.42</v>
      </c>
      <c r="B261" s="178" t="str">
        <f t="shared" si="183"/>
        <v>RADIO</v>
      </c>
      <c r="C261" s="122">
        <f t="shared" si="188"/>
        <v>7</v>
      </c>
      <c r="D261" s="148">
        <v>33533</v>
      </c>
      <c r="E261" s="145"/>
      <c r="F261" s="122"/>
      <c r="G261" s="145"/>
      <c r="H261" s="145"/>
      <c r="I261" s="145"/>
      <c r="J261" s="145"/>
      <c r="K261" s="145"/>
      <c r="L261" s="145"/>
      <c r="M261" s="145"/>
      <c r="N261" s="145"/>
      <c r="P261" s="145"/>
    </row>
    <row r="262" spans="1:44" ht="12.75">
      <c r="A262" s="178">
        <f t="shared" si="165"/>
        <v>387.44</v>
      </c>
      <c r="B262" s="178" t="str">
        <f t="shared" si="183"/>
        <v>OTHER COMMUNICATION</v>
      </c>
      <c r="C262" s="122">
        <f t="shared" si="188"/>
        <v>7</v>
      </c>
      <c r="D262" s="148">
        <v>4755</v>
      </c>
      <c r="E262" s="145"/>
      <c r="F262" s="122"/>
      <c r="G262" s="122"/>
      <c r="H262" s="122"/>
      <c r="I262" s="122"/>
      <c r="J262" s="122"/>
      <c r="K262" s="122"/>
      <c r="L262" s="122"/>
      <c r="M262" s="122"/>
      <c r="N262" s="122"/>
      <c r="P262" s="122"/>
      <c r="AE262" s="123">
        <v>1</v>
      </c>
      <c r="AF262" s="139">
        <f aca="true" t="shared" si="189" ref="AF262:AI265">A227</f>
        <v>301</v>
      </c>
      <c r="AG262" s="123" t="str">
        <f t="shared" si="189"/>
        <v>ORGANIZATION</v>
      </c>
      <c r="AH262" s="123">
        <f t="shared" si="189"/>
        <v>7</v>
      </c>
      <c r="AI262" s="123">
        <f t="shared" si="189"/>
        <v>0</v>
      </c>
      <c r="AJ262" s="123">
        <f>ROUND((VLOOKUP($AH262,$A$661:$Y$709,13)*$AI262),0)</f>
        <v>0</v>
      </c>
      <c r="AK262" s="123">
        <f>ROUND((VLOOKUP($AH262,$A$661:$Y$709,14)*$AI262),0)</f>
        <v>0</v>
      </c>
      <c r="AL262" s="123">
        <f>ROUND((VLOOKUP($AH262,$A$661:$Y$709,15)*$AI262),0)</f>
        <v>0</v>
      </c>
      <c r="AM262" s="123">
        <f>ROUND((VLOOKUP($AH262,$A$661:$Y$709,16)*$AI262),0)</f>
        <v>0</v>
      </c>
      <c r="AN262" s="123">
        <f>ROUND((VLOOKUP($AH262,$A$661:$Y$709,17)*$AI262),0)</f>
        <v>0</v>
      </c>
      <c r="AO262" s="123">
        <f>ROUND((VLOOKUP($AH262,$A$661:$Y$709,18)*$AI262),0)</f>
        <v>0</v>
      </c>
      <c r="AP262" s="123">
        <f>ROUND((VLOOKUP($AH262,$A$661:$Y$709,19)*$AI262),0)</f>
        <v>0</v>
      </c>
      <c r="AQ262" s="123">
        <f>ROUND((VLOOKUP($AH262,$A$661:$Y$709,20)*$AI262),0)</f>
        <v>0</v>
      </c>
      <c r="AR262" s="123">
        <f>ROUND((VLOOKUP($AH262,$A$661:$Y$709,21)*$AI262),0)</f>
        <v>0</v>
      </c>
    </row>
    <row r="263" spans="1:44" ht="12.75">
      <c r="A263" s="178">
        <f t="shared" si="165"/>
        <v>387.45</v>
      </c>
      <c r="B263" s="178" t="str">
        <f t="shared" si="183"/>
        <v>TELEMETERING</v>
      </c>
      <c r="C263" s="122">
        <f t="shared" si="188"/>
        <v>7</v>
      </c>
      <c r="D263" s="148">
        <f>41811+K640</f>
        <v>43053.717599999996</v>
      </c>
      <c r="E263" s="122"/>
      <c r="F263" s="122"/>
      <c r="G263" s="145"/>
      <c r="H263" s="145"/>
      <c r="I263" s="145"/>
      <c r="J263" s="145"/>
      <c r="K263" s="145"/>
      <c r="L263" s="145"/>
      <c r="M263" s="145"/>
      <c r="N263" s="145"/>
      <c r="P263" s="145"/>
      <c r="AE263" s="123">
        <f>AE262+1</f>
        <v>2</v>
      </c>
      <c r="AF263" s="139">
        <f t="shared" si="189"/>
        <v>303</v>
      </c>
      <c r="AG263" s="123" t="str">
        <f t="shared" si="189"/>
        <v>MISC. INTANGIBLE PLANT</v>
      </c>
      <c r="AH263" s="123">
        <f t="shared" si="189"/>
        <v>7</v>
      </c>
      <c r="AI263" s="123">
        <f t="shared" si="189"/>
        <v>5884</v>
      </c>
      <c r="AJ263" s="123">
        <f>ROUND((VLOOKUP($AH263,$A$661:$Y$709,13)*$AI263),0)</f>
        <v>3303</v>
      </c>
      <c r="AK263" s="123">
        <f>ROUND((VLOOKUP($AH263,$A$661:$Y$709,14)*$AI263),0)</f>
        <v>1233</v>
      </c>
      <c r="AL263" s="123">
        <f>ROUND((VLOOKUP($AH263,$A$661:$Y$709,15)*$AI263),0)</f>
        <v>4</v>
      </c>
      <c r="AM263" s="123">
        <f>ROUND((VLOOKUP($AH263,$A$661:$Y$709,16)*$AI263),0)</f>
        <v>3</v>
      </c>
      <c r="AN263" s="123">
        <f>ROUND((VLOOKUP($AH263,$A$661:$Y$709,17)*$AI263),0)</f>
        <v>1342</v>
      </c>
      <c r="AO263" s="123">
        <f>ROUND((VLOOKUP($AH263,$A$661:$Y$709,18)*$AI263),0)</f>
        <v>0</v>
      </c>
      <c r="AP263" s="123">
        <f>ROUND((VLOOKUP($AH263,$A$661:$Y$709,19)*$AI263),0)</f>
        <v>0</v>
      </c>
      <c r="AQ263" s="123">
        <f>ROUND((VLOOKUP($AH263,$A$661:$Y$709,20)*$AI263),0)</f>
        <v>0</v>
      </c>
      <c r="AR263" s="123">
        <f>ROUND((VLOOKUP($AH263,$A$661:$Y$709,21)*$AI263),0)</f>
        <v>0</v>
      </c>
    </row>
    <row r="264" spans="1:44" ht="12.75">
      <c r="A264" s="178">
        <f t="shared" si="165"/>
        <v>387.46</v>
      </c>
      <c r="B264" s="178" t="str">
        <f t="shared" si="183"/>
        <v>CIS</v>
      </c>
      <c r="C264" s="122">
        <f t="shared" si="188"/>
        <v>7</v>
      </c>
      <c r="D264" s="148">
        <v>4789</v>
      </c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P264" s="122"/>
      <c r="AE264" s="123">
        <f>AE263+1</f>
        <v>3</v>
      </c>
      <c r="AF264" s="139">
        <f t="shared" si="189"/>
        <v>303.1</v>
      </c>
      <c r="AG264" s="123" t="str">
        <f t="shared" si="189"/>
        <v>DIS SOFTWARE</v>
      </c>
      <c r="AH264" s="123">
        <f t="shared" si="189"/>
        <v>7</v>
      </c>
      <c r="AI264" s="123">
        <f t="shared" si="189"/>
        <v>109</v>
      </c>
      <c r="AJ264" s="123">
        <f>ROUND((VLOOKUP($AH264,$A$661:$Y$709,13)*$AI264),0)</f>
        <v>61</v>
      </c>
      <c r="AK264" s="123">
        <f>ROUND((VLOOKUP($AH264,$A$661:$Y$709,14)*$AI264),0)</f>
        <v>23</v>
      </c>
      <c r="AL264" s="123">
        <f>ROUND((VLOOKUP($AH264,$A$661:$Y$709,15)*$AI264),0)</f>
        <v>0</v>
      </c>
      <c r="AM264" s="123">
        <f>ROUND((VLOOKUP($AH264,$A$661:$Y$709,16)*$AI264),0)</f>
        <v>0</v>
      </c>
      <c r="AN264" s="123">
        <f>ROUND((VLOOKUP($AH264,$A$661:$Y$709,17)*$AI264),0)</f>
        <v>25</v>
      </c>
      <c r="AO264" s="123">
        <f>ROUND((VLOOKUP($AH264,$A$661:$Y$709,18)*$AI264),0)</f>
        <v>0</v>
      </c>
      <c r="AP264" s="123">
        <f>ROUND((VLOOKUP($AH264,$A$661:$Y$709,19)*$AI264),0)</f>
        <v>0</v>
      </c>
      <c r="AQ264" s="123">
        <f>ROUND((VLOOKUP($AH264,$A$661:$Y$709,20)*$AI264),0)</f>
        <v>0</v>
      </c>
      <c r="AR264" s="123">
        <f>ROUND((VLOOKUP($AH264,$A$661:$Y$709,21)*$AI264),0)</f>
        <v>0</v>
      </c>
    </row>
    <row r="265" spans="1:44" ht="12.75">
      <c r="A265" s="178" t="str">
        <f aca="true" t="shared" si="190" ref="A265:A280">A203</f>
        <v>GENERAL PLANT</v>
      </c>
      <c r="B265" s="178"/>
      <c r="C265" s="122"/>
      <c r="D265" s="173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P265" s="122"/>
      <c r="AE265" s="123">
        <f>AE264+1</f>
        <v>4</v>
      </c>
      <c r="AF265" s="139">
        <f t="shared" si="189"/>
        <v>303.2</v>
      </c>
      <c r="AG265" s="123" t="str">
        <f t="shared" si="189"/>
        <v>FARA SOFTWARE</v>
      </c>
      <c r="AH265" s="123">
        <f t="shared" si="189"/>
        <v>7</v>
      </c>
      <c r="AI265" s="123">
        <f t="shared" si="189"/>
        <v>0</v>
      </c>
      <c r="AJ265" s="123">
        <f>ROUND((VLOOKUP($AH265,$A$661:$Y$709,13)*$AI265),0)</f>
        <v>0</v>
      </c>
      <c r="AK265" s="123">
        <f>ROUND((VLOOKUP($AH265,$A$661:$Y$709,14)*$AI265),0)</f>
        <v>0</v>
      </c>
      <c r="AL265" s="123">
        <f>ROUND((VLOOKUP($AH265,$A$661:$Y$709,15)*$AI265),0)</f>
        <v>0</v>
      </c>
      <c r="AM265" s="123">
        <f>ROUND((VLOOKUP($AH265,$A$661:$Y$709,16)*$AI265),0)</f>
        <v>0</v>
      </c>
      <c r="AN265" s="123">
        <f>ROUND((VLOOKUP($AH265,$A$661:$Y$709,17)*$AI265),0)</f>
        <v>0</v>
      </c>
      <c r="AO265" s="123">
        <f>ROUND((VLOOKUP($AH265,$A$661:$Y$709,18)*$AI265),0)</f>
        <v>0</v>
      </c>
      <c r="AP265" s="123">
        <f>ROUND((VLOOKUP($AH265,$A$661:$Y$709,19)*$AI265),0)</f>
        <v>0</v>
      </c>
      <c r="AQ265" s="123">
        <f>ROUND((VLOOKUP($AH265,$A$661:$Y$709,20)*$AI265),0)</f>
        <v>0</v>
      </c>
      <c r="AR265" s="123">
        <f>ROUND((VLOOKUP($AH265,$A$661:$Y$709,21)*$AI265),0)</f>
        <v>0</v>
      </c>
    </row>
    <row r="266" spans="1:44" ht="12.75">
      <c r="A266" s="178">
        <f t="shared" si="190"/>
        <v>391.1</v>
      </c>
      <c r="B266" s="178" t="str">
        <f aca="true" t="shared" si="191" ref="B266:C268">B204</f>
        <v>OFF FURN &amp; EQUIP - UNSPEC</v>
      </c>
      <c r="C266" s="122">
        <f t="shared" si="191"/>
        <v>7</v>
      </c>
      <c r="D266" s="148">
        <v>62982</v>
      </c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P266" s="122"/>
      <c r="AE266" s="123">
        <f>AE265+1</f>
        <v>5</v>
      </c>
      <c r="AF266" s="139">
        <f>A231</f>
        <v>303.3</v>
      </c>
      <c r="AG266" s="123" t="str">
        <f>B231</f>
        <v>OTHER SOFTWARE</v>
      </c>
      <c r="AH266" s="123">
        <f>C231</f>
        <v>7</v>
      </c>
      <c r="AI266" s="123">
        <f>D231-SUM(G231:O231)</f>
        <v>217401</v>
      </c>
      <c r="AJ266" s="123">
        <f>ROUND((VLOOKUP($AH266,$A$661:$Y$709,13)*$AI266),0)</f>
        <v>122023</v>
      </c>
      <c r="AK266" s="123">
        <f>ROUND((VLOOKUP($AH266,$A$661:$Y$709,14)*$AI266),0)</f>
        <v>45548</v>
      </c>
      <c r="AL266" s="123">
        <f>ROUND((VLOOKUP($AH266,$A$661:$Y$709,15)*$AI266),0)</f>
        <v>143</v>
      </c>
      <c r="AM266" s="123">
        <f>ROUND((VLOOKUP($AH266,$A$661:$Y$709,16)*$AI266),0)</f>
        <v>96</v>
      </c>
      <c r="AN266" s="123">
        <f>ROUND((VLOOKUP($AH266,$A$661:$Y$709,17)*$AI266),0)</f>
        <v>49591</v>
      </c>
      <c r="AO266" s="123">
        <f>ROUND((VLOOKUP($AH266,$A$661:$Y$709,18)*$AI266),0)</f>
        <v>0</v>
      </c>
      <c r="AP266" s="123">
        <f>ROUND((VLOOKUP($AH266,$A$661:$Y$709,19)*$AI266),0)</f>
        <v>0</v>
      </c>
      <c r="AQ266" s="123">
        <f>ROUND((VLOOKUP($AH266,$A$661:$Y$709,20)*$AI266),0)</f>
        <v>0</v>
      </c>
      <c r="AR266" s="123">
        <f>ROUND((VLOOKUP($AH266,$A$661:$Y$709,21)*$AI266),0)</f>
        <v>0</v>
      </c>
    </row>
    <row r="267" spans="1:44" ht="12.75">
      <c r="A267" s="178">
        <f t="shared" si="190"/>
        <v>391.11</v>
      </c>
      <c r="B267" s="178" t="str">
        <f t="shared" si="191"/>
        <v>OFF FURN &amp; EQUIP - DATA HAND</v>
      </c>
      <c r="C267" s="122">
        <f t="shared" si="191"/>
        <v>7</v>
      </c>
      <c r="D267" s="148">
        <v>2691</v>
      </c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P267" s="122"/>
      <c r="AE267" s="123">
        <f>AE265+1</f>
        <v>5</v>
      </c>
      <c r="AF267" s="139">
        <f>A231</f>
        <v>303.3</v>
      </c>
      <c r="AG267" s="123" t="str">
        <f>"DIRECT "&amp;+B231</f>
        <v>DIRECT OTHER SOFTWARE</v>
      </c>
      <c r="AI267" s="141">
        <f>SUM(AJ267:AR267)</f>
        <v>0</v>
      </c>
      <c r="AJ267" s="141">
        <f aca="true" t="shared" si="192" ref="AJ267:AR267">G231</f>
        <v>0</v>
      </c>
      <c r="AK267" s="141">
        <f t="shared" si="192"/>
        <v>0</v>
      </c>
      <c r="AL267" s="141">
        <f t="shared" si="192"/>
        <v>0</v>
      </c>
      <c r="AM267" s="141">
        <f t="shared" si="192"/>
        <v>0</v>
      </c>
      <c r="AN267" s="141">
        <f t="shared" si="192"/>
        <v>0</v>
      </c>
      <c r="AO267" s="141">
        <f t="shared" si="192"/>
        <v>0</v>
      </c>
      <c r="AP267" s="141">
        <f t="shared" si="192"/>
        <v>0</v>
      </c>
      <c r="AQ267" s="141">
        <f t="shared" si="192"/>
        <v>0</v>
      </c>
      <c r="AR267" s="141">
        <f t="shared" si="192"/>
        <v>0</v>
      </c>
    </row>
    <row r="268" spans="1:44" ht="12.75">
      <c r="A268" s="178">
        <f t="shared" si="190"/>
        <v>391.12</v>
      </c>
      <c r="B268" s="178" t="str">
        <f t="shared" si="191"/>
        <v>OFF FURN &amp; EQUIP - INFO SYSTEM</v>
      </c>
      <c r="C268" s="122">
        <f t="shared" si="191"/>
        <v>7</v>
      </c>
      <c r="D268" s="148">
        <v>133392</v>
      </c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P268" s="122"/>
      <c r="AE268" s="123">
        <f>AE267+1</f>
        <v>6</v>
      </c>
      <c r="AF268" s="139"/>
      <c r="AG268" s="123" t="s">
        <v>200</v>
      </c>
      <c r="AI268" s="123">
        <f aca="true" t="shared" si="193" ref="AI268:AR268">SUM(AI262:AI267)</f>
        <v>223394</v>
      </c>
      <c r="AJ268" s="123">
        <f t="shared" si="193"/>
        <v>125387</v>
      </c>
      <c r="AK268" s="123">
        <f t="shared" si="193"/>
        <v>46804</v>
      </c>
      <c r="AL268" s="123">
        <f t="shared" si="193"/>
        <v>147</v>
      </c>
      <c r="AM268" s="123">
        <f t="shared" si="193"/>
        <v>99</v>
      </c>
      <c r="AN268" s="123">
        <f t="shared" si="193"/>
        <v>50958</v>
      </c>
      <c r="AO268" s="123">
        <f t="shared" si="193"/>
        <v>0</v>
      </c>
      <c r="AP268" s="123">
        <f t="shared" si="193"/>
        <v>0</v>
      </c>
      <c r="AQ268" s="123">
        <f t="shared" si="193"/>
        <v>0</v>
      </c>
      <c r="AR268" s="123">
        <f t="shared" si="193"/>
        <v>0</v>
      </c>
    </row>
    <row r="269" spans="1:16" ht="12.75">
      <c r="A269" s="178">
        <f t="shared" si="190"/>
        <v>392.21</v>
      </c>
      <c r="B269" s="178" t="str">
        <f aca="true" t="shared" si="194" ref="B269:C280">B207</f>
        <v>TR EQ - TRAILER &lt;= $1,000</v>
      </c>
      <c r="C269" s="122">
        <f t="shared" si="194"/>
        <v>7</v>
      </c>
      <c r="D269" s="148">
        <v>5802</v>
      </c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P269" s="122"/>
    </row>
    <row r="270" spans="1:33" ht="12.75">
      <c r="A270" s="178">
        <f t="shared" si="190"/>
        <v>393</v>
      </c>
      <c r="B270" s="178" t="str">
        <f t="shared" si="194"/>
        <v>STORES EQUIPMENT</v>
      </c>
      <c r="C270" s="122">
        <f t="shared" si="194"/>
        <v>7</v>
      </c>
      <c r="D270" s="148">
        <v>0</v>
      </c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P270" s="122"/>
      <c r="AE270" s="123">
        <f>AE268+1</f>
        <v>7</v>
      </c>
      <c r="AG270" s="139" t="str">
        <f>A232</f>
        <v>PRODUCTION PLANT</v>
      </c>
    </row>
    <row r="271" spans="1:16" ht="12.75">
      <c r="A271" s="178">
        <f t="shared" si="190"/>
        <v>394.1</v>
      </c>
      <c r="B271" s="178" t="str">
        <f t="shared" si="194"/>
        <v>TOOLS,SHOP, &amp; GAR EQ-GARAGE &amp; SERV</v>
      </c>
      <c r="C271" s="122">
        <f t="shared" si="194"/>
        <v>7</v>
      </c>
      <c r="D271" s="148">
        <v>1109</v>
      </c>
      <c r="E271" s="149"/>
      <c r="F271" s="122"/>
      <c r="G271" s="122"/>
      <c r="H271" s="122"/>
      <c r="I271" s="122"/>
      <c r="J271" s="122"/>
      <c r="K271" s="122"/>
      <c r="L271" s="122"/>
      <c r="M271" s="122"/>
      <c r="N271" s="122"/>
      <c r="P271" s="122"/>
    </row>
    <row r="272" spans="1:44" ht="12.75">
      <c r="A272" s="178">
        <f t="shared" si="190"/>
        <v>394.11</v>
      </c>
      <c r="B272" s="178" t="str">
        <f t="shared" si="194"/>
        <v>CNG EQUIP STATIONARY</v>
      </c>
      <c r="C272" s="122">
        <f t="shared" si="194"/>
        <v>7</v>
      </c>
      <c r="D272" s="148">
        <v>81580</v>
      </c>
      <c r="E272" s="149"/>
      <c r="F272" s="122"/>
      <c r="G272" s="122"/>
      <c r="H272" s="122"/>
      <c r="I272" s="122"/>
      <c r="J272" s="122"/>
      <c r="K272" s="122"/>
      <c r="L272" s="122"/>
      <c r="M272" s="122"/>
      <c r="N272" s="122"/>
      <c r="P272" s="122"/>
      <c r="AE272" s="123">
        <f>AE270+1</f>
        <v>8</v>
      </c>
      <c r="AF272" s="139">
        <f aca="true" t="shared" si="195" ref="AF272:AI274">A233</f>
        <v>304.1</v>
      </c>
      <c r="AG272" s="139" t="str">
        <f t="shared" si="195"/>
        <v>LAND</v>
      </c>
      <c r="AH272" s="138">
        <f t="shared" si="195"/>
        <v>2</v>
      </c>
      <c r="AI272" s="123">
        <f t="shared" si="195"/>
        <v>0</v>
      </c>
      <c r="AJ272" s="123">
        <f>ROUND((VLOOKUP($AH272,$A$661:$Y$709,13)*$AI272),0)</f>
        <v>0</v>
      </c>
      <c r="AK272" s="123">
        <f>ROUND((VLOOKUP($AH272,$A$661:$Y$709,14)*$AI272),0)</f>
        <v>0</v>
      </c>
      <c r="AL272" s="123">
        <f>ROUND((VLOOKUP($AH272,$A$661:$Y$709,15)*$AI272),0)</f>
        <v>0</v>
      </c>
      <c r="AM272" s="123">
        <f>ROUND((VLOOKUP($AH272,$A$661:$Y$709,16)*$AI272),0)</f>
        <v>0</v>
      </c>
      <c r="AN272" s="123">
        <f>ROUND((VLOOKUP($AH272,$A$661:$Y$709,17)*$AI272),0)</f>
        <v>0</v>
      </c>
      <c r="AO272" s="123">
        <f>ROUND((VLOOKUP($AH272,$A$661:$Y$709,18)*$AI272),0)</f>
        <v>0</v>
      </c>
      <c r="AP272" s="123">
        <f>ROUND((VLOOKUP($AH272,$A$661:$Y$709,19)*$AI272),0)</f>
        <v>0</v>
      </c>
      <c r="AQ272" s="123">
        <f>ROUND((VLOOKUP($AH272,$A$661:$Y$709,20)*$AI272),0)</f>
        <v>0</v>
      </c>
      <c r="AR272" s="123">
        <f>ROUND((VLOOKUP($AH272,$A$661:$Y$709,21)*$AI272),0)</f>
        <v>0</v>
      </c>
    </row>
    <row r="273" spans="1:44" ht="12.75">
      <c r="A273" s="178">
        <f t="shared" si="190"/>
        <v>394.12</v>
      </c>
      <c r="B273" s="178" t="str">
        <f t="shared" si="194"/>
        <v>CNG EQUIP PORTABLE</v>
      </c>
      <c r="C273" s="122">
        <f t="shared" si="194"/>
        <v>7</v>
      </c>
      <c r="D273" s="148">
        <v>0</v>
      </c>
      <c r="E273" s="145"/>
      <c r="F273" s="122"/>
      <c r="G273" s="122"/>
      <c r="H273" s="122"/>
      <c r="I273" s="122"/>
      <c r="J273" s="122"/>
      <c r="K273" s="122"/>
      <c r="L273" s="122"/>
      <c r="M273" s="122"/>
      <c r="N273" s="122"/>
      <c r="P273" s="122"/>
      <c r="AE273" s="123">
        <f>AE272+1</f>
        <v>9</v>
      </c>
      <c r="AF273" s="139">
        <f t="shared" si="195"/>
        <v>305</v>
      </c>
      <c r="AG273" s="139" t="str">
        <f t="shared" si="195"/>
        <v>STRUCTURES &amp; IMPROVEMENTS</v>
      </c>
      <c r="AH273" s="138">
        <f t="shared" si="195"/>
        <v>2</v>
      </c>
      <c r="AI273" s="123">
        <f t="shared" si="195"/>
        <v>0</v>
      </c>
      <c r="AJ273" s="123">
        <f>ROUND((VLOOKUP($AH273,$A$661:$Y$709,13)*$AI273),0)</f>
        <v>0</v>
      </c>
      <c r="AK273" s="123">
        <f>ROUND((VLOOKUP($AH273,$A$661:$Y$709,14)*$AI273),0)</f>
        <v>0</v>
      </c>
      <c r="AL273" s="123">
        <f>ROUND((VLOOKUP($AH273,$A$661:$Y$709,15)*$AI273),0)</f>
        <v>0</v>
      </c>
      <c r="AM273" s="123">
        <f>ROUND((VLOOKUP($AH273,$A$661:$Y$709,16)*$AI273),0)</f>
        <v>0</v>
      </c>
      <c r="AN273" s="123">
        <f>ROUND((VLOOKUP($AH273,$A$661:$Y$709,17)*$AI273),0)</f>
        <v>0</v>
      </c>
      <c r="AO273" s="123">
        <f>ROUND((VLOOKUP($AH273,$A$661:$Y$709,18)*$AI273),0)</f>
        <v>0</v>
      </c>
      <c r="AP273" s="123">
        <f>ROUND((VLOOKUP($AH273,$A$661:$Y$709,19)*$AI273),0)</f>
        <v>0</v>
      </c>
      <c r="AQ273" s="123">
        <f>ROUND((VLOOKUP($AH273,$A$661:$Y$709,20)*$AI273),0)</f>
        <v>0</v>
      </c>
      <c r="AR273" s="123">
        <f>ROUND((VLOOKUP($AH273,$A$661:$Y$709,21)*$AI273),0)</f>
        <v>0</v>
      </c>
    </row>
    <row r="274" spans="1:44" ht="12.75">
      <c r="A274" s="178">
        <f t="shared" si="190"/>
        <v>394.13</v>
      </c>
      <c r="B274" s="178" t="str">
        <f t="shared" si="194"/>
        <v>UNDERGROUND STORAGE TANKS</v>
      </c>
      <c r="C274" s="122">
        <f t="shared" si="194"/>
        <v>7</v>
      </c>
      <c r="D274" s="148">
        <v>0</v>
      </c>
      <c r="E274" s="145"/>
      <c r="F274" s="122"/>
      <c r="G274" s="122"/>
      <c r="H274" s="122"/>
      <c r="I274" s="122"/>
      <c r="J274" s="122"/>
      <c r="K274" s="122"/>
      <c r="L274" s="122"/>
      <c r="M274" s="122"/>
      <c r="N274" s="122"/>
      <c r="P274" s="122"/>
      <c r="AE274" s="123">
        <f>AE273+1</f>
        <v>10</v>
      </c>
      <c r="AF274" s="139">
        <f t="shared" si="195"/>
        <v>311</v>
      </c>
      <c r="AG274" s="139" t="str">
        <f t="shared" si="195"/>
        <v>LIQUEFIED PETROLEUM GAS EQUIP</v>
      </c>
      <c r="AH274" s="138">
        <f t="shared" si="195"/>
        <v>2</v>
      </c>
      <c r="AI274" s="141">
        <f t="shared" si="195"/>
        <v>0</v>
      </c>
      <c r="AJ274" s="141">
        <f>ROUND((VLOOKUP($AH274,$A$661:$Y$709,13)*$AI274),0)</f>
        <v>0</v>
      </c>
      <c r="AK274" s="141">
        <f>ROUND((VLOOKUP($AH274,$A$661:$Y$709,14)*$AI274),0)</f>
        <v>0</v>
      </c>
      <c r="AL274" s="141">
        <f>ROUND((VLOOKUP($AH274,$A$661:$Y$709,15)*$AI274),0)</f>
        <v>0</v>
      </c>
      <c r="AM274" s="141">
        <f>ROUND((VLOOKUP($AH274,$A$661:$Y$709,16)*$AI274),0)</f>
        <v>0</v>
      </c>
      <c r="AN274" s="141">
        <f>ROUND((VLOOKUP($AH274,$A$661:$Y$709,17)*$AI274),0)</f>
        <v>0</v>
      </c>
      <c r="AO274" s="141">
        <f>ROUND((VLOOKUP($AH274,$A$661:$Y$709,18)*$AI274),0)</f>
        <v>0</v>
      </c>
      <c r="AP274" s="141">
        <f>ROUND((VLOOKUP($AH274,$A$661:$Y$709,19)*$AI274),0)</f>
        <v>0</v>
      </c>
      <c r="AQ274" s="141">
        <f>ROUND((VLOOKUP($AH274,$A$661:$Y$709,20)*$AI274),0)</f>
        <v>0</v>
      </c>
      <c r="AR274" s="141">
        <f>ROUND((VLOOKUP($AH274,$A$661:$Y$709,21)*$AI274),0)</f>
        <v>0</v>
      </c>
    </row>
    <row r="275" spans="1:44" ht="12.75">
      <c r="A275" s="178">
        <f t="shared" si="190"/>
        <v>394.2</v>
      </c>
      <c r="B275" s="178" t="str">
        <f t="shared" si="194"/>
        <v>SHOP EQUIPMENT</v>
      </c>
      <c r="C275" s="122">
        <f t="shared" si="194"/>
        <v>7</v>
      </c>
      <c r="D275" s="148">
        <v>55</v>
      </c>
      <c r="AE275" s="123">
        <f>AE274+1</f>
        <v>11</v>
      </c>
      <c r="AF275" s="139"/>
      <c r="AG275" s="123" t="s">
        <v>201</v>
      </c>
      <c r="AI275" s="123">
        <f aca="true" t="shared" si="196" ref="AI275:AR275">SUM(AI272:AI274)</f>
        <v>0</v>
      </c>
      <c r="AJ275" s="123">
        <f t="shared" si="196"/>
        <v>0</v>
      </c>
      <c r="AK275" s="123">
        <f t="shared" si="196"/>
        <v>0</v>
      </c>
      <c r="AL275" s="123">
        <f t="shared" si="196"/>
        <v>0</v>
      </c>
      <c r="AM275" s="123">
        <f t="shared" si="196"/>
        <v>0</v>
      </c>
      <c r="AN275" s="123">
        <f t="shared" si="196"/>
        <v>0</v>
      </c>
      <c r="AO275" s="123">
        <f t="shared" si="196"/>
        <v>0</v>
      </c>
      <c r="AP275" s="123">
        <f t="shared" si="196"/>
        <v>0</v>
      </c>
      <c r="AQ275" s="123">
        <f t="shared" si="196"/>
        <v>0</v>
      </c>
      <c r="AR275" s="123">
        <f t="shared" si="196"/>
        <v>0</v>
      </c>
    </row>
    <row r="276" spans="1:4" ht="12.75">
      <c r="A276" s="178">
        <f t="shared" si="190"/>
        <v>394.3</v>
      </c>
      <c r="B276" s="178" t="str">
        <f t="shared" si="194"/>
        <v>TOOLS &amp; OTHER EQUIPMENT</v>
      </c>
      <c r="C276" s="122">
        <f t="shared" si="194"/>
        <v>7</v>
      </c>
      <c r="D276" s="148">
        <v>73112</v>
      </c>
    </row>
    <row r="277" spans="1:33" ht="12.75">
      <c r="A277" s="178">
        <f t="shared" si="190"/>
        <v>395</v>
      </c>
      <c r="B277" s="178" t="str">
        <f t="shared" si="194"/>
        <v>LABORATORY EQUIPMENT</v>
      </c>
      <c r="C277" s="122">
        <f t="shared" si="194"/>
        <v>7</v>
      </c>
      <c r="D277" s="148">
        <v>515</v>
      </c>
      <c r="AE277" s="123">
        <f>AE275+1</f>
        <v>12</v>
      </c>
      <c r="AG277" s="123" t="str">
        <f>A236</f>
        <v>DISTRIBUTION PLANT</v>
      </c>
    </row>
    <row r="278" spans="1:4" ht="12.75">
      <c r="A278" s="178">
        <f t="shared" si="190"/>
        <v>396</v>
      </c>
      <c r="B278" s="178" t="str">
        <f t="shared" si="194"/>
        <v>POWER OP EQUIP-GEN TOOLS</v>
      </c>
      <c r="C278" s="122">
        <f t="shared" si="194"/>
        <v>7</v>
      </c>
      <c r="D278" s="148">
        <v>0</v>
      </c>
    </row>
    <row r="279" spans="1:44" ht="12.75">
      <c r="A279" s="178">
        <f t="shared" si="190"/>
        <v>397.5</v>
      </c>
      <c r="B279" s="178" t="str">
        <f t="shared" si="194"/>
        <v>COMMUNICATION EQUIP - TELEMETERING</v>
      </c>
      <c r="C279" s="122">
        <f t="shared" si="194"/>
        <v>7</v>
      </c>
      <c r="D279" s="148">
        <v>0</v>
      </c>
      <c r="AE279" s="123">
        <f>AE277+1</f>
        <v>13</v>
      </c>
      <c r="AF279" s="139">
        <f aca="true" t="shared" si="197" ref="AF279:AF289">A237</f>
        <v>374.1</v>
      </c>
      <c r="AG279" s="123" t="str">
        <f aca="true" t="shared" si="198" ref="AG279:AG289">B237</f>
        <v>LAND - CITY GATE &amp; M/L IND M&amp;R</v>
      </c>
      <c r="AH279" s="123">
        <f aca="true" t="shared" si="199" ref="AH279:AH289">C237</f>
        <v>5</v>
      </c>
      <c r="AI279" s="123">
        <f aca="true" t="shared" si="200" ref="AI279:AI289">D237</f>
        <v>0</v>
      </c>
      <c r="AJ279" s="123">
        <f aca="true" t="shared" si="201" ref="AJ279:AJ290">ROUND((VLOOKUP($AH279,$A$661:$Y$709,13)*$AI279),0)</f>
        <v>0</v>
      </c>
      <c r="AK279" s="123">
        <f aca="true" t="shared" si="202" ref="AK279:AK290">ROUND((VLOOKUP($AH279,$A$661:$Y$709,14)*$AI279),0)</f>
        <v>0</v>
      </c>
      <c r="AL279" s="123">
        <f aca="true" t="shared" si="203" ref="AL279:AL290">ROUND((VLOOKUP($AH279,$A$661:$Y$709,15)*$AI279),0)</f>
        <v>0</v>
      </c>
      <c r="AM279" s="123">
        <f aca="true" t="shared" si="204" ref="AM279:AM290">ROUND((VLOOKUP($AH279,$A$661:$Y$709,16)*$AI279),0)</f>
        <v>0</v>
      </c>
      <c r="AN279" s="123">
        <f aca="true" t="shared" si="205" ref="AN279:AN290">ROUND((VLOOKUP($AH279,$A$661:$Y$709,17)*$AI279),0)</f>
        <v>0</v>
      </c>
      <c r="AO279" s="123">
        <f aca="true" t="shared" si="206" ref="AO279:AO290">ROUND((VLOOKUP($AH279,$A$661:$Y$709,18)*$AI279),0)</f>
        <v>0</v>
      </c>
      <c r="AP279" s="123">
        <f aca="true" t="shared" si="207" ref="AP279:AP290">ROUND((VLOOKUP($AH279,$A$661:$Y$709,19)*$AI279),0)</f>
        <v>0</v>
      </c>
      <c r="AQ279" s="123">
        <f aca="true" t="shared" si="208" ref="AQ279:AQ290">ROUND((VLOOKUP($AH279,$A$661:$Y$709,20)*$AI279),0)</f>
        <v>0</v>
      </c>
      <c r="AR279" s="123">
        <f aca="true" t="shared" si="209" ref="AR279:AR290">ROUND((VLOOKUP($AH279,$A$661:$Y$709,21)*$AI279),0)</f>
        <v>0</v>
      </c>
    </row>
    <row r="280" spans="1:44" ht="12.75">
      <c r="A280" s="178">
        <f t="shared" si="190"/>
        <v>398</v>
      </c>
      <c r="B280" s="178" t="str">
        <f t="shared" si="194"/>
        <v>MISCELLANEOUS EQUIPMENT</v>
      </c>
      <c r="C280" s="122">
        <f t="shared" si="194"/>
        <v>7</v>
      </c>
      <c r="D280" s="148">
        <v>6675</v>
      </c>
      <c r="AE280" s="123">
        <f aca="true" t="shared" si="210" ref="AE280:AE296">AE279+1</f>
        <v>14</v>
      </c>
      <c r="AF280" s="139">
        <f t="shared" si="197"/>
        <v>374.2</v>
      </c>
      <c r="AG280" s="123" t="str">
        <f t="shared" si="198"/>
        <v>LAND - OTHER DISTRIBUTION</v>
      </c>
      <c r="AH280" s="123">
        <f t="shared" si="199"/>
        <v>5</v>
      </c>
      <c r="AI280" s="123">
        <f t="shared" si="200"/>
        <v>0</v>
      </c>
      <c r="AJ280" s="123">
        <f t="shared" si="201"/>
        <v>0</v>
      </c>
      <c r="AK280" s="123">
        <f t="shared" si="202"/>
        <v>0</v>
      </c>
      <c r="AL280" s="123">
        <f t="shared" si="203"/>
        <v>0</v>
      </c>
      <c r="AM280" s="123">
        <f t="shared" si="204"/>
        <v>0</v>
      </c>
      <c r="AN280" s="123">
        <f t="shared" si="205"/>
        <v>0</v>
      </c>
      <c r="AO280" s="123">
        <f t="shared" si="206"/>
        <v>0</v>
      </c>
      <c r="AP280" s="123">
        <f t="shared" si="207"/>
        <v>0</v>
      </c>
      <c r="AQ280" s="123">
        <f t="shared" si="208"/>
        <v>0</v>
      </c>
      <c r="AR280" s="123">
        <f t="shared" si="209"/>
        <v>0</v>
      </c>
    </row>
    <row r="281" spans="1:44" ht="12.75">
      <c r="A281" s="178"/>
      <c r="B281" s="170" t="s">
        <v>2</v>
      </c>
      <c r="C281" s="145">
        <v>12</v>
      </c>
      <c r="D281" s="148">
        <v>0</v>
      </c>
      <c r="AE281" s="123">
        <f t="shared" si="210"/>
        <v>15</v>
      </c>
      <c r="AF281" s="139">
        <f t="shared" si="197"/>
        <v>374.4</v>
      </c>
      <c r="AG281" s="123" t="str">
        <f t="shared" si="198"/>
        <v>LAND RIGHTS - OTHER DISTRIBUTION</v>
      </c>
      <c r="AH281" s="123">
        <f t="shared" si="199"/>
        <v>5</v>
      </c>
      <c r="AI281" s="123">
        <f t="shared" si="200"/>
        <v>8954</v>
      </c>
      <c r="AJ281" s="123">
        <f t="shared" si="201"/>
        <v>3333</v>
      </c>
      <c r="AK281" s="123">
        <f t="shared" si="202"/>
        <v>2126</v>
      </c>
      <c r="AL281" s="123">
        <f t="shared" si="203"/>
        <v>9</v>
      </c>
      <c r="AM281" s="123">
        <f t="shared" si="204"/>
        <v>0</v>
      </c>
      <c r="AN281" s="123">
        <f t="shared" si="205"/>
        <v>3487</v>
      </c>
      <c r="AO281" s="123">
        <f t="shared" si="206"/>
        <v>0</v>
      </c>
      <c r="AP281" s="123">
        <f t="shared" si="207"/>
        <v>0</v>
      </c>
      <c r="AQ281" s="123">
        <f t="shared" si="208"/>
        <v>0</v>
      </c>
      <c r="AR281" s="123">
        <f t="shared" si="209"/>
        <v>0</v>
      </c>
    </row>
    <row r="282" spans="4:44" ht="12">
      <c r="D282" s="166"/>
      <c r="AE282" s="123">
        <f t="shared" si="210"/>
        <v>16</v>
      </c>
      <c r="AF282" s="139">
        <f t="shared" si="197"/>
        <v>374.5</v>
      </c>
      <c r="AG282" s="123" t="str">
        <f t="shared" si="198"/>
        <v>RIGHTS OF WAY</v>
      </c>
      <c r="AH282" s="123">
        <f t="shared" si="199"/>
        <v>5</v>
      </c>
      <c r="AI282" s="123">
        <f t="shared" si="200"/>
        <v>37090</v>
      </c>
      <c r="AJ282" s="123">
        <f t="shared" si="201"/>
        <v>13805</v>
      </c>
      <c r="AK282" s="123">
        <f t="shared" si="202"/>
        <v>8806</v>
      </c>
      <c r="AL282" s="123">
        <f t="shared" si="203"/>
        <v>35</v>
      </c>
      <c r="AM282" s="123">
        <f t="shared" si="204"/>
        <v>0</v>
      </c>
      <c r="AN282" s="123">
        <f t="shared" si="205"/>
        <v>14444</v>
      </c>
      <c r="AO282" s="123">
        <f t="shared" si="206"/>
        <v>0</v>
      </c>
      <c r="AP282" s="123">
        <f t="shared" si="207"/>
        <v>0</v>
      </c>
      <c r="AQ282" s="123">
        <f t="shared" si="208"/>
        <v>0</v>
      </c>
      <c r="AR282" s="123">
        <f t="shared" si="209"/>
        <v>0</v>
      </c>
    </row>
    <row r="283" spans="1:44" ht="12.75">
      <c r="A283" s="178"/>
      <c r="B283" s="122" t="s">
        <v>208</v>
      </c>
      <c r="C283" s="122"/>
      <c r="D283" s="172">
        <f>SUM(D227:D281)</f>
        <v>7396789.994700001</v>
      </c>
      <c r="AE283" s="123">
        <f t="shared" si="210"/>
        <v>17</v>
      </c>
      <c r="AF283" s="139">
        <f t="shared" si="197"/>
        <v>375.2</v>
      </c>
      <c r="AG283" s="123" t="str">
        <f t="shared" si="198"/>
        <v>CITY GATE - MEAS &amp; REG STRUCTURES</v>
      </c>
      <c r="AH283" s="123">
        <f t="shared" si="199"/>
        <v>5</v>
      </c>
      <c r="AI283" s="123">
        <f t="shared" si="200"/>
        <v>156</v>
      </c>
      <c r="AJ283" s="123">
        <f t="shared" si="201"/>
        <v>58</v>
      </c>
      <c r="AK283" s="123">
        <f t="shared" si="202"/>
        <v>37</v>
      </c>
      <c r="AL283" s="123">
        <f t="shared" si="203"/>
        <v>0</v>
      </c>
      <c r="AM283" s="123">
        <f t="shared" si="204"/>
        <v>0</v>
      </c>
      <c r="AN283" s="123">
        <f t="shared" si="205"/>
        <v>61</v>
      </c>
      <c r="AO283" s="123">
        <f t="shared" si="206"/>
        <v>0</v>
      </c>
      <c r="AP283" s="123">
        <f t="shared" si="207"/>
        <v>0</v>
      </c>
      <c r="AQ283" s="123">
        <f t="shared" si="208"/>
        <v>0</v>
      </c>
      <c r="AR283" s="123">
        <f t="shared" si="209"/>
        <v>0</v>
      </c>
    </row>
    <row r="284" spans="4:44" ht="12.75">
      <c r="D284" s="166"/>
      <c r="E284" s="145"/>
      <c r="F284" s="122"/>
      <c r="G284" s="122"/>
      <c r="H284" s="122"/>
      <c r="I284" s="122"/>
      <c r="J284" s="122"/>
      <c r="K284" s="122"/>
      <c r="L284" s="122"/>
      <c r="M284" s="122"/>
      <c r="N284" s="122"/>
      <c r="AE284" s="123">
        <f t="shared" si="210"/>
        <v>18</v>
      </c>
      <c r="AF284" s="139">
        <f t="shared" si="197"/>
        <v>375.3</v>
      </c>
      <c r="AG284" s="123" t="str">
        <f t="shared" si="198"/>
        <v>STRUC &amp; IMPROV-GENERAL M&amp;R</v>
      </c>
      <c r="AH284" s="123">
        <f t="shared" si="199"/>
        <v>5</v>
      </c>
      <c r="AI284" s="123">
        <f t="shared" si="200"/>
        <v>323</v>
      </c>
      <c r="AJ284" s="123">
        <f t="shared" si="201"/>
        <v>120</v>
      </c>
      <c r="AK284" s="123">
        <f t="shared" si="202"/>
        <v>77</v>
      </c>
      <c r="AL284" s="123">
        <f t="shared" si="203"/>
        <v>0</v>
      </c>
      <c r="AM284" s="123">
        <f t="shared" si="204"/>
        <v>0</v>
      </c>
      <c r="AN284" s="123">
        <f t="shared" si="205"/>
        <v>126</v>
      </c>
      <c r="AO284" s="123">
        <f t="shared" si="206"/>
        <v>0</v>
      </c>
      <c r="AP284" s="123">
        <f t="shared" si="207"/>
        <v>0</v>
      </c>
      <c r="AQ284" s="123">
        <f t="shared" si="208"/>
        <v>0</v>
      </c>
      <c r="AR284" s="123">
        <f t="shared" si="209"/>
        <v>0</v>
      </c>
    </row>
    <row r="285" spans="31:44" ht="12">
      <c r="AE285" s="123">
        <f t="shared" si="210"/>
        <v>19</v>
      </c>
      <c r="AF285" s="139">
        <f t="shared" si="197"/>
        <v>375.4</v>
      </c>
      <c r="AG285" s="123" t="str">
        <f t="shared" si="198"/>
        <v>STRUC &amp; IMPROV-REGULATING</v>
      </c>
      <c r="AH285" s="123">
        <f t="shared" si="199"/>
        <v>5</v>
      </c>
      <c r="AI285" s="123">
        <f t="shared" si="200"/>
        <v>16765</v>
      </c>
      <c r="AJ285" s="123">
        <f t="shared" si="201"/>
        <v>6240</v>
      </c>
      <c r="AK285" s="123">
        <f t="shared" si="202"/>
        <v>3981</v>
      </c>
      <c r="AL285" s="123">
        <f t="shared" si="203"/>
        <v>16</v>
      </c>
      <c r="AM285" s="123">
        <f t="shared" si="204"/>
        <v>0</v>
      </c>
      <c r="AN285" s="123">
        <f t="shared" si="205"/>
        <v>6529</v>
      </c>
      <c r="AO285" s="123">
        <f t="shared" si="206"/>
        <v>0</v>
      </c>
      <c r="AP285" s="123">
        <f t="shared" si="207"/>
        <v>0</v>
      </c>
      <c r="AQ285" s="123">
        <f t="shared" si="208"/>
        <v>0</v>
      </c>
      <c r="AR285" s="123">
        <f t="shared" si="209"/>
        <v>0</v>
      </c>
    </row>
    <row r="286" spans="14:44" ht="12.75">
      <c r="N286" s="122"/>
      <c r="AE286" s="123">
        <f t="shared" si="210"/>
        <v>20</v>
      </c>
      <c r="AF286" s="139">
        <f t="shared" si="197"/>
        <v>375.6</v>
      </c>
      <c r="AG286" s="123" t="str">
        <f t="shared" si="198"/>
        <v>STRUC &amp; IMPROV-DIST. IND. M &amp; R</v>
      </c>
      <c r="AH286" s="123">
        <f t="shared" si="199"/>
        <v>8</v>
      </c>
      <c r="AI286" s="123">
        <f t="shared" si="200"/>
        <v>2629</v>
      </c>
      <c r="AJ286" s="123">
        <f t="shared" si="201"/>
        <v>0</v>
      </c>
      <c r="AK286" s="123">
        <f t="shared" si="202"/>
        <v>1443</v>
      </c>
      <c r="AL286" s="123">
        <f t="shared" si="203"/>
        <v>21</v>
      </c>
      <c r="AM286" s="123">
        <f t="shared" si="204"/>
        <v>72</v>
      </c>
      <c r="AN286" s="123">
        <f t="shared" si="205"/>
        <v>1093</v>
      </c>
      <c r="AO286" s="123">
        <f t="shared" si="206"/>
        <v>0</v>
      </c>
      <c r="AP286" s="123">
        <f t="shared" si="207"/>
        <v>0</v>
      </c>
      <c r="AQ286" s="123">
        <f t="shared" si="208"/>
        <v>0</v>
      </c>
      <c r="AR286" s="123">
        <f t="shared" si="209"/>
        <v>0</v>
      </c>
    </row>
    <row r="287" spans="1:44" ht="12.75">
      <c r="A287" s="144" t="s">
        <v>0</v>
      </c>
      <c r="B287" s="144" t="s">
        <v>0</v>
      </c>
      <c r="C287" s="144" t="s">
        <v>0</v>
      </c>
      <c r="D287" s="144" t="s">
        <v>0</v>
      </c>
      <c r="E287" s="144" t="s">
        <v>0</v>
      </c>
      <c r="F287" s="144" t="s">
        <v>0</v>
      </c>
      <c r="G287" s="144" t="s">
        <v>0</v>
      </c>
      <c r="H287" s="144" t="s">
        <v>0</v>
      </c>
      <c r="I287" s="144" t="s">
        <v>0</v>
      </c>
      <c r="J287" s="144" t="s">
        <v>0</v>
      </c>
      <c r="K287" s="144" t="s">
        <v>0</v>
      </c>
      <c r="L287" s="144" t="s">
        <v>0</v>
      </c>
      <c r="M287" s="144" t="s">
        <v>0</v>
      </c>
      <c r="N287" s="122"/>
      <c r="AE287" s="123">
        <f t="shared" si="210"/>
        <v>21</v>
      </c>
      <c r="AF287" s="139">
        <f t="shared" si="197"/>
        <v>375.7</v>
      </c>
      <c r="AG287" s="123" t="str">
        <f t="shared" si="198"/>
        <v>STRUC &amp; IMPROV-OTHER DIST. SYSTEM</v>
      </c>
      <c r="AH287" s="123">
        <f t="shared" si="199"/>
        <v>7</v>
      </c>
      <c r="AI287" s="123">
        <f t="shared" si="200"/>
        <v>144106</v>
      </c>
      <c r="AJ287" s="123">
        <f t="shared" si="201"/>
        <v>80884</v>
      </c>
      <c r="AK287" s="123">
        <f t="shared" si="202"/>
        <v>30192</v>
      </c>
      <c r="AL287" s="123">
        <f t="shared" si="203"/>
        <v>95</v>
      </c>
      <c r="AM287" s="123">
        <f t="shared" si="204"/>
        <v>63</v>
      </c>
      <c r="AN287" s="123">
        <f t="shared" si="205"/>
        <v>32872</v>
      </c>
      <c r="AO287" s="123">
        <f t="shared" si="206"/>
        <v>0</v>
      </c>
      <c r="AP287" s="123">
        <f t="shared" si="207"/>
        <v>0</v>
      </c>
      <c r="AQ287" s="123">
        <f t="shared" si="208"/>
        <v>0</v>
      </c>
      <c r="AR287" s="123">
        <f t="shared" si="209"/>
        <v>0</v>
      </c>
    </row>
    <row r="288" spans="1:44" ht="12.75">
      <c r="A288" s="122" t="s">
        <v>209</v>
      </c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AE288" s="123">
        <f t="shared" si="210"/>
        <v>22</v>
      </c>
      <c r="AF288" s="139">
        <f t="shared" si="197"/>
        <v>375.71</v>
      </c>
      <c r="AG288" s="123" t="str">
        <f t="shared" si="198"/>
        <v>STRUCT &amp; IMPROV-OTHER DIST. SYSTEM-IMPROV</v>
      </c>
      <c r="AH288" s="123">
        <f t="shared" si="199"/>
        <v>7</v>
      </c>
      <c r="AI288" s="123">
        <f t="shared" si="200"/>
        <v>10156</v>
      </c>
      <c r="AJ288" s="123">
        <f t="shared" si="201"/>
        <v>5700</v>
      </c>
      <c r="AK288" s="123">
        <f t="shared" si="202"/>
        <v>2128</v>
      </c>
      <c r="AL288" s="123">
        <f t="shared" si="203"/>
        <v>7</v>
      </c>
      <c r="AM288" s="123">
        <f t="shared" si="204"/>
        <v>4</v>
      </c>
      <c r="AN288" s="123">
        <f t="shared" si="205"/>
        <v>2317</v>
      </c>
      <c r="AO288" s="123">
        <f t="shared" si="206"/>
        <v>0</v>
      </c>
      <c r="AP288" s="123">
        <f t="shared" si="207"/>
        <v>0</v>
      </c>
      <c r="AQ288" s="123">
        <f t="shared" si="208"/>
        <v>0</v>
      </c>
      <c r="AR288" s="123">
        <f t="shared" si="209"/>
        <v>0</v>
      </c>
    </row>
    <row r="289" spans="1:44" ht="12.75">
      <c r="A289" s="144" t="s">
        <v>0</v>
      </c>
      <c r="B289" s="144" t="s">
        <v>0</v>
      </c>
      <c r="C289" s="144" t="s">
        <v>0</v>
      </c>
      <c r="D289" s="144" t="s">
        <v>0</v>
      </c>
      <c r="E289" s="144" t="s">
        <v>0</v>
      </c>
      <c r="F289" s="144" t="s">
        <v>0</v>
      </c>
      <c r="G289" s="144" t="s">
        <v>0</v>
      </c>
      <c r="H289" s="144" t="s">
        <v>0</v>
      </c>
      <c r="I289" s="144" t="s">
        <v>0</v>
      </c>
      <c r="J289" s="144" t="s">
        <v>0</v>
      </c>
      <c r="K289" s="144" t="s">
        <v>0</v>
      </c>
      <c r="L289" s="144" t="s">
        <v>0</v>
      </c>
      <c r="M289" s="144" t="s">
        <v>0</v>
      </c>
      <c r="N289" s="122"/>
      <c r="AE289" s="123">
        <f t="shared" si="210"/>
        <v>23</v>
      </c>
      <c r="AF289" s="139">
        <f t="shared" si="197"/>
        <v>375.8</v>
      </c>
      <c r="AG289" s="123" t="str">
        <f t="shared" si="198"/>
        <v>STRUC &amp; IMPROV-COMMUNICATION</v>
      </c>
      <c r="AH289" s="123">
        <f t="shared" si="199"/>
        <v>5</v>
      </c>
      <c r="AI289" s="123">
        <f t="shared" si="200"/>
        <v>1540</v>
      </c>
      <c r="AJ289" s="123">
        <f t="shared" si="201"/>
        <v>573</v>
      </c>
      <c r="AK289" s="123">
        <f t="shared" si="202"/>
        <v>366</v>
      </c>
      <c r="AL289" s="123">
        <f t="shared" si="203"/>
        <v>1</v>
      </c>
      <c r="AM289" s="123">
        <f t="shared" si="204"/>
        <v>0</v>
      </c>
      <c r="AN289" s="123">
        <f t="shared" si="205"/>
        <v>600</v>
      </c>
      <c r="AO289" s="123">
        <f t="shared" si="206"/>
        <v>0</v>
      </c>
      <c r="AP289" s="123">
        <f t="shared" si="207"/>
        <v>0</v>
      </c>
      <c r="AQ289" s="123">
        <f t="shared" si="208"/>
        <v>0</v>
      </c>
      <c r="AR289" s="123">
        <f t="shared" si="209"/>
        <v>0</v>
      </c>
    </row>
    <row r="290" spans="1:44" ht="12.7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AE290" s="123">
        <f t="shared" si="210"/>
        <v>24</v>
      </c>
      <c r="AF290" s="139">
        <f>A248</f>
        <v>376</v>
      </c>
      <c r="AG290" s="123" t="str">
        <f>B248</f>
        <v>MAINS</v>
      </c>
      <c r="AH290" s="123">
        <f>C248</f>
        <v>5</v>
      </c>
      <c r="AI290" s="123">
        <f>D248-SUM(G248:O248)</f>
        <v>2727331.0543</v>
      </c>
      <c r="AJ290" s="123">
        <f t="shared" si="201"/>
        <v>1015085</v>
      </c>
      <c r="AK290" s="123">
        <f t="shared" si="202"/>
        <v>647550</v>
      </c>
      <c r="AL290" s="123">
        <f t="shared" si="203"/>
        <v>2591</v>
      </c>
      <c r="AM290" s="123">
        <f t="shared" si="204"/>
        <v>0</v>
      </c>
      <c r="AN290" s="123">
        <f t="shared" si="205"/>
        <v>1062105</v>
      </c>
      <c r="AO290" s="123">
        <f t="shared" si="206"/>
        <v>0</v>
      </c>
      <c r="AP290" s="123">
        <f t="shared" si="207"/>
        <v>0</v>
      </c>
      <c r="AQ290" s="123">
        <f t="shared" si="208"/>
        <v>0</v>
      </c>
      <c r="AR290" s="123">
        <f t="shared" si="209"/>
        <v>0</v>
      </c>
    </row>
    <row r="291" spans="1:44" ht="12.75">
      <c r="A291" s="122"/>
      <c r="B291" s="122"/>
      <c r="C291" s="156" t="s">
        <v>120</v>
      </c>
      <c r="D291" s="156" t="s">
        <v>12</v>
      </c>
      <c r="E291" s="122"/>
      <c r="F291" s="122"/>
      <c r="G291" s="122"/>
      <c r="H291" s="122"/>
      <c r="I291" s="122"/>
      <c r="J291" s="122"/>
      <c r="K291" s="122"/>
      <c r="L291" s="122"/>
      <c r="M291" s="122"/>
      <c r="AE291" s="123">
        <f t="shared" si="210"/>
        <v>25</v>
      </c>
      <c r="AF291" s="139">
        <f aca="true" t="shared" si="211" ref="AF291:AF296">A248</f>
        <v>376</v>
      </c>
      <c r="AG291" s="123" t="str">
        <f>"DIRECT "&amp;+B248</f>
        <v>DIRECT MAINS</v>
      </c>
      <c r="AI291" s="123">
        <f>SUM(AJ291:AR291)</f>
        <v>0</v>
      </c>
      <c r="AJ291" s="123">
        <f aca="true" t="shared" si="212" ref="AJ291:AR291">G248</f>
        <v>0</v>
      </c>
      <c r="AK291" s="123">
        <f t="shared" si="212"/>
        <v>0</v>
      </c>
      <c r="AL291" s="123">
        <f t="shared" si="212"/>
        <v>0</v>
      </c>
      <c r="AM291" s="123">
        <f t="shared" si="212"/>
        <v>0</v>
      </c>
      <c r="AN291" s="123">
        <f t="shared" si="212"/>
        <v>0</v>
      </c>
      <c r="AO291" s="123">
        <f t="shared" si="212"/>
        <v>0</v>
      </c>
      <c r="AP291" s="123">
        <f t="shared" si="212"/>
        <v>0</v>
      </c>
      <c r="AQ291" s="123">
        <f t="shared" si="212"/>
        <v>0</v>
      </c>
      <c r="AR291" s="123">
        <f t="shared" si="212"/>
        <v>0</v>
      </c>
    </row>
    <row r="292" spans="1:44" ht="12.75">
      <c r="A292" s="122"/>
      <c r="B292" s="122"/>
      <c r="C292" s="156" t="s">
        <v>14</v>
      </c>
      <c r="D292" s="156" t="s">
        <v>15</v>
      </c>
      <c r="E292" s="122" t="str">
        <f>$C$35</f>
        <v>GS-RES.</v>
      </c>
      <c r="F292" s="122" t="str">
        <f>$C$36</f>
        <v>GS-OTHER</v>
      </c>
      <c r="G292" s="122" t="str">
        <f>$C$37</f>
        <v>IUS</v>
      </c>
      <c r="H292" s="122" t="str">
        <f>$C$38</f>
        <v>DS-ML/SC</v>
      </c>
      <c r="I292" s="122" t="str">
        <f>$C$39</f>
        <v>DS/IS/SS</v>
      </c>
      <c r="J292" s="122" t="str">
        <f>$C$40</f>
        <v>NOT USED</v>
      </c>
      <c r="K292" s="122" t="str">
        <f>$C$41</f>
        <v>NOT USED</v>
      </c>
      <c r="L292" s="122" t="str">
        <f>$C$42</f>
        <v>NOT USED</v>
      </c>
      <c r="M292" s="122" t="str">
        <f>$C$43</f>
        <v>NOT USED</v>
      </c>
      <c r="AE292" s="123">
        <f t="shared" si="210"/>
        <v>26</v>
      </c>
      <c r="AF292" s="139">
        <f t="shared" si="211"/>
        <v>378.1</v>
      </c>
      <c r="AG292" s="123" t="str">
        <f aca="true" t="shared" si="213" ref="AG292:AI296">B249</f>
        <v>M &amp; R GENERAL</v>
      </c>
      <c r="AH292" s="123">
        <f t="shared" si="213"/>
        <v>5</v>
      </c>
      <c r="AI292" s="123">
        <f t="shared" si="213"/>
        <v>8031</v>
      </c>
      <c r="AJ292" s="123">
        <f>ROUND((VLOOKUP($AH292,$A$661:$Y$709,13)*$AI292),0)</f>
        <v>2989</v>
      </c>
      <c r="AK292" s="123">
        <f>ROUND((VLOOKUP($AH292,$A$661:$Y$709,14)*$AI292),0)</f>
        <v>1907</v>
      </c>
      <c r="AL292" s="123">
        <f>ROUND((VLOOKUP($AH292,$A$661:$Y$709,15)*$AI292),0)</f>
        <v>8</v>
      </c>
      <c r="AM292" s="123">
        <f>ROUND((VLOOKUP($AH292,$A$661:$Y$709,16)*$AI292),0)</f>
        <v>0</v>
      </c>
      <c r="AN292" s="123">
        <f>ROUND((VLOOKUP($AH292,$A$661:$Y$709,17)*$AI292),0)</f>
        <v>3128</v>
      </c>
      <c r="AO292" s="123">
        <f>ROUND((VLOOKUP($AH292,$A$661:$Y$709,18)*$AI292),0)</f>
        <v>0</v>
      </c>
      <c r="AP292" s="123">
        <f>ROUND((VLOOKUP($AH292,$A$661:$Y$709,19)*$AI292),0)</f>
        <v>0</v>
      </c>
      <c r="AQ292" s="123">
        <f>ROUND((VLOOKUP($AH292,$A$661:$Y$709,20)*$AI292),0)</f>
        <v>0</v>
      </c>
      <c r="AR292" s="123">
        <f>ROUND((VLOOKUP($AH292,$A$661:$Y$709,21)*$AI292),0)</f>
        <v>0</v>
      </c>
    </row>
    <row r="293" spans="1:44" ht="12.75">
      <c r="A293" s="182" t="s">
        <v>210</v>
      </c>
      <c r="B293" s="145" t="s">
        <v>211</v>
      </c>
      <c r="C293" s="122"/>
      <c r="D293" s="122">
        <f>SUM(E293:M293)</f>
        <v>89345850.89000002</v>
      </c>
      <c r="E293" s="149">
        <f>'Sales-Rev'!C108</f>
        <v>89345850.89000002</v>
      </c>
      <c r="F293" s="149">
        <v>0</v>
      </c>
      <c r="G293" s="149">
        <v>0</v>
      </c>
      <c r="H293" s="149">
        <v>0</v>
      </c>
      <c r="I293" s="149">
        <v>0</v>
      </c>
      <c r="J293" s="149">
        <v>0</v>
      </c>
      <c r="K293" s="149">
        <v>0</v>
      </c>
      <c r="L293" s="149">
        <v>0</v>
      </c>
      <c r="M293" s="149">
        <v>0</v>
      </c>
      <c r="AE293" s="123">
        <f t="shared" si="210"/>
        <v>27</v>
      </c>
      <c r="AF293" s="139">
        <f t="shared" si="211"/>
        <v>378.2</v>
      </c>
      <c r="AG293" s="123" t="str">
        <f t="shared" si="213"/>
        <v>M &amp; R GENERAL - REGULATING</v>
      </c>
      <c r="AH293" s="123">
        <f t="shared" si="213"/>
        <v>5</v>
      </c>
      <c r="AI293" s="123">
        <f t="shared" si="213"/>
        <v>137266.1575</v>
      </c>
      <c r="AJ293" s="123">
        <f>ROUND((VLOOKUP($AH293,$A$661:$Y$709,13)*$AI293),0)</f>
        <v>51089</v>
      </c>
      <c r="AK293" s="123">
        <f>ROUND((VLOOKUP($AH293,$A$661:$Y$709,14)*$AI293),0)</f>
        <v>32591</v>
      </c>
      <c r="AL293" s="123">
        <f>ROUND((VLOOKUP($AH293,$A$661:$Y$709,15)*$AI293),0)</f>
        <v>130</v>
      </c>
      <c r="AM293" s="123">
        <f>ROUND((VLOOKUP($AH293,$A$661:$Y$709,16)*$AI293),0)</f>
        <v>0</v>
      </c>
      <c r="AN293" s="123">
        <f>ROUND((VLOOKUP($AH293,$A$661:$Y$709,17)*$AI293),0)</f>
        <v>53456</v>
      </c>
      <c r="AO293" s="123">
        <f>ROUND((VLOOKUP($AH293,$A$661:$Y$709,18)*$AI293),0)</f>
        <v>0</v>
      </c>
      <c r="AP293" s="123">
        <f>ROUND((VLOOKUP($AH293,$A$661:$Y$709,19)*$AI293),0)</f>
        <v>0</v>
      </c>
      <c r="AQ293" s="123">
        <f>ROUND((VLOOKUP($AH293,$A$661:$Y$709,20)*$AI293),0)</f>
        <v>0</v>
      </c>
      <c r="AR293" s="123">
        <f>ROUND((VLOOKUP($AH293,$A$661:$Y$709,21)*$AI293),0)</f>
        <v>0</v>
      </c>
    </row>
    <row r="294" spans="1:44" ht="12.75">
      <c r="A294" s="182" t="s">
        <v>212</v>
      </c>
      <c r="B294" s="145" t="s">
        <v>213</v>
      </c>
      <c r="C294" s="122" t="s">
        <v>2</v>
      </c>
      <c r="D294" s="122">
        <f>SUM(E294:M294)</f>
        <v>49250000.52</v>
      </c>
      <c r="E294" s="149">
        <v>0</v>
      </c>
      <c r="F294" s="149">
        <f>'Sales-Rev'!E110</f>
        <v>48946630.11000001</v>
      </c>
      <c r="G294" s="149">
        <f>'Sales-Rev'!F110</f>
        <v>0</v>
      </c>
      <c r="H294" s="149">
        <f>'Sales-Rev'!G110</f>
        <v>0</v>
      </c>
      <c r="I294" s="149">
        <f>'Sales-Rev'!H110</f>
        <v>303370.41000000003</v>
      </c>
      <c r="J294" s="149">
        <v>0</v>
      </c>
      <c r="K294" s="149">
        <v>0</v>
      </c>
      <c r="L294" s="149">
        <v>0</v>
      </c>
      <c r="M294" s="149">
        <v>0</v>
      </c>
      <c r="AE294" s="123">
        <f t="shared" si="210"/>
        <v>28</v>
      </c>
      <c r="AF294" s="139">
        <f t="shared" si="211"/>
        <v>378.3</v>
      </c>
      <c r="AG294" s="123" t="str">
        <f t="shared" si="213"/>
        <v>M &amp; R EQUIP - LOCAL GAS PURCHASES</v>
      </c>
      <c r="AH294" s="123">
        <f t="shared" si="213"/>
        <v>5</v>
      </c>
      <c r="AI294" s="123">
        <f t="shared" si="213"/>
        <v>1436</v>
      </c>
      <c r="AJ294" s="123">
        <f>ROUND((VLOOKUP($AH294,$A$661:$Y$709,13)*$AI294),0)</f>
        <v>534</v>
      </c>
      <c r="AK294" s="123">
        <f>ROUND((VLOOKUP($AH294,$A$661:$Y$709,14)*$AI294),0)</f>
        <v>341</v>
      </c>
      <c r="AL294" s="123">
        <f>ROUND((VLOOKUP($AH294,$A$661:$Y$709,15)*$AI294),0)</f>
        <v>1</v>
      </c>
      <c r="AM294" s="123">
        <f>ROUND((VLOOKUP($AH294,$A$661:$Y$709,16)*$AI294),0)</f>
        <v>0</v>
      </c>
      <c r="AN294" s="123">
        <f>ROUND((VLOOKUP($AH294,$A$661:$Y$709,17)*$AI294),0)</f>
        <v>559</v>
      </c>
      <c r="AO294" s="123">
        <f>ROUND((VLOOKUP($AH294,$A$661:$Y$709,18)*$AI294),0)</f>
        <v>0</v>
      </c>
      <c r="AP294" s="123">
        <f>ROUND((VLOOKUP($AH294,$A$661:$Y$709,19)*$AI294),0)</f>
        <v>0</v>
      </c>
      <c r="AQ294" s="123">
        <f>ROUND((VLOOKUP($AH294,$A$661:$Y$709,20)*$AI294),0)</f>
        <v>0</v>
      </c>
      <c r="AR294" s="123">
        <f>ROUND((VLOOKUP($AH294,$A$661:$Y$709,21)*$AI294),0)</f>
        <v>0</v>
      </c>
    </row>
    <row r="295" spans="1:44" ht="12.75">
      <c r="A295" s="182" t="s">
        <v>214</v>
      </c>
      <c r="B295" s="145" t="s">
        <v>215</v>
      </c>
      <c r="C295" s="122"/>
      <c r="D295" s="122">
        <f>SUM(E295:M295)</f>
        <v>3004978.78</v>
      </c>
      <c r="E295" s="149">
        <v>0</v>
      </c>
      <c r="F295" s="149">
        <f>'Sales-Rev'!E112</f>
        <v>1936156.69</v>
      </c>
      <c r="G295" s="149">
        <f>'Sales-Rev'!F112</f>
        <v>234482.32</v>
      </c>
      <c r="H295" s="149">
        <f>'Sales-Rev'!G112</f>
        <v>0</v>
      </c>
      <c r="I295" s="149">
        <f>'Sales-Rev'!H112</f>
        <v>834339.77</v>
      </c>
      <c r="J295" s="149">
        <v>0</v>
      </c>
      <c r="K295" s="149">
        <v>0</v>
      </c>
      <c r="L295" s="149">
        <v>0</v>
      </c>
      <c r="M295" s="149">
        <v>0</v>
      </c>
      <c r="AE295" s="123">
        <f t="shared" si="210"/>
        <v>29</v>
      </c>
      <c r="AF295" s="139">
        <f t="shared" si="211"/>
        <v>379.1</v>
      </c>
      <c r="AG295" s="123" t="str">
        <f t="shared" si="213"/>
        <v>STA EQUIP - CITY</v>
      </c>
      <c r="AH295" s="123">
        <f t="shared" si="213"/>
        <v>5</v>
      </c>
      <c r="AI295" s="123">
        <f t="shared" si="213"/>
        <v>4565</v>
      </c>
      <c r="AJ295" s="123">
        <f>ROUND((VLOOKUP($AH295,$A$661:$Y$709,13)*$AI295),0)</f>
        <v>1699</v>
      </c>
      <c r="AK295" s="123">
        <f>ROUND((VLOOKUP($AH295,$A$661:$Y$709,14)*$AI295),0)</f>
        <v>1084</v>
      </c>
      <c r="AL295" s="123">
        <f>ROUND((VLOOKUP($AH295,$A$661:$Y$709,15)*$AI295),0)</f>
        <v>4</v>
      </c>
      <c r="AM295" s="123">
        <f>ROUND((VLOOKUP($AH295,$A$661:$Y$709,16)*$AI295),0)</f>
        <v>0</v>
      </c>
      <c r="AN295" s="123">
        <f>ROUND((VLOOKUP($AH295,$A$661:$Y$709,17)*$AI295),0)</f>
        <v>1778</v>
      </c>
      <c r="AO295" s="123">
        <f>ROUND((VLOOKUP($AH295,$A$661:$Y$709,18)*$AI295),0)</f>
        <v>0</v>
      </c>
      <c r="AP295" s="123">
        <f>ROUND((VLOOKUP($AH295,$A$661:$Y$709,19)*$AI295),0)</f>
        <v>0</v>
      </c>
      <c r="AQ295" s="123">
        <f>ROUND((VLOOKUP($AH295,$A$661:$Y$709,20)*$AI295),0)</f>
        <v>0</v>
      </c>
      <c r="AR295" s="123">
        <f>ROUND((VLOOKUP($AH295,$A$661:$Y$709,21)*$AI295),0)</f>
        <v>0</v>
      </c>
    </row>
    <row r="296" spans="1:44" ht="12.75">
      <c r="A296" s="182" t="s">
        <v>216</v>
      </c>
      <c r="B296" s="145" t="s">
        <v>777</v>
      </c>
      <c r="C296" s="145" t="s">
        <v>2</v>
      </c>
      <c r="D296" s="173">
        <v>388732</v>
      </c>
      <c r="E296" s="149">
        <v>0</v>
      </c>
      <c r="F296" s="149">
        <f>F594*$D$296</f>
        <v>386333.102149926</v>
      </c>
      <c r="G296" s="149">
        <f>G594*$D$296</f>
        <v>53.06317825048344</v>
      </c>
      <c r="H296" s="149">
        <f>H594*$D$296</f>
        <v>154.7676032305767</v>
      </c>
      <c r="I296" s="149">
        <f>I594*$D$296</f>
        <v>2191.0670685928785</v>
      </c>
      <c r="J296" s="149"/>
      <c r="K296" s="149">
        <v>0</v>
      </c>
      <c r="L296" s="149">
        <v>0</v>
      </c>
      <c r="M296" s="149">
        <v>0</v>
      </c>
      <c r="AE296" s="123">
        <f t="shared" si="210"/>
        <v>30</v>
      </c>
      <c r="AF296" s="139">
        <f t="shared" si="211"/>
        <v>380</v>
      </c>
      <c r="AG296" s="123" t="str">
        <f t="shared" si="213"/>
        <v>SERVICES</v>
      </c>
      <c r="AH296" s="123">
        <f t="shared" si="213"/>
        <v>15</v>
      </c>
      <c r="AI296" s="123">
        <f t="shared" si="213"/>
        <v>2722897.4061</v>
      </c>
      <c r="AJ296" s="123">
        <f>ROUND((VLOOKUP($AH296,$A$661:$Y$709,13)*$AI296),0)</f>
        <v>2444726</v>
      </c>
      <c r="AK296" s="123">
        <f>ROUND((VLOOKUP($AH296,$A$661:$Y$709,14)*$AI296),0)</f>
        <v>270983</v>
      </c>
      <c r="AL296" s="123">
        <f>ROUND((VLOOKUP($AH296,$A$661:$Y$709,15)*$AI296),0)</f>
        <v>27</v>
      </c>
      <c r="AM296" s="123">
        <f>ROUND((VLOOKUP($AH296,$A$661:$Y$709,16)*$AI296),0)</f>
        <v>0</v>
      </c>
      <c r="AN296" s="123">
        <f>ROUND((VLOOKUP($AH296,$A$661:$Y$709,17)*$AI296),0)</f>
        <v>7161</v>
      </c>
      <c r="AO296" s="123">
        <f>ROUND((VLOOKUP($AH296,$A$661:$Y$709,18)*$AI296),0)</f>
        <v>0</v>
      </c>
      <c r="AP296" s="123">
        <f>ROUND((VLOOKUP($AH296,$A$661:$Y$709,19)*$AI296),0)</f>
        <v>0</v>
      </c>
      <c r="AQ296" s="123">
        <f>ROUND((VLOOKUP($AH296,$A$661:$Y$709,20)*$AI296),0)</f>
        <v>0</v>
      </c>
      <c r="AR296" s="123">
        <f>ROUND((VLOOKUP($AH296,$A$661:$Y$709,21)*$AI296),0)</f>
        <v>0</v>
      </c>
    </row>
    <row r="297" spans="1:43" ht="12.75">
      <c r="A297" s="182" t="s">
        <v>217</v>
      </c>
      <c r="B297" s="145" t="s">
        <v>524</v>
      </c>
      <c r="C297" s="145">
        <v>6</v>
      </c>
      <c r="D297" s="148">
        <v>118856</v>
      </c>
      <c r="E297" s="132"/>
      <c r="F297" s="132" t="s">
        <v>2</v>
      </c>
      <c r="G297" s="132"/>
      <c r="H297" s="132"/>
      <c r="I297" s="132"/>
      <c r="J297" s="122"/>
      <c r="K297" s="122"/>
      <c r="L297" s="122"/>
      <c r="M297" s="122"/>
      <c r="AG297" s="124"/>
      <c r="AI297" s="126"/>
      <c r="AK297" s="125" t="str">
        <f>""&amp;+$B$24</f>
        <v>COLUMBIA GAS OF KENTUCKY, INC.</v>
      </c>
      <c r="AQ297" s="123" t="str">
        <f>$B$25</f>
        <v>D/C STUDY</v>
      </c>
    </row>
    <row r="298" spans="1:43" ht="12.75">
      <c r="A298" s="182" t="s">
        <v>218</v>
      </c>
      <c r="B298" s="145" t="s">
        <v>219</v>
      </c>
      <c r="C298" s="122"/>
      <c r="D298" s="172">
        <f>SUM(E298:M298)</f>
        <v>15693519.579999998</v>
      </c>
      <c r="E298" s="149">
        <f>'Sales-Rev'!C109</f>
        <v>5842043.99</v>
      </c>
      <c r="F298" s="149">
        <f>'Sales-Rev'!E106</f>
        <v>4266752.18</v>
      </c>
      <c r="G298" s="149">
        <f>'Sales-Rev'!F113</f>
        <v>0</v>
      </c>
      <c r="H298" s="149">
        <f>'Sales-Rev'!G106</f>
        <v>690867.21</v>
      </c>
      <c r="I298" s="149">
        <f>'Sales-Rev'!H106</f>
        <v>4893856.2</v>
      </c>
      <c r="J298" s="122">
        <v>0</v>
      </c>
      <c r="K298" s="149">
        <v>0</v>
      </c>
      <c r="L298" s="149">
        <v>0</v>
      </c>
      <c r="M298" s="149">
        <v>0</v>
      </c>
      <c r="AE298" s="123" t="str">
        <f>$B$30</f>
        <v>DEMAND-COMMODITY</v>
      </c>
      <c r="AK298" s="125" t="s">
        <v>794</v>
      </c>
      <c r="AQ298" s="123" t="str">
        <f>"PAGE 11 OF "&amp;FIXED($B$31,0,TRUE)</f>
        <v>PAGE 11 OF 28</v>
      </c>
    </row>
    <row r="299" spans="1:44" ht="12.75">
      <c r="A299" s="182">
        <v>495</v>
      </c>
      <c r="B299" s="145" t="s">
        <v>778</v>
      </c>
      <c r="C299" s="145">
        <v>6</v>
      </c>
      <c r="D299" s="148">
        <v>0</v>
      </c>
      <c r="E299" s="183"/>
      <c r="F299" s="183"/>
      <c r="G299" s="183"/>
      <c r="H299" s="183"/>
      <c r="I299" s="183"/>
      <c r="AE299" s="128" t="str">
        <f>$B$29</f>
        <v>HISTORIC PERIOD - ORIGINAL FILING</v>
      </c>
      <c r="AF299" s="128"/>
      <c r="AG299" s="128"/>
      <c r="AH299" s="129"/>
      <c r="AI299" s="128"/>
      <c r="AJ299" s="128"/>
      <c r="AK299" s="130" t="str">
        <f>"FOR THE TWELVE MONTHS ENDED "&amp;$B$27</f>
        <v>FOR THE TWELVE MONTHS ENDED 09/30/2006</v>
      </c>
      <c r="AL299" s="128"/>
      <c r="AM299" s="128"/>
      <c r="AN299" s="128"/>
      <c r="AO299" s="128"/>
      <c r="AP299" s="128"/>
      <c r="AQ299" s="128" t="str">
        <f>"WITNESS: "&amp;$B$28</f>
        <v>WITNESS: R. GIBBONS</v>
      </c>
      <c r="AR299" s="131"/>
    </row>
    <row r="300" spans="1:35" ht="12.75">
      <c r="A300" s="182">
        <v>495</v>
      </c>
      <c r="B300" s="145" t="s">
        <v>699</v>
      </c>
      <c r="C300" s="145" t="s">
        <v>2</v>
      </c>
      <c r="D300" s="122">
        <f>SUM(E300:M300)</f>
        <v>0</v>
      </c>
      <c r="E300" s="132"/>
      <c r="F300" s="132"/>
      <c r="G300" s="132"/>
      <c r="H300" s="132"/>
      <c r="J300" s="173">
        <v>0</v>
      </c>
      <c r="K300" s="122"/>
      <c r="L300" s="122"/>
      <c r="M300" s="122"/>
      <c r="AE300" s="125" t="s">
        <v>9</v>
      </c>
      <c r="AF300" s="123" t="s">
        <v>10</v>
      </c>
      <c r="AH300" s="125" t="s">
        <v>11</v>
      </c>
      <c r="AI300" s="125" t="s">
        <v>12</v>
      </c>
    </row>
    <row r="301" spans="1:44" ht="12.75">
      <c r="A301" s="182">
        <v>495</v>
      </c>
      <c r="B301" s="145" t="s">
        <v>221</v>
      </c>
      <c r="C301" s="145">
        <v>6</v>
      </c>
      <c r="D301" s="148">
        <v>474858</v>
      </c>
      <c r="E301" s="173"/>
      <c r="F301" s="173"/>
      <c r="G301" s="173"/>
      <c r="H301" s="173"/>
      <c r="I301" s="173"/>
      <c r="J301" s="172"/>
      <c r="K301" s="122"/>
      <c r="L301" s="122"/>
      <c r="M301" s="122"/>
      <c r="AE301" s="133" t="s">
        <v>13</v>
      </c>
      <c r="AF301" s="133" t="s">
        <v>13</v>
      </c>
      <c r="AG301" s="171" t="str">
        <f>AG5</f>
        <v> ACCOUNT TITLE</v>
      </c>
      <c r="AH301" s="141" t="s">
        <v>14</v>
      </c>
      <c r="AI301" s="133" t="s">
        <v>15</v>
      </c>
      <c r="AJ301" s="133" t="str">
        <f>"  "&amp;+$C$35</f>
        <v>  GS-RES.</v>
      </c>
      <c r="AK301" s="133" t="str">
        <f>$C$36</f>
        <v>GS-OTHER</v>
      </c>
      <c r="AL301" s="133" t="str">
        <f>$C$37</f>
        <v>IUS</v>
      </c>
      <c r="AM301" s="133" t="str">
        <f>$C$38</f>
        <v>DS-ML/SC</v>
      </c>
      <c r="AN301" s="133" t="str">
        <f>$C$39</f>
        <v>DS/IS/SS</v>
      </c>
      <c r="AO301" s="133" t="str">
        <f>$C$40</f>
        <v>NOT USED</v>
      </c>
      <c r="AP301" s="133" t="str">
        <f>$C$41</f>
        <v>NOT USED</v>
      </c>
      <c r="AQ301" s="133" t="str">
        <f>$C$42</f>
        <v>NOT USED</v>
      </c>
      <c r="AR301" s="133" t="str">
        <f>$C$43</f>
        <v>NOT USED</v>
      </c>
    </row>
    <row r="302" spans="1:44" ht="12.75">
      <c r="A302" s="122"/>
      <c r="B302" s="145" t="s">
        <v>222</v>
      </c>
      <c r="C302" s="122"/>
      <c r="E302" s="148">
        <v>0</v>
      </c>
      <c r="F302" s="148">
        <v>0</v>
      </c>
      <c r="G302" s="148">
        <v>0</v>
      </c>
      <c r="H302" s="148">
        <v>0</v>
      </c>
      <c r="I302" s="148">
        <v>0</v>
      </c>
      <c r="J302" s="174">
        <v>0</v>
      </c>
      <c r="K302" s="145">
        <v>0</v>
      </c>
      <c r="L302" s="145">
        <v>0</v>
      </c>
      <c r="M302" s="145">
        <v>0</v>
      </c>
      <c r="AF302" s="136" t="s">
        <v>17</v>
      </c>
      <c r="AG302" s="136" t="s">
        <v>18</v>
      </c>
      <c r="AH302" s="125" t="s">
        <v>19</v>
      </c>
      <c r="AI302" s="125" t="s">
        <v>20</v>
      </c>
      <c r="AJ302" s="125" t="s">
        <v>21</v>
      </c>
      <c r="AK302" s="125" t="s">
        <v>22</v>
      </c>
      <c r="AL302" s="125" t="s">
        <v>23</v>
      </c>
      <c r="AM302" s="125" t="s">
        <v>24</v>
      </c>
      <c r="AN302" s="125" t="s">
        <v>25</v>
      </c>
      <c r="AO302" s="125" t="s">
        <v>26</v>
      </c>
      <c r="AP302" s="125" t="s">
        <v>27</v>
      </c>
      <c r="AQ302" s="125" t="s">
        <v>28</v>
      </c>
      <c r="AR302" s="125" t="s">
        <v>29</v>
      </c>
    </row>
    <row r="303" spans="4:44" ht="12.75">
      <c r="D303" s="123">
        <f>SUM(D293:D302)</f>
        <v>158276795.77000004</v>
      </c>
      <c r="E303" s="183"/>
      <c r="F303" s="183"/>
      <c r="G303" s="183"/>
      <c r="H303" s="183"/>
      <c r="I303" s="183"/>
      <c r="N303" s="122"/>
      <c r="O303" s="122"/>
      <c r="AI303" s="125" t="s">
        <v>32</v>
      </c>
      <c r="AJ303" s="125" t="s">
        <v>32</v>
      </c>
      <c r="AK303" s="125" t="s">
        <v>32</v>
      </c>
      <c r="AL303" s="125" t="s">
        <v>32</v>
      </c>
      <c r="AM303" s="125" t="s">
        <v>32</v>
      </c>
      <c r="AN303" s="125" t="s">
        <v>32</v>
      </c>
      <c r="AO303" s="125" t="s">
        <v>32</v>
      </c>
      <c r="AP303" s="125" t="s">
        <v>32</v>
      </c>
      <c r="AQ303" s="125" t="s">
        <v>32</v>
      </c>
      <c r="AR303" s="125" t="s">
        <v>32</v>
      </c>
    </row>
    <row r="304" spans="1:44" ht="12.75">
      <c r="A304" s="122" t="s">
        <v>223</v>
      </c>
      <c r="B304" s="144" t="s">
        <v>0</v>
      </c>
      <c r="C304" s="144" t="s">
        <v>0</v>
      </c>
      <c r="D304" s="144" t="s">
        <v>0</v>
      </c>
      <c r="E304" s="144" t="s">
        <v>0</v>
      </c>
      <c r="F304" s="144" t="s">
        <v>0</v>
      </c>
      <c r="G304" s="144" t="s">
        <v>0</v>
      </c>
      <c r="H304" s="144" t="s">
        <v>0</v>
      </c>
      <c r="I304" s="144" t="s">
        <v>0</v>
      </c>
      <c r="J304" s="144" t="s">
        <v>0</v>
      </c>
      <c r="K304" s="144" t="s">
        <v>0</v>
      </c>
      <c r="L304" s="144" t="s">
        <v>0</v>
      </c>
      <c r="M304" s="144" t="s">
        <v>0</v>
      </c>
      <c r="N304" s="122"/>
      <c r="O304" s="122"/>
      <c r="Q304" s="122"/>
      <c r="AE304" s="123">
        <v>1</v>
      </c>
      <c r="AF304" s="139">
        <f aca="true" t="shared" si="214" ref="AF304:AF314">A254</f>
        <v>381</v>
      </c>
      <c r="AG304" s="123" t="str">
        <f aca="true" t="shared" si="215" ref="AG304:AG314">B254</f>
        <v>METERS</v>
      </c>
      <c r="AH304" s="123">
        <f aca="true" t="shared" si="216" ref="AH304:AH314">C254</f>
        <v>16</v>
      </c>
      <c r="AI304" s="123">
        <f aca="true" t="shared" si="217" ref="AI304:AI314">D254</f>
        <v>383784.3346</v>
      </c>
      <c r="AJ304" s="123">
        <f aca="true" t="shared" si="218" ref="AJ304:AJ314">ROUND((VLOOKUP($AH304,$A$661:$Y$709,13)*$AI304),0)</f>
        <v>238718</v>
      </c>
      <c r="AK304" s="123">
        <f aca="true" t="shared" si="219" ref="AK304:AK314">ROUND((VLOOKUP($AH304,$A$661:$Y$709,14)*$AI304),0)</f>
        <v>137890</v>
      </c>
      <c r="AL304" s="123">
        <f aca="true" t="shared" si="220" ref="AL304:AL314">ROUND((VLOOKUP($AH304,$A$661:$Y$709,15)*$AI304),0)</f>
        <v>92</v>
      </c>
      <c r="AM304" s="123">
        <f aca="true" t="shared" si="221" ref="AM304:AM314">ROUND((VLOOKUP($AH304,$A$661:$Y$709,16)*$AI304),0)</f>
        <v>453</v>
      </c>
      <c r="AN304" s="123">
        <f aca="true" t="shared" si="222" ref="AN304:AN314">ROUND((VLOOKUP($AH304,$A$661:$Y$709,17)*$AI304),0)</f>
        <v>6632</v>
      </c>
      <c r="AO304" s="123">
        <f aca="true" t="shared" si="223" ref="AO304:AO314">ROUND((VLOOKUP($AH304,$A$661:$Y$709,18)*$AI304),0)</f>
        <v>0</v>
      </c>
      <c r="AP304" s="123">
        <f aca="true" t="shared" si="224" ref="AP304:AP314">ROUND((VLOOKUP($AH304,$A$661:$Y$709,19)*$AI304),0)</f>
        <v>0</v>
      </c>
      <c r="AQ304" s="123">
        <f aca="true" t="shared" si="225" ref="AQ304:AQ314">ROUND((VLOOKUP($AH304,$A$661:$Y$709,20)*$AI304),0)</f>
        <v>0</v>
      </c>
      <c r="AR304" s="123">
        <f aca="true" t="shared" si="226" ref="AR304:AR314">ROUND((VLOOKUP($AH304,$A$661:$Y$709,21)*$AI304),0)</f>
        <v>0</v>
      </c>
    </row>
    <row r="305" spans="1:44" ht="12.75">
      <c r="A305" s="122" t="s">
        <v>224</v>
      </c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Q305" s="122"/>
      <c r="AE305" s="123">
        <f aca="true" t="shared" si="227" ref="AE305:AE315">AE304+1</f>
        <v>2</v>
      </c>
      <c r="AF305" s="139">
        <f t="shared" si="214"/>
        <v>382</v>
      </c>
      <c r="AG305" s="123" t="str">
        <f t="shared" si="215"/>
        <v>METER INSTALLATIONS</v>
      </c>
      <c r="AH305" s="123">
        <f t="shared" si="216"/>
        <v>16</v>
      </c>
      <c r="AI305" s="123">
        <f t="shared" si="217"/>
        <v>233564.2948</v>
      </c>
      <c r="AJ305" s="123">
        <f t="shared" si="218"/>
        <v>145279</v>
      </c>
      <c r="AK305" s="123">
        <f t="shared" si="219"/>
        <v>83917</v>
      </c>
      <c r="AL305" s="123">
        <f t="shared" si="220"/>
        <v>56</v>
      </c>
      <c r="AM305" s="123">
        <f t="shared" si="221"/>
        <v>276</v>
      </c>
      <c r="AN305" s="123">
        <f t="shared" si="222"/>
        <v>4036</v>
      </c>
      <c r="AO305" s="123">
        <f t="shared" si="223"/>
        <v>0</v>
      </c>
      <c r="AP305" s="123">
        <f t="shared" si="224"/>
        <v>0</v>
      </c>
      <c r="AQ305" s="123">
        <f t="shared" si="225"/>
        <v>0</v>
      </c>
      <c r="AR305" s="123">
        <f t="shared" si="226"/>
        <v>0</v>
      </c>
    </row>
    <row r="306" spans="1:44" ht="12.75">
      <c r="A306" s="144" t="s">
        <v>0</v>
      </c>
      <c r="B306" s="144" t="s">
        <v>0</v>
      </c>
      <c r="C306" s="144" t="s">
        <v>0</v>
      </c>
      <c r="D306" s="144" t="s">
        <v>0</v>
      </c>
      <c r="E306" s="144" t="s">
        <v>0</v>
      </c>
      <c r="F306" s="144" t="s">
        <v>0</v>
      </c>
      <c r="G306" s="144" t="s">
        <v>0</v>
      </c>
      <c r="H306" s="144" t="s">
        <v>0</v>
      </c>
      <c r="I306" s="144" t="s">
        <v>0</v>
      </c>
      <c r="J306" s="144" t="s">
        <v>0</v>
      </c>
      <c r="K306" s="144" t="s">
        <v>0</v>
      </c>
      <c r="L306" s="144" t="s">
        <v>0</v>
      </c>
      <c r="M306" s="144" t="s">
        <v>0</v>
      </c>
      <c r="N306" s="122"/>
      <c r="O306" s="122"/>
      <c r="Q306" s="122"/>
      <c r="AE306" s="123">
        <f t="shared" si="227"/>
        <v>3</v>
      </c>
      <c r="AF306" s="139">
        <f t="shared" si="214"/>
        <v>383</v>
      </c>
      <c r="AG306" s="123" t="str">
        <f t="shared" si="215"/>
        <v>HOUSE REGULATORS</v>
      </c>
      <c r="AH306" s="123">
        <f t="shared" si="216"/>
        <v>16</v>
      </c>
      <c r="AI306" s="123">
        <f t="shared" si="217"/>
        <v>78973.0678</v>
      </c>
      <c r="AJ306" s="123">
        <f t="shared" si="218"/>
        <v>49122</v>
      </c>
      <c r="AK306" s="123">
        <f t="shared" si="219"/>
        <v>28374</v>
      </c>
      <c r="AL306" s="123">
        <f t="shared" si="220"/>
        <v>19</v>
      </c>
      <c r="AM306" s="123">
        <f t="shared" si="221"/>
        <v>93</v>
      </c>
      <c r="AN306" s="123">
        <f t="shared" si="222"/>
        <v>1365</v>
      </c>
      <c r="AO306" s="123">
        <f t="shared" si="223"/>
        <v>0</v>
      </c>
      <c r="AP306" s="123">
        <f t="shared" si="224"/>
        <v>0</v>
      </c>
      <c r="AQ306" s="123">
        <f t="shared" si="225"/>
        <v>0</v>
      </c>
      <c r="AR306" s="123">
        <f t="shared" si="226"/>
        <v>0</v>
      </c>
    </row>
    <row r="307" spans="1:44" ht="12.75">
      <c r="A307" s="184" t="s">
        <v>225</v>
      </c>
      <c r="B307" s="145" t="s">
        <v>226</v>
      </c>
      <c r="C307" s="145">
        <v>2</v>
      </c>
      <c r="D307" s="148">
        <v>0</v>
      </c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Q307" s="122"/>
      <c r="AE307" s="123">
        <f t="shared" si="227"/>
        <v>4</v>
      </c>
      <c r="AF307" s="139">
        <f t="shared" si="214"/>
        <v>384</v>
      </c>
      <c r="AG307" s="123" t="str">
        <f t="shared" si="215"/>
        <v>HOUSE REG INSTALLATIONS</v>
      </c>
      <c r="AH307" s="123">
        <f t="shared" si="216"/>
        <v>16</v>
      </c>
      <c r="AI307" s="123">
        <f t="shared" si="217"/>
        <v>33575</v>
      </c>
      <c r="AJ307" s="123">
        <f t="shared" si="218"/>
        <v>20884</v>
      </c>
      <c r="AK307" s="123">
        <f t="shared" si="219"/>
        <v>12063</v>
      </c>
      <c r="AL307" s="123">
        <f t="shared" si="220"/>
        <v>8</v>
      </c>
      <c r="AM307" s="123">
        <f t="shared" si="221"/>
        <v>40</v>
      </c>
      <c r="AN307" s="123">
        <f t="shared" si="222"/>
        <v>580</v>
      </c>
      <c r="AO307" s="123">
        <f t="shared" si="223"/>
        <v>0</v>
      </c>
      <c r="AP307" s="123">
        <f t="shared" si="224"/>
        <v>0</v>
      </c>
      <c r="AQ307" s="123">
        <f t="shared" si="225"/>
        <v>0</v>
      </c>
      <c r="AR307" s="123">
        <f t="shared" si="226"/>
        <v>0</v>
      </c>
    </row>
    <row r="308" spans="1:44" ht="12.75">
      <c r="A308" s="184" t="s">
        <v>225</v>
      </c>
      <c r="B308" s="145" t="s">
        <v>227</v>
      </c>
      <c r="C308" s="145">
        <v>2</v>
      </c>
      <c r="D308" s="148">
        <v>1015</v>
      </c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Q308" s="122"/>
      <c r="AE308" s="123">
        <f t="shared" si="227"/>
        <v>5</v>
      </c>
      <c r="AF308" s="139">
        <f t="shared" si="214"/>
        <v>385</v>
      </c>
      <c r="AG308" s="123" t="str">
        <f t="shared" si="215"/>
        <v>IND M&amp;R EQUIPMENT</v>
      </c>
      <c r="AH308" s="123">
        <f t="shared" si="216"/>
        <v>17</v>
      </c>
      <c r="AI308" s="123">
        <f t="shared" si="217"/>
        <v>127055.962</v>
      </c>
      <c r="AJ308" s="123">
        <f t="shared" si="218"/>
        <v>0</v>
      </c>
      <c r="AK308" s="123">
        <f t="shared" si="219"/>
        <v>69756</v>
      </c>
      <c r="AL308" s="123">
        <f t="shared" si="220"/>
        <v>996</v>
      </c>
      <c r="AM308" s="123">
        <f t="shared" si="221"/>
        <v>3488</v>
      </c>
      <c r="AN308" s="123">
        <f t="shared" si="222"/>
        <v>52816</v>
      </c>
      <c r="AO308" s="123">
        <f t="shared" si="223"/>
        <v>0</v>
      </c>
      <c r="AP308" s="123">
        <f t="shared" si="224"/>
        <v>0</v>
      </c>
      <c r="AQ308" s="123">
        <f t="shared" si="225"/>
        <v>0</v>
      </c>
      <c r="AR308" s="123">
        <f t="shared" si="226"/>
        <v>0</v>
      </c>
    </row>
    <row r="309" spans="1:44" ht="12.75">
      <c r="A309" s="184" t="s">
        <v>228</v>
      </c>
      <c r="B309" s="145" t="s">
        <v>229</v>
      </c>
      <c r="C309" s="145">
        <v>2</v>
      </c>
      <c r="D309" s="148">
        <v>0</v>
      </c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Q309" s="122"/>
      <c r="AE309" s="123">
        <f t="shared" si="227"/>
        <v>6</v>
      </c>
      <c r="AF309" s="139">
        <f t="shared" si="214"/>
        <v>387.2</v>
      </c>
      <c r="AG309" s="123" t="str">
        <f t="shared" si="215"/>
        <v>ODORIZATION</v>
      </c>
      <c r="AH309" s="123">
        <f t="shared" si="216"/>
        <v>7</v>
      </c>
      <c r="AI309" s="123">
        <f t="shared" si="217"/>
        <v>12415</v>
      </c>
      <c r="AJ309" s="123">
        <f t="shared" si="218"/>
        <v>6968</v>
      </c>
      <c r="AK309" s="123">
        <f t="shared" si="219"/>
        <v>2601</v>
      </c>
      <c r="AL309" s="123">
        <f t="shared" si="220"/>
        <v>8</v>
      </c>
      <c r="AM309" s="123">
        <f t="shared" si="221"/>
        <v>5</v>
      </c>
      <c r="AN309" s="123">
        <f t="shared" si="222"/>
        <v>2832</v>
      </c>
      <c r="AO309" s="123">
        <f t="shared" si="223"/>
        <v>0</v>
      </c>
      <c r="AP309" s="123">
        <f t="shared" si="224"/>
        <v>0</v>
      </c>
      <c r="AQ309" s="123">
        <f t="shared" si="225"/>
        <v>0</v>
      </c>
      <c r="AR309" s="123">
        <f t="shared" si="226"/>
        <v>0</v>
      </c>
    </row>
    <row r="310" spans="1:44" ht="12.75">
      <c r="A310" s="184" t="s">
        <v>230</v>
      </c>
      <c r="B310" s="145" t="s">
        <v>231</v>
      </c>
      <c r="C310" s="145">
        <v>2</v>
      </c>
      <c r="D310" s="148">
        <v>0</v>
      </c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AE310" s="123">
        <f t="shared" si="227"/>
        <v>7</v>
      </c>
      <c r="AF310" s="139">
        <f t="shared" si="214"/>
        <v>387.41</v>
      </c>
      <c r="AG310" s="123" t="str">
        <f t="shared" si="215"/>
        <v>TELEPHONE</v>
      </c>
      <c r="AH310" s="123">
        <f t="shared" si="216"/>
        <v>7</v>
      </c>
      <c r="AI310" s="123">
        <f t="shared" si="217"/>
        <v>26739</v>
      </c>
      <c r="AJ310" s="123">
        <f t="shared" si="218"/>
        <v>15008</v>
      </c>
      <c r="AK310" s="123">
        <f t="shared" si="219"/>
        <v>5602</v>
      </c>
      <c r="AL310" s="123">
        <f t="shared" si="220"/>
        <v>18</v>
      </c>
      <c r="AM310" s="123">
        <f t="shared" si="221"/>
        <v>12</v>
      </c>
      <c r="AN310" s="123">
        <f t="shared" si="222"/>
        <v>6099</v>
      </c>
      <c r="AO310" s="123">
        <f t="shared" si="223"/>
        <v>0</v>
      </c>
      <c r="AP310" s="123">
        <f t="shared" si="224"/>
        <v>0</v>
      </c>
      <c r="AQ310" s="123">
        <f t="shared" si="225"/>
        <v>0</v>
      </c>
      <c r="AR310" s="123">
        <f t="shared" si="226"/>
        <v>0</v>
      </c>
    </row>
    <row r="311" spans="1:44" ht="12.75">
      <c r="A311" s="184" t="s">
        <v>232</v>
      </c>
      <c r="B311" s="145" t="s">
        <v>233</v>
      </c>
      <c r="C311" s="145">
        <v>2</v>
      </c>
      <c r="D311" s="148">
        <v>0</v>
      </c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P311" s="122"/>
      <c r="Q311" s="122"/>
      <c r="AE311" s="123">
        <f t="shared" si="227"/>
        <v>8</v>
      </c>
      <c r="AF311" s="139">
        <f t="shared" si="214"/>
        <v>387.42</v>
      </c>
      <c r="AG311" s="123" t="str">
        <f t="shared" si="215"/>
        <v>RADIO</v>
      </c>
      <c r="AH311" s="123">
        <f t="shared" si="216"/>
        <v>7</v>
      </c>
      <c r="AI311" s="123">
        <f t="shared" si="217"/>
        <v>33533</v>
      </c>
      <c r="AJ311" s="123">
        <f t="shared" si="218"/>
        <v>18821</v>
      </c>
      <c r="AK311" s="123">
        <f t="shared" si="219"/>
        <v>7025</v>
      </c>
      <c r="AL311" s="123">
        <f t="shared" si="220"/>
        <v>22</v>
      </c>
      <c r="AM311" s="123">
        <f t="shared" si="221"/>
        <v>15</v>
      </c>
      <c r="AN311" s="123">
        <f t="shared" si="222"/>
        <v>7649</v>
      </c>
      <c r="AO311" s="123">
        <f t="shared" si="223"/>
        <v>0</v>
      </c>
      <c r="AP311" s="123">
        <f t="shared" si="224"/>
        <v>0</v>
      </c>
      <c r="AQ311" s="123">
        <f t="shared" si="225"/>
        <v>0</v>
      </c>
      <c r="AR311" s="123">
        <f t="shared" si="226"/>
        <v>0</v>
      </c>
    </row>
    <row r="312" spans="1:44" ht="12.75">
      <c r="A312" s="184" t="s">
        <v>232</v>
      </c>
      <c r="B312" s="145" t="s">
        <v>234</v>
      </c>
      <c r="C312" s="145">
        <v>2</v>
      </c>
      <c r="D312" s="148">
        <v>0</v>
      </c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P312" s="122"/>
      <c r="Q312" s="122"/>
      <c r="AE312" s="123">
        <f t="shared" si="227"/>
        <v>9</v>
      </c>
      <c r="AF312" s="139">
        <f t="shared" si="214"/>
        <v>387.44</v>
      </c>
      <c r="AG312" s="123" t="str">
        <f t="shared" si="215"/>
        <v>OTHER COMMUNICATION</v>
      </c>
      <c r="AH312" s="123">
        <f t="shared" si="216"/>
        <v>7</v>
      </c>
      <c r="AI312" s="123">
        <f t="shared" si="217"/>
        <v>4755</v>
      </c>
      <c r="AJ312" s="123">
        <f t="shared" si="218"/>
        <v>2669</v>
      </c>
      <c r="AK312" s="123">
        <f t="shared" si="219"/>
        <v>996</v>
      </c>
      <c r="AL312" s="123">
        <f t="shared" si="220"/>
        <v>3</v>
      </c>
      <c r="AM312" s="123">
        <f t="shared" si="221"/>
        <v>2</v>
      </c>
      <c r="AN312" s="123">
        <f t="shared" si="222"/>
        <v>1085</v>
      </c>
      <c r="AO312" s="123">
        <f t="shared" si="223"/>
        <v>0</v>
      </c>
      <c r="AP312" s="123">
        <f t="shared" si="224"/>
        <v>0</v>
      </c>
      <c r="AQ312" s="123">
        <f t="shared" si="225"/>
        <v>0</v>
      </c>
      <c r="AR312" s="123">
        <f t="shared" si="226"/>
        <v>0</v>
      </c>
    </row>
    <row r="313" spans="1:44" ht="12.75">
      <c r="A313" s="184" t="s">
        <v>235</v>
      </c>
      <c r="B313" s="145" t="s">
        <v>236</v>
      </c>
      <c r="C313" s="145">
        <v>2</v>
      </c>
      <c r="D313" s="148">
        <v>0</v>
      </c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P313" s="122"/>
      <c r="Q313" s="122"/>
      <c r="AE313" s="123">
        <f t="shared" si="227"/>
        <v>10</v>
      </c>
      <c r="AF313" s="139">
        <f t="shared" si="214"/>
        <v>387.45</v>
      </c>
      <c r="AG313" s="123" t="str">
        <f t="shared" si="215"/>
        <v>TELEMETERING</v>
      </c>
      <c r="AH313" s="123">
        <f t="shared" si="216"/>
        <v>7</v>
      </c>
      <c r="AI313" s="123">
        <f t="shared" si="217"/>
        <v>43053.717599999996</v>
      </c>
      <c r="AJ313" s="123">
        <f t="shared" si="218"/>
        <v>24165</v>
      </c>
      <c r="AK313" s="123">
        <f t="shared" si="219"/>
        <v>9020</v>
      </c>
      <c r="AL313" s="123">
        <f t="shared" si="220"/>
        <v>28</v>
      </c>
      <c r="AM313" s="123">
        <f t="shared" si="221"/>
        <v>19</v>
      </c>
      <c r="AN313" s="123">
        <f t="shared" si="222"/>
        <v>9821</v>
      </c>
      <c r="AO313" s="123">
        <f t="shared" si="223"/>
        <v>0</v>
      </c>
      <c r="AP313" s="123">
        <f t="shared" si="224"/>
        <v>0</v>
      </c>
      <c r="AQ313" s="123">
        <f t="shared" si="225"/>
        <v>0</v>
      </c>
      <c r="AR313" s="123">
        <f t="shared" si="226"/>
        <v>0</v>
      </c>
    </row>
    <row r="314" spans="1:44" ht="12.75">
      <c r="A314" s="184" t="s">
        <v>235</v>
      </c>
      <c r="B314" s="145" t="s">
        <v>237</v>
      </c>
      <c r="C314" s="145">
        <v>2</v>
      </c>
      <c r="D314" s="148">
        <f>17-D313</f>
        <v>17</v>
      </c>
      <c r="E314" s="122"/>
      <c r="F314" s="122"/>
      <c r="G314" s="122"/>
      <c r="H314" s="122"/>
      <c r="I314" s="122"/>
      <c r="J314" s="122"/>
      <c r="K314" s="122"/>
      <c r="L314" s="122"/>
      <c r="M314" s="122"/>
      <c r="P314" s="122"/>
      <c r="Q314" s="122"/>
      <c r="AE314" s="123">
        <f t="shared" si="227"/>
        <v>11</v>
      </c>
      <c r="AF314" s="139">
        <f t="shared" si="214"/>
        <v>387.46</v>
      </c>
      <c r="AG314" s="123" t="str">
        <f t="shared" si="215"/>
        <v>CIS</v>
      </c>
      <c r="AH314" s="123">
        <f t="shared" si="216"/>
        <v>7</v>
      </c>
      <c r="AI314" s="141">
        <f t="shared" si="217"/>
        <v>4789</v>
      </c>
      <c r="AJ314" s="141">
        <f t="shared" si="218"/>
        <v>2688</v>
      </c>
      <c r="AK314" s="141">
        <f t="shared" si="219"/>
        <v>1003</v>
      </c>
      <c r="AL314" s="141">
        <f t="shared" si="220"/>
        <v>3</v>
      </c>
      <c r="AM314" s="141">
        <f t="shared" si="221"/>
        <v>2</v>
      </c>
      <c r="AN314" s="141">
        <f t="shared" si="222"/>
        <v>1092</v>
      </c>
      <c r="AO314" s="141">
        <f t="shared" si="223"/>
        <v>0</v>
      </c>
      <c r="AP314" s="141">
        <f t="shared" si="224"/>
        <v>0</v>
      </c>
      <c r="AQ314" s="141">
        <f t="shared" si="225"/>
        <v>0</v>
      </c>
      <c r="AR314" s="141">
        <f t="shared" si="226"/>
        <v>0</v>
      </c>
    </row>
    <row r="315" spans="1:44" ht="12.75">
      <c r="A315" s="184" t="s">
        <v>238</v>
      </c>
      <c r="B315" s="145" t="s">
        <v>239</v>
      </c>
      <c r="C315" s="145" t="s">
        <v>2</v>
      </c>
      <c r="D315" s="172">
        <f>SUM(E315:M315)</f>
        <v>112344668.69</v>
      </c>
      <c r="E315" s="149">
        <f>'Sales-Rev'!D173</f>
        <v>69736011.38</v>
      </c>
      <c r="F315" s="149">
        <f>'Sales-Rev'!E173</f>
        <v>41401008.260000005</v>
      </c>
      <c r="G315" s="149">
        <f>'Sales-Rev'!F173</f>
        <v>227827.88</v>
      </c>
      <c r="H315" s="149">
        <f>'Sales-Rev'!G173</f>
        <v>0</v>
      </c>
      <c r="I315" s="149">
        <f>'Sales-Rev'!H173</f>
        <v>979821.17</v>
      </c>
      <c r="J315" s="149">
        <f>J300</f>
        <v>0</v>
      </c>
      <c r="K315" s="149">
        <v>0</v>
      </c>
      <c r="L315" s="149">
        <v>0</v>
      </c>
      <c r="M315" s="149">
        <v>0</v>
      </c>
      <c r="N315" s="122"/>
      <c r="P315" s="122"/>
      <c r="Q315" s="122"/>
      <c r="AE315" s="123">
        <f t="shared" si="227"/>
        <v>12</v>
      </c>
      <c r="AG315" s="123" t="s">
        <v>112</v>
      </c>
      <c r="AI315" s="123">
        <f aca="true" t="shared" si="228" ref="AI315:AR315">SUM(AI279:AI296)+SUM(AI304:AI314)</f>
        <v>6805482.9947</v>
      </c>
      <c r="AJ315" s="123">
        <f t="shared" si="228"/>
        <v>4151157</v>
      </c>
      <c r="AK315" s="123">
        <f t="shared" si="228"/>
        <v>1361859</v>
      </c>
      <c r="AL315" s="123">
        <f t="shared" si="228"/>
        <v>4198</v>
      </c>
      <c r="AM315" s="123">
        <f t="shared" si="228"/>
        <v>4544</v>
      </c>
      <c r="AN315" s="123">
        <f t="shared" si="228"/>
        <v>1283723</v>
      </c>
      <c r="AO315" s="123">
        <f t="shared" si="228"/>
        <v>0</v>
      </c>
      <c r="AP315" s="123">
        <f t="shared" si="228"/>
        <v>0</v>
      </c>
      <c r="AQ315" s="123">
        <f t="shared" si="228"/>
        <v>0</v>
      </c>
      <c r="AR315" s="123">
        <f t="shared" si="228"/>
        <v>0</v>
      </c>
    </row>
    <row r="316" spans="1:17" ht="12.75">
      <c r="A316" s="184" t="s">
        <v>240</v>
      </c>
      <c r="B316" s="145" t="s">
        <v>241</v>
      </c>
      <c r="C316" s="145">
        <v>9</v>
      </c>
      <c r="D316" s="148">
        <v>22377</v>
      </c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P316" s="122"/>
      <c r="Q316" s="122"/>
    </row>
    <row r="317" spans="1:33" ht="12.75">
      <c r="A317" s="184" t="s">
        <v>240</v>
      </c>
      <c r="B317" s="145" t="s">
        <v>242</v>
      </c>
      <c r="C317" s="145">
        <v>9</v>
      </c>
      <c r="D317" s="148">
        <f>25748-D316</f>
        <v>3371</v>
      </c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P317" s="122"/>
      <c r="Q317" s="122"/>
      <c r="AE317" s="123">
        <f>AE315+1</f>
        <v>13</v>
      </c>
      <c r="AG317" s="139" t="str">
        <f>A265</f>
        <v>GENERAL PLANT</v>
      </c>
    </row>
    <row r="318" spans="1:17" ht="12.75">
      <c r="A318" s="184" t="s">
        <v>243</v>
      </c>
      <c r="B318" s="145" t="s">
        <v>244</v>
      </c>
      <c r="C318" s="145">
        <v>9</v>
      </c>
      <c r="D318" s="148">
        <v>-152270</v>
      </c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P318" s="122"/>
      <c r="Q318" s="122"/>
    </row>
    <row r="319" spans="1:44" ht="12.75">
      <c r="A319" s="145"/>
      <c r="B319" s="122" t="s">
        <v>245</v>
      </c>
      <c r="C319" s="122"/>
      <c r="D319" s="122">
        <f>SUM(D307:D318)</f>
        <v>112219178.69</v>
      </c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P319" s="122"/>
      <c r="Q319" s="122"/>
      <c r="AE319" s="123">
        <f>AE317+1</f>
        <v>14</v>
      </c>
      <c r="AF319" s="139">
        <f aca="true" t="shared" si="229" ref="AF319:AI321">A266</f>
        <v>391.1</v>
      </c>
      <c r="AG319" s="123" t="str">
        <f t="shared" si="229"/>
        <v>OFF FURN &amp; EQUIP - UNSPEC</v>
      </c>
      <c r="AH319" s="123">
        <f t="shared" si="229"/>
        <v>7</v>
      </c>
      <c r="AI319" s="123">
        <f t="shared" si="229"/>
        <v>62982</v>
      </c>
      <c r="AJ319" s="123">
        <f aca="true" t="shared" si="230" ref="AJ319:AJ333">ROUND((VLOOKUP($AH319,$A$661:$Y$709,13)*$AI319),0)</f>
        <v>35351</v>
      </c>
      <c r="AK319" s="123">
        <f aca="true" t="shared" si="231" ref="AK319:AK333">ROUND((VLOOKUP($AH319,$A$661:$Y$709,14)*$AI319),0)</f>
        <v>13195</v>
      </c>
      <c r="AL319" s="123">
        <f aca="true" t="shared" si="232" ref="AL319:AL333">ROUND((VLOOKUP($AH319,$A$661:$Y$709,15)*$AI319),0)</f>
        <v>42</v>
      </c>
      <c r="AM319" s="123">
        <f aca="true" t="shared" si="233" ref="AM319:AM333">ROUND((VLOOKUP($AH319,$A$661:$Y$709,16)*$AI319),0)</f>
        <v>28</v>
      </c>
      <c r="AN319" s="123">
        <f aca="true" t="shared" si="234" ref="AN319:AN333">ROUND((VLOOKUP($AH319,$A$661:$Y$709,17)*$AI319),0)</f>
        <v>14367</v>
      </c>
      <c r="AO319" s="123">
        <f aca="true" t="shared" si="235" ref="AO319:AO333">ROUND((VLOOKUP($AH319,$A$661:$Y$709,18)*$AI319),0)</f>
        <v>0</v>
      </c>
      <c r="AP319" s="123">
        <f aca="true" t="shared" si="236" ref="AP319:AP333">ROUND((VLOOKUP($AH319,$A$661:$Y$709,19)*$AI319),0)</f>
        <v>0</v>
      </c>
      <c r="AQ319" s="123">
        <f aca="true" t="shared" si="237" ref="AQ319:AQ333">ROUND((VLOOKUP($AH319,$A$661:$Y$709,20)*$AI319),0)</f>
        <v>0</v>
      </c>
      <c r="AR319" s="123">
        <f aca="true" t="shared" si="238" ref="AR319:AR333">ROUND((VLOOKUP($AH319,$A$661:$Y$709,21)*$AI319),0)</f>
        <v>0</v>
      </c>
    </row>
    <row r="320" spans="1:44" ht="12.75">
      <c r="A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P320" s="122"/>
      <c r="Q320" s="122"/>
      <c r="AE320" s="123">
        <f aca="true" t="shared" si="239" ref="AE320:AE334">AE319+1</f>
        <v>15</v>
      </c>
      <c r="AF320" s="139">
        <f t="shared" si="229"/>
        <v>391.11</v>
      </c>
      <c r="AG320" s="123" t="str">
        <f t="shared" si="229"/>
        <v>OFF FURN &amp; EQUIP - DATA HAND</v>
      </c>
      <c r="AH320" s="123">
        <f t="shared" si="229"/>
        <v>7</v>
      </c>
      <c r="AI320" s="123">
        <f t="shared" si="229"/>
        <v>2691</v>
      </c>
      <c r="AJ320" s="123">
        <f t="shared" si="230"/>
        <v>1510</v>
      </c>
      <c r="AK320" s="123">
        <f t="shared" si="231"/>
        <v>564</v>
      </c>
      <c r="AL320" s="123">
        <f t="shared" si="232"/>
        <v>2</v>
      </c>
      <c r="AM320" s="123">
        <f t="shared" si="233"/>
        <v>1</v>
      </c>
      <c r="AN320" s="123">
        <f t="shared" si="234"/>
        <v>614</v>
      </c>
      <c r="AO320" s="123">
        <f t="shared" si="235"/>
        <v>0</v>
      </c>
      <c r="AP320" s="123">
        <f t="shared" si="236"/>
        <v>0</v>
      </c>
      <c r="AQ320" s="123">
        <f t="shared" si="237"/>
        <v>0</v>
      </c>
      <c r="AR320" s="123">
        <f t="shared" si="238"/>
        <v>0</v>
      </c>
    </row>
    <row r="321" spans="1:44" ht="12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P321" s="122"/>
      <c r="Q321" s="122"/>
      <c r="AE321" s="123">
        <f t="shared" si="239"/>
        <v>16</v>
      </c>
      <c r="AF321" s="139">
        <f t="shared" si="229"/>
        <v>391.12</v>
      </c>
      <c r="AG321" s="123" t="str">
        <f t="shared" si="229"/>
        <v>OFF FURN &amp; EQUIP - INFO SYSTEM</v>
      </c>
      <c r="AH321" s="123">
        <f t="shared" si="229"/>
        <v>7</v>
      </c>
      <c r="AI321" s="123">
        <f t="shared" si="229"/>
        <v>133392</v>
      </c>
      <c r="AJ321" s="123">
        <f t="shared" si="230"/>
        <v>74870</v>
      </c>
      <c r="AK321" s="123">
        <f t="shared" si="231"/>
        <v>27947</v>
      </c>
      <c r="AL321" s="123">
        <f t="shared" si="232"/>
        <v>88</v>
      </c>
      <c r="AM321" s="123">
        <f t="shared" si="233"/>
        <v>59</v>
      </c>
      <c r="AN321" s="123">
        <f t="shared" si="234"/>
        <v>30428</v>
      </c>
      <c r="AO321" s="123">
        <f t="shared" si="235"/>
        <v>0</v>
      </c>
      <c r="AP321" s="123">
        <f t="shared" si="236"/>
        <v>0</v>
      </c>
      <c r="AQ321" s="123">
        <f t="shared" si="237"/>
        <v>0</v>
      </c>
      <c r="AR321" s="123">
        <f t="shared" si="238"/>
        <v>0</v>
      </c>
    </row>
    <row r="322" spans="1:44" ht="12.75">
      <c r="A322" s="144" t="s">
        <v>0</v>
      </c>
      <c r="B322" s="144" t="s">
        <v>0</v>
      </c>
      <c r="C322" s="144" t="s">
        <v>0</v>
      </c>
      <c r="D322" s="122" t="s">
        <v>2</v>
      </c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P322" s="122"/>
      <c r="Q322" s="122"/>
      <c r="AE322" s="123">
        <f t="shared" si="239"/>
        <v>17</v>
      </c>
      <c r="AF322" s="139">
        <f aca="true" t="shared" si="240" ref="AF322:AF333">A269</f>
        <v>392.21</v>
      </c>
      <c r="AG322" s="123" t="str">
        <f aca="true" t="shared" si="241" ref="AG322:AG333">B269</f>
        <v>TR EQ - TRAILER &lt;= $1,000</v>
      </c>
      <c r="AH322" s="123">
        <f aca="true" t="shared" si="242" ref="AH322:AH333">C269</f>
        <v>7</v>
      </c>
      <c r="AI322" s="123">
        <f aca="true" t="shared" si="243" ref="AI322:AI333">D269</f>
        <v>5802</v>
      </c>
      <c r="AJ322" s="123">
        <f t="shared" si="230"/>
        <v>3257</v>
      </c>
      <c r="AK322" s="123">
        <f t="shared" si="231"/>
        <v>1216</v>
      </c>
      <c r="AL322" s="123">
        <f t="shared" si="232"/>
        <v>4</v>
      </c>
      <c r="AM322" s="123">
        <f t="shared" si="233"/>
        <v>3</v>
      </c>
      <c r="AN322" s="123">
        <f t="shared" si="234"/>
        <v>1323</v>
      </c>
      <c r="AO322" s="123">
        <f t="shared" si="235"/>
        <v>0</v>
      </c>
      <c r="AP322" s="123">
        <f t="shared" si="236"/>
        <v>0</v>
      </c>
      <c r="AQ322" s="123">
        <f t="shared" si="237"/>
        <v>0</v>
      </c>
      <c r="AR322" s="123">
        <f t="shared" si="238"/>
        <v>0</v>
      </c>
    </row>
    <row r="323" spans="1:44" ht="12.75">
      <c r="A323" s="122" t="s">
        <v>246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P323" s="122"/>
      <c r="Q323" s="122"/>
      <c r="AE323" s="123">
        <f t="shared" si="239"/>
        <v>18</v>
      </c>
      <c r="AF323" s="139">
        <f t="shared" si="240"/>
        <v>393</v>
      </c>
      <c r="AG323" s="123" t="str">
        <f t="shared" si="241"/>
        <v>STORES EQUIPMENT</v>
      </c>
      <c r="AH323" s="123">
        <f t="shared" si="242"/>
        <v>7</v>
      </c>
      <c r="AI323" s="123">
        <f t="shared" si="243"/>
        <v>0</v>
      </c>
      <c r="AJ323" s="123">
        <f t="shared" si="230"/>
        <v>0</v>
      </c>
      <c r="AK323" s="123">
        <f t="shared" si="231"/>
        <v>0</v>
      </c>
      <c r="AL323" s="123">
        <f t="shared" si="232"/>
        <v>0</v>
      </c>
      <c r="AM323" s="123">
        <f t="shared" si="233"/>
        <v>0</v>
      </c>
      <c r="AN323" s="123">
        <f t="shared" si="234"/>
        <v>0</v>
      </c>
      <c r="AO323" s="123">
        <f t="shared" si="235"/>
        <v>0</v>
      </c>
      <c r="AP323" s="123">
        <f t="shared" si="236"/>
        <v>0</v>
      </c>
      <c r="AQ323" s="123">
        <f t="shared" si="237"/>
        <v>0</v>
      </c>
      <c r="AR323" s="123">
        <f t="shared" si="238"/>
        <v>0</v>
      </c>
    </row>
    <row r="324" spans="1:44" ht="12.75">
      <c r="A324" s="144" t="s">
        <v>0</v>
      </c>
      <c r="B324" s="144" t="s">
        <v>0</v>
      </c>
      <c r="C324" s="144" t="s">
        <v>0</v>
      </c>
      <c r="D324" s="144" t="s">
        <v>0</v>
      </c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P324" s="122"/>
      <c r="Q324" s="122"/>
      <c r="AE324" s="123">
        <f t="shared" si="239"/>
        <v>19</v>
      </c>
      <c r="AF324" s="139">
        <f t="shared" si="240"/>
        <v>394.1</v>
      </c>
      <c r="AG324" s="123" t="str">
        <f t="shared" si="241"/>
        <v>TOOLS,SHOP, &amp; GAR EQ-GARAGE &amp; SERV</v>
      </c>
      <c r="AH324" s="123">
        <f t="shared" si="242"/>
        <v>7</v>
      </c>
      <c r="AI324" s="123">
        <f t="shared" si="243"/>
        <v>1109</v>
      </c>
      <c r="AJ324" s="123">
        <f t="shared" si="230"/>
        <v>622</v>
      </c>
      <c r="AK324" s="123">
        <f t="shared" si="231"/>
        <v>232</v>
      </c>
      <c r="AL324" s="123">
        <f t="shared" si="232"/>
        <v>1</v>
      </c>
      <c r="AM324" s="123">
        <f t="shared" si="233"/>
        <v>0</v>
      </c>
      <c r="AN324" s="123">
        <f t="shared" si="234"/>
        <v>253</v>
      </c>
      <c r="AO324" s="123">
        <f t="shared" si="235"/>
        <v>0</v>
      </c>
      <c r="AP324" s="123">
        <f t="shared" si="236"/>
        <v>0</v>
      </c>
      <c r="AQ324" s="123">
        <f t="shared" si="237"/>
        <v>0</v>
      </c>
      <c r="AR324" s="123">
        <f t="shared" si="238"/>
        <v>0</v>
      </c>
    </row>
    <row r="325" spans="1:44" ht="12.75">
      <c r="A325" s="144" t="s">
        <v>0</v>
      </c>
      <c r="B325" s="122"/>
      <c r="C325" s="156" t="s">
        <v>120</v>
      </c>
      <c r="D325" s="156" t="s">
        <v>12</v>
      </c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P325" s="122"/>
      <c r="Q325" s="122"/>
      <c r="AE325" s="123">
        <f t="shared" si="239"/>
        <v>20</v>
      </c>
      <c r="AF325" s="139">
        <f t="shared" si="240"/>
        <v>394.11</v>
      </c>
      <c r="AG325" s="123" t="str">
        <f t="shared" si="241"/>
        <v>CNG EQUIP STATIONARY</v>
      </c>
      <c r="AH325" s="123">
        <f t="shared" si="242"/>
        <v>7</v>
      </c>
      <c r="AI325" s="123">
        <f t="shared" si="243"/>
        <v>81580</v>
      </c>
      <c r="AJ325" s="123">
        <f t="shared" si="230"/>
        <v>45789</v>
      </c>
      <c r="AK325" s="123">
        <f t="shared" si="231"/>
        <v>17092</v>
      </c>
      <c r="AL325" s="123">
        <f t="shared" si="232"/>
        <v>54</v>
      </c>
      <c r="AM325" s="123">
        <f t="shared" si="233"/>
        <v>36</v>
      </c>
      <c r="AN325" s="123">
        <f t="shared" si="234"/>
        <v>18609</v>
      </c>
      <c r="AO325" s="123">
        <f t="shared" si="235"/>
        <v>0</v>
      </c>
      <c r="AP325" s="123">
        <f t="shared" si="236"/>
        <v>0</v>
      </c>
      <c r="AQ325" s="123">
        <f t="shared" si="237"/>
        <v>0</v>
      </c>
      <c r="AR325" s="123">
        <f t="shared" si="238"/>
        <v>0</v>
      </c>
    </row>
    <row r="326" spans="1:44" ht="12.75">
      <c r="A326" s="122" t="s">
        <v>247</v>
      </c>
      <c r="B326" s="122"/>
      <c r="C326" s="156" t="s">
        <v>14</v>
      </c>
      <c r="D326" s="156" t="s">
        <v>15</v>
      </c>
      <c r="E326" s="122" t="str">
        <f>$C$35</f>
        <v>GS-RES.</v>
      </c>
      <c r="F326" s="122" t="str">
        <f>$C$36</f>
        <v>GS-OTHER</v>
      </c>
      <c r="G326" s="122" t="str">
        <f>$C$37</f>
        <v>IUS</v>
      </c>
      <c r="H326" s="122" t="str">
        <f>$C$38</f>
        <v>DS-ML/SC</v>
      </c>
      <c r="I326" s="122" t="str">
        <f>$C$39</f>
        <v>DS/IS/SS</v>
      </c>
      <c r="J326" s="122" t="str">
        <f>$C$40</f>
        <v>NOT USED</v>
      </c>
      <c r="K326" s="122" t="str">
        <f>$C$41</f>
        <v>NOT USED</v>
      </c>
      <c r="L326" s="122" t="str">
        <f>$C$42</f>
        <v>NOT USED</v>
      </c>
      <c r="M326" s="122" t="str">
        <f>$C$43</f>
        <v>NOT USED</v>
      </c>
      <c r="N326" s="122"/>
      <c r="P326" s="122"/>
      <c r="Q326" s="122"/>
      <c r="AE326" s="123">
        <f t="shared" si="239"/>
        <v>21</v>
      </c>
      <c r="AF326" s="139">
        <f t="shared" si="240"/>
        <v>394.12</v>
      </c>
      <c r="AG326" s="123" t="str">
        <f t="shared" si="241"/>
        <v>CNG EQUIP PORTABLE</v>
      </c>
      <c r="AH326" s="123">
        <f t="shared" si="242"/>
        <v>7</v>
      </c>
      <c r="AI326" s="123">
        <f t="shared" si="243"/>
        <v>0</v>
      </c>
      <c r="AJ326" s="123">
        <f t="shared" si="230"/>
        <v>0</v>
      </c>
      <c r="AK326" s="123">
        <f t="shared" si="231"/>
        <v>0</v>
      </c>
      <c r="AL326" s="123">
        <f t="shared" si="232"/>
        <v>0</v>
      </c>
      <c r="AM326" s="123">
        <f t="shared" si="233"/>
        <v>0</v>
      </c>
      <c r="AN326" s="123">
        <f t="shared" si="234"/>
        <v>0</v>
      </c>
      <c r="AO326" s="123">
        <f t="shared" si="235"/>
        <v>0</v>
      </c>
      <c r="AP326" s="123">
        <f t="shared" si="236"/>
        <v>0</v>
      </c>
      <c r="AQ326" s="123">
        <f t="shared" si="237"/>
        <v>0</v>
      </c>
      <c r="AR326" s="123">
        <f t="shared" si="238"/>
        <v>0</v>
      </c>
    </row>
    <row r="327" spans="1:44" ht="12.75">
      <c r="A327" s="144" t="s">
        <v>0</v>
      </c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P327" s="122"/>
      <c r="Q327" s="122"/>
      <c r="AE327" s="123">
        <f t="shared" si="239"/>
        <v>22</v>
      </c>
      <c r="AF327" s="139">
        <f t="shared" si="240"/>
        <v>394.13</v>
      </c>
      <c r="AG327" s="123" t="str">
        <f t="shared" si="241"/>
        <v>UNDERGROUND STORAGE TANKS</v>
      </c>
      <c r="AH327" s="123">
        <f t="shared" si="242"/>
        <v>7</v>
      </c>
      <c r="AI327" s="123">
        <f t="shared" si="243"/>
        <v>0</v>
      </c>
      <c r="AJ327" s="123">
        <f t="shared" si="230"/>
        <v>0</v>
      </c>
      <c r="AK327" s="123">
        <f t="shared" si="231"/>
        <v>0</v>
      </c>
      <c r="AL327" s="123">
        <f t="shared" si="232"/>
        <v>0</v>
      </c>
      <c r="AM327" s="123">
        <f t="shared" si="233"/>
        <v>0</v>
      </c>
      <c r="AN327" s="123">
        <f t="shared" si="234"/>
        <v>0</v>
      </c>
      <c r="AO327" s="123">
        <f t="shared" si="235"/>
        <v>0</v>
      </c>
      <c r="AP327" s="123">
        <f t="shared" si="236"/>
        <v>0</v>
      </c>
      <c r="AQ327" s="123">
        <f t="shared" si="237"/>
        <v>0</v>
      </c>
      <c r="AR327" s="123">
        <f t="shared" si="238"/>
        <v>0</v>
      </c>
    </row>
    <row r="328" spans="1:44" ht="12.75">
      <c r="A328" s="122" t="s">
        <v>248</v>
      </c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P328" s="122"/>
      <c r="Q328" s="122"/>
      <c r="AE328" s="123">
        <f t="shared" si="239"/>
        <v>23</v>
      </c>
      <c r="AF328" s="139">
        <f t="shared" si="240"/>
        <v>394.2</v>
      </c>
      <c r="AG328" s="123" t="str">
        <f t="shared" si="241"/>
        <v>SHOP EQUIPMENT</v>
      </c>
      <c r="AH328" s="123">
        <f t="shared" si="242"/>
        <v>7</v>
      </c>
      <c r="AI328" s="123">
        <f t="shared" si="243"/>
        <v>55</v>
      </c>
      <c r="AJ328" s="123">
        <f t="shared" si="230"/>
        <v>31</v>
      </c>
      <c r="AK328" s="123">
        <f t="shared" si="231"/>
        <v>12</v>
      </c>
      <c r="AL328" s="123">
        <f t="shared" si="232"/>
        <v>0</v>
      </c>
      <c r="AM328" s="123">
        <f t="shared" si="233"/>
        <v>0</v>
      </c>
      <c r="AN328" s="123">
        <f t="shared" si="234"/>
        <v>13</v>
      </c>
      <c r="AO328" s="123">
        <f t="shared" si="235"/>
        <v>0</v>
      </c>
      <c r="AP328" s="123">
        <f t="shared" si="236"/>
        <v>0</v>
      </c>
      <c r="AQ328" s="123">
        <f t="shared" si="237"/>
        <v>0</v>
      </c>
      <c r="AR328" s="123">
        <f t="shared" si="238"/>
        <v>0</v>
      </c>
    </row>
    <row r="329" spans="1:44" ht="12.7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P329" s="122"/>
      <c r="Q329" s="122"/>
      <c r="AE329" s="123">
        <f t="shared" si="239"/>
        <v>24</v>
      </c>
      <c r="AF329" s="139">
        <f t="shared" si="240"/>
        <v>394.3</v>
      </c>
      <c r="AG329" s="123" t="str">
        <f t="shared" si="241"/>
        <v>TOOLS &amp; OTHER EQUIPMENT</v>
      </c>
      <c r="AH329" s="123">
        <f t="shared" si="242"/>
        <v>7</v>
      </c>
      <c r="AI329" s="123">
        <f t="shared" si="243"/>
        <v>73112</v>
      </c>
      <c r="AJ329" s="123">
        <f t="shared" si="230"/>
        <v>41036</v>
      </c>
      <c r="AK329" s="123">
        <f t="shared" si="231"/>
        <v>15318</v>
      </c>
      <c r="AL329" s="123">
        <f t="shared" si="232"/>
        <v>48</v>
      </c>
      <c r="AM329" s="123">
        <f t="shared" si="233"/>
        <v>32</v>
      </c>
      <c r="AN329" s="123">
        <f t="shared" si="234"/>
        <v>16678</v>
      </c>
      <c r="AO329" s="123">
        <f t="shared" si="235"/>
        <v>0</v>
      </c>
      <c r="AP329" s="123">
        <f t="shared" si="236"/>
        <v>0</v>
      </c>
      <c r="AQ329" s="123">
        <f t="shared" si="237"/>
        <v>0</v>
      </c>
      <c r="AR329" s="123">
        <f t="shared" si="238"/>
        <v>0</v>
      </c>
    </row>
    <row r="330" spans="1:44" ht="12.75">
      <c r="A330" s="122" t="s">
        <v>249</v>
      </c>
      <c r="B330" s="122"/>
      <c r="C330" s="122"/>
      <c r="D330" s="17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P330" s="122"/>
      <c r="Q330" s="122"/>
      <c r="AE330" s="123">
        <f t="shared" si="239"/>
        <v>25</v>
      </c>
      <c r="AF330" s="139">
        <f t="shared" si="240"/>
        <v>395</v>
      </c>
      <c r="AG330" s="123" t="str">
        <f t="shared" si="241"/>
        <v>LABORATORY EQUIPMENT</v>
      </c>
      <c r="AH330" s="123">
        <f t="shared" si="242"/>
        <v>7</v>
      </c>
      <c r="AI330" s="123">
        <f t="shared" si="243"/>
        <v>515</v>
      </c>
      <c r="AJ330" s="123">
        <f t="shared" si="230"/>
        <v>289</v>
      </c>
      <c r="AK330" s="123">
        <f t="shared" si="231"/>
        <v>108</v>
      </c>
      <c r="AL330" s="123">
        <f t="shared" si="232"/>
        <v>0</v>
      </c>
      <c r="AM330" s="123">
        <f t="shared" si="233"/>
        <v>0</v>
      </c>
      <c r="AN330" s="123">
        <f t="shared" si="234"/>
        <v>117</v>
      </c>
      <c r="AO330" s="123">
        <f t="shared" si="235"/>
        <v>0</v>
      </c>
      <c r="AP330" s="123">
        <f t="shared" si="236"/>
        <v>0</v>
      </c>
      <c r="AQ330" s="123">
        <f t="shared" si="237"/>
        <v>0</v>
      </c>
      <c r="AR330" s="123">
        <f t="shared" si="238"/>
        <v>0</v>
      </c>
    </row>
    <row r="331" spans="1:44" ht="12.75">
      <c r="A331" s="184" t="s">
        <v>250</v>
      </c>
      <c r="B331" s="145" t="s">
        <v>251</v>
      </c>
      <c r="C331" s="145">
        <v>10</v>
      </c>
      <c r="D331" s="148">
        <v>223960</v>
      </c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P331" s="122"/>
      <c r="Q331" s="122"/>
      <c r="AE331" s="123">
        <f t="shared" si="239"/>
        <v>26</v>
      </c>
      <c r="AF331" s="139">
        <f t="shared" si="240"/>
        <v>396</v>
      </c>
      <c r="AG331" s="123" t="str">
        <f t="shared" si="241"/>
        <v>POWER OP EQUIP-GEN TOOLS</v>
      </c>
      <c r="AH331" s="123">
        <f t="shared" si="242"/>
        <v>7</v>
      </c>
      <c r="AI331" s="123">
        <f t="shared" si="243"/>
        <v>0</v>
      </c>
      <c r="AJ331" s="123">
        <f t="shared" si="230"/>
        <v>0</v>
      </c>
      <c r="AK331" s="123">
        <f t="shared" si="231"/>
        <v>0</v>
      </c>
      <c r="AL331" s="123">
        <f t="shared" si="232"/>
        <v>0</v>
      </c>
      <c r="AM331" s="123">
        <f t="shared" si="233"/>
        <v>0</v>
      </c>
      <c r="AN331" s="123">
        <f t="shared" si="234"/>
        <v>0</v>
      </c>
      <c r="AO331" s="123">
        <f t="shared" si="235"/>
        <v>0</v>
      </c>
      <c r="AP331" s="123">
        <f t="shared" si="236"/>
        <v>0</v>
      </c>
      <c r="AQ331" s="123">
        <f t="shared" si="237"/>
        <v>0</v>
      </c>
      <c r="AR331" s="123">
        <f t="shared" si="238"/>
        <v>0</v>
      </c>
    </row>
    <row r="332" spans="1:44" ht="12.75">
      <c r="A332" s="184" t="s">
        <v>252</v>
      </c>
      <c r="B332" s="145" t="s">
        <v>253</v>
      </c>
      <c r="C332" s="145">
        <v>4</v>
      </c>
      <c r="D332" s="148">
        <v>12806</v>
      </c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P332" s="122"/>
      <c r="Q332" s="122"/>
      <c r="AE332" s="123">
        <f t="shared" si="239"/>
        <v>27</v>
      </c>
      <c r="AF332" s="139">
        <f t="shared" si="240"/>
        <v>397.5</v>
      </c>
      <c r="AG332" s="123" t="str">
        <f t="shared" si="241"/>
        <v>COMMUNICATION EQUIP - TELEMETERING</v>
      </c>
      <c r="AH332" s="123">
        <f t="shared" si="242"/>
        <v>7</v>
      </c>
      <c r="AI332" s="123">
        <f t="shared" si="243"/>
        <v>0</v>
      </c>
      <c r="AJ332" s="123">
        <f t="shared" si="230"/>
        <v>0</v>
      </c>
      <c r="AK332" s="123">
        <f t="shared" si="231"/>
        <v>0</v>
      </c>
      <c r="AL332" s="123">
        <f t="shared" si="232"/>
        <v>0</v>
      </c>
      <c r="AM332" s="123">
        <f t="shared" si="233"/>
        <v>0</v>
      </c>
      <c r="AN332" s="123">
        <f t="shared" si="234"/>
        <v>0</v>
      </c>
      <c r="AO332" s="123">
        <f t="shared" si="235"/>
        <v>0</v>
      </c>
      <c r="AP332" s="123">
        <f t="shared" si="236"/>
        <v>0</v>
      </c>
      <c r="AQ332" s="123">
        <f t="shared" si="237"/>
        <v>0</v>
      </c>
      <c r="AR332" s="123">
        <f t="shared" si="238"/>
        <v>0</v>
      </c>
    </row>
    <row r="333" spans="1:44" ht="12.75">
      <c r="A333" s="184" t="s">
        <v>254</v>
      </c>
      <c r="B333" s="145" t="s">
        <v>255</v>
      </c>
      <c r="C333" s="145">
        <v>14</v>
      </c>
      <c r="D333" s="148">
        <v>741716</v>
      </c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P333" s="122"/>
      <c r="Q333" s="122"/>
      <c r="AE333" s="123">
        <f t="shared" si="239"/>
        <v>28</v>
      </c>
      <c r="AF333" s="139">
        <f t="shared" si="240"/>
        <v>398</v>
      </c>
      <c r="AG333" s="123" t="str">
        <f t="shared" si="241"/>
        <v>MISCELLANEOUS EQUIPMENT</v>
      </c>
      <c r="AH333" s="123">
        <f t="shared" si="242"/>
        <v>7</v>
      </c>
      <c r="AI333" s="141">
        <f t="shared" si="243"/>
        <v>6675</v>
      </c>
      <c r="AJ333" s="141">
        <f t="shared" si="230"/>
        <v>3747</v>
      </c>
      <c r="AK333" s="141">
        <f t="shared" si="231"/>
        <v>1398</v>
      </c>
      <c r="AL333" s="141">
        <f t="shared" si="232"/>
        <v>4</v>
      </c>
      <c r="AM333" s="141">
        <f t="shared" si="233"/>
        <v>3</v>
      </c>
      <c r="AN333" s="141">
        <f t="shared" si="234"/>
        <v>1523</v>
      </c>
      <c r="AO333" s="141">
        <f t="shared" si="235"/>
        <v>0</v>
      </c>
      <c r="AP333" s="141">
        <f t="shared" si="236"/>
        <v>0</v>
      </c>
      <c r="AQ333" s="141">
        <f t="shared" si="237"/>
        <v>0</v>
      </c>
      <c r="AR333" s="141">
        <f t="shared" si="238"/>
        <v>0</v>
      </c>
    </row>
    <row r="334" spans="1:44" ht="12.75">
      <c r="A334" s="184" t="s">
        <v>256</v>
      </c>
      <c r="B334" s="145" t="s">
        <v>257</v>
      </c>
      <c r="C334" s="145">
        <v>18</v>
      </c>
      <c r="D334" s="148">
        <v>113424</v>
      </c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P334" s="122"/>
      <c r="Q334" s="122"/>
      <c r="AE334" s="123">
        <f t="shared" si="239"/>
        <v>29</v>
      </c>
      <c r="AG334" s="123" t="s">
        <v>118</v>
      </c>
      <c r="AI334" s="123">
        <f aca="true" t="shared" si="244" ref="AI334:AR334">SUM(AI319:AI333)</f>
        <v>367913</v>
      </c>
      <c r="AJ334" s="123">
        <f t="shared" si="244"/>
        <v>206502</v>
      </c>
      <c r="AK334" s="123">
        <f t="shared" si="244"/>
        <v>77082</v>
      </c>
      <c r="AL334" s="123">
        <f t="shared" si="244"/>
        <v>243</v>
      </c>
      <c r="AM334" s="123">
        <f t="shared" si="244"/>
        <v>162</v>
      </c>
      <c r="AN334" s="123">
        <f t="shared" si="244"/>
        <v>83925</v>
      </c>
      <c r="AO334" s="123">
        <f t="shared" si="244"/>
        <v>0</v>
      </c>
      <c r="AP334" s="123">
        <f t="shared" si="244"/>
        <v>0</v>
      </c>
      <c r="AQ334" s="123">
        <f t="shared" si="244"/>
        <v>0</v>
      </c>
      <c r="AR334" s="123">
        <f t="shared" si="244"/>
        <v>0</v>
      </c>
    </row>
    <row r="335" spans="1:17" ht="12.75">
      <c r="A335" s="184" t="s">
        <v>258</v>
      </c>
      <c r="B335" s="145" t="s">
        <v>259</v>
      </c>
      <c r="C335" s="145">
        <v>8</v>
      </c>
      <c r="D335" s="148">
        <v>28468</v>
      </c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P335" s="122"/>
      <c r="Q335" s="122"/>
    </row>
    <row r="336" spans="1:44" ht="12.75">
      <c r="A336" s="184" t="s">
        <v>260</v>
      </c>
      <c r="B336" s="145" t="s">
        <v>261</v>
      </c>
      <c r="C336" s="145">
        <v>16</v>
      </c>
      <c r="D336" s="148">
        <v>1082187</v>
      </c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P336" s="122"/>
      <c r="Q336" s="122"/>
      <c r="AE336" s="123">
        <f>AE334+1</f>
        <v>30</v>
      </c>
      <c r="AF336" s="139"/>
      <c r="AG336" s="123" t="str">
        <f>B281</f>
        <v> </v>
      </c>
      <c r="AH336" s="123">
        <f>C281</f>
        <v>12</v>
      </c>
      <c r="AI336" s="123">
        <f>D281</f>
        <v>0</v>
      </c>
      <c r="AJ336" s="123">
        <f>ROUND((VLOOKUP($AH336,$A$661:$Y$709,13)*$AI336),0)</f>
        <v>0</v>
      </c>
      <c r="AK336" s="123">
        <f>ROUND((VLOOKUP($AH336,$A$661:$Y$709,14)*$AI336),0)</f>
        <v>0</v>
      </c>
      <c r="AL336" s="123">
        <f>ROUND((VLOOKUP($AH336,$A$661:$Y$709,15)*$AI336),0)</f>
        <v>0</v>
      </c>
      <c r="AM336" s="123">
        <f>ROUND((VLOOKUP($AH336,$A$661:$Y$709,16)*$AI336),0)</f>
        <v>0</v>
      </c>
      <c r="AN336" s="123">
        <f>ROUND((VLOOKUP($AH336,$A$661:$Y$709,17)*$AI336),0)</f>
        <v>0</v>
      </c>
      <c r="AO336" s="123">
        <f>ROUND((VLOOKUP($AH336,$A$661:$Y$709,18)*$AI336),0)</f>
        <v>0</v>
      </c>
      <c r="AP336" s="123">
        <f>ROUND((VLOOKUP($AH336,$A$661:$Y$709,19)*$AI336),0)</f>
        <v>0</v>
      </c>
      <c r="AQ336" s="123">
        <f>ROUND((VLOOKUP($AH336,$A$661:$Y$709,20)*$AI336),0)</f>
        <v>0</v>
      </c>
      <c r="AR336" s="123">
        <f>ROUND((VLOOKUP($AH336,$A$661:$Y$709,21)*$AI336),0)</f>
        <v>0</v>
      </c>
    </row>
    <row r="337" spans="1:17" ht="12.75">
      <c r="A337" s="184" t="s">
        <v>262</v>
      </c>
      <c r="B337" s="145" t="s">
        <v>263</v>
      </c>
      <c r="C337" s="145">
        <v>16</v>
      </c>
      <c r="D337" s="148">
        <v>761099</v>
      </c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P337" s="122"/>
      <c r="Q337" s="122"/>
    </row>
    <row r="338" spans="1:44" ht="12.75">
      <c r="A338" s="184" t="s">
        <v>264</v>
      </c>
      <c r="B338" s="145" t="s">
        <v>221</v>
      </c>
      <c r="C338" s="145">
        <v>10</v>
      </c>
      <c r="D338" s="148">
        <v>684426</v>
      </c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AE338" s="123">
        <f>AE336+1</f>
        <v>31</v>
      </c>
      <c r="AG338" s="140" t="s">
        <v>208</v>
      </c>
      <c r="AI338" s="123">
        <f aca="true" t="shared" si="245" ref="AI338:AR338">AI268+AI275+AI315+AI334+AI336</f>
        <v>7396789.9947</v>
      </c>
      <c r="AJ338" s="123">
        <f t="shared" si="245"/>
        <v>4483046</v>
      </c>
      <c r="AK338" s="123">
        <f t="shared" si="245"/>
        <v>1485745</v>
      </c>
      <c r="AL338" s="123">
        <f t="shared" si="245"/>
        <v>4588</v>
      </c>
      <c r="AM338" s="123">
        <f t="shared" si="245"/>
        <v>4805</v>
      </c>
      <c r="AN338" s="123">
        <f t="shared" si="245"/>
        <v>1418606</v>
      </c>
      <c r="AO338" s="123">
        <f t="shared" si="245"/>
        <v>0</v>
      </c>
      <c r="AP338" s="123">
        <f t="shared" si="245"/>
        <v>0</v>
      </c>
      <c r="AQ338" s="123">
        <f t="shared" si="245"/>
        <v>0</v>
      </c>
      <c r="AR338" s="123">
        <f t="shared" si="245"/>
        <v>0</v>
      </c>
    </row>
    <row r="339" spans="1:43" ht="12.75">
      <c r="A339" s="184" t="s">
        <v>265</v>
      </c>
      <c r="B339" s="145" t="s">
        <v>220</v>
      </c>
      <c r="C339" s="145">
        <v>10</v>
      </c>
      <c r="D339" s="148">
        <v>0</v>
      </c>
      <c r="E339" s="122">
        <f>SUM(D331:D339)</f>
        <v>3648086</v>
      </c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AK339" s="125" t="str">
        <f>""&amp;+$B$24</f>
        <v>COLUMBIA GAS OF KENTUCKY, INC.</v>
      </c>
      <c r="AQ339" s="123" t="str">
        <f>$B$25</f>
        <v>D/C STUDY</v>
      </c>
    </row>
    <row r="340" spans="1:43" ht="12.75">
      <c r="A340" s="122" t="s">
        <v>266</v>
      </c>
      <c r="B340" s="122"/>
      <c r="C340" s="122"/>
      <c r="D340" s="173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AE340" s="123" t="str">
        <f>$B$30</f>
        <v>DEMAND-COMMODITY</v>
      </c>
      <c r="AK340" s="125" t="s">
        <v>74</v>
      </c>
      <c r="AQ340" s="123" t="str">
        <f>"PAGE 12 OF "&amp;FIXED($B$31,0,TRUE)</f>
        <v>PAGE 12 OF 28</v>
      </c>
    </row>
    <row r="341" spans="1:44" ht="12.75">
      <c r="A341" s="184" t="s">
        <v>267</v>
      </c>
      <c r="B341" s="145" t="s">
        <v>251</v>
      </c>
      <c r="C341" s="145">
        <v>10</v>
      </c>
      <c r="D341" s="148">
        <v>114492</v>
      </c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AE341" s="128" t="str">
        <f>$B$29</f>
        <v>HISTORIC PERIOD - ORIGINAL FILING</v>
      </c>
      <c r="AF341" s="128"/>
      <c r="AG341" s="128"/>
      <c r="AH341" s="129"/>
      <c r="AI341" s="129"/>
      <c r="AJ341" s="128"/>
      <c r="AK341" s="130" t="str">
        <f>"FOR THE TWELVE MONTHS ENDED "&amp;$B$27</f>
        <v>FOR THE TWELVE MONTHS ENDED 09/30/2006</v>
      </c>
      <c r="AL341" s="128"/>
      <c r="AM341" s="128"/>
      <c r="AN341" s="128"/>
      <c r="AO341" s="128"/>
      <c r="AP341" s="128"/>
      <c r="AQ341" s="128" t="str">
        <f>"WITNESS: "&amp;$B$28</f>
        <v>WITNESS: R. GIBBONS</v>
      </c>
      <c r="AR341" s="131"/>
    </row>
    <row r="342" spans="1:35" ht="12.75">
      <c r="A342" s="184" t="s">
        <v>268</v>
      </c>
      <c r="B342" s="145" t="s">
        <v>144</v>
      </c>
      <c r="C342" s="145">
        <v>18</v>
      </c>
      <c r="D342" s="148">
        <v>27281</v>
      </c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AE342" s="125" t="s">
        <v>9</v>
      </c>
      <c r="AF342" s="123" t="s">
        <v>10</v>
      </c>
      <c r="AH342" s="125" t="s">
        <v>11</v>
      </c>
      <c r="AI342" s="125" t="s">
        <v>12</v>
      </c>
    </row>
    <row r="343" spans="1:44" ht="12.75">
      <c r="A343" s="184" t="s">
        <v>269</v>
      </c>
      <c r="B343" s="145" t="s">
        <v>158</v>
      </c>
      <c r="C343" s="145">
        <v>18</v>
      </c>
      <c r="D343" s="148">
        <v>398850</v>
      </c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AE343" s="133" t="s">
        <v>13</v>
      </c>
      <c r="AF343" s="133" t="s">
        <v>13</v>
      </c>
      <c r="AG343" s="171" t="str">
        <f>AG5</f>
        <v> ACCOUNT TITLE</v>
      </c>
      <c r="AH343" s="141" t="s">
        <v>14</v>
      </c>
      <c r="AI343" s="133" t="s">
        <v>15</v>
      </c>
      <c r="AJ343" s="133" t="str">
        <f>"  "&amp;+$C$35</f>
        <v>  GS-RES.</v>
      </c>
      <c r="AK343" s="133" t="str">
        <f>$C$36</f>
        <v>GS-OTHER</v>
      </c>
      <c r="AL343" s="133" t="str">
        <f>$C$37</f>
        <v>IUS</v>
      </c>
      <c r="AM343" s="133" t="str">
        <f>$C$38</f>
        <v>DS-ML/SC</v>
      </c>
      <c r="AN343" s="133" t="str">
        <f>$C$39</f>
        <v>DS/IS/SS</v>
      </c>
      <c r="AO343" s="133" t="str">
        <f>$C$40</f>
        <v>NOT USED</v>
      </c>
      <c r="AP343" s="133" t="str">
        <f>$C$41</f>
        <v>NOT USED</v>
      </c>
      <c r="AQ343" s="133" t="str">
        <f>$C$42</f>
        <v>NOT USED</v>
      </c>
      <c r="AR343" s="133" t="str">
        <f>$C$43</f>
        <v>NOT USED</v>
      </c>
    </row>
    <row r="344" spans="1:44" ht="12.75">
      <c r="A344" s="184" t="s">
        <v>270</v>
      </c>
      <c r="B344" s="145" t="s">
        <v>257</v>
      </c>
      <c r="C344" s="145">
        <v>18</v>
      </c>
      <c r="D344" s="148">
        <v>104196</v>
      </c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AF344" s="136" t="s">
        <v>17</v>
      </c>
      <c r="AG344" s="136" t="s">
        <v>18</v>
      </c>
      <c r="AH344" s="125" t="s">
        <v>19</v>
      </c>
      <c r="AI344" s="125" t="s">
        <v>20</v>
      </c>
      <c r="AJ344" s="125" t="s">
        <v>21</v>
      </c>
      <c r="AK344" s="125" t="s">
        <v>22</v>
      </c>
      <c r="AL344" s="125" t="s">
        <v>23</v>
      </c>
      <c r="AM344" s="125" t="s">
        <v>24</v>
      </c>
      <c r="AN344" s="125" t="s">
        <v>25</v>
      </c>
      <c r="AO344" s="125" t="s">
        <v>26</v>
      </c>
      <c r="AP344" s="125" t="s">
        <v>27</v>
      </c>
      <c r="AQ344" s="125" t="s">
        <v>28</v>
      </c>
      <c r="AR344" s="125" t="s">
        <v>29</v>
      </c>
    </row>
    <row r="345" spans="1:44" ht="12.75">
      <c r="A345" s="184" t="s">
        <v>271</v>
      </c>
      <c r="B345" s="145" t="s">
        <v>259</v>
      </c>
      <c r="C345" s="145">
        <v>8</v>
      </c>
      <c r="D345" s="148">
        <v>26940</v>
      </c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AI345" s="125" t="s">
        <v>32</v>
      </c>
      <c r="AJ345" s="125" t="s">
        <v>32</v>
      </c>
      <c r="AK345" s="125" t="s">
        <v>32</v>
      </c>
      <c r="AL345" s="125" t="s">
        <v>32</v>
      </c>
      <c r="AM345" s="125" t="s">
        <v>32</v>
      </c>
      <c r="AN345" s="125" t="s">
        <v>32</v>
      </c>
      <c r="AO345" s="125" t="s">
        <v>32</v>
      </c>
      <c r="AP345" s="125" t="s">
        <v>32</v>
      </c>
      <c r="AQ345" s="125" t="s">
        <v>32</v>
      </c>
      <c r="AR345" s="125" t="s">
        <v>32</v>
      </c>
    </row>
    <row r="346" spans="1:32" ht="12.75">
      <c r="A346" s="184" t="s">
        <v>272</v>
      </c>
      <c r="B346" s="145" t="s">
        <v>163</v>
      </c>
      <c r="C346" s="145">
        <v>15</v>
      </c>
      <c r="D346" s="148">
        <v>197911</v>
      </c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AE346" s="123">
        <v>1</v>
      </c>
      <c r="AF346" s="123" t="s">
        <v>34</v>
      </c>
    </row>
    <row r="347" spans="1:17" ht="12.75">
      <c r="A347" s="184" t="s">
        <v>273</v>
      </c>
      <c r="B347" s="145" t="s">
        <v>261</v>
      </c>
      <c r="C347" s="145">
        <v>16</v>
      </c>
      <c r="D347" s="148">
        <v>40625</v>
      </c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</row>
    <row r="348" spans="1:44" ht="12.75">
      <c r="A348" s="184" t="s">
        <v>274</v>
      </c>
      <c r="B348" s="145" t="s">
        <v>275</v>
      </c>
      <c r="C348" s="145">
        <v>10</v>
      </c>
      <c r="D348" s="148">
        <v>48206</v>
      </c>
      <c r="E348" s="122">
        <f>SUM(D341:D348)</f>
        <v>958501</v>
      </c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AE348" s="123">
        <f>AE346+1</f>
        <v>2</v>
      </c>
      <c r="AF348" s="139" t="str">
        <f aca="true" t="shared" si="246" ref="AF348:AG350">A293</f>
        <v>480.00</v>
      </c>
      <c r="AG348" s="139" t="str">
        <f t="shared" si="246"/>
        <v>RESIDENTIAL SALES</v>
      </c>
      <c r="AI348" s="123">
        <f>SUM(AJ348:AR348)</f>
        <v>89345850.89000002</v>
      </c>
      <c r="AJ348" s="123">
        <f aca="true" t="shared" si="247" ref="AJ348:AR350">E293</f>
        <v>89345850.89000002</v>
      </c>
      <c r="AK348" s="123">
        <f t="shared" si="247"/>
        <v>0</v>
      </c>
      <c r="AL348" s="123">
        <f t="shared" si="247"/>
        <v>0</v>
      </c>
      <c r="AM348" s="123">
        <f t="shared" si="247"/>
        <v>0</v>
      </c>
      <c r="AN348" s="123">
        <f t="shared" si="247"/>
        <v>0</v>
      </c>
      <c r="AO348" s="123">
        <f t="shared" si="247"/>
        <v>0</v>
      </c>
      <c r="AP348" s="123">
        <f t="shared" si="247"/>
        <v>0</v>
      </c>
      <c r="AQ348" s="123">
        <f t="shared" si="247"/>
        <v>0</v>
      </c>
      <c r="AR348" s="123">
        <f t="shared" si="247"/>
        <v>0</v>
      </c>
    </row>
    <row r="349" spans="1:44" ht="12.75">
      <c r="A349" s="122" t="s">
        <v>276</v>
      </c>
      <c r="B349" s="122"/>
      <c r="C349" s="122"/>
      <c r="D349" s="173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AE349" s="123">
        <f>AE348+1</f>
        <v>3</v>
      </c>
      <c r="AF349" s="139" t="str">
        <f t="shared" si="246"/>
        <v>481.10</v>
      </c>
      <c r="AG349" s="139" t="str">
        <f t="shared" si="246"/>
        <v>COMMERCIAL SALES</v>
      </c>
      <c r="AI349" s="123">
        <f>SUM(AJ349:AR349)</f>
        <v>49250000.52</v>
      </c>
      <c r="AJ349" s="123">
        <f t="shared" si="247"/>
        <v>0</v>
      </c>
      <c r="AK349" s="123">
        <f t="shared" si="247"/>
        <v>48946630.11000001</v>
      </c>
      <c r="AL349" s="123">
        <f t="shared" si="247"/>
        <v>0</v>
      </c>
      <c r="AM349" s="123">
        <f t="shared" si="247"/>
        <v>0</v>
      </c>
      <c r="AN349" s="123">
        <f t="shared" si="247"/>
        <v>303370.41000000003</v>
      </c>
      <c r="AO349" s="123">
        <f t="shared" si="247"/>
        <v>0</v>
      </c>
      <c r="AP349" s="123">
        <f t="shared" si="247"/>
        <v>0</v>
      </c>
      <c r="AQ349" s="123">
        <f t="shared" si="247"/>
        <v>0</v>
      </c>
      <c r="AR349" s="123">
        <f t="shared" si="247"/>
        <v>0</v>
      </c>
    </row>
    <row r="350" spans="1:44" ht="12.75">
      <c r="A350" s="184" t="s">
        <v>277</v>
      </c>
      <c r="B350" s="145" t="s">
        <v>278</v>
      </c>
      <c r="C350" s="145">
        <v>6</v>
      </c>
      <c r="D350" s="148">
        <v>6448</v>
      </c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AE350" s="123">
        <f>AE349+1</f>
        <v>4</v>
      </c>
      <c r="AF350" s="139" t="str">
        <f t="shared" si="246"/>
        <v>481.20</v>
      </c>
      <c r="AG350" s="139" t="str">
        <f t="shared" si="246"/>
        <v>INDUSTRIAL SALES</v>
      </c>
      <c r="AI350" s="123">
        <f>SUM(AJ350:AR350)</f>
        <v>3004978.78</v>
      </c>
      <c r="AJ350" s="123">
        <f t="shared" si="247"/>
        <v>0</v>
      </c>
      <c r="AK350" s="123">
        <f t="shared" si="247"/>
        <v>1936156.69</v>
      </c>
      <c r="AL350" s="123">
        <f t="shared" si="247"/>
        <v>234482.32</v>
      </c>
      <c r="AM350" s="123">
        <f t="shared" si="247"/>
        <v>0</v>
      </c>
      <c r="AN350" s="123">
        <f t="shared" si="247"/>
        <v>834339.77</v>
      </c>
      <c r="AO350" s="123">
        <f t="shared" si="247"/>
        <v>0</v>
      </c>
      <c r="AP350" s="123">
        <f t="shared" si="247"/>
        <v>0</v>
      </c>
      <c r="AQ350" s="123">
        <f t="shared" si="247"/>
        <v>0</v>
      </c>
      <c r="AR350" s="123">
        <f t="shared" si="247"/>
        <v>0</v>
      </c>
    </row>
    <row r="351" spans="1:44" ht="12.75">
      <c r="A351" s="184" t="s">
        <v>279</v>
      </c>
      <c r="B351" s="145" t="s">
        <v>280</v>
      </c>
      <c r="C351" s="145">
        <v>6</v>
      </c>
      <c r="D351" s="148">
        <v>132168</v>
      </c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AE351" s="123">
        <f>AE350+1</f>
        <v>5</v>
      </c>
      <c r="AG351" s="139" t="str">
        <f>B302</f>
        <v>UNBILLED REVENUE</v>
      </c>
      <c r="AI351" s="141">
        <f>SUM(AJ351:AR351)</f>
        <v>0</v>
      </c>
      <c r="AJ351" s="141">
        <f aca="true" t="shared" si="248" ref="AJ351:AR351">E302</f>
        <v>0</v>
      </c>
      <c r="AK351" s="141">
        <f t="shared" si="248"/>
        <v>0</v>
      </c>
      <c r="AL351" s="141">
        <f t="shared" si="248"/>
        <v>0</v>
      </c>
      <c r="AM351" s="141">
        <f t="shared" si="248"/>
        <v>0</v>
      </c>
      <c r="AN351" s="141">
        <f t="shared" si="248"/>
        <v>0</v>
      </c>
      <c r="AO351" s="141">
        <f t="shared" si="248"/>
        <v>0</v>
      </c>
      <c r="AP351" s="141">
        <f t="shared" si="248"/>
        <v>0</v>
      </c>
      <c r="AQ351" s="141">
        <f t="shared" si="248"/>
        <v>0</v>
      </c>
      <c r="AR351" s="141">
        <f t="shared" si="248"/>
        <v>0</v>
      </c>
    </row>
    <row r="352" spans="1:44" ht="12.75">
      <c r="A352" s="184" t="s">
        <v>281</v>
      </c>
      <c r="B352" s="145" t="s">
        <v>282</v>
      </c>
      <c r="C352" s="145">
        <v>6</v>
      </c>
      <c r="D352" s="148">
        <v>998392</v>
      </c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AE352" s="123">
        <f>AE351+1</f>
        <v>6</v>
      </c>
      <c r="AG352" s="139" t="s">
        <v>283</v>
      </c>
      <c r="AI352" s="123">
        <f aca="true" t="shared" si="249" ref="AI352:AR352">SUM(AI348:AI351)</f>
        <v>141600830.19000003</v>
      </c>
      <c r="AJ352" s="123">
        <f t="shared" si="249"/>
        <v>89345850.89000002</v>
      </c>
      <c r="AK352" s="123">
        <f t="shared" si="249"/>
        <v>50882786.800000004</v>
      </c>
      <c r="AL352" s="123">
        <f t="shared" si="249"/>
        <v>234482.32</v>
      </c>
      <c r="AM352" s="123">
        <f t="shared" si="249"/>
        <v>0</v>
      </c>
      <c r="AN352" s="123">
        <f t="shared" si="249"/>
        <v>1137710.1800000002</v>
      </c>
      <c r="AO352" s="123">
        <f t="shared" si="249"/>
        <v>0</v>
      </c>
      <c r="AP352" s="123">
        <f t="shared" si="249"/>
        <v>0</v>
      </c>
      <c r="AQ352" s="123">
        <f t="shared" si="249"/>
        <v>0</v>
      </c>
      <c r="AR352" s="123">
        <f t="shared" si="249"/>
        <v>0</v>
      </c>
    </row>
    <row r="353" spans="1:17" ht="12.75">
      <c r="A353" s="184" t="s">
        <v>281</v>
      </c>
      <c r="B353" s="145" t="s">
        <v>284</v>
      </c>
      <c r="C353" s="145"/>
      <c r="D353" s="173">
        <v>0</v>
      </c>
      <c r="E353" s="122"/>
      <c r="F353" s="122"/>
      <c r="G353" s="122"/>
      <c r="H353" s="122"/>
      <c r="I353" s="122"/>
      <c r="J353" s="122"/>
      <c r="K353" s="122"/>
      <c r="L353" s="122"/>
      <c r="M353" s="122"/>
      <c r="O353" s="122"/>
      <c r="P353" s="122"/>
      <c r="Q353" s="122"/>
    </row>
    <row r="354" spans="1:44" ht="12.75">
      <c r="A354" s="184" t="s">
        <v>285</v>
      </c>
      <c r="B354" s="145" t="s">
        <v>286</v>
      </c>
      <c r="C354" s="145">
        <v>6</v>
      </c>
      <c r="D354" s="166">
        <v>0</v>
      </c>
      <c r="F354" s="145"/>
      <c r="G354" s="145"/>
      <c r="H354" s="145"/>
      <c r="I354" s="145"/>
      <c r="J354" s="145"/>
      <c r="K354" s="145"/>
      <c r="L354" s="145"/>
      <c r="M354" s="145"/>
      <c r="O354" s="122"/>
      <c r="P354" s="122"/>
      <c r="Q354" s="122"/>
      <c r="AE354" s="123">
        <f>AE352+1</f>
        <v>7</v>
      </c>
      <c r="AF354" s="139" t="str">
        <f aca="true" t="shared" si="250" ref="AF354:AG359">A296</f>
        <v>487.00</v>
      </c>
      <c r="AG354" s="139" t="str">
        <f t="shared" si="250"/>
        <v>FORFEITED DISCOUNTS</v>
      </c>
      <c r="AH354" s="123" t="str">
        <f>C296</f>
        <v> </v>
      </c>
      <c r="AI354" s="123">
        <f aca="true" t="shared" si="251" ref="AI354:AR354">D296</f>
        <v>388732</v>
      </c>
      <c r="AJ354" s="123">
        <f t="shared" si="251"/>
        <v>0</v>
      </c>
      <c r="AK354" s="123">
        <f t="shared" si="251"/>
        <v>386333.102149926</v>
      </c>
      <c r="AL354" s="123">
        <f t="shared" si="251"/>
        <v>53.06317825048344</v>
      </c>
      <c r="AM354" s="123">
        <f t="shared" si="251"/>
        <v>154.7676032305767</v>
      </c>
      <c r="AN354" s="123">
        <f t="shared" si="251"/>
        <v>2191.0670685928785</v>
      </c>
      <c r="AO354" s="123">
        <f t="shared" si="251"/>
        <v>0</v>
      </c>
      <c r="AP354" s="123">
        <f t="shared" si="251"/>
        <v>0</v>
      </c>
      <c r="AQ354" s="123">
        <f t="shared" si="251"/>
        <v>0</v>
      </c>
      <c r="AR354" s="123">
        <f t="shared" si="251"/>
        <v>0</v>
      </c>
    </row>
    <row r="355" spans="1:44" ht="12.75">
      <c r="A355" s="184" t="s">
        <v>287</v>
      </c>
      <c r="B355" s="145" t="s">
        <v>288</v>
      </c>
      <c r="C355" s="145">
        <v>6</v>
      </c>
      <c r="D355" s="148">
        <v>1216</v>
      </c>
      <c r="O355" s="122"/>
      <c r="P355" s="122"/>
      <c r="Q355" s="122"/>
      <c r="AE355" s="123">
        <f aca="true" t="shared" si="252" ref="AE355:AE360">AE354+1</f>
        <v>8</v>
      </c>
      <c r="AF355" s="139" t="str">
        <f t="shared" si="250"/>
        <v>488.00</v>
      </c>
      <c r="AG355" s="139" t="str">
        <f t="shared" si="250"/>
        <v>MISC. SERVICE REVENUE</v>
      </c>
      <c r="AH355" s="123">
        <f>C297</f>
        <v>6</v>
      </c>
      <c r="AI355" s="123">
        <f>D297</f>
        <v>118856</v>
      </c>
      <c r="AJ355" s="123">
        <f>ROUND((VLOOKUP($AH355,$A$661:$Y$709,13)*$AI355),0)</f>
        <v>106338</v>
      </c>
      <c r="AK355" s="123">
        <f>ROUND((VLOOKUP($AH355,$A$661:$Y$709,14)*$AI355),0)</f>
        <v>12442</v>
      </c>
      <c r="AL355" s="123">
        <f>ROUND((VLOOKUP($AH355,$A$661:$Y$709,15)*$AI355),0)</f>
        <v>1</v>
      </c>
      <c r="AM355" s="123">
        <f>ROUND((VLOOKUP($AH355,$A$661:$Y$709,16)*$AI355),0)</f>
        <v>5</v>
      </c>
      <c r="AN355" s="123">
        <f>ROUND((VLOOKUP($AH355,$A$661:$Y$709,17)*$AI355),0)</f>
        <v>70</v>
      </c>
      <c r="AO355" s="123">
        <f>ROUND((VLOOKUP($AH355,$A$661:$Y$709,18)*$AI355),0)</f>
        <v>0</v>
      </c>
      <c r="AP355" s="123">
        <f>ROUND((VLOOKUP($AH355,$A$661:$Y$709,19)*$AI355),0)</f>
        <v>0</v>
      </c>
      <c r="AQ355" s="123">
        <f>ROUND((VLOOKUP($AH355,$A$661:$Y$709,20)*$AI355),0)</f>
        <v>0</v>
      </c>
      <c r="AR355" s="123">
        <f>ROUND((VLOOKUP($AH355,$A$661:$Y$709,21)*$AI355),0)</f>
        <v>0</v>
      </c>
    </row>
    <row r="356" spans="1:44" ht="12.75">
      <c r="A356" s="184" t="s">
        <v>289</v>
      </c>
      <c r="B356" s="145" t="s">
        <v>290</v>
      </c>
      <c r="C356" s="145">
        <v>6</v>
      </c>
      <c r="D356" s="148">
        <v>0</v>
      </c>
      <c r="O356" s="122"/>
      <c r="P356" s="122"/>
      <c r="Q356" s="122"/>
      <c r="AE356" s="123">
        <f t="shared" si="252"/>
        <v>9</v>
      </c>
      <c r="AF356" s="139" t="str">
        <f t="shared" si="250"/>
        <v>489.00</v>
      </c>
      <c r="AG356" s="139" t="str">
        <f t="shared" si="250"/>
        <v>REVENUE FROM TRANSPORTATION</v>
      </c>
      <c r="AI356" s="123">
        <f>SUM(AJ356:AR356)</f>
        <v>15693519.579999998</v>
      </c>
      <c r="AJ356" s="123">
        <f aca="true" t="shared" si="253" ref="AJ356:AR356">E298</f>
        <v>5842043.99</v>
      </c>
      <c r="AK356" s="123">
        <f t="shared" si="253"/>
        <v>4266752.18</v>
      </c>
      <c r="AL356" s="123">
        <f t="shared" si="253"/>
        <v>0</v>
      </c>
      <c r="AM356" s="123">
        <f t="shared" si="253"/>
        <v>690867.21</v>
      </c>
      <c r="AN356" s="123">
        <f t="shared" si="253"/>
        <v>4893856.2</v>
      </c>
      <c r="AO356" s="123">
        <f t="shared" si="253"/>
        <v>0</v>
      </c>
      <c r="AP356" s="123">
        <f t="shared" si="253"/>
        <v>0</v>
      </c>
      <c r="AQ356" s="123">
        <f t="shared" si="253"/>
        <v>0</v>
      </c>
      <c r="AR356" s="123">
        <f t="shared" si="253"/>
        <v>0</v>
      </c>
    </row>
    <row r="357" spans="1:44" ht="12.75">
      <c r="A357" s="184" t="s">
        <v>291</v>
      </c>
      <c r="B357" s="145" t="s">
        <v>292</v>
      </c>
      <c r="C357" s="145">
        <v>6</v>
      </c>
      <c r="D357" s="148">
        <v>0</v>
      </c>
      <c r="O357" s="122"/>
      <c r="P357" s="122"/>
      <c r="Q357" s="122"/>
      <c r="AE357" s="123">
        <f t="shared" si="252"/>
        <v>10</v>
      </c>
      <c r="AF357" s="139">
        <f t="shared" si="250"/>
        <v>495</v>
      </c>
      <c r="AG357" s="139" t="str">
        <f t="shared" si="250"/>
        <v>EAP &amp; AMRP FUNDING</v>
      </c>
      <c r="AH357" s="123">
        <f aca="true" t="shared" si="254" ref="AH357:AI359">C299</f>
        <v>6</v>
      </c>
      <c r="AI357" s="123">
        <f t="shared" si="254"/>
        <v>0</v>
      </c>
      <c r="AJ357" s="123">
        <f>ROUND((VLOOKUP($AH357,$A$661:$Y$709,13)*$AI357),0)</f>
        <v>0</v>
      </c>
      <c r="AK357" s="123">
        <f>ROUND((VLOOKUP($AH357,$A$661:$Y$709,14)*$AI357),0)</f>
        <v>0</v>
      </c>
      <c r="AL357" s="123">
        <f>ROUND((VLOOKUP($AH357,$A$661:$Y$709,15)*$AI357),0)</f>
        <v>0</v>
      </c>
      <c r="AM357" s="123">
        <f>ROUND((VLOOKUP($AH357,$A$661:$Y$709,16)*$AI357),0)</f>
        <v>0</v>
      </c>
      <c r="AN357" s="123">
        <f>ROUND((VLOOKUP($AH357,$A$661:$Y$709,17)*$AI357),0)</f>
        <v>0</v>
      </c>
      <c r="AO357" s="123">
        <f>ROUND((VLOOKUP($AH357,$A$661:$Y$709,18)*$AI357),0)</f>
        <v>0</v>
      </c>
      <c r="AP357" s="123">
        <f>ROUND((VLOOKUP($AH357,$A$661:$Y$709,19)*$AI357),0)</f>
        <v>0</v>
      </c>
      <c r="AQ357" s="123">
        <f>ROUND((VLOOKUP($AH357,$A$661:$Y$709,20)*$AI357),0)</f>
        <v>0</v>
      </c>
      <c r="AR357" s="123">
        <f>ROUND((VLOOKUP($AH357,$A$661:$Y$709,21)*$AI357),0)</f>
        <v>0</v>
      </c>
    </row>
    <row r="358" spans="1:44" ht="12.75">
      <c r="A358" s="184" t="s">
        <v>293</v>
      </c>
      <c r="B358" s="145" t="s">
        <v>220</v>
      </c>
      <c r="C358" s="145">
        <v>6</v>
      </c>
      <c r="D358" s="148">
        <v>0</v>
      </c>
      <c r="O358" s="122"/>
      <c r="P358" s="122"/>
      <c r="Q358" s="122"/>
      <c r="AE358" s="123">
        <f t="shared" si="252"/>
        <v>11</v>
      </c>
      <c r="AF358" s="139">
        <f t="shared" si="250"/>
        <v>495</v>
      </c>
      <c r="AG358" s="139" t="str">
        <f t="shared" si="250"/>
        <v>OFF-SYSTEM SALES</v>
      </c>
      <c r="AH358" s="123" t="str">
        <f t="shared" si="254"/>
        <v> </v>
      </c>
      <c r="AI358" s="123">
        <f t="shared" si="254"/>
        <v>0</v>
      </c>
      <c r="AJ358" s="123">
        <f aca="true" t="shared" si="255" ref="AJ358:AR358">E300</f>
        <v>0</v>
      </c>
      <c r="AK358" s="123">
        <f t="shared" si="255"/>
        <v>0</v>
      </c>
      <c r="AL358" s="123">
        <f t="shared" si="255"/>
        <v>0</v>
      </c>
      <c r="AM358" s="123">
        <f t="shared" si="255"/>
        <v>0</v>
      </c>
      <c r="AO358" s="123">
        <f>J300</f>
        <v>0</v>
      </c>
      <c r="AP358" s="123">
        <f t="shared" si="255"/>
        <v>0</v>
      </c>
      <c r="AQ358" s="123">
        <f t="shared" si="255"/>
        <v>0</v>
      </c>
      <c r="AR358" s="123">
        <f t="shared" si="255"/>
        <v>0</v>
      </c>
    </row>
    <row r="359" spans="1:44" ht="12.75">
      <c r="A359" s="184" t="s">
        <v>294</v>
      </c>
      <c r="B359" s="145" t="s">
        <v>295</v>
      </c>
      <c r="C359" s="145">
        <v>6</v>
      </c>
      <c r="D359" s="148">
        <v>0</v>
      </c>
      <c r="E359" s="123">
        <f>SUM(D350:D359)</f>
        <v>1138224</v>
      </c>
      <c r="O359" s="122"/>
      <c r="P359" s="122"/>
      <c r="Q359" s="122"/>
      <c r="AE359" s="123">
        <f t="shared" si="252"/>
        <v>12</v>
      </c>
      <c r="AF359" s="139">
        <f t="shared" si="250"/>
        <v>495</v>
      </c>
      <c r="AG359" s="139" t="str">
        <f t="shared" si="250"/>
        <v>OTHER</v>
      </c>
      <c r="AH359" s="123">
        <f t="shared" si="254"/>
        <v>6</v>
      </c>
      <c r="AI359" s="141">
        <f t="shared" si="254"/>
        <v>474858</v>
      </c>
      <c r="AJ359" s="141">
        <f>ROUND((VLOOKUP($AH359,$A$661:$Y$709,13)*$AI359),0)</f>
        <v>424846</v>
      </c>
      <c r="AK359" s="141">
        <f>ROUND((VLOOKUP($AH359,$A$661:$Y$709,14)*$AI359),0)</f>
        <v>49708</v>
      </c>
      <c r="AL359" s="141">
        <f>ROUND((VLOOKUP($AH359,$A$661:$Y$709,15)*$AI359),0)</f>
        <v>5</v>
      </c>
      <c r="AM359" s="141">
        <f>ROUND((VLOOKUP($AH359,$A$661:$Y$709,16)*$AI359),0)</f>
        <v>19</v>
      </c>
      <c r="AN359" s="141">
        <f>ROUND((VLOOKUP($AH359,$A$661:$Y$709,17)*$AI359),0)</f>
        <v>280</v>
      </c>
      <c r="AO359" s="141">
        <f>ROUND((VLOOKUP($AH359,$A$661:$Y$709,18)*$AI359),0)</f>
        <v>0</v>
      </c>
      <c r="AP359" s="141">
        <f>ROUND((VLOOKUP($AH359,$A$661:$Y$709,19)*$AI359),0)</f>
        <v>0</v>
      </c>
      <c r="AQ359" s="141">
        <f>ROUND((VLOOKUP($AH359,$A$661:$Y$709,20)*$AI359),0)</f>
        <v>0</v>
      </c>
      <c r="AR359" s="141">
        <f>ROUND((VLOOKUP($AH359,$A$661:$Y$709,21)*$AI359),0)</f>
        <v>0</v>
      </c>
    </row>
    <row r="360" spans="1:44" ht="12.75">
      <c r="A360" s="122" t="s">
        <v>296</v>
      </c>
      <c r="B360" s="122"/>
      <c r="C360" s="122"/>
      <c r="D360" s="173"/>
      <c r="O360" s="122"/>
      <c r="P360" s="122"/>
      <c r="Q360" s="122"/>
      <c r="AE360" s="123">
        <f t="shared" si="252"/>
        <v>13</v>
      </c>
      <c r="AG360" s="123" t="s">
        <v>297</v>
      </c>
      <c r="AI360" s="141">
        <f aca="true" t="shared" si="256" ref="AI360:AR360">SUM(AI354:AI359)</f>
        <v>16675965.579999998</v>
      </c>
      <c r="AJ360" s="141">
        <f t="shared" si="256"/>
        <v>6373227.99</v>
      </c>
      <c r="AK360" s="141">
        <f t="shared" si="256"/>
        <v>4715235.282149926</v>
      </c>
      <c r="AL360" s="141">
        <f t="shared" si="256"/>
        <v>59.06317825048344</v>
      </c>
      <c r="AM360" s="141">
        <f t="shared" si="256"/>
        <v>691045.9776032305</v>
      </c>
      <c r="AN360" s="141">
        <f t="shared" si="256"/>
        <v>4896397.267068593</v>
      </c>
      <c r="AO360" s="141">
        <f t="shared" si="256"/>
        <v>0</v>
      </c>
      <c r="AP360" s="141">
        <f t="shared" si="256"/>
        <v>0</v>
      </c>
      <c r="AQ360" s="141">
        <f t="shared" si="256"/>
        <v>0</v>
      </c>
      <c r="AR360" s="141">
        <f t="shared" si="256"/>
        <v>0</v>
      </c>
    </row>
    <row r="361" spans="1:33" ht="12.75">
      <c r="A361" s="184" t="s">
        <v>298</v>
      </c>
      <c r="B361" s="145" t="s">
        <v>278</v>
      </c>
      <c r="C361" s="145">
        <v>6</v>
      </c>
      <c r="D361" s="148">
        <v>10540</v>
      </c>
      <c r="O361" s="122"/>
      <c r="P361" s="122"/>
      <c r="Q361" s="122"/>
      <c r="AG361" s="123">
        <f>SUM(AJ362:AN362)</f>
        <v>158276795.77000004</v>
      </c>
    </row>
    <row r="362" spans="1:44" ht="12.75">
      <c r="A362" s="184" t="s">
        <v>298</v>
      </c>
      <c r="B362" s="145" t="s">
        <v>299</v>
      </c>
      <c r="D362" s="173">
        <v>0</v>
      </c>
      <c r="E362" s="122"/>
      <c r="F362" s="122"/>
      <c r="G362" s="122"/>
      <c r="H362" s="122"/>
      <c r="I362" s="122"/>
      <c r="J362" s="122"/>
      <c r="K362" s="122"/>
      <c r="L362" s="122"/>
      <c r="M362" s="122"/>
      <c r="O362" s="122"/>
      <c r="P362" s="122"/>
      <c r="Q362" s="122"/>
      <c r="AE362" s="123">
        <f>AE360+1</f>
        <v>14</v>
      </c>
      <c r="AG362" s="123" t="s">
        <v>300</v>
      </c>
      <c r="AI362" s="123">
        <f aca="true" t="shared" si="257" ref="AI362:AR362">AI352+AI360</f>
        <v>158276795.77000004</v>
      </c>
      <c r="AJ362" s="123">
        <f t="shared" si="257"/>
        <v>95719078.88000001</v>
      </c>
      <c r="AK362" s="123">
        <f t="shared" si="257"/>
        <v>55598022.08214993</v>
      </c>
      <c r="AL362" s="123">
        <f t="shared" si="257"/>
        <v>234541.3831782505</v>
      </c>
      <c r="AM362" s="123">
        <f t="shared" si="257"/>
        <v>691045.9776032305</v>
      </c>
      <c r="AN362" s="123">
        <f t="shared" si="257"/>
        <v>6034107.4470685925</v>
      </c>
      <c r="AO362" s="123">
        <f t="shared" si="257"/>
        <v>0</v>
      </c>
      <c r="AP362" s="123">
        <f t="shared" si="257"/>
        <v>0</v>
      </c>
      <c r="AQ362" s="123">
        <f t="shared" si="257"/>
        <v>0</v>
      </c>
      <c r="AR362" s="123">
        <f t="shared" si="257"/>
        <v>0</v>
      </c>
    </row>
    <row r="363" spans="1:43" ht="12.75">
      <c r="A363" s="184" t="s">
        <v>301</v>
      </c>
      <c r="B363" s="145" t="s">
        <v>302</v>
      </c>
      <c r="C363" s="145">
        <v>6</v>
      </c>
      <c r="D363" s="148">
        <v>82325</v>
      </c>
      <c r="E363" s="145"/>
      <c r="F363" s="145"/>
      <c r="G363" s="122"/>
      <c r="H363" s="145"/>
      <c r="I363" s="122"/>
      <c r="J363" s="122"/>
      <c r="K363" s="145"/>
      <c r="L363" s="145"/>
      <c r="M363" s="145"/>
      <c r="N363" s="145"/>
      <c r="O363" s="122"/>
      <c r="P363" s="122"/>
      <c r="Q363" s="122"/>
      <c r="AK363" s="125" t="str">
        <f>" "&amp;+$B$24</f>
        <v> COLUMBIA GAS OF KENTUCKY, INC.</v>
      </c>
      <c r="AQ363" s="123" t="str">
        <f>$B$25</f>
        <v>D/C STUDY</v>
      </c>
    </row>
    <row r="364" spans="1:43" ht="12.75">
      <c r="A364" s="184" t="s">
        <v>301</v>
      </c>
      <c r="B364" s="145" t="s">
        <v>303</v>
      </c>
      <c r="D364" s="173">
        <v>0</v>
      </c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AE364" s="123" t="str">
        <f>$B$30</f>
        <v>DEMAND-COMMODITY</v>
      </c>
      <c r="AK364" s="125" t="s">
        <v>77</v>
      </c>
      <c r="AQ364" s="123" t="str">
        <f>"PAGE 13 OF "&amp;FIXED($B$31,0,TRUE)</f>
        <v>PAGE 13 OF 28</v>
      </c>
    </row>
    <row r="365" spans="1:44" ht="12.75">
      <c r="A365" s="184" t="s">
        <v>304</v>
      </c>
      <c r="B365" s="145" t="s">
        <v>305</v>
      </c>
      <c r="C365" s="145">
        <v>6</v>
      </c>
      <c r="D365" s="148">
        <v>0</v>
      </c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AE365" s="128" t="str">
        <f>$B$29</f>
        <v>HISTORIC PERIOD - ORIGINAL FILING</v>
      </c>
      <c r="AF365" s="128"/>
      <c r="AG365" s="128"/>
      <c r="AH365" s="129"/>
      <c r="AI365" s="129"/>
      <c r="AJ365" s="129"/>
      <c r="AK365" s="130" t="str">
        <f>"FOR THE TWELVE MONTHS ENDED "&amp;$B$27</f>
        <v>FOR THE TWELVE MONTHS ENDED 09/30/2006</v>
      </c>
      <c r="AL365" s="128"/>
      <c r="AM365" s="128"/>
      <c r="AN365" s="128"/>
      <c r="AO365" s="128"/>
      <c r="AP365" s="128"/>
      <c r="AQ365" s="128" t="str">
        <f>"WITNESS: "&amp;$B$28</f>
        <v>WITNESS: R. GIBBONS</v>
      </c>
      <c r="AR365" s="131"/>
    </row>
    <row r="366" spans="1:35" ht="12.75">
      <c r="A366" s="184" t="s">
        <v>306</v>
      </c>
      <c r="B366" s="145" t="s">
        <v>94</v>
      </c>
      <c r="C366" s="145">
        <v>6</v>
      </c>
      <c r="D366" s="148">
        <v>110</v>
      </c>
      <c r="E366" s="122"/>
      <c r="F366" s="122"/>
      <c r="G366" s="122"/>
      <c r="H366" s="122"/>
      <c r="I366" s="122"/>
      <c r="J366" s="122"/>
      <c r="K366" s="122"/>
      <c r="M366" s="122"/>
      <c r="N366" s="122"/>
      <c r="O366" s="122"/>
      <c r="P366" s="122"/>
      <c r="Q366" s="122"/>
      <c r="AE366" s="125" t="s">
        <v>9</v>
      </c>
      <c r="AF366" s="123" t="s">
        <v>10</v>
      </c>
      <c r="AH366" s="125" t="s">
        <v>11</v>
      </c>
      <c r="AI366" s="125" t="s">
        <v>12</v>
      </c>
    </row>
    <row r="367" spans="1:44" ht="12.75">
      <c r="A367" s="184" t="s">
        <v>289</v>
      </c>
      <c r="B367" s="145" t="s">
        <v>290</v>
      </c>
      <c r="C367" s="145">
        <v>6</v>
      </c>
      <c r="D367" s="148">
        <v>0</v>
      </c>
      <c r="E367" s="122"/>
      <c r="F367" s="122"/>
      <c r="G367" s="122"/>
      <c r="H367" s="122"/>
      <c r="I367" s="122"/>
      <c r="J367" s="122"/>
      <c r="K367" s="122"/>
      <c r="M367" s="122"/>
      <c r="N367" s="122"/>
      <c r="O367" s="122"/>
      <c r="P367" s="122"/>
      <c r="Q367" s="122"/>
      <c r="AE367" s="133" t="s">
        <v>13</v>
      </c>
      <c r="AF367" s="133" t="s">
        <v>13</v>
      </c>
      <c r="AG367" s="171" t="str">
        <f>AG5</f>
        <v> ACCOUNT TITLE</v>
      </c>
      <c r="AH367" s="141" t="s">
        <v>14</v>
      </c>
      <c r="AI367" s="133" t="s">
        <v>15</v>
      </c>
      <c r="AJ367" s="133" t="str">
        <f>"  "&amp;+$C$35</f>
        <v>  GS-RES.</v>
      </c>
      <c r="AK367" s="133" t="str">
        <f>$C$36</f>
        <v>GS-OTHER</v>
      </c>
      <c r="AL367" s="133" t="str">
        <f>$C$37</f>
        <v>IUS</v>
      </c>
      <c r="AM367" s="133" t="str">
        <f>$C$38</f>
        <v>DS-ML/SC</v>
      </c>
      <c r="AN367" s="133" t="str">
        <f>$C$39</f>
        <v>DS/IS/SS</v>
      </c>
      <c r="AO367" s="133" t="str">
        <f>$C$40</f>
        <v>NOT USED</v>
      </c>
      <c r="AP367" s="133" t="str">
        <f>$C$41</f>
        <v>NOT USED</v>
      </c>
      <c r="AQ367" s="133" t="str">
        <f>$C$42</f>
        <v>NOT USED</v>
      </c>
      <c r="AR367" s="133" t="str">
        <f>$C$43</f>
        <v>NOT USED</v>
      </c>
    </row>
    <row r="368" spans="1:44" ht="12.75">
      <c r="A368" s="184" t="s">
        <v>291</v>
      </c>
      <c r="B368" s="145" t="s">
        <v>292</v>
      </c>
      <c r="C368" s="145">
        <v>6</v>
      </c>
      <c r="D368" s="148">
        <v>0</v>
      </c>
      <c r="E368" s="122"/>
      <c r="F368" s="122"/>
      <c r="G368" s="122"/>
      <c r="H368" s="122"/>
      <c r="I368" s="122"/>
      <c r="J368" s="122"/>
      <c r="K368" s="122"/>
      <c r="M368" s="122"/>
      <c r="N368" s="122"/>
      <c r="O368" s="122"/>
      <c r="P368" s="122"/>
      <c r="Q368" s="122"/>
      <c r="AF368" s="136" t="s">
        <v>17</v>
      </c>
      <c r="AG368" s="136" t="s">
        <v>18</v>
      </c>
      <c r="AH368" s="125" t="s">
        <v>19</v>
      </c>
      <c r="AI368" s="125" t="s">
        <v>20</v>
      </c>
      <c r="AJ368" s="125" t="s">
        <v>21</v>
      </c>
      <c r="AK368" s="125" t="s">
        <v>22</v>
      </c>
      <c r="AL368" s="125" t="s">
        <v>23</v>
      </c>
      <c r="AM368" s="125" t="s">
        <v>24</v>
      </c>
      <c r="AN368" s="125" t="s">
        <v>25</v>
      </c>
      <c r="AO368" s="125" t="s">
        <v>26</v>
      </c>
      <c r="AP368" s="125" t="s">
        <v>27</v>
      </c>
      <c r="AQ368" s="125" t="s">
        <v>28</v>
      </c>
      <c r="AR368" s="125" t="s">
        <v>29</v>
      </c>
    </row>
    <row r="369" spans="1:44" ht="12.75">
      <c r="A369" s="184" t="s">
        <v>293</v>
      </c>
      <c r="B369" s="145" t="s">
        <v>220</v>
      </c>
      <c r="C369" s="145">
        <v>6</v>
      </c>
      <c r="D369" s="148">
        <v>0</v>
      </c>
      <c r="E369" s="122"/>
      <c r="F369" s="122"/>
      <c r="G369" s="122"/>
      <c r="H369" s="122"/>
      <c r="I369" s="122"/>
      <c r="J369" s="122"/>
      <c r="K369" s="122"/>
      <c r="M369" s="122"/>
      <c r="N369" s="122"/>
      <c r="O369" s="122"/>
      <c r="P369" s="122"/>
      <c r="Q369" s="122"/>
      <c r="AI369" s="125" t="s">
        <v>32</v>
      </c>
      <c r="AJ369" s="125" t="s">
        <v>32</v>
      </c>
      <c r="AK369" s="125" t="s">
        <v>32</v>
      </c>
      <c r="AL369" s="125" t="s">
        <v>32</v>
      </c>
      <c r="AM369" s="125" t="s">
        <v>32</v>
      </c>
      <c r="AN369" s="125" t="s">
        <v>32</v>
      </c>
      <c r="AO369" s="125" t="s">
        <v>32</v>
      </c>
      <c r="AP369" s="125" t="s">
        <v>32</v>
      </c>
      <c r="AQ369" s="125" t="s">
        <v>32</v>
      </c>
      <c r="AR369" s="125" t="s">
        <v>32</v>
      </c>
    </row>
    <row r="370" spans="1:32" ht="12.75">
      <c r="A370" s="184" t="s">
        <v>294</v>
      </c>
      <c r="B370" s="145" t="s">
        <v>295</v>
      </c>
      <c r="C370" s="145">
        <v>6</v>
      </c>
      <c r="D370" s="148">
        <v>288</v>
      </c>
      <c r="E370" s="122">
        <f>SUM(D361:D370)</f>
        <v>93263</v>
      </c>
      <c r="F370" s="122"/>
      <c r="G370" s="122"/>
      <c r="H370" s="122"/>
      <c r="I370" s="122"/>
      <c r="J370" s="122"/>
      <c r="K370" s="122"/>
      <c r="M370" s="122"/>
      <c r="N370" s="122"/>
      <c r="O370" s="122"/>
      <c r="P370" s="122"/>
      <c r="Q370" s="122"/>
      <c r="AE370" s="123">
        <v>1</v>
      </c>
      <c r="AF370" s="123" t="s">
        <v>307</v>
      </c>
    </row>
    <row r="371" spans="1:17" ht="12.75">
      <c r="A371" s="122" t="s">
        <v>308</v>
      </c>
      <c r="B371" s="122"/>
      <c r="C371" s="122"/>
      <c r="D371" s="173"/>
      <c r="E371" s="122"/>
      <c r="F371" s="122"/>
      <c r="G371" s="122"/>
      <c r="H371" s="122"/>
      <c r="I371" s="122"/>
      <c r="J371" s="122"/>
      <c r="K371" s="122"/>
      <c r="M371" s="122"/>
      <c r="N371" s="122"/>
      <c r="O371" s="122"/>
      <c r="P371" s="122"/>
      <c r="Q371" s="122"/>
    </row>
    <row r="372" spans="1:33" ht="12.75">
      <c r="A372" s="184" t="s">
        <v>309</v>
      </c>
      <c r="B372" s="145" t="s">
        <v>278</v>
      </c>
      <c r="C372" s="145">
        <v>6</v>
      </c>
      <c r="D372" s="148">
        <v>0</v>
      </c>
      <c r="E372" s="122"/>
      <c r="F372" s="122"/>
      <c r="G372" s="122"/>
      <c r="H372" s="122"/>
      <c r="I372" s="122"/>
      <c r="J372" s="122"/>
      <c r="K372" s="122"/>
      <c r="M372" s="122"/>
      <c r="N372" s="122"/>
      <c r="O372" s="122"/>
      <c r="P372" s="122"/>
      <c r="Q372" s="122"/>
      <c r="AE372" s="123">
        <f>AE370+1</f>
        <v>2</v>
      </c>
      <c r="AG372" s="123" t="s">
        <v>310</v>
      </c>
    </row>
    <row r="373" spans="1:17" ht="12.75">
      <c r="A373" s="184" t="s">
        <v>311</v>
      </c>
      <c r="B373" s="145" t="s">
        <v>312</v>
      </c>
      <c r="C373" s="145">
        <v>6</v>
      </c>
      <c r="D373" s="148">
        <v>0</v>
      </c>
      <c r="E373" s="122"/>
      <c r="F373" s="122"/>
      <c r="G373" s="122"/>
      <c r="H373" s="122"/>
      <c r="I373" s="122"/>
      <c r="J373" s="122"/>
      <c r="K373" s="122"/>
      <c r="M373" s="122"/>
      <c r="N373" s="122"/>
      <c r="O373" s="122"/>
      <c r="P373" s="122"/>
      <c r="Q373" s="122"/>
    </row>
    <row r="374" spans="1:44" ht="12.75">
      <c r="A374" s="184" t="s">
        <v>313</v>
      </c>
      <c r="B374" s="145" t="s">
        <v>305</v>
      </c>
      <c r="C374" s="145">
        <v>6</v>
      </c>
      <c r="D374" s="148">
        <v>0</v>
      </c>
      <c r="E374" s="122"/>
      <c r="F374" s="122"/>
      <c r="G374" s="122"/>
      <c r="H374" s="122"/>
      <c r="I374" s="122"/>
      <c r="J374" s="122"/>
      <c r="K374" s="122"/>
      <c r="M374" s="122"/>
      <c r="N374" s="122"/>
      <c r="O374" s="122"/>
      <c r="P374" s="122"/>
      <c r="Q374" s="122"/>
      <c r="AE374" s="123">
        <f>AE372+1</f>
        <v>3</v>
      </c>
      <c r="AF374" s="139" t="str">
        <f aca="true" t="shared" si="258" ref="AF374:AH377">A307</f>
        <v>717</v>
      </c>
      <c r="AG374" s="139" t="str">
        <f t="shared" si="258"/>
        <v>LIQUE PETRO GAS EXP - LABOR</v>
      </c>
      <c r="AH374" s="123">
        <f t="shared" si="258"/>
        <v>2</v>
      </c>
      <c r="AI374" s="123">
        <f>ROUND(D307*(1+D65),0)</f>
        <v>0</v>
      </c>
      <c r="AJ374" s="123">
        <f>ROUND((VLOOKUP($AH374,$A$661:$Y$709,13)*$AI374),0)</f>
        <v>0</v>
      </c>
      <c r="AK374" s="123">
        <f>ROUND((VLOOKUP($AH374,$A$661:$Y$709,14)*$AI374),0)</f>
        <v>0</v>
      </c>
      <c r="AL374" s="123">
        <f>ROUND((VLOOKUP($AH374,$A$661:$Y$709,15)*$AI374),0)</f>
        <v>0</v>
      </c>
      <c r="AM374" s="123">
        <f>ROUND((VLOOKUP($AH374,$A$661:$Y$709,16)*$AI374),0)</f>
        <v>0</v>
      </c>
      <c r="AN374" s="123">
        <f>ROUND((VLOOKUP($AH374,$A$661:$Y$709,17)*$AI374),0)</f>
        <v>0</v>
      </c>
      <c r="AO374" s="123">
        <f>ROUND((VLOOKUP($AH374,$A$661:$Y$709,18)*$AI374),0)</f>
        <v>0</v>
      </c>
      <c r="AP374" s="123">
        <f>ROUND((VLOOKUP($AH374,$A$661:$Y$709,19)*$AI374),0)</f>
        <v>0</v>
      </c>
      <c r="AQ374" s="123">
        <f>ROUND((VLOOKUP($AH374,$A$661:$Y$709,20)*$AI374),0)</f>
        <v>0</v>
      </c>
      <c r="AR374" s="123">
        <f>ROUND((VLOOKUP($AH374,$A$661:$Y$709,21)*$AI374),0)</f>
        <v>0</v>
      </c>
    </row>
    <row r="375" spans="1:44" ht="12.75">
      <c r="A375" s="184" t="s">
        <v>314</v>
      </c>
      <c r="B375" s="145" t="s">
        <v>288</v>
      </c>
      <c r="C375" s="145">
        <v>6</v>
      </c>
      <c r="D375" s="148">
        <v>0</v>
      </c>
      <c r="E375" s="122"/>
      <c r="F375" s="122"/>
      <c r="G375" s="122"/>
      <c r="H375" s="122"/>
      <c r="I375" s="122"/>
      <c r="J375" s="122"/>
      <c r="K375" s="122"/>
      <c r="M375" s="122"/>
      <c r="N375" s="122"/>
      <c r="O375" s="122"/>
      <c r="P375" s="122"/>
      <c r="Q375" s="122"/>
      <c r="AE375" s="123">
        <f>AE374+1</f>
        <v>4</v>
      </c>
      <c r="AF375" s="139" t="str">
        <f t="shared" si="258"/>
        <v>717</v>
      </c>
      <c r="AG375" s="139" t="str">
        <f t="shared" si="258"/>
        <v>LIQUE PETRO GAS EXP - M&amp;E</v>
      </c>
      <c r="AH375" s="123">
        <f t="shared" si="258"/>
        <v>2</v>
      </c>
      <c r="AI375" s="123">
        <f>D308</f>
        <v>1015</v>
      </c>
      <c r="AJ375" s="123">
        <f>ROUND((VLOOKUP($AH375,$A$661:$Y$709,13)*$AI375),0)</f>
        <v>623</v>
      </c>
      <c r="AK375" s="123">
        <f>ROUND((VLOOKUP($AH375,$A$661:$Y$709,14)*$AI375),0)</f>
        <v>380</v>
      </c>
      <c r="AL375" s="123">
        <f>ROUND((VLOOKUP($AH375,$A$661:$Y$709,15)*$AI375),0)</f>
        <v>2</v>
      </c>
      <c r="AM375" s="123">
        <f>ROUND((VLOOKUP($AH375,$A$661:$Y$709,16)*$AI375),0)</f>
        <v>0</v>
      </c>
      <c r="AN375" s="123">
        <f>ROUND((VLOOKUP($AH375,$A$661:$Y$709,17)*$AI375),0)</f>
        <v>10</v>
      </c>
      <c r="AO375" s="123">
        <f>ROUND((VLOOKUP($AH375,$A$661:$Y$709,18)*$AI375),0)</f>
        <v>0</v>
      </c>
      <c r="AP375" s="123">
        <f>ROUND((VLOOKUP($AH375,$A$661:$Y$709,19)*$AI375),0)</f>
        <v>0</v>
      </c>
      <c r="AQ375" s="123">
        <f>ROUND((VLOOKUP($AH375,$A$661:$Y$709,20)*$AI375),0)</f>
        <v>0</v>
      </c>
      <c r="AR375" s="123">
        <f>ROUND((VLOOKUP($AH375,$A$661:$Y$709,21)*$AI375),0)</f>
        <v>0</v>
      </c>
    </row>
    <row r="376" spans="1:44" ht="12.7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M376" s="122"/>
      <c r="N376" s="122"/>
      <c r="O376" s="122"/>
      <c r="P376" s="122"/>
      <c r="Q376" s="122"/>
      <c r="AE376" s="123">
        <f>AE375+1</f>
        <v>5</v>
      </c>
      <c r="AF376" s="139" t="str">
        <f t="shared" si="258"/>
        <v>723</v>
      </c>
      <c r="AG376" s="139" t="str">
        <f t="shared" si="258"/>
        <v>LIQUIFIED PETROLEUM GAS PROCESS</v>
      </c>
      <c r="AH376" s="123">
        <f t="shared" si="258"/>
        <v>2</v>
      </c>
      <c r="AI376" s="123">
        <f>D309</f>
        <v>0</v>
      </c>
      <c r="AJ376" s="123">
        <f>ROUND((VLOOKUP($AH376,$A$661:$Y$709,13)*$AI376),0)</f>
        <v>0</v>
      </c>
      <c r="AK376" s="123">
        <f>ROUND((VLOOKUP($AH376,$A$661:$Y$709,14)*$AI376),0)</f>
        <v>0</v>
      </c>
      <c r="AL376" s="123">
        <f>ROUND((VLOOKUP($AH376,$A$661:$Y$709,15)*$AI376),0)</f>
        <v>0</v>
      </c>
      <c r="AM376" s="123">
        <f>ROUND((VLOOKUP($AH376,$A$661:$Y$709,16)*$AI376),0)</f>
        <v>0</v>
      </c>
      <c r="AN376" s="123">
        <f>ROUND((VLOOKUP($AH376,$A$661:$Y$709,17)*$AI376),0)</f>
        <v>0</v>
      </c>
      <c r="AO376" s="123">
        <f>ROUND((VLOOKUP($AH376,$A$661:$Y$709,18)*$AI376),0)</f>
        <v>0</v>
      </c>
      <c r="AP376" s="123">
        <f>ROUND((VLOOKUP($AH376,$A$661:$Y$709,19)*$AI376),0)</f>
        <v>0</v>
      </c>
      <c r="AQ376" s="123">
        <f>ROUND((VLOOKUP($AH376,$A$661:$Y$709,20)*$AI376),0)</f>
        <v>0</v>
      </c>
      <c r="AR376" s="123">
        <f>ROUND((VLOOKUP($AH376,$A$661:$Y$709,21)*$AI376),0)</f>
        <v>0</v>
      </c>
    </row>
    <row r="377" spans="1:44" ht="12.75">
      <c r="A377" s="122"/>
      <c r="B377" s="122" t="s">
        <v>12</v>
      </c>
      <c r="C377" s="122"/>
      <c r="D377" s="122">
        <f>SUM(D331:D375)</f>
        <v>5838074</v>
      </c>
      <c r="E377" s="122">
        <f>SUM(E331:E374)</f>
        <v>5838074</v>
      </c>
      <c r="F377" s="122"/>
      <c r="G377" s="122"/>
      <c r="H377" s="122"/>
      <c r="I377" s="122"/>
      <c r="J377" s="122"/>
      <c r="K377" s="122"/>
      <c r="M377" s="122"/>
      <c r="N377" s="122"/>
      <c r="O377" s="122"/>
      <c r="P377" s="122"/>
      <c r="Q377" s="122"/>
      <c r="AE377" s="123">
        <f>AE376+1</f>
        <v>6</v>
      </c>
      <c r="AF377" s="139" t="str">
        <f t="shared" si="258"/>
        <v>728</v>
      </c>
      <c r="AG377" s="139" t="str">
        <f t="shared" si="258"/>
        <v>LIQUIFIED PETROLEUM GAS </v>
      </c>
      <c r="AH377" s="123">
        <f t="shared" si="258"/>
        <v>2</v>
      </c>
      <c r="AI377" s="141">
        <f>D310</f>
        <v>0</v>
      </c>
      <c r="AJ377" s="141">
        <f>ROUND((VLOOKUP($AH377,$A$661:$Y$709,13)*$AI377),0)</f>
        <v>0</v>
      </c>
      <c r="AK377" s="141">
        <f>ROUND((VLOOKUP($AH377,$A$661:$Y$709,14)*$AI377),0)</f>
        <v>0</v>
      </c>
      <c r="AL377" s="141">
        <f>ROUND((VLOOKUP($AH377,$A$661:$Y$709,15)*$AI377),0)</f>
        <v>0</v>
      </c>
      <c r="AM377" s="141">
        <f>ROUND((VLOOKUP($AH377,$A$661:$Y$709,16)*$AI377),0)</f>
        <v>0</v>
      </c>
      <c r="AN377" s="141">
        <f>ROUND((VLOOKUP($AH377,$A$661:$Y$709,17)*$AI377),0)</f>
        <v>0</v>
      </c>
      <c r="AO377" s="141">
        <f>ROUND((VLOOKUP($AH377,$A$661:$Y$709,18)*$AI377),0)</f>
        <v>0</v>
      </c>
      <c r="AP377" s="141">
        <f>ROUND((VLOOKUP($AH377,$A$661:$Y$709,19)*$AI377),0)</f>
        <v>0</v>
      </c>
      <c r="AQ377" s="141">
        <f>ROUND((VLOOKUP($AH377,$A$661:$Y$709,20)*$AI377),0)</f>
        <v>0</v>
      </c>
      <c r="AR377" s="141">
        <f>ROUND((VLOOKUP($AH377,$A$661:$Y$709,21)*$AI377),0)</f>
        <v>0</v>
      </c>
    </row>
    <row r="378" spans="1:44" ht="12.7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M378" s="122"/>
      <c r="N378" s="122"/>
      <c r="O378" s="122"/>
      <c r="P378" s="122"/>
      <c r="Q378" s="122"/>
      <c r="AE378" s="123">
        <f>AE377+1</f>
        <v>7</v>
      </c>
      <c r="AG378" s="123" t="s">
        <v>315</v>
      </c>
      <c r="AI378" s="123">
        <f aca="true" t="shared" si="259" ref="AI378:AR378">SUM(AI374:AI377)</f>
        <v>1015</v>
      </c>
      <c r="AJ378" s="123">
        <f t="shared" si="259"/>
        <v>623</v>
      </c>
      <c r="AK378" s="123">
        <f t="shared" si="259"/>
        <v>380</v>
      </c>
      <c r="AL378" s="123">
        <f t="shared" si="259"/>
        <v>2</v>
      </c>
      <c r="AM378" s="123">
        <f t="shared" si="259"/>
        <v>0</v>
      </c>
      <c r="AN378" s="123">
        <f t="shared" si="259"/>
        <v>10</v>
      </c>
      <c r="AO378" s="123">
        <f t="shared" si="259"/>
        <v>0</v>
      </c>
      <c r="AP378" s="123">
        <f t="shared" si="259"/>
        <v>0</v>
      </c>
      <c r="AQ378" s="123">
        <f t="shared" si="259"/>
        <v>0</v>
      </c>
      <c r="AR378" s="123">
        <f t="shared" si="259"/>
        <v>0</v>
      </c>
    </row>
    <row r="379" spans="1:17" ht="12.75">
      <c r="A379" s="144" t="s">
        <v>0</v>
      </c>
      <c r="B379" s="122"/>
      <c r="C379" s="156" t="s">
        <v>120</v>
      </c>
      <c r="D379" s="156" t="s">
        <v>12</v>
      </c>
      <c r="E379" s="122"/>
      <c r="F379" s="122"/>
      <c r="G379" s="122"/>
      <c r="H379" s="122"/>
      <c r="I379" s="122"/>
      <c r="J379" s="122"/>
      <c r="K379" s="122"/>
      <c r="M379" s="122"/>
      <c r="N379" s="122"/>
      <c r="O379" s="122"/>
      <c r="P379" s="122"/>
      <c r="Q379" s="122"/>
    </row>
    <row r="380" spans="1:33" ht="12.75">
      <c r="A380" s="122" t="s">
        <v>316</v>
      </c>
      <c r="B380" s="122"/>
      <c r="C380" s="156" t="s">
        <v>14</v>
      </c>
      <c r="D380" s="156" t="s">
        <v>15</v>
      </c>
      <c r="E380" s="122"/>
      <c r="F380" s="122"/>
      <c r="G380" s="122"/>
      <c r="H380" s="122"/>
      <c r="I380" s="122"/>
      <c r="J380" s="122"/>
      <c r="K380" s="122"/>
      <c r="M380" s="122"/>
      <c r="N380" s="122"/>
      <c r="O380" s="122"/>
      <c r="P380" s="122"/>
      <c r="Q380" s="122"/>
      <c r="AE380" s="123">
        <f>AE378+1</f>
        <v>8</v>
      </c>
      <c r="AG380" s="123" t="s">
        <v>317</v>
      </c>
    </row>
    <row r="381" spans="1:17" ht="12.75">
      <c r="A381" s="144" t="s">
        <v>0</v>
      </c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M381" s="122"/>
      <c r="N381" s="122"/>
      <c r="O381" s="122"/>
      <c r="P381" s="122"/>
      <c r="Q381" s="122"/>
    </row>
    <row r="382" spans="1:44" ht="12.7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M382" s="122"/>
      <c r="N382" s="122"/>
      <c r="O382" s="122"/>
      <c r="P382" s="122"/>
      <c r="Q382" s="122"/>
      <c r="AE382" s="123">
        <f>AE380+1</f>
        <v>9</v>
      </c>
      <c r="AF382" s="139" t="str">
        <f aca="true" t="shared" si="260" ref="AF382:AH385">A311</f>
        <v>741</v>
      </c>
      <c r="AG382" s="139" t="str">
        <f t="shared" si="260"/>
        <v>STRUCTURES &amp; IMPROV - LABOR</v>
      </c>
      <c r="AH382" s="123">
        <f t="shared" si="260"/>
        <v>2</v>
      </c>
      <c r="AI382" s="123">
        <f>ROUND(D311*(1+$D$65),0)</f>
        <v>0</v>
      </c>
      <c r="AJ382" s="123">
        <f>ROUND((VLOOKUP($AH382,$A$661:$Y$709,13)*$AI382),0)</f>
        <v>0</v>
      </c>
      <c r="AK382" s="123">
        <f>ROUND((VLOOKUP($AH382,$A$661:$Y$709,14)*$AI382),0)</f>
        <v>0</v>
      </c>
      <c r="AL382" s="123">
        <f>ROUND((VLOOKUP($AH382,$A$661:$Y$709,15)*$AI382),0)</f>
        <v>0</v>
      </c>
      <c r="AM382" s="123">
        <f>ROUND((VLOOKUP($AH382,$A$661:$Y$709,16)*$AI382),0)</f>
        <v>0</v>
      </c>
      <c r="AN382" s="123">
        <f>ROUND((VLOOKUP($AH382,$A$661:$Y$709,17)*$AI382),0)</f>
        <v>0</v>
      </c>
      <c r="AO382" s="123">
        <f>ROUND((VLOOKUP($AH382,$A$661:$Y$709,18)*$AI382),0)</f>
        <v>0</v>
      </c>
      <c r="AP382" s="123">
        <f>ROUND((VLOOKUP($AH382,$A$661:$Y$709,19)*$AI382),0)</f>
        <v>0</v>
      </c>
      <c r="AQ382" s="123">
        <f>ROUND((VLOOKUP($AH382,$A$661:$Y$709,20)*$AI382),0)</f>
        <v>0</v>
      </c>
      <c r="AR382" s="123">
        <f>ROUND((VLOOKUP($AH382,$A$661:$Y$709,21)*$AI382),0)</f>
        <v>0</v>
      </c>
    </row>
    <row r="383" spans="1:44" ht="12.75">
      <c r="A383" s="122" t="str">
        <f>A328</f>
        <v>DISTRIBUTION EXPENSES</v>
      </c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M383" s="122"/>
      <c r="N383" s="122"/>
      <c r="O383" s="122"/>
      <c r="P383" s="122"/>
      <c r="Q383" s="122"/>
      <c r="AE383" s="123">
        <f>AE382+1</f>
        <v>10</v>
      </c>
      <c r="AF383" s="139" t="str">
        <f t="shared" si="260"/>
        <v>741</v>
      </c>
      <c r="AG383" s="139" t="str">
        <f t="shared" si="260"/>
        <v>STRUCTURES &amp; IMPROV - M&amp;E</v>
      </c>
      <c r="AH383" s="123">
        <f t="shared" si="260"/>
        <v>2</v>
      </c>
      <c r="AI383" s="123">
        <f>D312</f>
        <v>0</v>
      </c>
      <c r="AJ383" s="123">
        <f>ROUND((VLOOKUP($AH383,$A$661:$Y$709,13)*$AI383),0)</f>
        <v>0</v>
      </c>
      <c r="AK383" s="123">
        <f>ROUND((VLOOKUP($AH383,$A$661:$Y$709,14)*$AI383),0)</f>
        <v>0</v>
      </c>
      <c r="AL383" s="123">
        <f>ROUND((VLOOKUP($AH383,$A$661:$Y$709,15)*$AI383),0)</f>
        <v>0</v>
      </c>
      <c r="AM383" s="123">
        <f>ROUND((VLOOKUP($AH383,$A$661:$Y$709,16)*$AI383),0)</f>
        <v>0</v>
      </c>
      <c r="AN383" s="123">
        <f>ROUND((VLOOKUP($AH383,$A$661:$Y$709,17)*$AI383),0)</f>
        <v>0</v>
      </c>
      <c r="AO383" s="123">
        <f>ROUND((VLOOKUP($AH383,$A$661:$Y$709,18)*$AI383),0)</f>
        <v>0</v>
      </c>
      <c r="AP383" s="123">
        <f>ROUND((VLOOKUP($AH383,$A$661:$Y$709,19)*$AI383),0)</f>
        <v>0</v>
      </c>
      <c r="AQ383" s="123">
        <f>ROUND((VLOOKUP($AH383,$A$661:$Y$709,20)*$AI383),0)</f>
        <v>0</v>
      </c>
      <c r="AR383" s="123">
        <f>ROUND((VLOOKUP($AH383,$A$661:$Y$709,21)*$AI383),0)</f>
        <v>0</v>
      </c>
    </row>
    <row r="384" spans="1:44" ht="12.7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M384" s="122"/>
      <c r="N384" s="122"/>
      <c r="O384" s="122"/>
      <c r="P384" s="122"/>
      <c r="Q384" s="122"/>
      <c r="AE384" s="123">
        <f>AE383+1</f>
        <v>11</v>
      </c>
      <c r="AF384" s="139" t="str">
        <f t="shared" si="260"/>
        <v>742</v>
      </c>
      <c r="AG384" s="139" t="str">
        <f t="shared" si="260"/>
        <v>PRODUCTION EQUIPMENT - LABOR</v>
      </c>
      <c r="AH384" s="123">
        <f t="shared" si="260"/>
        <v>2</v>
      </c>
      <c r="AI384" s="123">
        <f>ROUND(D313*(1+$D$65),0)</f>
        <v>0</v>
      </c>
      <c r="AJ384" s="123">
        <f>ROUND((VLOOKUP($AH384,$A$661:$Y$709,13)*$AI384),0)</f>
        <v>0</v>
      </c>
      <c r="AK384" s="123">
        <f>ROUND((VLOOKUP($AH384,$A$661:$Y$709,14)*$AI384),0)</f>
        <v>0</v>
      </c>
      <c r="AL384" s="123">
        <f>ROUND((VLOOKUP($AH384,$A$661:$Y$709,15)*$AI384),0)</f>
        <v>0</v>
      </c>
      <c r="AM384" s="123">
        <f>ROUND((VLOOKUP($AH384,$A$661:$Y$709,16)*$AI384),0)</f>
        <v>0</v>
      </c>
      <c r="AN384" s="123">
        <f>ROUND((VLOOKUP($AH384,$A$661:$Y$709,17)*$AI384),0)</f>
        <v>0</v>
      </c>
      <c r="AO384" s="123">
        <f>ROUND((VLOOKUP($AH384,$A$661:$Y$709,18)*$AI384),0)</f>
        <v>0</v>
      </c>
      <c r="AP384" s="123">
        <f>ROUND((VLOOKUP($AH384,$A$661:$Y$709,19)*$AI384),0)</f>
        <v>0</v>
      </c>
      <c r="AQ384" s="123">
        <f>ROUND((VLOOKUP($AH384,$A$661:$Y$709,20)*$AI384),0)</f>
        <v>0</v>
      </c>
      <c r="AR384" s="123">
        <f>ROUND((VLOOKUP($AH384,$A$661:$Y$709,21)*$AI384),0)</f>
        <v>0</v>
      </c>
    </row>
    <row r="385" spans="1:44" ht="12.75">
      <c r="A385" s="122" t="s">
        <v>249</v>
      </c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M385" s="122"/>
      <c r="N385" s="122"/>
      <c r="O385" s="122"/>
      <c r="P385" s="122"/>
      <c r="Q385" s="122"/>
      <c r="AE385" s="123">
        <f>AE384+1</f>
        <v>12</v>
      </c>
      <c r="AF385" s="139" t="str">
        <f t="shared" si="260"/>
        <v>742</v>
      </c>
      <c r="AG385" s="139" t="str">
        <f t="shared" si="260"/>
        <v>PRODUCTION EQUIPMENT - M&amp;E</v>
      </c>
      <c r="AH385" s="123">
        <f t="shared" si="260"/>
        <v>2</v>
      </c>
      <c r="AI385" s="141">
        <f>D314</f>
        <v>17</v>
      </c>
      <c r="AJ385" s="141">
        <f>ROUND((VLOOKUP($AH385,$A$661:$Y$709,13)*$AI385),0)</f>
        <v>10</v>
      </c>
      <c r="AK385" s="141">
        <f>ROUND((VLOOKUP($AH385,$A$661:$Y$709,14)*$AI385),0)</f>
        <v>6</v>
      </c>
      <c r="AL385" s="141">
        <f>ROUND((VLOOKUP($AH385,$A$661:$Y$709,15)*$AI385),0)</f>
        <v>0</v>
      </c>
      <c r="AM385" s="141">
        <f>ROUND((VLOOKUP($AH385,$A$661:$Y$709,16)*$AI385),0)</f>
        <v>0</v>
      </c>
      <c r="AN385" s="141">
        <f>ROUND((VLOOKUP($AH385,$A$661:$Y$709,17)*$AI385),0)</f>
        <v>0</v>
      </c>
      <c r="AO385" s="141">
        <f>ROUND((VLOOKUP($AH385,$A$661:$Y$709,18)*$AI385),0)</f>
        <v>0</v>
      </c>
      <c r="AP385" s="141">
        <f>ROUND((VLOOKUP($AH385,$A$661:$Y$709,19)*$AI385),0)</f>
        <v>0</v>
      </c>
      <c r="AQ385" s="141">
        <f>ROUND((VLOOKUP($AH385,$A$661:$Y$709,20)*$AI385),0)</f>
        <v>0</v>
      </c>
      <c r="AR385" s="141">
        <f>ROUND((VLOOKUP($AH385,$A$661:$Y$709,21)*$AI385),0)</f>
        <v>0</v>
      </c>
    </row>
    <row r="386" spans="1:44" ht="12.75">
      <c r="A386" s="122" t="str">
        <f aca="true" t="shared" si="261" ref="A386:B394">A331</f>
        <v>870</v>
      </c>
      <c r="B386" s="122" t="str">
        <f t="shared" si="261"/>
        <v>SUPERVISION &amp; ENGINEERING</v>
      </c>
      <c r="C386" s="145">
        <v>11</v>
      </c>
      <c r="D386" s="148">
        <f>325223-D331</f>
        <v>101263</v>
      </c>
      <c r="E386" s="122"/>
      <c r="F386" s="122"/>
      <c r="G386" s="122"/>
      <c r="H386" s="122"/>
      <c r="I386" s="122"/>
      <c r="J386" s="122"/>
      <c r="K386" s="122"/>
      <c r="M386" s="122"/>
      <c r="N386" s="122"/>
      <c r="O386" s="122"/>
      <c r="P386" s="122"/>
      <c r="Q386" s="122"/>
      <c r="AE386" s="123">
        <f>AE385+1</f>
        <v>13</v>
      </c>
      <c r="AG386" s="123" t="s">
        <v>318</v>
      </c>
      <c r="AI386" s="141">
        <f aca="true" t="shared" si="262" ref="AI386:AR386">SUM(AI382:AI385)</f>
        <v>17</v>
      </c>
      <c r="AJ386" s="141">
        <f t="shared" si="262"/>
        <v>10</v>
      </c>
      <c r="AK386" s="141">
        <f t="shared" si="262"/>
        <v>6</v>
      </c>
      <c r="AL386" s="141">
        <f t="shared" si="262"/>
        <v>0</v>
      </c>
      <c r="AM386" s="141">
        <f t="shared" si="262"/>
        <v>0</v>
      </c>
      <c r="AN386" s="141">
        <f t="shared" si="262"/>
        <v>0</v>
      </c>
      <c r="AO386" s="141">
        <f t="shared" si="262"/>
        <v>0</v>
      </c>
      <c r="AP386" s="141">
        <f t="shared" si="262"/>
        <v>0</v>
      </c>
      <c r="AQ386" s="141">
        <f t="shared" si="262"/>
        <v>0</v>
      </c>
      <c r="AR386" s="141">
        <f t="shared" si="262"/>
        <v>0</v>
      </c>
    </row>
    <row r="387" spans="1:17" ht="12.75">
      <c r="A387" s="122" t="str">
        <f t="shared" si="261"/>
        <v>871</v>
      </c>
      <c r="B387" s="122" t="str">
        <f t="shared" si="261"/>
        <v>DISTRIBUTION LOAD DISPATCH</v>
      </c>
      <c r="C387" s="145">
        <v>4</v>
      </c>
      <c r="D387" s="148">
        <f>16043-D332</f>
        <v>3237</v>
      </c>
      <c r="E387" s="122"/>
      <c r="F387" s="122"/>
      <c r="G387" s="122"/>
      <c r="H387" s="122"/>
      <c r="I387" s="122"/>
      <c r="J387" s="122"/>
      <c r="K387" s="122"/>
      <c r="M387" s="122"/>
      <c r="N387" s="122"/>
      <c r="O387" s="122"/>
      <c r="P387" s="122"/>
      <c r="Q387" s="122"/>
    </row>
    <row r="388" spans="1:44" ht="12.75">
      <c r="A388" s="122" t="str">
        <f t="shared" si="261"/>
        <v>874</v>
      </c>
      <c r="B388" s="122" t="str">
        <f t="shared" si="261"/>
        <v>MAINS &amp; SERVICES</v>
      </c>
      <c r="C388" s="145">
        <v>14</v>
      </c>
      <c r="D388" s="148">
        <f>1619717-D333</f>
        <v>878001</v>
      </c>
      <c r="E388" s="122"/>
      <c r="F388" s="122"/>
      <c r="G388" s="122"/>
      <c r="H388" s="122"/>
      <c r="I388" s="122"/>
      <c r="J388" s="122"/>
      <c r="K388" s="122"/>
      <c r="M388" s="122"/>
      <c r="N388" s="122"/>
      <c r="O388" s="122"/>
      <c r="P388" s="122"/>
      <c r="Q388" s="122"/>
      <c r="AE388" s="123">
        <f>AE386+1</f>
        <v>14</v>
      </c>
      <c r="AG388" s="123" t="s">
        <v>319</v>
      </c>
      <c r="AI388" s="123">
        <f aca="true" t="shared" si="263" ref="AI388:AR388">AI378+AI386</f>
        <v>1032</v>
      </c>
      <c r="AJ388" s="123">
        <f t="shared" si="263"/>
        <v>633</v>
      </c>
      <c r="AK388" s="123">
        <f t="shared" si="263"/>
        <v>386</v>
      </c>
      <c r="AL388" s="123">
        <f t="shared" si="263"/>
        <v>2</v>
      </c>
      <c r="AM388" s="123">
        <f t="shared" si="263"/>
        <v>0</v>
      </c>
      <c r="AN388" s="123">
        <f t="shared" si="263"/>
        <v>10</v>
      </c>
      <c r="AO388" s="123">
        <f t="shared" si="263"/>
        <v>0</v>
      </c>
      <c r="AP388" s="123">
        <f t="shared" si="263"/>
        <v>0</v>
      </c>
      <c r="AQ388" s="123">
        <f t="shared" si="263"/>
        <v>0</v>
      </c>
      <c r="AR388" s="123">
        <f t="shared" si="263"/>
        <v>0</v>
      </c>
    </row>
    <row r="389" spans="1:17" ht="12.75">
      <c r="A389" s="122" t="str">
        <f t="shared" si="261"/>
        <v>875</v>
      </c>
      <c r="B389" s="122" t="str">
        <f t="shared" si="261"/>
        <v>M &amp; R - GENERAL</v>
      </c>
      <c r="C389" s="145">
        <v>18</v>
      </c>
      <c r="D389" s="148">
        <f>179366-D334</f>
        <v>65942</v>
      </c>
      <c r="E389" s="122"/>
      <c r="F389" s="122"/>
      <c r="G389" s="122"/>
      <c r="H389" s="122"/>
      <c r="I389" s="122"/>
      <c r="J389" s="122"/>
      <c r="K389" s="122"/>
      <c r="M389" s="122"/>
      <c r="N389" s="122"/>
      <c r="O389" s="122"/>
      <c r="P389" s="122"/>
      <c r="Q389" s="122"/>
    </row>
    <row r="390" spans="1:33" ht="12.75">
      <c r="A390" s="122" t="str">
        <f t="shared" si="261"/>
        <v>876</v>
      </c>
      <c r="B390" s="122" t="str">
        <f t="shared" si="261"/>
        <v>M &amp; R - INDUSTRIAL</v>
      </c>
      <c r="C390" s="145">
        <v>8</v>
      </c>
      <c r="D390" s="148">
        <f>36303-D335</f>
        <v>7835</v>
      </c>
      <c r="E390" s="122"/>
      <c r="F390" s="122"/>
      <c r="G390" s="122"/>
      <c r="H390" s="122"/>
      <c r="I390" s="122"/>
      <c r="J390" s="122"/>
      <c r="K390" s="122"/>
      <c r="M390" s="122"/>
      <c r="N390" s="122"/>
      <c r="O390" s="122"/>
      <c r="P390" s="122"/>
      <c r="Q390" s="122"/>
      <c r="AE390" s="123">
        <f>AE388+1</f>
        <v>15</v>
      </c>
      <c r="AG390" s="123" t="s">
        <v>320</v>
      </c>
    </row>
    <row r="391" spans="1:17" ht="12.75">
      <c r="A391" s="122" t="str">
        <f t="shared" si="261"/>
        <v>878</v>
      </c>
      <c r="B391" s="122" t="str">
        <f t="shared" si="261"/>
        <v>METERS &amp; HOUSE REGULATORS</v>
      </c>
      <c r="C391" s="145">
        <v>16</v>
      </c>
      <c r="D391" s="148">
        <f>1516785-D336</f>
        <v>434598</v>
      </c>
      <c r="E391" s="122"/>
      <c r="F391" s="122"/>
      <c r="G391" s="122"/>
      <c r="H391" s="122"/>
      <c r="I391" s="122"/>
      <c r="J391" s="122"/>
      <c r="K391" s="122"/>
      <c r="M391" s="122"/>
      <c r="N391" s="122"/>
      <c r="O391" s="122"/>
      <c r="P391" s="122"/>
      <c r="Q391" s="122"/>
    </row>
    <row r="392" spans="1:32" ht="12.75">
      <c r="A392" s="122" t="str">
        <f t="shared" si="261"/>
        <v>879</v>
      </c>
      <c r="B392" s="122" t="str">
        <f t="shared" si="261"/>
        <v>CUSTOMER INSTALLATION </v>
      </c>
      <c r="C392" s="145">
        <v>16</v>
      </c>
      <c r="D392" s="148">
        <f>1044203-D337</f>
        <v>283104</v>
      </c>
      <c r="E392" s="122"/>
      <c r="F392" s="122"/>
      <c r="G392" s="122"/>
      <c r="H392" s="122"/>
      <c r="I392" s="122"/>
      <c r="J392" s="122"/>
      <c r="K392" s="122"/>
      <c r="M392" s="122"/>
      <c r="N392" s="122"/>
      <c r="O392" s="122"/>
      <c r="P392" s="122"/>
      <c r="Q392" s="122"/>
      <c r="AE392" s="123">
        <f>AE390+1</f>
        <v>16</v>
      </c>
      <c r="AF392" s="139" t="s">
        <v>321</v>
      </c>
    </row>
    <row r="393" spans="1:44" ht="12.75">
      <c r="A393" s="122" t="str">
        <f t="shared" si="261"/>
        <v>880</v>
      </c>
      <c r="B393" s="122" t="str">
        <f t="shared" si="261"/>
        <v>OTHER</v>
      </c>
      <c r="C393" s="145">
        <v>11</v>
      </c>
      <c r="D393" s="148">
        <f>1545793-D338+E568</f>
        <v>861367</v>
      </c>
      <c r="E393" s="122"/>
      <c r="F393" s="122"/>
      <c r="G393" s="122"/>
      <c r="H393" s="122"/>
      <c r="I393" s="122"/>
      <c r="J393" s="122"/>
      <c r="K393" s="122"/>
      <c r="M393" s="122"/>
      <c r="N393" s="122"/>
      <c r="O393" s="122"/>
      <c r="P393" s="122"/>
      <c r="Q393" s="122"/>
      <c r="AE393" s="123">
        <f>AE392+1</f>
        <v>17</v>
      </c>
      <c r="AF393" s="123" t="s">
        <v>322</v>
      </c>
      <c r="AG393" s="123" t="str">
        <f>B315</f>
        <v>COST OF GAS @ CITY GATE</v>
      </c>
      <c r="AI393" s="123">
        <f>SUM(AJ393:AR393)</f>
        <v>112344668.69</v>
      </c>
      <c r="AJ393" s="123">
        <f aca="true" t="shared" si="264" ref="AJ393:AR393">E315</f>
        <v>69736011.38</v>
      </c>
      <c r="AK393" s="123">
        <f t="shared" si="264"/>
        <v>41401008.260000005</v>
      </c>
      <c r="AL393" s="123">
        <f t="shared" si="264"/>
        <v>227827.88</v>
      </c>
      <c r="AM393" s="123">
        <f t="shared" si="264"/>
        <v>0</v>
      </c>
      <c r="AN393" s="123">
        <f t="shared" si="264"/>
        <v>979821.17</v>
      </c>
      <c r="AO393" s="123">
        <f t="shared" si="264"/>
        <v>0</v>
      </c>
      <c r="AP393" s="123">
        <f t="shared" si="264"/>
        <v>0</v>
      </c>
      <c r="AQ393" s="123">
        <f t="shared" si="264"/>
        <v>0</v>
      </c>
      <c r="AR393" s="123">
        <f t="shared" si="264"/>
        <v>0</v>
      </c>
    </row>
    <row r="394" spans="1:44" ht="12.75">
      <c r="A394" s="122" t="str">
        <f t="shared" si="261"/>
        <v>881</v>
      </c>
      <c r="B394" s="122" t="str">
        <f t="shared" si="261"/>
        <v>RENTS</v>
      </c>
      <c r="C394" s="145">
        <v>11</v>
      </c>
      <c r="D394" s="148">
        <f>114036-D339</f>
        <v>114036</v>
      </c>
      <c r="E394" s="122">
        <f>SUM(D386:D394)</f>
        <v>2749383</v>
      </c>
      <c r="F394" s="122"/>
      <c r="G394" s="122"/>
      <c r="H394" s="122"/>
      <c r="I394" s="122"/>
      <c r="J394" s="122"/>
      <c r="K394" s="122"/>
      <c r="M394" s="122"/>
      <c r="N394" s="122"/>
      <c r="O394" s="122"/>
      <c r="P394" s="122"/>
      <c r="Q394" s="122"/>
      <c r="AE394" s="123">
        <f>AE393+1</f>
        <v>18</v>
      </c>
      <c r="AF394" s="139" t="str">
        <f>A316</f>
        <v>807</v>
      </c>
      <c r="AG394" s="123" t="str">
        <f>B316</f>
        <v>OTHER PURCHASED GAS - LABOR</v>
      </c>
      <c r="AH394" s="123">
        <f>C316</f>
        <v>9</v>
      </c>
      <c r="AI394" s="123">
        <f>ROUND(D316*(1+$D$65),0)</f>
        <v>22377</v>
      </c>
      <c r="AJ394" s="123">
        <f>ROUND((VLOOKUP($AH394,$A$661:$Y$709,13)*$AI394),0)</f>
        <v>13890</v>
      </c>
      <c r="AK394" s="123">
        <f>ROUND((VLOOKUP($AH394,$A$661:$Y$709,14)*$AI394),0)</f>
        <v>8246</v>
      </c>
      <c r="AL394" s="123">
        <f>ROUND((VLOOKUP($AH394,$A$661:$Y$709,15)*$AI394),0)</f>
        <v>45</v>
      </c>
      <c r="AM394" s="123">
        <f>ROUND((VLOOKUP($AH394,$A$661:$Y$709,16)*$AI394),0)</f>
        <v>0</v>
      </c>
      <c r="AN394" s="123">
        <f>ROUND((VLOOKUP($AH394,$A$661:$Y$709,17)*$AI394),0)</f>
        <v>195</v>
      </c>
      <c r="AO394" s="123">
        <f>ROUND((VLOOKUP($AH394,$A$661:$Y$709,18)*$AI394),0)</f>
        <v>0</v>
      </c>
      <c r="AP394" s="123">
        <f>ROUND((VLOOKUP($AH394,$A$661:$Y$709,19)*$AI394),0)</f>
        <v>0</v>
      </c>
      <c r="AQ394" s="123">
        <f>ROUND((VLOOKUP($AH394,$A$661:$Y$709,20)*$AI394),0)</f>
        <v>0</v>
      </c>
      <c r="AR394" s="123">
        <f>ROUND((VLOOKUP($AH394,$A$661:$Y$709,21)*$AI394),0)</f>
        <v>0</v>
      </c>
    </row>
    <row r="395" spans="1:44" ht="12.75">
      <c r="A395" s="122" t="str">
        <f aca="true" t="shared" si="265" ref="A395:A430">A340</f>
        <v>MAINTENANCE</v>
      </c>
      <c r="B395" s="122"/>
      <c r="C395" s="145"/>
      <c r="D395" s="172"/>
      <c r="E395" s="122"/>
      <c r="F395" s="122"/>
      <c r="G395" s="122"/>
      <c r="H395" s="122"/>
      <c r="I395" s="122"/>
      <c r="J395" s="122"/>
      <c r="K395" s="122"/>
      <c r="M395" s="122"/>
      <c r="N395" s="122"/>
      <c r="O395" s="122"/>
      <c r="P395" s="122"/>
      <c r="Q395" s="122"/>
      <c r="AE395" s="123">
        <f>AE394+1</f>
        <v>19</v>
      </c>
      <c r="AF395" s="139" t="str">
        <f>A317</f>
        <v>807</v>
      </c>
      <c r="AG395" s="123" t="str">
        <f>B317</f>
        <v>OTHER PURCHASED GAS - M &amp; E </v>
      </c>
      <c r="AH395" s="123">
        <f>C317</f>
        <v>9</v>
      </c>
      <c r="AI395" s="123">
        <f>D317</f>
        <v>3371</v>
      </c>
      <c r="AJ395" s="123">
        <f>ROUND((VLOOKUP($AH395,$A$661:$Y$709,13)*$AI395),0)</f>
        <v>2092</v>
      </c>
      <c r="AK395" s="123">
        <f>ROUND((VLOOKUP($AH395,$A$661:$Y$709,14)*$AI395),0)</f>
        <v>1242</v>
      </c>
      <c r="AL395" s="123">
        <f>ROUND((VLOOKUP($AH395,$A$661:$Y$709,15)*$AI395),0)</f>
        <v>7</v>
      </c>
      <c r="AM395" s="123">
        <f>ROUND((VLOOKUP($AH395,$A$661:$Y$709,16)*$AI395),0)</f>
        <v>0</v>
      </c>
      <c r="AN395" s="123">
        <f>ROUND((VLOOKUP($AH395,$A$661:$Y$709,17)*$AI395),0)</f>
        <v>29</v>
      </c>
      <c r="AO395" s="123">
        <f>ROUND((VLOOKUP($AH395,$A$661:$Y$709,18)*$AI395),0)</f>
        <v>0</v>
      </c>
      <c r="AP395" s="123">
        <f>ROUND((VLOOKUP($AH395,$A$661:$Y$709,19)*$AI395),0)</f>
        <v>0</v>
      </c>
      <c r="AQ395" s="123">
        <f>ROUND((VLOOKUP($AH395,$A$661:$Y$709,20)*$AI395),0)</f>
        <v>0</v>
      </c>
      <c r="AR395" s="123">
        <f>ROUND((VLOOKUP($AH395,$A$661:$Y$709,21)*$AI395),0)</f>
        <v>0</v>
      </c>
    </row>
    <row r="396" spans="1:44" ht="12.75">
      <c r="A396" s="122" t="str">
        <f t="shared" si="265"/>
        <v>885</v>
      </c>
      <c r="B396" s="122" t="str">
        <f aca="true" t="shared" si="266" ref="B396:B403">B341</f>
        <v>SUPERVISION &amp; ENGINEERING</v>
      </c>
      <c r="C396" s="145">
        <v>11</v>
      </c>
      <c r="D396" s="148">
        <f>156683-D341</f>
        <v>42191</v>
      </c>
      <c r="E396" s="122"/>
      <c r="F396" s="122"/>
      <c r="G396" s="122"/>
      <c r="H396" s="122"/>
      <c r="I396" s="122"/>
      <c r="J396" s="122"/>
      <c r="K396" s="122"/>
      <c r="M396" s="122"/>
      <c r="N396" s="122"/>
      <c r="O396" s="122"/>
      <c r="P396" s="122"/>
      <c r="Q396" s="122"/>
      <c r="AE396" s="123">
        <f>AE395+1</f>
        <v>20</v>
      </c>
      <c r="AF396" s="123" t="str">
        <f>A318</f>
        <v>812</v>
      </c>
      <c r="AG396" s="123" t="str">
        <f>B318</f>
        <v>GAS USED IN OPERATIONS</v>
      </c>
      <c r="AH396" s="123">
        <f>C318</f>
        <v>9</v>
      </c>
      <c r="AI396" s="141">
        <f>D318</f>
        <v>-152270</v>
      </c>
      <c r="AJ396" s="141">
        <f>ROUND((VLOOKUP($AH396,$A$661:$Y$709,13)*$AI396),0)</f>
        <v>-94519</v>
      </c>
      <c r="AK396" s="141">
        <f>ROUND((VLOOKUP($AH396,$A$661:$Y$709,14)*$AI396),0)</f>
        <v>-56115</v>
      </c>
      <c r="AL396" s="141">
        <f>ROUND((VLOOKUP($AH396,$A$661:$Y$709,15)*$AI396),0)</f>
        <v>-309</v>
      </c>
      <c r="AM396" s="141">
        <f>ROUND((VLOOKUP($AH396,$A$661:$Y$709,16)*$AI396),0)</f>
        <v>0</v>
      </c>
      <c r="AN396" s="141">
        <f>ROUND((VLOOKUP($AH396,$A$661:$Y$709,17)*$AI396),0)</f>
        <v>-1328</v>
      </c>
      <c r="AO396" s="141">
        <f>ROUND((VLOOKUP($AH396,$A$661:$Y$709,18)*$AI396),0)</f>
        <v>0</v>
      </c>
      <c r="AP396" s="141">
        <f>ROUND((VLOOKUP($AH396,$A$661:$Y$709,19)*$AI396),0)</f>
        <v>0</v>
      </c>
      <c r="AQ396" s="141">
        <f>ROUND((VLOOKUP($AH396,$A$661:$Y$709,20)*$AI396),0)</f>
        <v>0</v>
      </c>
      <c r="AR396" s="141">
        <f>ROUND((VLOOKUP($AH396,$A$661:$Y$709,21)*$AI396),0)</f>
        <v>0</v>
      </c>
    </row>
    <row r="397" spans="1:44" ht="12.75">
      <c r="A397" s="122" t="str">
        <f t="shared" si="265"/>
        <v>886</v>
      </c>
      <c r="B397" s="122" t="str">
        <f t="shared" si="266"/>
        <v>STRUCTURES &amp; IMPROVEMENTS</v>
      </c>
      <c r="C397" s="145">
        <v>18</v>
      </c>
      <c r="D397" s="148">
        <f>105946-D342</f>
        <v>78665</v>
      </c>
      <c r="E397" s="122"/>
      <c r="F397" s="122"/>
      <c r="G397" s="122"/>
      <c r="H397" s="122"/>
      <c r="I397" s="122"/>
      <c r="J397" s="122"/>
      <c r="K397" s="122"/>
      <c r="M397" s="122"/>
      <c r="N397" s="122"/>
      <c r="O397" s="122"/>
      <c r="P397" s="122"/>
      <c r="Q397" s="122"/>
      <c r="AE397" s="123">
        <f>AE396+1</f>
        <v>21</v>
      </c>
      <c r="AG397" s="123" t="s">
        <v>323</v>
      </c>
      <c r="AI397" s="141">
        <f aca="true" t="shared" si="267" ref="AI397:AR397">SUM(AI393:AI396)</f>
        <v>112218146.69</v>
      </c>
      <c r="AJ397" s="141">
        <f t="shared" si="267"/>
        <v>69657474.38</v>
      </c>
      <c r="AK397" s="141">
        <f t="shared" si="267"/>
        <v>41354381.260000005</v>
      </c>
      <c r="AL397" s="141">
        <f t="shared" si="267"/>
        <v>227570.88</v>
      </c>
      <c r="AM397" s="141">
        <f t="shared" si="267"/>
        <v>0</v>
      </c>
      <c r="AN397" s="141">
        <f t="shared" si="267"/>
        <v>978717.17</v>
      </c>
      <c r="AO397" s="141">
        <f t="shared" si="267"/>
        <v>0</v>
      </c>
      <c r="AP397" s="141">
        <f t="shared" si="267"/>
        <v>0</v>
      </c>
      <c r="AQ397" s="141">
        <f t="shared" si="267"/>
        <v>0</v>
      </c>
      <c r="AR397" s="141">
        <f t="shared" si="267"/>
        <v>0</v>
      </c>
    </row>
    <row r="398" spans="1:17" ht="12.75">
      <c r="A398" s="122" t="str">
        <f t="shared" si="265"/>
        <v>887</v>
      </c>
      <c r="B398" s="122" t="str">
        <f t="shared" si="266"/>
        <v>MAINS</v>
      </c>
      <c r="C398" s="145">
        <v>18</v>
      </c>
      <c r="D398" s="148">
        <f>1109766-D343</f>
        <v>710916</v>
      </c>
      <c r="E398" s="122"/>
      <c r="F398" s="122"/>
      <c r="G398" s="122"/>
      <c r="H398" s="122"/>
      <c r="I398" s="122"/>
      <c r="J398" s="122"/>
      <c r="K398" s="122"/>
      <c r="M398" s="122"/>
      <c r="N398" s="122"/>
      <c r="O398" s="122"/>
      <c r="P398" s="122"/>
      <c r="Q398" s="122"/>
    </row>
    <row r="399" spans="1:44" ht="12.75">
      <c r="A399" s="122" t="str">
        <f t="shared" si="265"/>
        <v>889</v>
      </c>
      <c r="B399" s="122" t="str">
        <f t="shared" si="266"/>
        <v>M &amp; R - GENERAL</v>
      </c>
      <c r="C399" s="145">
        <v>18</v>
      </c>
      <c r="D399" s="148">
        <f>141516-D344</f>
        <v>37320</v>
      </c>
      <c r="E399" s="122"/>
      <c r="F399" s="122"/>
      <c r="G399" s="122"/>
      <c r="H399" s="122"/>
      <c r="I399" s="122"/>
      <c r="J399" s="122"/>
      <c r="K399" s="122"/>
      <c r="M399" s="122"/>
      <c r="N399" s="122"/>
      <c r="O399" s="122"/>
      <c r="P399" s="122"/>
      <c r="Q399" s="122"/>
      <c r="AE399" s="123">
        <f>AE397+1</f>
        <v>22</v>
      </c>
      <c r="AG399" s="123" t="s">
        <v>324</v>
      </c>
      <c r="AI399" s="123">
        <f aca="true" t="shared" si="268" ref="AI399:AR399">AI388+AI397</f>
        <v>112219178.69</v>
      </c>
      <c r="AJ399" s="123">
        <f t="shared" si="268"/>
        <v>69658107.38</v>
      </c>
      <c r="AK399" s="123">
        <f t="shared" si="268"/>
        <v>41354767.260000005</v>
      </c>
      <c r="AL399" s="123">
        <f t="shared" si="268"/>
        <v>227572.88</v>
      </c>
      <c r="AM399" s="123">
        <f t="shared" si="268"/>
        <v>0</v>
      </c>
      <c r="AN399" s="123">
        <f t="shared" si="268"/>
        <v>978727.17</v>
      </c>
      <c r="AO399" s="123">
        <f t="shared" si="268"/>
        <v>0</v>
      </c>
      <c r="AP399" s="123">
        <f t="shared" si="268"/>
        <v>0</v>
      </c>
      <c r="AQ399" s="123">
        <f t="shared" si="268"/>
        <v>0</v>
      </c>
      <c r="AR399" s="123">
        <f t="shared" si="268"/>
        <v>0</v>
      </c>
    </row>
    <row r="400" spans="1:17" ht="12.75">
      <c r="A400" s="122" t="str">
        <f t="shared" si="265"/>
        <v>890</v>
      </c>
      <c r="B400" s="122" t="str">
        <f t="shared" si="266"/>
        <v>M &amp; R - INDUSTRIAL</v>
      </c>
      <c r="C400" s="145">
        <v>8</v>
      </c>
      <c r="D400" s="148">
        <f>120000-D345</f>
        <v>93060</v>
      </c>
      <c r="E400" s="122"/>
      <c r="F400" s="122"/>
      <c r="G400" s="122"/>
      <c r="H400" s="122"/>
      <c r="I400" s="122"/>
      <c r="J400" s="122"/>
      <c r="K400" s="122"/>
      <c r="M400" s="122"/>
      <c r="N400" s="122"/>
      <c r="O400" s="122"/>
      <c r="P400" s="122"/>
      <c r="Q400" s="122"/>
    </row>
    <row r="401" spans="1:43" ht="12.75">
      <c r="A401" s="122" t="str">
        <f t="shared" si="265"/>
        <v>892</v>
      </c>
      <c r="B401" s="122" t="str">
        <f t="shared" si="266"/>
        <v>SERVICES</v>
      </c>
      <c r="C401" s="145">
        <v>15</v>
      </c>
      <c r="D401" s="148">
        <f>296975-D346</f>
        <v>99064</v>
      </c>
      <c r="E401" s="122"/>
      <c r="F401" s="122"/>
      <c r="G401" s="122"/>
      <c r="H401" s="122"/>
      <c r="I401" s="122"/>
      <c r="J401" s="122"/>
      <c r="K401" s="122"/>
      <c r="M401" s="122"/>
      <c r="N401" s="122"/>
      <c r="O401" s="122"/>
      <c r="P401" s="122"/>
      <c r="Q401" s="122"/>
      <c r="AK401" s="125" t="str">
        <f>""&amp;+$B$24</f>
        <v>COLUMBIA GAS OF KENTUCKY, INC.</v>
      </c>
      <c r="AQ401" s="123" t="str">
        <f>$B$25</f>
        <v>D/C STUDY</v>
      </c>
    </row>
    <row r="402" spans="1:43" ht="12.75">
      <c r="A402" s="122" t="str">
        <f t="shared" si="265"/>
        <v>893</v>
      </c>
      <c r="B402" s="122" t="str">
        <f t="shared" si="266"/>
        <v>METERS &amp; HOUSE REGULATORS</v>
      </c>
      <c r="C402" s="145">
        <v>16</v>
      </c>
      <c r="D402" s="148">
        <f>148060-D347</f>
        <v>107435</v>
      </c>
      <c r="E402" s="122"/>
      <c r="F402" s="122"/>
      <c r="G402" s="122"/>
      <c r="H402" s="122"/>
      <c r="I402" s="122"/>
      <c r="J402" s="122"/>
      <c r="K402" s="122"/>
      <c r="M402" s="122"/>
      <c r="N402" s="122"/>
      <c r="O402" s="122"/>
      <c r="P402" s="122"/>
      <c r="Q402" s="122"/>
      <c r="AE402" s="123" t="str">
        <f>$B$30</f>
        <v>DEMAND-COMMODITY</v>
      </c>
      <c r="AK402" s="125" t="s">
        <v>779</v>
      </c>
      <c r="AQ402" s="123" t="str">
        <f>"PAGE 14 OF "&amp;FIXED($B$31,0,TRUE)</f>
        <v>PAGE 14 OF 28</v>
      </c>
    </row>
    <row r="403" spans="1:44" ht="12.75">
      <c r="A403" s="122" t="str">
        <f t="shared" si="265"/>
        <v>894</v>
      </c>
      <c r="B403" s="122" t="str">
        <f t="shared" si="266"/>
        <v>OTHER EQUIPMENT</v>
      </c>
      <c r="C403" s="145">
        <v>11</v>
      </c>
      <c r="D403" s="148">
        <f>100871-D348</f>
        <v>52665</v>
      </c>
      <c r="E403" s="122">
        <f>SUM(D396:D403)</f>
        <v>1221316</v>
      </c>
      <c r="F403" s="122"/>
      <c r="G403" s="122"/>
      <c r="H403" s="122"/>
      <c r="I403" s="122"/>
      <c r="J403" s="122"/>
      <c r="K403" s="122"/>
      <c r="M403" s="122"/>
      <c r="N403" s="122"/>
      <c r="O403" s="122"/>
      <c r="P403" s="122"/>
      <c r="Q403" s="122"/>
      <c r="AE403" s="128" t="str">
        <f>$B$29</f>
        <v>HISTORIC PERIOD - ORIGINAL FILING</v>
      </c>
      <c r="AF403" s="128"/>
      <c r="AG403" s="128"/>
      <c r="AH403" s="129"/>
      <c r="AI403" s="129"/>
      <c r="AJ403" s="129"/>
      <c r="AK403" s="130" t="str">
        <f>"FOR THE TWELVE MONTHS ENDED "&amp;$B$27</f>
        <v>FOR THE TWELVE MONTHS ENDED 09/30/2006</v>
      </c>
      <c r="AL403" s="128"/>
      <c r="AM403" s="128"/>
      <c r="AN403" s="128"/>
      <c r="AO403" s="128"/>
      <c r="AP403" s="128"/>
      <c r="AQ403" s="128" t="str">
        <f>"WITNESS: "&amp;$B$28</f>
        <v>WITNESS: R. GIBBONS</v>
      </c>
      <c r="AR403" s="131"/>
    </row>
    <row r="404" spans="1:35" ht="12.75">
      <c r="A404" s="122" t="str">
        <f t="shared" si="265"/>
        <v>CUSTOMER ACCOUNTS</v>
      </c>
      <c r="B404" s="122"/>
      <c r="C404" s="145"/>
      <c r="D404" s="172"/>
      <c r="E404" s="122"/>
      <c r="F404" s="122"/>
      <c r="G404" s="122"/>
      <c r="H404" s="122"/>
      <c r="I404" s="122"/>
      <c r="J404" s="122"/>
      <c r="K404" s="122"/>
      <c r="M404" s="122"/>
      <c r="N404" s="122"/>
      <c r="O404" s="122"/>
      <c r="P404" s="122"/>
      <c r="Q404" s="122"/>
      <c r="AE404" s="125" t="s">
        <v>9</v>
      </c>
      <c r="AF404" s="123" t="s">
        <v>10</v>
      </c>
      <c r="AH404" s="125" t="s">
        <v>11</v>
      </c>
      <c r="AI404" s="125" t="s">
        <v>12</v>
      </c>
    </row>
    <row r="405" spans="1:44" ht="12.75">
      <c r="A405" s="122" t="str">
        <f t="shared" si="265"/>
        <v>901</v>
      </c>
      <c r="B405" s="122" t="str">
        <f aca="true" t="shared" si="269" ref="B405:B414">B350</f>
        <v>SUPERVISION</v>
      </c>
      <c r="C405" s="145">
        <v>6</v>
      </c>
      <c r="D405" s="148">
        <f>6706-D350</f>
        <v>258</v>
      </c>
      <c r="E405" s="122"/>
      <c r="F405" s="122"/>
      <c r="G405" s="122"/>
      <c r="H405" s="122"/>
      <c r="I405" s="122"/>
      <c r="J405" s="122"/>
      <c r="K405" s="122"/>
      <c r="M405" s="122"/>
      <c r="N405" s="122"/>
      <c r="O405" s="122"/>
      <c r="P405" s="122"/>
      <c r="Q405" s="122"/>
      <c r="AE405" s="133" t="s">
        <v>13</v>
      </c>
      <c r="AF405" s="133" t="s">
        <v>13</v>
      </c>
      <c r="AG405" s="171" t="str">
        <f>AG5</f>
        <v> ACCOUNT TITLE</v>
      </c>
      <c r="AH405" s="141" t="s">
        <v>14</v>
      </c>
      <c r="AI405" s="133" t="s">
        <v>15</v>
      </c>
      <c r="AJ405" s="133" t="str">
        <f>"  "&amp;+$C$35</f>
        <v>  GS-RES.</v>
      </c>
      <c r="AK405" s="133" t="str">
        <f>$C$36</f>
        <v>GS-OTHER</v>
      </c>
      <c r="AL405" s="133" t="str">
        <f>$C$37</f>
        <v>IUS</v>
      </c>
      <c r="AM405" s="133" t="str">
        <f>$C$38</f>
        <v>DS-ML/SC</v>
      </c>
      <c r="AN405" s="133" t="str">
        <f>$C$39</f>
        <v>DS/IS/SS</v>
      </c>
      <c r="AO405" s="133" t="str">
        <f>$C$40</f>
        <v>NOT USED</v>
      </c>
      <c r="AP405" s="133" t="str">
        <f>$C$41</f>
        <v>NOT USED</v>
      </c>
      <c r="AQ405" s="133" t="str">
        <f>$C$42</f>
        <v>NOT USED</v>
      </c>
      <c r="AR405" s="133" t="str">
        <f>$C$43</f>
        <v>NOT USED</v>
      </c>
    </row>
    <row r="406" spans="1:44" ht="12.75">
      <c r="A406" s="122" t="str">
        <f t="shared" si="265"/>
        <v>902</v>
      </c>
      <c r="B406" s="122" t="str">
        <f t="shared" si="269"/>
        <v>METER READING</v>
      </c>
      <c r="C406" s="145">
        <v>6</v>
      </c>
      <c r="D406" s="148">
        <f>1105664-D351</f>
        <v>973496</v>
      </c>
      <c r="E406" s="122"/>
      <c r="F406" s="122"/>
      <c r="G406" s="122"/>
      <c r="H406" s="122"/>
      <c r="I406" s="122"/>
      <c r="J406" s="122"/>
      <c r="K406" s="122"/>
      <c r="M406" s="122"/>
      <c r="N406" s="122"/>
      <c r="O406" s="122"/>
      <c r="P406" s="122"/>
      <c r="Q406" s="122"/>
      <c r="AF406" s="136" t="s">
        <v>17</v>
      </c>
      <c r="AG406" s="136" t="s">
        <v>18</v>
      </c>
      <c r="AH406" s="125" t="s">
        <v>19</v>
      </c>
      <c r="AI406" s="125" t="s">
        <v>20</v>
      </c>
      <c r="AJ406" s="125" t="s">
        <v>21</v>
      </c>
      <c r="AK406" s="125" t="s">
        <v>22</v>
      </c>
      <c r="AL406" s="125" t="s">
        <v>23</v>
      </c>
      <c r="AN406" s="125" t="s">
        <v>25</v>
      </c>
      <c r="AO406" s="125" t="s">
        <v>26</v>
      </c>
      <c r="AP406" s="125" t="s">
        <v>27</v>
      </c>
      <c r="AQ406" s="125" t="s">
        <v>28</v>
      </c>
      <c r="AR406" s="125" t="s">
        <v>29</v>
      </c>
    </row>
    <row r="407" spans="1:44" ht="12.75">
      <c r="A407" s="122" t="str">
        <f t="shared" si="265"/>
        <v>903</v>
      </c>
      <c r="B407" s="122" t="str">
        <f t="shared" si="269"/>
        <v>CUSTOMER RECORDS &amp; COLLECTIONS</v>
      </c>
      <c r="C407" s="145">
        <v>6</v>
      </c>
      <c r="D407" s="148">
        <f>1427727-D352+E580</f>
        <v>429335</v>
      </c>
      <c r="E407" s="122"/>
      <c r="F407" s="122"/>
      <c r="G407" s="122"/>
      <c r="H407" s="122"/>
      <c r="I407" s="122"/>
      <c r="J407" s="122"/>
      <c r="K407" s="122"/>
      <c r="M407" s="122"/>
      <c r="N407" s="122"/>
      <c r="O407" s="122"/>
      <c r="P407" s="122"/>
      <c r="Q407" s="122"/>
      <c r="AI407" s="125" t="s">
        <v>32</v>
      </c>
      <c r="AJ407" s="125" t="s">
        <v>32</v>
      </c>
      <c r="AK407" s="125" t="s">
        <v>32</v>
      </c>
      <c r="AL407" s="125" t="s">
        <v>32</v>
      </c>
      <c r="AM407" s="125" t="s">
        <v>32</v>
      </c>
      <c r="AN407" s="125" t="s">
        <v>32</v>
      </c>
      <c r="AO407" s="125" t="s">
        <v>32</v>
      </c>
      <c r="AP407" s="125" t="s">
        <v>32</v>
      </c>
      <c r="AQ407" s="125" t="s">
        <v>32</v>
      </c>
      <c r="AR407" s="125" t="s">
        <v>32</v>
      </c>
    </row>
    <row r="408" spans="1:33" ht="12.75">
      <c r="A408" s="122" t="str">
        <f t="shared" si="265"/>
        <v>903</v>
      </c>
      <c r="B408" s="122" t="str">
        <f t="shared" si="269"/>
        <v>DIRECT CUSTOMER RECORDS &amp; COLLECTIONS</v>
      </c>
      <c r="D408" s="173">
        <v>0</v>
      </c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AE408" s="123">
        <v>1</v>
      </c>
      <c r="AG408" s="123" t="str">
        <f>A328</f>
        <v>DISTRIBUTION EXPENSES</v>
      </c>
    </row>
    <row r="409" spans="1:17" ht="12.75">
      <c r="A409" s="122" t="str">
        <f t="shared" si="265"/>
        <v>904</v>
      </c>
      <c r="B409" s="122" t="str">
        <f t="shared" si="269"/>
        <v>UNCOLLECTIBLE ACCOUNTS</v>
      </c>
      <c r="C409" s="145">
        <v>6</v>
      </c>
      <c r="D409" s="148">
        <f>1707449+E562</f>
        <v>1646995</v>
      </c>
      <c r="E409" s="145"/>
      <c r="F409" s="145"/>
      <c r="G409" s="145"/>
      <c r="H409" s="145"/>
      <c r="I409" s="145"/>
      <c r="J409" s="145"/>
      <c r="K409" s="145"/>
      <c r="L409" s="145"/>
      <c r="M409" s="145"/>
      <c r="N409" s="122"/>
      <c r="O409" s="122"/>
      <c r="P409" s="122"/>
      <c r="Q409" s="122"/>
    </row>
    <row r="410" spans="1:44" ht="12.75">
      <c r="A410" s="122" t="str">
        <f t="shared" si="265"/>
        <v>905</v>
      </c>
      <c r="B410" s="122" t="str">
        <f t="shared" si="269"/>
        <v>MISC.</v>
      </c>
      <c r="C410" s="145">
        <v>6</v>
      </c>
      <c r="D410" s="148">
        <f>6561-D355</f>
        <v>5345</v>
      </c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AE410" s="123">
        <f>AE408+1</f>
        <v>2</v>
      </c>
      <c r="AF410" s="123" t="str">
        <f aca="true" t="shared" si="270" ref="AF410:AF418">A331</f>
        <v>870</v>
      </c>
      <c r="AG410" s="123" t="str">
        <f aca="true" t="shared" si="271" ref="AG410:AG418">B331</f>
        <v>SUPERVISION &amp; ENGINEERING</v>
      </c>
      <c r="AH410" s="123">
        <f aca="true" t="shared" si="272" ref="AH410:AH418">C331</f>
        <v>10</v>
      </c>
      <c r="AI410" s="123">
        <f aca="true" t="shared" si="273" ref="AI410:AI418">ROUND(D331*(1+$D$65),0)</f>
        <v>223960</v>
      </c>
      <c r="AJ410" s="123">
        <f aca="true" t="shared" si="274" ref="AJ410:AJ418">ROUND((VLOOKUP($AH410,$A$661:$Y$709,13)*$AI410),0)</f>
        <v>127731</v>
      </c>
      <c r="AK410" s="123">
        <f aca="true" t="shared" si="275" ref="AK410:AK418">ROUND((VLOOKUP($AH410,$A$661:$Y$709,14)*$AI410),0)</f>
        <v>64617</v>
      </c>
      <c r="AL410" s="123">
        <f aca="true" t="shared" si="276" ref="AL410:AL418">ROUND((VLOOKUP($AH410,$A$661:$Y$709,15)*$AI410),0)</f>
        <v>123</v>
      </c>
      <c r="AM410" s="123">
        <f aca="true" t="shared" si="277" ref="AM410:AM418">ROUND((VLOOKUP($AH410,$A$661:$Y$709,16)*$AI410),0)</f>
        <v>237</v>
      </c>
      <c r="AN410" s="123">
        <f aca="true" t="shared" si="278" ref="AN410:AN418">ROUND((VLOOKUP($AH410,$A$661:$Y$709,17)*$AI410),0)</f>
        <v>31251</v>
      </c>
      <c r="AO410" s="123">
        <f aca="true" t="shared" si="279" ref="AO410:AO418">ROUND((VLOOKUP($AH410,$A$661:$Y$709,18)*$AI410),0)</f>
        <v>0</v>
      </c>
      <c r="AP410" s="123">
        <f aca="true" t="shared" si="280" ref="AP410:AP418">ROUND((VLOOKUP($AH410,$A$661:$Y$709,19)*$AI410),0)</f>
        <v>0</v>
      </c>
      <c r="AQ410" s="123">
        <f aca="true" t="shared" si="281" ref="AQ410:AQ418">ROUND((VLOOKUP($AH410,$A$661:$Y$709,20)*$AI410),0)</f>
        <v>0</v>
      </c>
      <c r="AR410" s="123">
        <f aca="true" t="shared" si="282" ref="AR410:AR418">ROUND((VLOOKUP($AH410,$A$661:$Y$709,21)*$AI410),0)</f>
        <v>0</v>
      </c>
    </row>
    <row r="411" spans="1:44" ht="12.75">
      <c r="A411" s="122" t="str">
        <f t="shared" si="265"/>
        <v>920</v>
      </c>
      <c r="B411" s="122" t="str">
        <f t="shared" si="269"/>
        <v>SALARIES</v>
      </c>
      <c r="C411" s="145">
        <v>6</v>
      </c>
      <c r="D411" s="148">
        <v>0</v>
      </c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AE411" s="123">
        <f aca="true" t="shared" si="283" ref="AE411:AE419">AE410+1</f>
        <v>3</v>
      </c>
      <c r="AF411" s="123" t="str">
        <f t="shared" si="270"/>
        <v>871</v>
      </c>
      <c r="AG411" s="123" t="str">
        <f t="shared" si="271"/>
        <v>DISTRIBUTION LOAD DISPATCH</v>
      </c>
      <c r="AH411" s="123">
        <f t="shared" si="272"/>
        <v>4</v>
      </c>
      <c r="AI411" s="123">
        <f t="shared" si="273"/>
        <v>12806</v>
      </c>
      <c r="AJ411" s="123">
        <f t="shared" si="274"/>
        <v>4056</v>
      </c>
      <c r="AK411" s="123">
        <f t="shared" si="275"/>
        <v>2736</v>
      </c>
      <c r="AL411" s="123">
        <f t="shared" si="276"/>
        <v>10</v>
      </c>
      <c r="AM411" s="123">
        <f t="shared" si="277"/>
        <v>0</v>
      </c>
      <c r="AN411" s="123">
        <f t="shared" si="278"/>
        <v>6004</v>
      </c>
      <c r="AO411" s="123">
        <f t="shared" si="279"/>
        <v>0</v>
      </c>
      <c r="AP411" s="123">
        <f t="shared" si="280"/>
        <v>0</v>
      </c>
      <c r="AQ411" s="123">
        <f t="shared" si="281"/>
        <v>0</v>
      </c>
      <c r="AR411" s="123">
        <f t="shared" si="282"/>
        <v>0</v>
      </c>
    </row>
    <row r="412" spans="1:44" ht="12.75">
      <c r="A412" s="122" t="str">
        <f t="shared" si="265"/>
        <v>921</v>
      </c>
      <c r="B412" s="122" t="str">
        <f t="shared" si="269"/>
        <v>OFFICE SUPPLIES AND EXPENSE</v>
      </c>
      <c r="C412" s="145">
        <v>6</v>
      </c>
      <c r="D412" s="148">
        <v>521</v>
      </c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AE412" s="123">
        <f t="shared" si="283"/>
        <v>4</v>
      </c>
      <c r="AF412" s="123" t="str">
        <f t="shared" si="270"/>
        <v>874</v>
      </c>
      <c r="AG412" s="123" t="str">
        <f t="shared" si="271"/>
        <v>MAINS &amp; SERVICES</v>
      </c>
      <c r="AH412" s="123">
        <f t="shared" si="272"/>
        <v>14</v>
      </c>
      <c r="AI412" s="123">
        <f t="shared" si="273"/>
        <v>741716</v>
      </c>
      <c r="AJ412" s="123">
        <f t="shared" si="274"/>
        <v>423253</v>
      </c>
      <c r="AK412" s="123">
        <f t="shared" si="275"/>
        <v>137484</v>
      </c>
      <c r="AL412" s="123">
        <f t="shared" si="276"/>
        <v>445</v>
      </c>
      <c r="AM412" s="123">
        <f t="shared" si="277"/>
        <v>0</v>
      </c>
      <c r="AN412" s="123">
        <f t="shared" si="278"/>
        <v>180534</v>
      </c>
      <c r="AO412" s="123">
        <f t="shared" si="279"/>
        <v>0</v>
      </c>
      <c r="AP412" s="123">
        <f t="shared" si="280"/>
        <v>0</v>
      </c>
      <c r="AQ412" s="123">
        <f t="shared" si="281"/>
        <v>0</v>
      </c>
      <c r="AR412" s="123">
        <f t="shared" si="282"/>
        <v>0</v>
      </c>
    </row>
    <row r="413" spans="1:44" ht="12.75">
      <c r="A413" s="122" t="str">
        <f t="shared" si="265"/>
        <v>931</v>
      </c>
      <c r="B413" s="122" t="str">
        <f t="shared" si="269"/>
        <v>RENTS</v>
      </c>
      <c r="C413" s="145">
        <v>6</v>
      </c>
      <c r="D413" s="148">
        <v>0</v>
      </c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AE413" s="123">
        <f t="shared" si="283"/>
        <v>5</v>
      </c>
      <c r="AF413" s="123" t="str">
        <f t="shared" si="270"/>
        <v>875</v>
      </c>
      <c r="AG413" s="123" t="str">
        <f t="shared" si="271"/>
        <v>M &amp; R - GENERAL</v>
      </c>
      <c r="AH413" s="123">
        <f t="shared" si="272"/>
        <v>18</v>
      </c>
      <c r="AI413" s="123">
        <f t="shared" si="273"/>
        <v>113424</v>
      </c>
      <c r="AJ413" s="123">
        <f t="shared" si="274"/>
        <v>42215</v>
      </c>
      <c r="AK413" s="123">
        <f t="shared" si="275"/>
        <v>26930</v>
      </c>
      <c r="AL413" s="123">
        <f t="shared" si="276"/>
        <v>108</v>
      </c>
      <c r="AM413" s="123">
        <f t="shared" si="277"/>
        <v>0</v>
      </c>
      <c r="AN413" s="123">
        <f t="shared" si="278"/>
        <v>44171</v>
      </c>
      <c r="AO413" s="123">
        <f t="shared" si="279"/>
        <v>0</v>
      </c>
      <c r="AP413" s="123">
        <f t="shared" si="280"/>
        <v>0</v>
      </c>
      <c r="AQ413" s="123">
        <f t="shared" si="281"/>
        <v>0</v>
      </c>
      <c r="AR413" s="123">
        <f t="shared" si="282"/>
        <v>0</v>
      </c>
    </row>
    <row r="414" spans="1:44" ht="12.75">
      <c r="A414" s="122" t="str">
        <f t="shared" si="265"/>
        <v>935</v>
      </c>
      <c r="B414" s="122" t="str">
        <f t="shared" si="269"/>
        <v>GENERAL PLANT MAINTENANCE</v>
      </c>
      <c r="C414" s="145">
        <v>6</v>
      </c>
      <c r="D414" s="148">
        <f>397-D359</f>
        <v>397</v>
      </c>
      <c r="E414" s="123">
        <f>SUM(D405:D414)</f>
        <v>3056347</v>
      </c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AE414" s="123">
        <f t="shared" si="283"/>
        <v>6</v>
      </c>
      <c r="AF414" s="123" t="str">
        <f t="shared" si="270"/>
        <v>876</v>
      </c>
      <c r="AG414" s="123" t="str">
        <f t="shared" si="271"/>
        <v>M &amp; R - INDUSTRIAL</v>
      </c>
      <c r="AH414" s="123">
        <f t="shared" si="272"/>
        <v>8</v>
      </c>
      <c r="AI414" s="123">
        <f t="shared" si="273"/>
        <v>28468</v>
      </c>
      <c r="AJ414" s="123">
        <f t="shared" si="274"/>
        <v>0</v>
      </c>
      <c r="AK414" s="123">
        <f t="shared" si="275"/>
        <v>15630</v>
      </c>
      <c r="AL414" s="123">
        <f t="shared" si="276"/>
        <v>223</v>
      </c>
      <c r="AM414" s="123">
        <f t="shared" si="277"/>
        <v>781</v>
      </c>
      <c r="AN414" s="123">
        <f t="shared" si="278"/>
        <v>11834</v>
      </c>
      <c r="AO414" s="123">
        <f t="shared" si="279"/>
        <v>0</v>
      </c>
      <c r="AP414" s="123">
        <f t="shared" si="280"/>
        <v>0</v>
      </c>
      <c r="AQ414" s="123">
        <f t="shared" si="281"/>
        <v>0</v>
      </c>
      <c r="AR414" s="123">
        <f t="shared" si="282"/>
        <v>0</v>
      </c>
    </row>
    <row r="415" spans="1:44" ht="12.75">
      <c r="A415" s="122" t="str">
        <f t="shared" si="265"/>
        <v>CUSTOMER SERVICE &amp; INFORMATIONAL</v>
      </c>
      <c r="B415" s="122"/>
      <c r="C415" s="145"/>
      <c r="D415" s="174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AE415" s="123">
        <f t="shared" si="283"/>
        <v>7</v>
      </c>
      <c r="AF415" s="123" t="str">
        <f t="shared" si="270"/>
        <v>878</v>
      </c>
      <c r="AG415" s="123" t="str">
        <f t="shared" si="271"/>
        <v>METERS &amp; HOUSE REGULATORS</v>
      </c>
      <c r="AH415" s="123">
        <f t="shared" si="272"/>
        <v>16</v>
      </c>
      <c r="AI415" s="123">
        <f t="shared" si="273"/>
        <v>1082187</v>
      </c>
      <c r="AJ415" s="123">
        <f t="shared" si="274"/>
        <v>673131</v>
      </c>
      <c r="AK415" s="123">
        <f t="shared" si="275"/>
        <v>388819</v>
      </c>
      <c r="AL415" s="123">
        <f t="shared" si="276"/>
        <v>260</v>
      </c>
      <c r="AM415" s="123">
        <f t="shared" si="277"/>
        <v>1277</v>
      </c>
      <c r="AN415" s="123">
        <f t="shared" si="278"/>
        <v>18700</v>
      </c>
      <c r="AO415" s="123">
        <f t="shared" si="279"/>
        <v>0</v>
      </c>
      <c r="AP415" s="123">
        <f t="shared" si="280"/>
        <v>0</v>
      </c>
      <c r="AQ415" s="123">
        <f t="shared" si="281"/>
        <v>0</v>
      </c>
      <c r="AR415" s="123">
        <f t="shared" si="282"/>
        <v>0</v>
      </c>
    </row>
    <row r="416" spans="1:44" ht="12.75">
      <c r="A416" s="122" t="str">
        <f t="shared" si="265"/>
        <v>907</v>
      </c>
      <c r="B416" s="122" t="str">
        <f aca="true" t="shared" si="284" ref="B416:B425">B361</f>
        <v>SUPERVISION</v>
      </c>
      <c r="C416" s="145">
        <v>6</v>
      </c>
      <c r="D416" s="148">
        <f>30215-D361</f>
        <v>19675</v>
      </c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AE416" s="123">
        <f t="shared" si="283"/>
        <v>8</v>
      </c>
      <c r="AF416" s="123" t="str">
        <f t="shared" si="270"/>
        <v>879</v>
      </c>
      <c r="AG416" s="123" t="str">
        <f t="shared" si="271"/>
        <v>CUSTOMER INSTALLATION </v>
      </c>
      <c r="AH416" s="123">
        <f t="shared" si="272"/>
        <v>16</v>
      </c>
      <c r="AI416" s="123">
        <f t="shared" si="273"/>
        <v>761099</v>
      </c>
      <c r="AJ416" s="123">
        <f t="shared" si="274"/>
        <v>473411</v>
      </c>
      <c r="AK416" s="123">
        <f t="shared" si="275"/>
        <v>273455</v>
      </c>
      <c r="AL416" s="123">
        <f t="shared" si="276"/>
        <v>183</v>
      </c>
      <c r="AM416" s="123">
        <f t="shared" si="277"/>
        <v>898</v>
      </c>
      <c r="AN416" s="123">
        <f t="shared" si="278"/>
        <v>13152</v>
      </c>
      <c r="AO416" s="123">
        <f t="shared" si="279"/>
        <v>0</v>
      </c>
      <c r="AP416" s="123">
        <f t="shared" si="280"/>
        <v>0</v>
      </c>
      <c r="AQ416" s="123">
        <f t="shared" si="281"/>
        <v>0</v>
      </c>
      <c r="AR416" s="123">
        <f t="shared" si="282"/>
        <v>0</v>
      </c>
    </row>
    <row r="417" spans="1:44" ht="12.75">
      <c r="A417" s="122" t="str">
        <f t="shared" si="265"/>
        <v>907</v>
      </c>
      <c r="B417" s="122" t="str">
        <f t="shared" si="284"/>
        <v>DIRECT SUPERVISION</v>
      </c>
      <c r="D417" s="173">
        <v>0</v>
      </c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AE417" s="123">
        <f t="shared" si="283"/>
        <v>9</v>
      </c>
      <c r="AF417" s="123" t="str">
        <f t="shared" si="270"/>
        <v>880</v>
      </c>
      <c r="AG417" s="123" t="str">
        <f t="shared" si="271"/>
        <v>OTHER</v>
      </c>
      <c r="AH417" s="123">
        <f t="shared" si="272"/>
        <v>10</v>
      </c>
      <c r="AI417" s="123">
        <f t="shared" si="273"/>
        <v>684426</v>
      </c>
      <c r="AJ417" s="123">
        <f t="shared" si="274"/>
        <v>390349</v>
      </c>
      <c r="AK417" s="123">
        <f t="shared" si="275"/>
        <v>197471</v>
      </c>
      <c r="AL417" s="123">
        <f t="shared" si="276"/>
        <v>376</v>
      </c>
      <c r="AM417" s="123">
        <f t="shared" si="277"/>
        <v>725</v>
      </c>
      <c r="AN417" s="123">
        <f t="shared" si="278"/>
        <v>95505</v>
      </c>
      <c r="AO417" s="123">
        <f t="shared" si="279"/>
        <v>0</v>
      </c>
      <c r="AP417" s="123">
        <f t="shared" si="280"/>
        <v>0</v>
      </c>
      <c r="AQ417" s="123">
        <f t="shared" si="281"/>
        <v>0</v>
      </c>
      <c r="AR417" s="123">
        <f t="shared" si="282"/>
        <v>0</v>
      </c>
    </row>
    <row r="418" spans="1:44" ht="12.75">
      <c r="A418" s="122" t="str">
        <f t="shared" si="265"/>
        <v>908</v>
      </c>
      <c r="B418" s="122" t="str">
        <f t="shared" si="284"/>
        <v>CUSTOMER ASSISTANCE</v>
      </c>
      <c r="C418" s="145">
        <v>6</v>
      </c>
      <c r="D418" s="148">
        <f>105967-D363+E569</f>
        <v>23642</v>
      </c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AE418" s="123">
        <f t="shared" si="283"/>
        <v>10</v>
      </c>
      <c r="AF418" s="123" t="str">
        <f t="shared" si="270"/>
        <v>881</v>
      </c>
      <c r="AG418" s="123" t="str">
        <f t="shared" si="271"/>
        <v>RENTS</v>
      </c>
      <c r="AH418" s="123">
        <f t="shared" si="272"/>
        <v>10</v>
      </c>
      <c r="AI418" s="141">
        <f t="shared" si="273"/>
        <v>0</v>
      </c>
      <c r="AJ418" s="141">
        <f t="shared" si="274"/>
        <v>0</v>
      </c>
      <c r="AK418" s="141">
        <f t="shared" si="275"/>
        <v>0</v>
      </c>
      <c r="AL418" s="141">
        <f t="shared" si="276"/>
        <v>0</v>
      </c>
      <c r="AM418" s="141">
        <f t="shared" si="277"/>
        <v>0</v>
      </c>
      <c r="AN418" s="141">
        <f t="shared" si="278"/>
        <v>0</v>
      </c>
      <c r="AO418" s="141">
        <f t="shared" si="279"/>
        <v>0</v>
      </c>
      <c r="AP418" s="141">
        <f t="shared" si="280"/>
        <v>0</v>
      </c>
      <c r="AQ418" s="141">
        <f t="shared" si="281"/>
        <v>0</v>
      </c>
      <c r="AR418" s="141">
        <f t="shared" si="282"/>
        <v>0</v>
      </c>
    </row>
    <row r="419" spans="1:44" ht="12.75">
      <c r="A419" s="122" t="str">
        <f t="shared" si="265"/>
        <v>908</v>
      </c>
      <c r="B419" s="122" t="str">
        <f t="shared" si="284"/>
        <v>DIRECT CUSTOMER ASSISTANCE</v>
      </c>
      <c r="D419" s="173">
        <v>0</v>
      </c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AE419" s="123">
        <f t="shared" si="283"/>
        <v>11</v>
      </c>
      <c r="AG419" s="123" t="s">
        <v>315</v>
      </c>
      <c r="AI419" s="123">
        <f aca="true" t="shared" si="285" ref="AI419:AR419">SUM(AI410:AI418)</f>
        <v>3648086</v>
      </c>
      <c r="AJ419" s="123">
        <f t="shared" si="285"/>
        <v>2134146</v>
      </c>
      <c r="AK419" s="123">
        <f t="shared" si="285"/>
        <v>1107142</v>
      </c>
      <c r="AL419" s="123">
        <f t="shared" si="285"/>
        <v>1728</v>
      </c>
      <c r="AM419" s="123">
        <f t="shared" si="285"/>
        <v>3918</v>
      </c>
      <c r="AN419" s="123">
        <f t="shared" si="285"/>
        <v>401151</v>
      </c>
      <c r="AO419" s="123">
        <f t="shared" si="285"/>
        <v>0</v>
      </c>
      <c r="AP419" s="123">
        <f t="shared" si="285"/>
        <v>0</v>
      </c>
      <c r="AQ419" s="123">
        <f t="shared" si="285"/>
        <v>0</v>
      </c>
      <c r="AR419" s="123">
        <f t="shared" si="285"/>
        <v>0</v>
      </c>
    </row>
    <row r="420" spans="1:14" ht="12.75">
      <c r="A420" s="122" t="str">
        <f t="shared" si="265"/>
        <v>909</v>
      </c>
      <c r="B420" s="122" t="str">
        <f t="shared" si="284"/>
        <v>ADVERTISING</v>
      </c>
      <c r="C420" s="145">
        <v>6</v>
      </c>
      <c r="D420" s="148">
        <v>0</v>
      </c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</row>
    <row r="421" spans="1:33" ht="12.75">
      <c r="A421" s="122" t="str">
        <f t="shared" si="265"/>
        <v>910</v>
      </c>
      <c r="B421" s="122" t="str">
        <f t="shared" si="284"/>
        <v>MISCELLANEOUS</v>
      </c>
      <c r="C421" s="145">
        <v>6</v>
      </c>
      <c r="D421" s="148">
        <f>165-D366</f>
        <v>55</v>
      </c>
      <c r="E421" s="122"/>
      <c r="F421" s="122"/>
      <c r="G421" s="122"/>
      <c r="H421" s="122"/>
      <c r="I421" s="122"/>
      <c r="J421" s="122"/>
      <c r="K421" s="122"/>
      <c r="M421" s="122"/>
      <c r="N421" s="122"/>
      <c r="AE421" s="123">
        <f>AE419+1</f>
        <v>12</v>
      </c>
      <c r="AG421" s="123" t="str">
        <f>A340</f>
        <v>MAINTENANCE</v>
      </c>
    </row>
    <row r="422" spans="1:14" ht="12.75">
      <c r="A422" s="122" t="str">
        <f t="shared" si="265"/>
        <v>920</v>
      </c>
      <c r="B422" s="122" t="str">
        <f t="shared" si="284"/>
        <v>SALARIES</v>
      </c>
      <c r="C422" s="145">
        <v>6</v>
      </c>
      <c r="D422" s="148">
        <v>0</v>
      </c>
      <c r="E422" s="122"/>
      <c r="F422" s="122"/>
      <c r="G422" s="122"/>
      <c r="H422" s="122"/>
      <c r="I422" s="122"/>
      <c r="J422" s="122"/>
      <c r="K422" s="122"/>
      <c r="M422" s="122"/>
      <c r="N422" s="122"/>
    </row>
    <row r="423" spans="1:44" ht="12.75">
      <c r="A423" s="122" t="str">
        <f t="shared" si="265"/>
        <v>921</v>
      </c>
      <c r="B423" s="122" t="str">
        <f t="shared" si="284"/>
        <v>OFFICE SUPPLIES AND EXPENSE</v>
      </c>
      <c r="C423" s="145">
        <v>6</v>
      </c>
      <c r="D423" s="148">
        <f>7172-D368</f>
        <v>7172</v>
      </c>
      <c r="E423" s="122"/>
      <c r="F423" s="122"/>
      <c r="G423" s="122"/>
      <c r="H423" s="122"/>
      <c r="I423" s="122"/>
      <c r="J423" s="122"/>
      <c r="K423" s="122"/>
      <c r="M423" s="122"/>
      <c r="N423" s="122"/>
      <c r="AE423" s="123">
        <f>AE421+1</f>
        <v>13</v>
      </c>
      <c r="AF423" s="123" t="str">
        <f aca="true" t="shared" si="286" ref="AF423:AH430">A341</f>
        <v>885</v>
      </c>
      <c r="AG423" s="123" t="str">
        <f t="shared" si="286"/>
        <v>SUPERVISION &amp; ENGINEERING</v>
      </c>
      <c r="AH423" s="123">
        <f t="shared" si="286"/>
        <v>10</v>
      </c>
      <c r="AI423" s="123">
        <f aca="true" t="shared" si="287" ref="AI423:AI430">ROUND(D341*(1+$D$65),0)</f>
        <v>114492</v>
      </c>
      <c r="AJ423" s="123">
        <f aca="true" t="shared" si="288" ref="AJ423:AJ430">ROUND((VLOOKUP($AH423,$A$661:$Y$709,13)*$AI423),0)</f>
        <v>65298</v>
      </c>
      <c r="AK423" s="123">
        <f aca="true" t="shared" si="289" ref="AK423:AK430">ROUND((VLOOKUP($AH423,$A$661:$Y$709,14)*$AI423),0)</f>
        <v>33033</v>
      </c>
      <c r="AL423" s="123">
        <f aca="true" t="shared" si="290" ref="AL423:AL430">ROUND((VLOOKUP($AH423,$A$661:$Y$709,15)*$AI423),0)</f>
        <v>63</v>
      </c>
      <c r="AM423" s="123">
        <f aca="true" t="shared" si="291" ref="AM423:AM430">ROUND((VLOOKUP($AH423,$A$661:$Y$709,16)*$AI423),0)</f>
        <v>121</v>
      </c>
      <c r="AN423" s="123">
        <f aca="true" t="shared" si="292" ref="AN423:AN430">ROUND((VLOOKUP($AH423,$A$661:$Y$709,17)*$AI423),0)</f>
        <v>15976</v>
      </c>
      <c r="AO423" s="123">
        <f aca="true" t="shared" si="293" ref="AO423:AO430">ROUND((VLOOKUP($AH423,$A$661:$Y$709,18)*$AI423),0)</f>
        <v>0</v>
      </c>
      <c r="AP423" s="123">
        <f aca="true" t="shared" si="294" ref="AP423:AP430">ROUND((VLOOKUP($AH423,$A$661:$Y$709,19)*$AI423),0)</f>
        <v>0</v>
      </c>
      <c r="AQ423" s="123">
        <f aca="true" t="shared" si="295" ref="AQ423:AQ430">ROUND((VLOOKUP($AH423,$A$661:$Y$709,20)*$AI423),0)</f>
        <v>0</v>
      </c>
      <c r="AR423" s="123">
        <f aca="true" t="shared" si="296" ref="AR423:AR430">ROUND((VLOOKUP($AH423,$A$661:$Y$709,21)*$AI423),0)</f>
        <v>0</v>
      </c>
    </row>
    <row r="424" spans="1:44" ht="12.75">
      <c r="A424" s="122" t="str">
        <f t="shared" si="265"/>
        <v>931</v>
      </c>
      <c r="B424" s="122" t="str">
        <f t="shared" si="284"/>
        <v>RENTS</v>
      </c>
      <c r="C424" s="145">
        <v>6</v>
      </c>
      <c r="D424" s="148">
        <f>0-D369</f>
        <v>0</v>
      </c>
      <c r="E424" s="122"/>
      <c r="F424" s="122"/>
      <c r="G424" s="122"/>
      <c r="H424" s="122"/>
      <c r="I424" s="122"/>
      <c r="J424" s="122"/>
      <c r="K424" s="122"/>
      <c r="M424" s="122"/>
      <c r="N424" s="122"/>
      <c r="AE424" s="123">
        <f aca="true" t="shared" si="297" ref="AE424:AE431">AE423+1</f>
        <v>14</v>
      </c>
      <c r="AF424" s="123" t="str">
        <f t="shared" si="286"/>
        <v>886</v>
      </c>
      <c r="AG424" s="123" t="str">
        <f t="shared" si="286"/>
        <v>STRUCTURES &amp; IMPROVEMENTS</v>
      </c>
      <c r="AH424" s="123">
        <f t="shared" si="286"/>
        <v>18</v>
      </c>
      <c r="AI424" s="123">
        <f t="shared" si="287"/>
        <v>27281</v>
      </c>
      <c r="AJ424" s="123">
        <f t="shared" si="288"/>
        <v>10154</v>
      </c>
      <c r="AK424" s="123">
        <f t="shared" si="289"/>
        <v>6477</v>
      </c>
      <c r="AL424" s="123">
        <f t="shared" si="290"/>
        <v>26</v>
      </c>
      <c r="AM424" s="123">
        <f t="shared" si="291"/>
        <v>0</v>
      </c>
      <c r="AN424" s="123">
        <f t="shared" si="292"/>
        <v>10624</v>
      </c>
      <c r="AO424" s="123">
        <f t="shared" si="293"/>
        <v>0</v>
      </c>
      <c r="AP424" s="123">
        <f t="shared" si="294"/>
        <v>0</v>
      </c>
      <c r="AQ424" s="123">
        <f t="shared" si="295"/>
        <v>0</v>
      </c>
      <c r="AR424" s="123">
        <f t="shared" si="296"/>
        <v>0</v>
      </c>
    </row>
    <row r="425" spans="1:44" ht="12.75">
      <c r="A425" s="122" t="str">
        <f t="shared" si="265"/>
        <v>935</v>
      </c>
      <c r="B425" s="122" t="str">
        <f t="shared" si="284"/>
        <v>GENERAL PLANT MAINTENANCE</v>
      </c>
      <c r="C425" s="145">
        <v>6</v>
      </c>
      <c r="D425" s="148">
        <f>123-D370</f>
        <v>-165</v>
      </c>
      <c r="E425" s="122">
        <f>SUM(D416:D425)</f>
        <v>50379</v>
      </c>
      <c r="F425" s="122"/>
      <c r="G425" s="122"/>
      <c r="H425" s="122"/>
      <c r="I425" s="122"/>
      <c r="J425" s="122"/>
      <c r="K425" s="122"/>
      <c r="M425" s="122"/>
      <c r="N425" s="122"/>
      <c r="AE425" s="123">
        <f t="shared" si="297"/>
        <v>15</v>
      </c>
      <c r="AF425" s="123" t="str">
        <f t="shared" si="286"/>
        <v>887</v>
      </c>
      <c r="AG425" s="123" t="str">
        <f t="shared" si="286"/>
        <v>MAINS</v>
      </c>
      <c r="AH425" s="123">
        <f t="shared" si="286"/>
        <v>18</v>
      </c>
      <c r="AI425" s="123">
        <f t="shared" si="287"/>
        <v>398850</v>
      </c>
      <c r="AJ425" s="123">
        <f t="shared" si="288"/>
        <v>148448</v>
      </c>
      <c r="AK425" s="123">
        <f t="shared" si="289"/>
        <v>94699</v>
      </c>
      <c r="AL425" s="123">
        <f t="shared" si="290"/>
        <v>379</v>
      </c>
      <c r="AM425" s="123">
        <f t="shared" si="291"/>
        <v>0</v>
      </c>
      <c r="AN425" s="123">
        <f t="shared" si="292"/>
        <v>155324</v>
      </c>
      <c r="AO425" s="123">
        <f t="shared" si="293"/>
        <v>0</v>
      </c>
      <c r="AP425" s="123">
        <f t="shared" si="294"/>
        <v>0</v>
      </c>
      <c r="AQ425" s="123">
        <f t="shared" si="295"/>
        <v>0</v>
      </c>
      <c r="AR425" s="123">
        <f t="shared" si="296"/>
        <v>0</v>
      </c>
    </row>
    <row r="426" spans="1:44" ht="12.75">
      <c r="A426" s="122" t="str">
        <f t="shared" si="265"/>
        <v>SALES</v>
      </c>
      <c r="B426" s="122"/>
      <c r="C426" s="145"/>
      <c r="D426" s="173"/>
      <c r="E426" s="122"/>
      <c r="F426" s="122"/>
      <c r="G426" s="122"/>
      <c r="H426" s="122"/>
      <c r="I426" s="122"/>
      <c r="J426" s="122"/>
      <c r="K426" s="122"/>
      <c r="M426" s="122"/>
      <c r="N426" s="122"/>
      <c r="AE426" s="123">
        <f t="shared" si="297"/>
        <v>16</v>
      </c>
      <c r="AF426" s="123" t="str">
        <f t="shared" si="286"/>
        <v>889</v>
      </c>
      <c r="AG426" s="123" t="str">
        <f t="shared" si="286"/>
        <v>M &amp; R - GENERAL</v>
      </c>
      <c r="AH426" s="123">
        <f t="shared" si="286"/>
        <v>18</v>
      </c>
      <c r="AI426" s="123">
        <f t="shared" si="287"/>
        <v>104196</v>
      </c>
      <c r="AJ426" s="123">
        <f t="shared" si="288"/>
        <v>38781</v>
      </c>
      <c r="AK426" s="123">
        <f t="shared" si="289"/>
        <v>24739</v>
      </c>
      <c r="AL426" s="123">
        <f t="shared" si="290"/>
        <v>99</v>
      </c>
      <c r="AM426" s="123">
        <f t="shared" si="291"/>
        <v>0</v>
      </c>
      <c r="AN426" s="123">
        <f t="shared" si="292"/>
        <v>40577</v>
      </c>
      <c r="AO426" s="123">
        <f t="shared" si="293"/>
        <v>0</v>
      </c>
      <c r="AP426" s="123">
        <f t="shared" si="294"/>
        <v>0</v>
      </c>
      <c r="AQ426" s="123">
        <f t="shared" si="295"/>
        <v>0</v>
      </c>
      <c r="AR426" s="123">
        <f t="shared" si="296"/>
        <v>0</v>
      </c>
    </row>
    <row r="427" spans="1:44" ht="12.75">
      <c r="A427" s="122" t="str">
        <f t="shared" si="265"/>
        <v>911</v>
      </c>
      <c r="B427" s="122" t="str">
        <f>B372</f>
        <v>SUPERVISION</v>
      </c>
      <c r="C427" s="145">
        <v>6</v>
      </c>
      <c r="D427" s="148">
        <v>0</v>
      </c>
      <c r="E427" s="122"/>
      <c r="F427" s="122"/>
      <c r="G427" s="122"/>
      <c r="H427" s="122"/>
      <c r="I427" s="122"/>
      <c r="J427" s="122"/>
      <c r="K427" s="122"/>
      <c r="M427" s="122"/>
      <c r="N427" s="122"/>
      <c r="O427" s="122"/>
      <c r="P427" s="122"/>
      <c r="Q427" s="122"/>
      <c r="AE427" s="123">
        <f t="shared" si="297"/>
        <v>17</v>
      </c>
      <c r="AF427" s="123" t="str">
        <f t="shared" si="286"/>
        <v>890</v>
      </c>
      <c r="AG427" s="123" t="str">
        <f t="shared" si="286"/>
        <v>M &amp; R - INDUSTRIAL</v>
      </c>
      <c r="AH427" s="123">
        <f t="shared" si="286"/>
        <v>8</v>
      </c>
      <c r="AI427" s="123">
        <f t="shared" si="287"/>
        <v>26940</v>
      </c>
      <c r="AJ427" s="123">
        <f t="shared" si="288"/>
        <v>0</v>
      </c>
      <c r="AK427" s="123">
        <f t="shared" si="289"/>
        <v>14791</v>
      </c>
      <c r="AL427" s="123">
        <f t="shared" si="290"/>
        <v>211</v>
      </c>
      <c r="AM427" s="123">
        <f t="shared" si="291"/>
        <v>740</v>
      </c>
      <c r="AN427" s="123">
        <f t="shared" si="292"/>
        <v>11199</v>
      </c>
      <c r="AO427" s="123">
        <f t="shared" si="293"/>
        <v>0</v>
      </c>
      <c r="AP427" s="123">
        <f t="shared" si="294"/>
        <v>0</v>
      </c>
      <c r="AQ427" s="123">
        <f t="shared" si="295"/>
        <v>0</v>
      </c>
      <c r="AR427" s="123">
        <f t="shared" si="296"/>
        <v>0</v>
      </c>
    </row>
    <row r="428" spans="1:44" ht="12.75">
      <c r="A428" s="122" t="str">
        <f t="shared" si="265"/>
        <v>912</v>
      </c>
      <c r="B428" s="122" t="str">
        <f>B373</f>
        <v>DEMONSTRATION &amp; SELLING</v>
      </c>
      <c r="C428" s="145">
        <v>6</v>
      </c>
      <c r="D428" s="148">
        <f>0-D373+E566</f>
        <v>0</v>
      </c>
      <c r="E428" s="122"/>
      <c r="F428" s="122"/>
      <c r="G428" s="122"/>
      <c r="H428" s="122"/>
      <c r="I428" s="122"/>
      <c r="J428" s="122"/>
      <c r="K428" s="122"/>
      <c r="M428" s="122"/>
      <c r="N428" s="122"/>
      <c r="O428" s="122"/>
      <c r="P428" s="122"/>
      <c r="Q428" s="122"/>
      <c r="AE428" s="123">
        <f t="shared" si="297"/>
        <v>18</v>
      </c>
      <c r="AF428" s="123" t="str">
        <f t="shared" si="286"/>
        <v>892</v>
      </c>
      <c r="AG428" s="123" t="str">
        <f t="shared" si="286"/>
        <v>SERVICES</v>
      </c>
      <c r="AH428" s="123">
        <f t="shared" si="286"/>
        <v>15</v>
      </c>
      <c r="AI428" s="123">
        <f t="shared" si="287"/>
        <v>197911</v>
      </c>
      <c r="AJ428" s="123">
        <f t="shared" si="288"/>
        <v>177692</v>
      </c>
      <c r="AK428" s="123">
        <f t="shared" si="289"/>
        <v>19696</v>
      </c>
      <c r="AL428" s="123">
        <f t="shared" si="290"/>
        <v>2</v>
      </c>
      <c r="AM428" s="123">
        <f t="shared" si="291"/>
        <v>0</v>
      </c>
      <c r="AN428" s="123">
        <f t="shared" si="292"/>
        <v>521</v>
      </c>
      <c r="AO428" s="123">
        <f t="shared" si="293"/>
        <v>0</v>
      </c>
      <c r="AP428" s="123">
        <f t="shared" si="294"/>
        <v>0</v>
      </c>
      <c r="AQ428" s="123">
        <f t="shared" si="295"/>
        <v>0</v>
      </c>
      <c r="AR428" s="123">
        <f t="shared" si="296"/>
        <v>0</v>
      </c>
    </row>
    <row r="429" spans="1:44" ht="12.75">
      <c r="A429" s="122" t="str">
        <f t="shared" si="265"/>
        <v>913</v>
      </c>
      <c r="B429" s="122" t="str">
        <f>B374</f>
        <v>ADVERTISING</v>
      </c>
      <c r="C429" s="145">
        <v>6</v>
      </c>
      <c r="D429" s="148">
        <f>0+E567</f>
        <v>0</v>
      </c>
      <c r="E429" s="122"/>
      <c r="F429" s="122"/>
      <c r="G429" s="122"/>
      <c r="H429" s="122"/>
      <c r="I429" s="122"/>
      <c r="J429" s="122"/>
      <c r="K429" s="122"/>
      <c r="M429" s="122"/>
      <c r="N429" s="122"/>
      <c r="O429" s="122"/>
      <c r="P429" s="122"/>
      <c r="Q429" s="122"/>
      <c r="AE429" s="123">
        <f t="shared" si="297"/>
        <v>19</v>
      </c>
      <c r="AF429" s="123" t="str">
        <f t="shared" si="286"/>
        <v>893</v>
      </c>
      <c r="AG429" s="123" t="str">
        <f t="shared" si="286"/>
        <v>METERS &amp; HOUSE REGULATORS</v>
      </c>
      <c r="AH429" s="123">
        <f t="shared" si="286"/>
        <v>16</v>
      </c>
      <c r="AI429" s="123">
        <f t="shared" si="287"/>
        <v>40625</v>
      </c>
      <c r="AJ429" s="123">
        <f t="shared" si="288"/>
        <v>25269</v>
      </c>
      <c r="AK429" s="123">
        <f t="shared" si="289"/>
        <v>14596</v>
      </c>
      <c r="AL429" s="123">
        <f t="shared" si="290"/>
        <v>10</v>
      </c>
      <c r="AM429" s="123">
        <f t="shared" si="291"/>
        <v>48</v>
      </c>
      <c r="AN429" s="123">
        <f t="shared" si="292"/>
        <v>702</v>
      </c>
      <c r="AO429" s="123">
        <f t="shared" si="293"/>
        <v>0</v>
      </c>
      <c r="AP429" s="123">
        <f t="shared" si="294"/>
        <v>0</v>
      </c>
      <c r="AQ429" s="123">
        <f t="shared" si="295"/>
        <v>0</v>
      </c>
      <c r="AR429" s="123">
        <f t="shared" si="296"/>
        <v>0</v>
      </c>
    </row>
    <row r="430" spans="1:44" ht="12.75">
      <c r="A430" s="122" t="str">
        <f t="shared" si="265"/>
        <v>916</v>
      </c>
      <c r="B430" s="122" t="str">
        <f>B375</f>
        <v>MISC.</v>
      </c>
      <c r="C430" s="145">
        <v>6</v>
      </c>
      <c r="D430" s="148"/>
      <c r="E430" s="122"/>
      <c r="F430" s="122"/>
      <c r="G430" s="122"/>
      <c r="H430" s="122"/>
      <c r="I430" s="122"/>
      <c r="J430" s="122"/>
      <c r="K430" s="122"/>
      <c r="M430" s="122"/>
      <c r="N430" s="122"/>
      <c r="O430" s="122"/>
      <c r="P430" s="122"/>
      <c r="Q430" s="122"/>
      <c r="AE430" s="123">
        <f t="shared" si="297"/>
        <v>20</v>
      </c>
      <c r="AF430" s="123" t="str">
        <f t="shared" si="286"/>
        <v>894</v>
      </c>
      <c r="AG430" s="123" t="str">
        <f t="shared" si="286"/>
        <v>OTHER EQUIPMENT</v>
      </c>
      <c r="AH430" s="123">
        <f t="shared" si="286"/>
        <v>10</v>
      </c>
      <c r="AI430" s="141">
        <f t="shared" si="287"/>
        <v>48206</v>
      </c>
      <c r="AJ430" s="141">
        <f t="shared" si="288"/>
        <v>27493</v>
      </c>
      <c r="AK430" s="141">
        <f t="shared" si="289"/>
        <v>13908</v>
      </c>
      <c r="AL430" s="141">
        <f t="shared" si="290"/>
        <v>27</v>
      </c>
      <c r="AM430" s="141">
        <f t="shared" si="291"/>
        <v>51</v>
      </c>
      <c r="AN430" s="141">
        <f t="shared" si="292"/>
        <v>6727</v>
      </c>
      <c r="AO430" s="141">
        <f t="shared" si="293"/>
        <v>0</v>
      </c>
      <c r="AP430" s="141">
        <f t="shared" si="294"/>
        <v>0</v>
      </c>
      <c r="AQ430" s="141">
        <f t="shared" si="295"/>
        <v>0</v>
      </c>
      <c r="AR430" s="141">
        <f t="shared" si="296"/>
        <v>0</v>
      </c>
    </row>
    <row r="431" spans="1:44" ht="12.75">
      <c r="A431" s="122"/>
      <c r="B431" s="122"/>
      <c r="C431" s="122"/>
      <c r="D431" s="132"/>
      <c r="E431" s="122"/>
      <c r="F431" s="122"/>
      <c r="G431" s="122"/>
      <c r="H431" s="122"/>
      <c r="I431" s="122"/>
      <c r="J431" s="122"/>
      <c r="K431" s="122"/>
      <c r="M431" s="122"/>
      <c r="N431" s="122"/>
      <c r="O431" s="122"/>
      <c r="P431" s="122"/>
      <c r="Q431" s="122"/>
      <c r="AE431" s="123">
        <f t="shared" si="297"/>
        <v>21</v>
      </c>
      <c r="AG431" s="123" t="s">
        <v>325</v>
      </c>
      <c r="AI431" s="123">
        <f aca="true" t="shared" si="298" ref="AI431:AR431">SUM(AI423:AI430)</f>
        <v>958501</v>
      </c>
      <c r="AJ431" s="123">
        <f t="shared" si="298"/>
        <v>493135</v>
      </c>
      <c r="AK431" s="123">
        <f t="shared" si="298"/>
        <v>221939</v>
      </c>
      <c r="AL431" s="123">
        <f t="shared" si="298"/>
        <v>817</v>
      </c>
      <c r="AM431" s="123">
        <f t="shared" si="298"/>
        <v>960</v>
      </c>
      <c r="AN431" s="123">
        <f t="shared" si="298"/>
        <v>241650</v>
      </c>
      <c r="AO431" s="123">
        <f t="shared" si="298"/>
        <v>0</v>
      </c>
      <c r="AP431" s="123">
        <f t="shared" si="298"/>
        <v>0</v>
      </c>
      <c r="AQ431" s="123">
        <f t="shared" si="298"/>
        <v>0</v>
      </c>
      <c r="AR431" s="123">
        <f t="shared" si="298"/>
        <v>0</v>
      </c>
    </row>
    <row r="432" spans="1:17" ht="12.75">
      <c r="A432" s="122"/>
      <c r="B432" s="122" t="s">
        <v>12</v>
      </c>
      <c r="C432" s="122"/>
      <c r="D432" s="122">
        <f>SUM(D386:D430)</f>
        <v>7077425</v>
      </c>
      <c r="E432" s="122">
        <f>SUM(E385:E430)</f>
        <v>7077425</v>
      </c>
      <c r="F432" s="122"/>
      <c r="G432" s="122"/>
      <c r="H432" s="122"/>
      <c r="I432" s="122"/>
      <c r="J432" s="122"/>
      <c r="K432" s="122"/>
      <c r="M432" s="122"/>
      <c r="N432" s="122"/>
      <c r="O432" s="122"/>
      <c r="P432" s="122"/>
      <c r="Q432" s="122"/>
    </row>
    <row r="433" spans="1:44" ht="12.7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M433" s="122"/>
      <c r="N433" s="122"/>
      <c r="O433" s="122"/>
      <c r="P433" s="122"/>
      <c r="Q433" s="122"/>
      <c r="AM433" s="124"/>
      <c r="AN433" s="126"/>
      <c r="AO433" s="126"/>
      <c r="AP433" s="126"/>
      <c r="AR433" s="126"/>
    </row>
    <row r="434" spans="1:43" ht="12.75">
      <c r="A434" s="144" t="s">
        <v>0</v>
      </c>
      <c r="B434" s="144" t="s">
        <v>0</v>
      </c>
      <c r="C434" s="144" t="s">
        <v>0</v>
      </c>
      <c r="D434" s="144" t="s">
        <v>0</v>
      </c>
      <c r="E434" s="122"/>
      <c r="F434" s="122"/>
      <c r="G434" s="122"/>
      <c r="H434" s="122"/>
      <c r="I434" s="122"/>
      <c r="J434" s="122"/>
      <c r="K434" s="122"/>
      <c r="M434" s="122"/>
      <c r="N434" s="122"/>
      <c r="O434" s="122"/>
      <c r="P434" s="122"/>
      <c r="Q434" s="122"/>
      <c r="AK434" s="125" t="str">
        <f>""&amp;+$B$24</f>
        <v>COLUMBIA GAS OF KENTUCKY, INC.</v>
      </c>
      <c r="AQ434" s="123" t="str">
        <f>$B$25</f>
        <v>D/C STUDY</v>
      </c>
    </row>
    <row r="435" spans="1:43" ht="12.75">
      <c r="A435" s="122" t="s">
        <v>326</v>
      </c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M435" s="122"/>
      <c r="N435" s="122"/>
      <c r="O435" s="122"/>
      <c r="P435" s="122"/>
      <c r="Q435" s="122"/>
      <c r="AE435" s="123" t="str">
        <f>$B$30</f>
        <v>DEMAND-COMMODITY</v>
      </c>
      <c r="AK435" s="125" t="s">
        <v>779</v>
      </c>
      <c r="AQ435" s="123" t="str">
        <f>"PAGE 15 OF "&amp;FIXED($B$31,0,TRUE)</f>
        <v>PAGE 15 OF 28</v>
      </c>
    </row>
    <row r="436" spans="1:44" ht="12.75">
      <c r="A436" s="144" t="s">
        <v>0</v>
      </c>
      <c r="B436" s="144" t="s">
        <v>0</v>
      </c>
      <c r="C436" s="144" t="s">
        <v>0</v>
      </c>
      <c r="D436" s="144" t="s">
        <v>0</v>
      </c>
      <c r="E436" s="122"/>
      <c r="F436" s="122"/>
      <c r="G436" s="122"/>
      <c r="H436" s="122"/>
      <c r="I436" s="122"/>
      <c r="J436" s="122"/>
      <c r="K436" s="122"/>
      <c r="M436" s="122"/>
      <c r="N436" s="122"/>
      <c r="O436" s="122"/>
      <c r="P436" s="122"/>
      <c r="Q436" s="122"/>
      <c r="AE436" s="128" t="str">
        <f>$B$29</f>
        <v>HISTORIC PERIOD - ORIGINAL FILING</v>
      </c>
      <c r="AF436" s="128"/>
      <c r="AG436" s="128"/>
      <c r="AH436" s="129"/>
      <c r="AI436" s="128"/>
      <c r="AJ436" s="129"/>
      <c r="AK436" s="130" t="str">
        <f>"FOR THE TWELVE MONTHS ENDED "&amp;$B$27</f>
        <v>FOR THE TWELVE MONTHS ENDED 09/30/2006</v>
      </c>
      <c r="AL436" s="128"/>
      <c r="AM436" s="128"/>
      <c r="AN436" s="128"/>
      <c r="AO436" s="128"/>
      <c r="AP436" s="128"/>
      <c r="AQ436" s="128" t="str">
        <f>"WITNESS: "&amp;$B$28</f>
        <v>WITNESS: R. GIBBONS</v>
      </c>
      <c r="AR436" s="131"/>
    </row>
    <row r="437" spans="1:35" ht="12.7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M437" s="122"/>
      <c r="N437" s="122"/>
      <c r="O437" s="122"/>
      <c r="P437" s="122"/>
      <c r="Q437" s="122"/>
      <c r="AE437" s="125" t="s">
        <v>9</v>
      </c>
      <c r="AF437" s="123" t="s">
        <v>10</v>
      </c>
      <c r="AH437" s="125" t="s">
        <v>11</v>
      </c>
      <c r="AI437" s="125" t="s">
        <v>12</v>
      </c>
    </row>
    <row r="438" spans="1:44" ht="12.75">
      <c r="A438" s="144" t="s">
        <v>0</v>
      </c>
      <c r="B438" s="122"/>
      <c r="C438" s="156" t="s">
        <v>120</v>
      </c>
      <c r="D438" s="156" t="s">
        <v>12</v>
      </c>
      <c r="E438" s="122"/>
      <c r="F438" s="122"/>
      <c r="G438" s="122"/>
      <c r="H438" s="122"/>
      <c r="I438" s="122"/>
      <c r="J438" s="122"/>
      <c r="K438" s="122"/>
      <c r="M438" s="122"/>
      <c r="N438" s="122"/>
      <c r="O438" s="122"/>
      <c r="P438" s="122"/>
      <c r="Q438" s="122"/>
      <c r="AE438" s="133" t="s">
        <v>13</v>
      </c>
      <c r="AF438" s="133" t="s">
        <v>13</v>
      </c>
      <c r="AG438" s="171" t="str">
        <f>AG5</f>
        <v> ACCOUNT TITLE</v>
      </c>
      <c r="AH438" s="141" t="s">
        <v>14</v>
      </c>
      <c r="AI438" s="133" t="s">
        <v>15</v>
      </c>
      <c r="AJ438" s="133" t="str">
        <f>"  "&amp;+$C$35</f>
        <v>  GS-RES.</v>
      </c>
      <c r="AK438" s="133" t="str">
        <f>$C$36</f>
        <v>GS-OTHER</v>
      </c>
      <c r="AL438" s="133" t="str">
        <f>$C$37</f>
        <v>IUS</v>
      </c>
      <c r="AM438" s="133" t="str">
        <f>$C$38</f>
        <v>DS-ML/SC</v>
      </c>
      <c r="AN438" s="133" t="str">
        <f>$C$39</f>
        <v>DS/IS/SS</v>
      </c>
      <c r="AO438" s="133" t="str">
        <f>$C$40</f>
        <v>NOT USED</v>
      </c>
      <c r="AP438" s="133" t="str">
        <f>$C$41</f>
        <v>NOT USED</v>
      </c>
      <c r="AQ438" s="133" t="str">
        <f>$C$42</f>
        <v>NOT USED</v>
      </c>
      <c r="AR438" s="133" t="str">
        <f>$C$43</f>
        <v>NOT USED</v>
      </c>
    </row>
    <row r="439" spans="1:44" ht="12.75">
      <c r="A439" s="122" t="s">
        <v>327</v>
      </c>
      <c r="B439" s="122"/>
      <c r="C439" s="156" t="s">
        <v>14</v>
      </c>
      <c r="D439" s="156" t="s">
        <v>15</v>
      </c>
      <c r="E439" s="122" t="str">
        <f>$C$35</f>
        <v>GS-RES.</v>
      </c>
      <c r="F439" s="122" t="str">
        <f>$C$36</f>
        <v>GS-OTHER</v>
      </c>
      <c r="G439" s="122" t="str">
        <f>$C$37</f>
        <v>IUS</v>
      </c>
      <c r="H439" s="122" t="e">
        <f>#REF!</f>
        <v>#REF!</v>
      </c>
      <c r="I439" s="122" t="str">
        <f>$C$38</f>
        <v>DS-ML/SC</v>
      </c>
      <c r="J439" s="122" t="str">
        <f>$C$39</f>
        <v>DS/IS/SS</v>
      </c>
      <c r="K439" s="122" t="str">
        <f>$C$41</f>
        <v>NOT USED</v>
      </c>
      <c r="L439" s="122" t="str">
        <f>$C$42</f>
        <v>NOT USED</v>
      </c>
      <c r="M439" s="122" t="str">
        <f>$C$43</f>
        <v>NOT USED</v>
      </c>
      <c r="N439" s="122"/>
      <c r="O439" s="122"/>
      <c r="P439" s="122"/>
      <c r="Q439" s="122"/>
      <c r="AF439" s="136" t="s">
        <v>17</v>
      </c>
      <c r="AG439" s="136" t="s">
        <v>18</v>
      </c>
      <c r="AH439" s="125" t="s">
        <v>19</v>
      </c>
      <c r="AI439" s="125" t="s">
        <v>20</v>
      </c>
      <c r="AJ439" s="125" t="s">
        <v>21</v>
      </c>
      <c r="AK439" s="125" t="s">
        <v>22</v>
      </c>
      <c r="AL439" s="125" t="s">
        <v>23</v>
      </c>
      <c r="AM439" s="125" t="s">
        <v>24</v>
      </c>
      <c r="AN439" s="125" t="s">
        <v>25</v>
      </c>
      <c r="AO439" s="125" t="s">
        <v>26</v>
      </c>
      <c r="AP439" s="125" t="s">
        <v>27</v>
      </c>
      <c r="AQ439" s="125" t="s">
        <v>28</v>
      </c>
      <c r="AR439" s="125" t="s">
        <v>29</v>
      </c>
    </row>
    <row r="440" spans="1:44" ht="12.75">
      <c r="A440" s="144" t="s">
        <v>0</v>
      </c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M440" s="122"/>
      <c r="N440" s="122"/>
      <c r="O440" s="122"/>
      <c r="P440" s="122"/>
      <c r="Q440" s="122"/>
      <c r="AI440" s="125" t="s">
        <v>32</v>
      </c>
      <c r="AJ440" s="125" t="s">
        <v>32</v>
      </c>
      <c r="AK440" s="125" t="s">
        <v>32</v>
      </c>
      <c r="AL440" s="125" t="s">
        <v>32</v>
      </c>
      <c r="AM440" s="125" t="s">
        <v>32</v>
      </c>
      <c r="AN440" s="125" t="s">
        <v>32</v>
      </c>
      <c r="AO440" s="125" t="s">
        <v>32</v>
      </c>
      <c r="AP440" s="125" t="s">
        <v>32</v>
      </c>
      <c r="AQ440" s="125" t="s">
        <v>32</v>
      </c>
      <c r="AR440" s="125" t="s">
        <v>32</v>
      </c>
    </row>
    <row r="441" spans="1:33" ht="12.7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M441" s="122"/>
      <c r="N441" s="122"/>
      <c r="O441" s="122"/>
      <c r="P441" s="122"/>
      <c r="Q441" s="122"/>
      <c r="AE441" s="123">
        <v>1</v>
      </c>
      <c r="AG441" s="123" t="str">
        <f>A349</f>
        <v>CUSTOMER ACCOUNTS</v>
      </c>
    </row>
    <row r="442" spans="1:17" ht="12.75">
      <c r="A442" s="122" t="s">
        <v>328</v>
      </c>
      <c r="B442" s="122"/>
      <c r="C442" s="122"/>
      <c r="D442" s="172"/>
      <c r="E442" s="122"/>
      <c r="F442" s="122"/>
      <c r="G442" s="122"/>
      <c r="H442" s="122"/>
      <c r="I442" s="122"/>
      <c r="J442" s="122"/>
      <c r="K442" s="122"/>
      <c r="M442" s="122"/>
      <c r="N442" s="122"/>
      <c r="O442" s="122"/>
      <c r="P442" s="122"/>
      <c r="Q442" s="122"/>
    </row>
    <row r="443" spans="1:44" ht="12.75">
      <c r="A443" s="184" t="s">
        <v>289</v>
      </c>
      <c r="B443" s="145" t="s">
        <v>290</v>
      </c>
      <c r="C443" s="145">
        <v>12</v>
      </c>
      <c r="D443" s="148">
        <v>0</v>
      </c>
      <c r="E443" s="122"/>
      <c r="F443" s="122"/>
      <c r="G443" s="122"/>
      <c r="H443" s="122"/>
      <c r="I443" s="122"/>
      <c r="J443" s="122"/>
      <c r="K443" s="122"/>
      <c r="M443" s="122"/>
      <c r="N443" s="122"/>
      <c r="O443" s="122"/>
      <c r="P443" s="122"/>
      <c r="Q443" s="122"/>
      <c r="AE443" s="123">
        <f>AE441+1</f>
        <v>2</v>
      </c>
      <c r="AF443" s="123" t="str">
        <f aca="true" t="shared" si="299" ref="AF443:AH445">A350</f>
        <v>901</v>
      </c>
      <c r="AG443" s="123" t="str">
        <f t="shared" si="299"/>
        <v>SUPERVISION</v>
      </c>
      <c r="AH443" s="123">
        <f t="shared" si="299"/>
        <v>6</v>
      </c>
      <c r="AI443" s="123">
        <f>ROUND(D350*(1+$D$65),0)</f>
        <v>6448</v>
      </c>
      <c r="AJ443" s="123">
        <f>ROUND((VLOOKUP($AH443,$A$661:$Y$709,13)*$AI443),0)</f>
        <v>5769</v>
      </c>
      <c r="AK443" s="123">
        <f>ROUND((VLOOKUP($AH443,$A$661:$Y$709,14)*$AI443),0)</f>
        <v>675</v>
      </c>
      <c r="AL443" s="123">
        <f>ROUND((VLOOKUP($AH443,$A$661:$Y$709,15)*$AI443),0)</f>
        <v>0</v>
      </c>
      <c r="AM443" s="123">
        <f>ROUND((VLOOKUP($AH443,$A$661:$Y$709,16)*$AI443),0)</f>
        <v>0</v>
      </c>
      <c r="AN443" s="123">
        <f>ROUND((VLOOKUP($AH443,$A$661:$Y$709,17)*$AI443),0)</f>
        <v>4</v>
      </c>
      <c r="AO443" s="123">
        <f>ROUND((VLOOKUP($AH443,$A$661:$Y$709,18)*$AI443),0)</f>
        <v>0</v>
      </c>
      <c r="AP443" s="123">
        <f>ROUND((VLOOKUP($AH443,$A$661:$Y$709,19)*$AI443),0)</f>
        <v>0</v>
      </c>
      <c r="AQ443" s="123">
        <f>ROUND((VLOOKUP($AH443,$A$661:$Y$709,20)*$AI443),0)</f>
        <v>0</v>
      </c>
      <c r="AR443" s="123">
        <f>ROUND((VLOOKUP($AH443,$A$661:$Y$709,21)*$AI443),0)</f>
        <v>0</v>
      </c>
    </row>
    <row r="444" spans="1:44" ht="12.75">
      <c r="A444" s="184" t="s">
        <v>291</v>
      </c>
      <c r="B444" s="145" t="s">
        <v>329</v>
      </c>
      <c r="C444" s="145">
        <v>12</v>
      </c>
      <c r="D444" s="145">
        <v>0</v>
      </c>
      <c r="E444" s="122"/>
      <c r="F444" s="122"/>
      <c r="G444" s="122"/>
      <c r="H444" s="122"/>
      <c r="I444" s="122"/>
      <c r="J444" s="122"/>
      <c r="K444" s="122"/>
      <c r="M444" s="122"/>
      <c r="N444" s="122"/>
      <c r="O444" s="122"/>
      <c r="P444" s="122"/>
      <c r="Q444" s="122"/>
      <c r="AE444" s="123">
        <f aca="true" t="shared" si="300" ref="AE444:AE452">AE443+1</f>
        <v>3</v>
      </c>
      <c r="AF444" s="123" t="str">
        <f t="shared" si="299"/>
        <v>902</v>
      </c>
      <c r="AG444" s="123" t="str">
        <f t="shared" si="299"/>
        <v>METER READING</v>
      </c>
      <c r="AH444" s="123">
        <f t="shared" si="299"/>
        <v>6</v>
      </c>
      <c r="AI444" s="123">
        <f>ROUND(D351*(1+$D$65),0)</f>
        <v>132168</v>
      </c>
      <c r="AJ444" s="123">
        <f>ROUND((VLOOKUP($AH444,$A$661:$Y$709,13)*$AI444),0)</f>
        <v>118248</v>
      </c>
      <c r="AK444" s="123">
        <f>ROUND((VLOOKUP($AH444,$A$661:$Y$709,14)*$AI444),0)</f>
        <v>13835</v>
      </c>
      <c r="AL444" s="123">
        <f>ROUND((VLOOKUP($AH444,$A$661:$Y$709,15)*$AI444),0)</f>
        <v>1</v>
      </c>
      <c r="AM444" s="123">
        <f>ROUND((VLOOKUP($AH444,$A$661:$Y$709,16)*$AI444),0)</f>
        <v>5</v>
      </c>
      <c r="AN444" s="123">
        <f>ROUND((VLOOKUP($AH444,$A$661:$Y$709,17)*$AI444),0)</f>
        <v>78</v>
      </c>
      <c r="AO444" s="123">
        <f>ROUND((VLOOKUP($AH444,$A$661:$Y$709,18)*$AI444),0)</f>
        <v>0</v>
      </c>
      <c r="AP444" s="123">
        <f>ROUND((VLOOKUP($AH444,$A$661:$Y$709,19)*$AI444),0)</f>
        <v>0</v>
      </c>
      <c r="AQ444" s="123">
        <f>ROUND((VLOOKUP($AH444,$A$661:$Y$709,20)*$AI444),0)</f>
        <v>0</v>
      </c>
      <c r="AR444" s="123">
        <f>ROUND((VLOOKUP($AH444,$A$661:$Y$709,21)*$AI444),0)</f>
        <v>0</v>
      </c>
    </row>
    <row r="445" spans="1:44" ht="12.75">
      <c r="A445" s="184" t="s">
        <v>330</v>
      </c>
      <c r="B445" s="145" t="s">
        <v>331</v>
      </c>
      <c r="C445" s="145">
        <v>12</v>
      </c>
      <c r="D445" s="145">
        <v>0</v>
      </c>
      <c r="E445" s="122"/>
      <c r="F445" s="122"/>
      <c r="G445" s="122"/>
      <c r="H445" s="122"/>
      <c r="I445" s="122"/>
      <c r="J445" s="122"/>
      <c r="K445" s="122"/>
      <c r="M445" s="122"/>
      <c r="N445" s="122"/>
      <c r="O445" s="122"/>
      <c r="P445" s="122"/>
      <c r="Q445" s="122"/>
      <c r="AE445" s="123">
        <f t="shared" si="300"/>
        <v>4</v>
      </c>
      <c r="AF445" s="123" t="str">
        <f t="shared" si="299"/>
        <v>903</v>
      </c>
      <c r="AG445" s="123" t="str">
        <f t="shared" si="299"/>
        <v>CUSTOMER RECORDS &amp; COLLECTIONS</v>
      </c>
      <c r="AH445" s="123">
        <f t="shared" si="299"/>
        <v>6</v>
      </c>
      <c r="AI445" s="123">
        <f>ROUND(D352*(1+$D$65),0)</f>
        <v>998392</v>
      </c>
      <c r="AJ445" s="123">
        <f>ROUND((VLOOKUP($AH445,$A$661:$Y$709,13)*$AI445),0)</f>
        <v>893241</v>
      </c>
      <c r="AK445" s="123">
        <f>ROUND((VLOOKUP($AH445,$A$661:$Y$709,14)*$AI445),0)</f>
        <v>104512</v>
      </c>
      <c r="AL445" s="123">
        <f>ROUND((VLOOKUP($AH445,$A$661:$Y$709,15)*$AI445),0)</f>
        <v>10</v>
      </c>
      <c r="AM445" s="123">
        <f>ROUND((VLOOKUP($AH445,$A$661:$Y$709,16)*$AI445),0)</f>
        <v>40</v>
      </c>
      <c r="AN445" s="123">
        <f>ROUND((VLOOKUP($AH445,$A$661:$Y$709,17)*$AI445),0)</f>
        <v>589</v>
      </c>
      <c r="AO445" s="123">
        <f>ROUND((VLOOKUP($AH445,$A$661:$Y$709,18)*$AI445),0)</f>
        <v>0</v>
      </c>
      <c r="AP445" s="123">
        <f>ROUND((VLOOKUP($AH445,$A$661:$Y$709,19)*$AI445),0)</f>
        <v>0</v>
      </c>
      <c r="AQ445" s="123">
        <f>ROUND((VLOOKUP($AH445,$A$661:$Y$709,20)*$AI445),0)</f>
        <v>0</v>
      </c>
      <c r="AR445" s="123">
        <f>ROUND((VLOOKUP($AH445,$A$661:$Y$709,21)*$AI445),0)</f>
        <v>0</v>
      </c>
    </row>
    <row r="446" spans="1:44" ht="12.75">
      <c r="A446" s="184" t="s">
        <v>332</v>
      </c>
      <c r="B446" s="145" t="s">
        <v>333</v>
      </c>
      <c r="C446" s="145">
        <v>12</v>
      </c>
      <c r="D446" s="145">
        <v>0</v>
      </c>
      <c r="E446" s="122"/>
      <c r="F446" s="122"/>
      <c r="G446" s="122"/>
      <c r="H446" s="122"/>
      <c r="I446" s="122"/>
      <c r="J446" s="122"/>
      <c r="K446" s="122"/>
      <c r="M446" s="122"/>
      <c r="N446" s="122"/>
      <c r="O446" s="122"/>
      <c r="P446" s="122"/>
      <c r="Q446" s="122"/>
      <c r="AE446" s="123">
        <f t="shared" si="300"/>
        <v>5</v>
      </c>
      <c r="AF446" s="123" t="str">
        <f aca="true" t="shared" si="301" ref="AF446:AG451">A354</f>
        <v>904</v>
      </c>
      <c r="AG446" s="123" t="str">
        <f t="shared" si="301"/>
        <v>UNCOLLECTIBLE ACCOUNTS</v>
      </c>
      <c r="AH446" s="123">
        <v>6</v>
      </c>
      <c r="AI446" s="123">
        <f>ROUND(D353*(1+$D$65),0)</f>
        <v>0</v>
      </c>
      <c r="AJ446" s="123">
        <f aca="true" t="shared" si="302" ref="AJ446:AR446">E354</f>
        <v>0</v>
      </c>
      <c r="AK446" s="123">
        <f t="shared" si="302"/>
        <v>0</v>
      </c>
      <c r="AL446" s="123">
        <f t="shared" si="302"/>
        <v>0</v>
      </c>
      <c r="AM446" s="123">
        <f t="shared" si="302"/>
        <v>0</v>
      </c>
      <c r="AN446" s="123">
        <f t="shared" si="302"/>
        <v>0</v>
      </c>
      <c r="AO446" s="123">
        <f t="shared" si="302"/>
        <v>0</v>
      </c>
      <c r="AP446" s="123">
        <f t="shared" si="302"/>
        <v>0</v>
      </c>
      <c r="AQ446" s="123">
        <f t="shared" si="302"/>
        <v>0</v>
      </c>
      <c r="AR446" s="123">
        <f t="shared" si="302"/>
        <v>0</v>
      </c>
    </row>
    <row r="447" spans="1:44" ht="12.75">
      <c r="A447" s="184" t="s">
        <v>334</v>
      </c>
      <c r="B447" s="145" t="s">
        <v>335</v>
      </c>
      <c r="C447" s="145">
        <v>12</v>
      </c>
      <c r="D447" s="145">
        <v>0</v>
      </c>
      <c r="E447" s="122"/>
      <c r="F447" s="122"/>
      <c r="G447" s="122"/>
      <c r="H447" s="122"/>
      <c r="I447" s="122"/>
      <c r="J447" s="122"/>
      <c r="K447" s="122"/>
      <c r="M447" s="122"/>
      <c r="N447" s="122"/>
      <c r="O447" s="122"/>
      <c r="P447" s="122"/>
      <c r="Q447" s="122"/>
      <c r="AE447" s="123">
        <f t="shared" si="300"/>
        <v>6</v>
      </c>
      <c r="AF447" s="123" t="str">
        <f t="shared" si="301"/>
        <v>905</v>
      </c>
      <c r="AG447" s="123" t="str">
        <f t="shared" si="301"/>
        <v>MISC.</v>
      </c>
      <c r="AH447" s="123">
        <f>C355</f>
        <v>6</v>
      </c>
      <c r="AI447" s="123">
        <f>ROUND(D355*(1+$D$65),0)</f>
        <v>1216</v>
      </c>
      <c r="AJ447" s="123">
        <f>ROUND((VLOOKUP($AH447,$A$661:$Y$709,13)*$AI447),0)</f>
        <v>1088</v>
      </c>
      <c r="AK447" s="123">
        <f>ROUND((VLOOKUP($AH447,$A$661:$Y$709,14)*$AI447),0)</f>
        <v>127</v>
      </c>
      <c r="AL447" s="123">
        <f>ROUND((VLOOKUP($AH447,$A$661:$Y$709,15)*$AI447),0)</f>
        <v>0</v>
      </c>
      <c r="AM447" s="123">
        <f>ROUND((VLOOKUP($AH447,$A$661:$Y$709,16)*$AI447),0)</f>
        <v>0</v>
      </c>
      <c r="AN447" s="123">
        <f>ROUND((VLOOKUP($AH447,$A$661:$Y$709,17)*$AI447),0)</f>
        <v>1</v>
      </c>
      <c r="AO447" s="123">
        <f>ROUND((VLOOKUP($AH447,$A$661:$Y$709,18)*$AI447),0)</f>
        <v>0</v>
      </c>
      <c r="AP447" s="123">
        <f>ROUND((VLOOKUP($AH447,$A$661:$Y$709,19)*$AI447),0)</f>
        <v>0</v>
      </c>
      <c r="AQ447" s="123">
        <f>ROUND((VLOOKUP($AH447,$A$661:$Y$709,20)*$AI447),0)</f>
        <v>0</v>
      </c>
      <c r="AR447" s="123">
        <f>ROUND((VLOOKUP($AH447,$A$661:$Y$709,21)*$AI447),0)</f>
        <v>0</v>
      </c>
    </row>
    <row r="448" spans="1:44" ht="12.75">
      <c r="A448" s="184" t="s">
        <v>336</v>
      </c>
      <c r="B448" s="145" t="s">
        <v>337</v>
      </c>
      <c r="C448" s="145">
        <v>12</v>
      </c>
      <c r="D448" s="145">
        <v>0</v>
      </c>
      <c r="E448" s="122"/>
      <c r="F448" s="122"/>
      <c r="G448" s="122"/>
      <c r="H448" s="122"/>
      <c r="I448" s="122"/>
      <c r="J448" s="122"/>
      <c r="K448" s="122"/>
      <c r="M448" s="122"/>
      <c r="N448" s="122"/>
      <c r="O448" s="122"/>
      <c r="P448" s="122"/>
      <c r="Q448" s="122"/>
      <c r="AE448" s="123">
        <f t="shared" si="300"/>
        <v>7</v>
      </c>
      <c r="AF448" s="123" t="str">
        <f t="shared" si="301"/>
        <v>920</v>
      </c>
      <c r="AG448" s="123" t="str">
        <f t="shared" si="301"/>
        <v>SALARIES</v>
      </c>
      <c r="AH448" s="123">
        <f>C356</f>
        <v>6</v>
      </c>
      <c r="AI448" s="123">
        <f>ROUND(D356*(1+$D$65),0)</f>
        <v>0</v>
      </c>
      <c r="AJ448" s="123">
        <f>ROUND((VLOOKUP($AH448,$A$661:$Y$709,13)*$AI448),0)</f>
        <v>0</v>
      </c>
      <c r="AK448" s="123">
        <f>ROUND((VLOOKUP($AH448,$A$661:$Y$709,14)*$AI448),0)</f>
        <v>0</v>
      </c>
      <c r="AL448" s="123">
        <f>ROUND((VLOOKUP($AH448,$A$661:$Y$709,15)*$AI448),0)</f>
        <v>0</v>
      </c>
      <c r="AM448" s="123">
        <f>ROUND((VLOOKUP($AH448,$A$661:$Y$709,16)*$AI448),0)</f>
        <v>0</v>
      </c>
      <c r="AN448" s="123">
        <f>ROUND((VLOOKUP($AH448,$A$661:$Y$709,17)*$AI448),0)</f>
        <v>0</v>
      </c>
      <c r="AO448" s="123">
        <f>ROUND((VLOOKUP($AH448,$A$661:$Y$709,18)*$AI448),0)</f>
        <v>0</v>
      </c>
      <c r="AP448" s="123">
        <f>ROUND((VLOOKUP($AH448,$A$661:$Y$709,19)*$AI448),0)</f>
        <v>0</v>
      </c>
      <c r="AQ448" s="123">
        <f>ROUND((VLOOKUP($AH448,$A$661:$Y$709,20)*$AI448),0)</f>
        <v>0</v>
      </c>
      <c r="AR448" s="123">
        <f>ROUND((VLOOKUP($AH448,$A$661:$Y$709,21)*$AI448),0)</f>
        <v>0</v>
      </c>
    </row>
    <row r="449" spans="1:44" ht="12.75">
      <c r="A449" s="184" t="s">
        <v>338</v>
      </c>
      <c r="B449" s="145" t="s">
        <v>339</v>
      </c>
      <c r="C449" s="145">
        <v>12</v>
      </c>
      <c r="D449" s="145">
        <v>0</v>
      </c>
      <c r="E449" s="122"/>
      <c r="F449" s="122"/>
      <c r="G449" s="122"/>
      <c r="H449" s="122"/>
      <c r="I449" s="122"/>
      <c r="J449" s="122"/>
      <c r="K449" s="122"/>
      <c r="M449" s="122"/>
      <c r="N449" s="122"/>
      <c r="O449" s="122"/>
      <c r="P449" s="122"/>
      <c r="Q449" s="122"/>
      <c r="AE449" s="123">
        <f t="shared" si="300"/>
        <v>8</v>
      </c>
      <c r="AF449" s="123" t="str">
        <f t="shared" si="301"/>
        <v>921</v>
      </c>
      <c r="AG449" s="123" t="str">
        <f t="shared" si="301"/>
        <v>OFFICE SUPPLIES AND EXPENSE</v>
      </c>
      <c r="AH449" s="123">
        <f>C357</f>
        <v>6</v>
      </c>
      <c r="AI449" s="123">
        <f>ROUND(D357*(1+$D$65),0)</f>
        <v>0</v>
      </c>
      <c r="AJ449" s="123">
        <f>ROUND((VLOOKUP($AH449,$A$661:$Y$709,13)*$AI449),0)</f>
        <v>0</v>
      </c>
      <c r="AK449" s="123">
        <f>ROUND((VLOOKUP($AH449,$A$661:$Y$709,14)*$AI449),0)</f>
        <v>0</v>
      </c>
      <c r="AL449" s="123">
        <f>ROUND((VLOOKUP($AH449,$A$661:$Y$709,15)*$AI449),0)</f>
        <v>0</v>
      </c>
      <c r="AM449" s="123">
        <f>ROUND((VLOOKUP($AH449,$A$661:$Y$709,16)*$AI449),0)</f>
        <v>0</v>
      </c>
      <c r="AN449" s="123">
        <f>ROUND((VLOOKUP($AH449,$A$661:$Y$709,17)*$AI449),0)</f>
        <v>0</v>
      </c>
      <c r="AO449" s="123">
        <f>ROUND((VLOOKUP($AH449,$A$661:$Y$709,18)*$AI449),0)</f>
        <v>0</v>
      </c>
      <c r="AP449" s="123">
        <f>ROUND((VLOOKUP($AH449,$A$661:$Y$709,19)*$AI449),0)</f>
        <v>0</v>
      </c>
      <c r="AQ449" s="123">
        <f>ROUND((VLOOKUP($AH449,$A$661:$Y$709,20)*$AI449),0)</f>
        <v>0</v>
      </c>
      <c r="AR449" s="123">
        <f>ROUND((VLOOKUP($AH449,$A$661:$Y$709,21)*$AI449),0)</f>
        <v>0</v>
      </c>
    </row>
    <row r="450" spans="1:44" ht="12.75">
      <c r="A450" s="184" t="s">
        <v>340</v>
      </c>
      <c r="B450" s="145" t="s">
        <v>341</v>
      </c>
      <c r="C450" s="145">
        <v>12</v>
      </c>
      <c r="D450" s="145">
        <v>0</v>
      </c>
      <c r="E450" s="122"/>
      <c r="F450" s="122"/>
      <c r="G450" s="122"/>
      <c r="H450" s="122"/>
      <c r="I450" s="122"/>
      <c r="J450" s="122"/>
      <c r="K450" s="122"/>
      <c r="M450" s="122"/>
      <c r="N450" s="122"/>
      <c r="O450" s="122"/>
      <c r="P450" s="122"/>
      <c r="Q450" s="122"/>
      <c r="AE450" s="123">
        <f t="shared" si="300"/>
        <v>9</v>
      </c>
      <c r="AF450" s="123" t="str">
        <f t="shared" si="301"/>
        <v>931</v>
      </c>
      <c r="AG450" s="123" t="str">
        <f t="shared" si="301"/>
        <v>RENTS</v>
      </c>
      <c r="AH450" s="123">
        <f>C358</f>
        <v>6</v>
      </c>
      <c r="AI450" s="123">
        <f>ROUND(D358*(1+$D$65),0)</f>
        <v>0</v>
      </c>
      <c r="AJ450" s="123">
        <f>ROUND((VLOOKUP($AH450,$A$661:$Y$709,13)*$AI450),0)</f>
        <v>0</v>
      </c>
      <c r="AK450" s="123">
        <f>ROUND((VLOOKUP($AH450,$A$661:$Y$709,14)*$AI450),0)</f>
        <v>0</v>
      </c>
      <c r="AL450" s="123">
        <f>ROUND((VLOOKUP($AH450,$A$661:$Y$709,15)*$AI450),0)</f>
        <v>0</v>
      </c>
      <c r="AM450" s="123">
        <f>ROUND((VLOOKUP($AH450,$A$661:$Y$709,16)*$AI450),0)</f>
        <v>0</v>
      </c>
      <c r="AN450" s="123">
        <f>ROUND((VLOOKUP($AH450,$A$661:$Y$709,17)*$AI450),0)</f>
        <v>0</v>
      </c>
      <c r="AO450" s="123">
        <f>ROUND((VLOOKUP($AH450,$A$661:$Y$709,18)*$AI450),0)</f>
        <v>0</v>
      </c>
      <c r="AP450" s="123">
        <f>ROUND((VLOOKUP($AH450,$A$661:$Y$709,19)*$AI450),0)</f>
        <v>0</v>
      </c>
      <c r="AQ450" s="123">
        <f>ROUND((VLOOKUP($AH450,$A$661:$Y$709,20)*$AI450),0)</f>
        <v>0</v>
      </c>
      <c r="AR450" s="123">
        <f>ROUND((VLOOKUP($AH450,$A$661:$Y$709,21)*$AI450),0)</f>
        <v>0</v>
      </c>
    </row>
    <row r="451" spans="1:44" ht="12.75">
      <c r="A451" s="184" t="s">
        <v>342</v>
      </c>
      <c r="B451" s="145" t="s">
        <v>343</v>
      </c>
      <c r="C451" s="145">
        <v>12</v>
      </c>
      <c r="D451" s="145">
        <v>0</v>
      </c>
      <c r="E451" s="122"/>
      <c r="F451" s="122"/>
      <c r="G451" s="122"/>
      <c r="H451" s="122"/>
      <c r="I451" s="122"/>
      <c r="J451" s="122"/>
      <c r="K451" s="122"/>
      <c r="M451" s="122"/>
      <c r="N451" s="122"/>
      <c r="O451" s="122"/>
      <c r="P451" s="122"/>
      <c r="Q451" s="122"/>
      <c r="AE451" s="123">
        <f t="shared" si="300"/>
        <v>10</v>
      </c>
      <c r="AF451" s="123" t="str">
        <f t="shared" si="301"/>
        <v>935</v>
      </c>
      <c r="AG451" s="123" t="str">
        <f t="shared" si="301"/>
        <v>GENERAL PLANT MAINTENANCE</v>
      </c>
      <c r="AH451" s="123">
        <f>C359</f>
        <v>6</v>
      </c>
      <c r="AI451" s="141">
        <f>ROUND(D359*(1+$D$65),0)</f>
        <v>0</v>
      </c>
      <c r="AJ451" s="141">
        <f>ROUND((VLOOKUP($AH451,$A$661:$Y$709,13)*$AI451),0)</f>
        <v>0</v>
      </c>
      <c r="AK451" s="141">
        <f>ROUND((VLOOKUP($AH451,$A$661:$Y$709,14)*$AI451),0)</f>
        <v>0</v>
      </c>
      <c r="AL451" s="141">
        <f>ROUND((VLOOKUP($AH451,$A$661:$Y$709,15)*$AI451),0)</f>
        <v>0</v>
      </c>
      <c r="AM451" s="141">
        <f>ROUND((VLOOKUP($AH451,$A$661:$Y$709,16)*$AI451),0)</f>
        <v>0</v>
      </c>
      <c r="AN451" s="141">
        <f>ROUND((VLOOKUP($AH451,$A$661:$Y$709,17)*$AI451),0)</f>
        <v>0</v>
      </c>
      <c r="AO451" s="141">
        <f>ROUND((VLOOKUP($AH451,$A$661:$Y$709,18)*$AI451),0)</f>
        <v>0</v>
      </c>
      <c r="AP451" s="141">
        <f>ROUND((VLOOKUP($AH451,$A$661:$Y$709,19)*$AI451),0)</f>
        <v>0</v>
      </c>
      <c r="AQ451" s="141">
        <f>ROUND((VLOOKUP($AH451,$A$661:$Y$709,20)*$AI451),0)</f>
        <v>0</v>
      </c>
      <c r="AR451" s="141">
        <f>ROUND((VLOOKUP($AH451,$A$661:$Y$709,21)*$AI451),0)</f>
        <v>0</v>
      </c>
    </row>
    <row r="452" spans="1:44" ht="12.75">
      <c r="A452" s="184" t="s">
        <v>344</v>
      </c>
      <c r="B452" s="145" t="s">
        <v>345</v>
      </c>
      <c r="C452" s="145">
        <v>12</v>
      </c>
      <c r="D452" s="145">
        <v>0</v>
      </c>
      <c r="E452" s="122"/>
      <c r="F452" s="122"/>
      <c r="G452" s="122"/>
      <c r="H452" s="122"/>
      <c r="I452" s="122"/>
      <c r="J452" s="122"/>
      <c r="K452" s="122"/>
      <c r="M452" s="122"/>
      <c r="N452" s="122"/>
      <c r="O452" s="122"/>
      <c r="P452" s="122"/>
      <c r="Q452" s="122"/>
      <c r="AE452" s="123">
        <f t="shared" si="300"/>
        <v>11</v>
      </c>
      <c r="AG452" s="123" t="s">
        <v>346</v>
      </c>
      <c r="AI452" s="123">
        <f aca="true" t="shared" si="303" ref="AI452:AR452">SUM(AI443:AI451)</f>
        <v>1138224</v>
      </c>
      <c r="AJ452" s="123">
        <f t="shared" si="303"/>
        <v>1018346</v>
      </c>
      <c r="AK452" s="123">
        <f t="shared" si="303"/>
        <v>119149</v>
      </c>
      <c r="AL452" s="123">
        <f t="shared" si="303"/>
        <v>11</v>
      </c>
      <c r="AM452" s="123">
        <f t="shared" si="303"/>
        <v>45</v>
      </c>
      <c r="AN452" s="123">
        <f t="shared" si="303"/>
        <v>672</v>
      </c>
      <c r="AO452" s="123">
        <f t="shared" si="303"/>
        <v>0</v>
      </c>
      <c r="AP452" s="123">
        <f t="shared" si="303"/>
        <v>0</v>
      </c>
      <c r="AQ452" s="123">
        <f t="shared" si="303"/>
        <v>0</v>
      </c>
      <c r="AR452" s="123">
        <f t="shared" si="303"/>
        <v>0</v>
      </c>
    </row>
    <row r="453" spans="1:17" ht="12.75">
      <c r="A453" s="184" t="s">
        <v>293</v>
      </c>
      <c r="B453" s="145" t="s">
        <v>220</v>
      </c>
      <c r="C453" s="145">
        <v>12</v>
      </c>
      <c r="D453" s="145">
        <v>0</v>
      </c>
      <c r="E453" s="122"/>
      <c r="F453" s="122"/>
      <c r="G453" s="122"/>
      <c r="H453" s="122"/>
      <c r="I453" s="122"/>
      <c r="J453" s="122"/>
      <c r="K453" s="122"/>
      <c r="M453" s="122"/>
      <c r="N453" s="122"/>
      <c r="O453" s="122"/>
      <c r="P453" s="122"/>
      <c r="Q453" s="122"/>
    </row>
    <row r="454" spans="1:33" ht="12.75">
      <c r="A454" s="184" t="s">
        <v>347</v>
      </c>
      <c r="B454" s="145" t="s">
        <v>348</v>
      </c>
      <c r="C454" s="145">
        <v>12</v>
      </c>
      <c r="D454" s="185">
        <v>0</v>
      </c>
      <c r="E454" s="122"/>
      <c r="F454" s="122"/>
      <c r="G454" s="122"/>
      <c r="H454" s="122"/>
      <c r="I454" s="122"/>
      <c r="J454" s="122"/>
      <c r="K454" s="122"/>
      <c r="M454" s="122"/>
      <c r="N454" s="122"/>
      <c r="O454" s="122"/>
      <c r="P454" s="122"/>
      <c r="Q454" s="122"/>
      <c r="AE454" s="123">
        <f>AE452+1</f>
        <v>12</v>
      </c>
      <c r="AG454" s="123" t="str">
        <f>A360</f>
        <v>CUSTOMER SERVICE &amp; INFORMATIONAL</v>
      </c>
    </row>
    <row r="455" spans="1:17" ht="12.75">
      <c r="A455" s="184" t="s">
        <v>349</v>
      </c>
      <c r="B455" s="145" t="s">
        <v>350</v>
      </c>
      <c r="C455" s="122"/>
      <c r="D455" s="122"/>
      <c r="E455" s="122"/>
      <c r="F455" s="122"/>
      <c r="G455" s="122"/>
      <c r="H455" s="122"/>
      <c r="I455" s="122"/>
      <c r="J455" s="122"/>
      <c r="K455" s="122"/>
      <c r="M455" s="122"/>
      <c r="N455" s="122"/>
      <c r="O455" s="122"/>
      <c r="P455" s="122"/>
      <c r="Q455" s="122"/>
    </row>
    <row r="456" spans="1:44" ht="12.75">
      <c r="A456" s="122"/>
      <c r="B456" s="145" t="s">
        <v>351</v>
      </c>
      <c r="C456" s="145">
        <v>12</v>
      </c>
      <c r="D456" s="145">
        <v>0</v>
      </c>
      <c r="E456" s="122"/>
      <c r="F456" s="122"/>
      <c r="G456" s="122"/>
      <c r="H456" s="122"/>
      <c r="I456" s="122"/>
      <c r="J456" s="122"/>
      <c r="K456" s="122"/>
      <c r="M456" s="122"/>
      <c r="N456" s="122"/>
      <c r="O456" s="122"/>
      <c r="P456" s="122"/>
      <c r="Q456" s="122"/>
      <c r="AE456" s="123">
        <f>AE454+1</f>
        <v>13</v>
      </c>
      <c r="AF456" s="123" t="str">
        <f>A361</f>
        <v>907</v>
      </c>
      <c r="AG456" s="123" t="str">
        <f>B361</f>
        <v>SUPERVISION</v>
      </c>
      <c r="AH456" s="123">
        <f>C361</f>
        <v>6</v>
      </c>
      <c r="AI456" s="123">
        <f>ROUND(D361*(1+$D$65),0)</f>
        <v>10540</v>
      </c>
      <c r="AJ456" s="123">
        <f aca="true" t="shared" si="304" ref="AJ456:AJ463">ROUND((VLOOKUP($AH456,$A$661:$Y$709,13)*$AI456),0)</f>
        <v>9430</v>
      </c>
      <c r="AK456" s="123">
        <f aca="true" t="shared" si="305" ref="AK456:AK463">ROUND((VLOOKUP($AH456,$A$661:$Y$709,14)*$AI456),0)</f>
        <v>1103</v>
      </c>
      <c r="AL456" s="123">
        <f aca="true" t="shared" si="306" ref="AL456:AL463">ROUND((VLOOKUP($AH456,$A$661:$Y$709,15)*$AI456),0)</f>
        <v>0</v>
      </c>
      <c r="AM456" s="123">
        <f aca="true" t="shared" si="307" ref="AM456:AM463">ROUND((VLOOKUP($AH456,$A$661:$Y$709,16)*$AI456),0)</f>
        <v>0</v>
      </c>
      <c r="AN456" s="123">
        <f aca="true" t="shared" si="308" ref="AN456:AN463">ROUND((VLOOKUP($AH456,$A$661:$Y$709,17)*$AI456),0)</f>
        <v>6</v>
      </c>
      <c r="AO456" s="123">
        <f aca="true" t="shared" si="309" ref="AO456:AO463">ROUND((VLOOKUP($AH456,$A$661:$Y$709,18)*$AI456),0)</f>
        <v>0</v>
      </c>
      <c r="AP456" s="123">
        <f aca="true" t="shared" si="310" ref="AP456:AP463">ROUND((VLOOKUP($AH456,$A$661:$Y$709,19)*$AI456),0)</f>
        <v>0</v>
      </c>
      <c r="AQ456" s="123">
        <f aca="true" t="shared" si="311" ref="AQ456:AQ463">ROUND((VLOOKUP($AH456,$A$661:$Y$709,20)*$AI456),0)</f>
        <v>0</v>
      </c>
      <c r="AR456" s="123">
        <f aca="true" t="shared" si="312" ref="AR456:AR463">ROUND((VLOOKUP($AH456,$A$661:$Y$709,21)*$AI456),0)</f>
        <v>0</v>
      </c>
    </row>
    <row r="457" spans="1:44" ht="12.75">
      <c r="A457" s="184" t="s">
        <v>352</v>
      </c>
      <c r="B457" s="145" t="s">
        <v>353</v>
      </c>
      <c r="C457" s="145">
        <v>12</v>
      </c>
      <c r="D457" s="145">
        <v>0</v>
      </c>
      <c r="E457" s="122"/>
      <c r="F457" s="122"/>
      <c r="G457" s="122"/>
      <c r="H457" s="122"/>
      <c r="I457" s="122"/>
      <c r="J457" s="122"/>
      <c r="K457" s="122"/>
      <c r="M457" s="122"/>
      <c r="N457" s="122"/>
      <c r="O457" s="122"/>
      <c r="P457" s="122"/>
      <c r="Q457" s="122"/>
      <c r="AE457" s="123">
        <f aca="true" t="shared" si="313" ref="AE457:AE464">AE456+1</f>
        <v>14</v>
      </c>
      <c r="AF457" s="123" t="str">
        <f>A363</f>
        <v>908</v>
      </c>
      <c r="AG457" s="123" t="str">
        <f>B363</f>
        <v>CUSTOMER ASSISTANCE</v>
      </c>
      <c r="AH457" s="123">
        <f>C363</f>
        <v>6</v>
      </c>
      <c r="AI457" s="123">
        <f>ROUND(D363*(1+$D$65),0)</f>
        <v>82325</v>
      </c>
      <c r="AJ457" s="123">
        <f t="shared" si="304"/>
        <v>73655</v>
      </c>
      <c r="AK457" s="123">
        <f t="shared" si="305"/>
        <v>8618</v>
      </c>
      <c r="AL457" s="123">
        <f t="shared" si="306"/>
        <v>1</v>
      </c>
      <c r="AM457" s="123">
        <f t="shared" si="307"/>
        <v>3</v>
      </c>
      <c r="AN457" s="123">
        <f t="shared" si="308"/>
        <v>49</v>
      </c>
      <c r="AO457" s="123">
        <f t="shared" si="309"/>
        <v>0</v>
      </c>
      <c r="AP457" s="123">
        <f t="shared" si="310"/>
        <v>0</v>
      </c>
      <c r="AQ457" s="123">
        <f t="shared" si="311"/>
        <v>0</v>
      </c>
      <c r="AR457" s="123">
        <f t="shared" si="312"/>
        <v>0</v>
      </c>
    </row>
    <row r="458" spans="1:44" ht="12.75">
      <c r="A458" s="122"/>
      <c r="B458" s="122" t="s">
        <v>12</v>
      </c>
      <c r="C458" s="122"/>
      <c r="D458" s="122">
        <f>SUM(D443:D457)</f>
        <v>0</v>
      </c>
      <c r="E458" s="122">
        <f>SUM(D443:D457)</f>
        <v>0</v>
      </c>
      <c r="F458" s="122"/>
      <c r="G458" s="122"/>
      <c r="H458" s="122"/>
      <c r="I458" s="122"/>
      <c r="J458" s="122"/>
      <c r="K458" s="122"/>
      <c r="M458" s="122"/>
      <c r="N458" s="122"/>
      <c r="O458" s="122"/>
      <c r="P458" s="122"/>
      <c r="Q458" s="122"/>
      <c r="AE458" s="123">
        <f t="shared" si="313"/>
        <v>15</v>
      </c>
      <c r="AF458" s="123" t="str">
        <f aca="true" t="shared" si="314" ref="AF458:AH463">A365</f>
        <v>909</v>
      </c>
      <c r="AG458" s="123" t="str">
        <f t="shared" si="314"/>
        <v>ADVERTISING</v>
      </c>
      <c r="AH458" s="123">
        <f t="shared" si="314"/>
        <v>6</v>
      </c>
      <c r="AI458" s="123">
        <f aca="true" t="shared" si="315" ref="AI458:AI463">ROUND(D365*(1+$D$65),0)</f>
        <v>0</v>
      </c>
      <c r="AJ458" s="123">
        <f t="shared" si="304"/>
        <v>0</v>
      </c>
      <c r="AK458" s="123">
        <f t="shared" si="305"/>
        <v>0</v>
      </c>
      <c r="AL458" s="123">
        <f t="shared" si="306"/>
        <v>0</v>
      </c>
      <c r="AM458" s="123">
        <f t="shared" si="307"/>
        <v>0</v>
      </c>
      <c r="AN458" s="123">
        <f t="shared" si="308"/>
        <v>0</v>
      </c>
      <c r="AO458" s="123">
        <f t="shared" si="309"/>
        <v>0</v>
      </c>
      <c r="AP458" s="123">
        <f t="shared" si="310"/>
        <v>0</v>
      </c>
      <c r="AQ458" s="123">
        <f t="shared" si="311"/>
        <v>0</v>
      </c>
      <c r="AR458" s="123">
        <f t="shared" si="312"/>
        <v>0</v>
      </c>
    </row>
    <row r="459" spans="14:44" ht="12.75">
      <c r="N459" s="122"/>
      <c r="O459" s="122"/>
      <c r="P459" s="122"/>
      <c r="Q459" s="122"/>
      <c r="AE459" s="123">
        <f t="shared" si="313"/>
        <v>16</v>
      </c>
      <c r="AF459" s="123" t="str">
        <f t="shared" si="314"/>
        <v>910</v>
      </c>
      <c r="AG459" s="123" t="str">
        <f t="shared" si="314"/>
        <v>MISCELLANEOUS</v>
      </c>
      <c r="AH459" s="123">
        <f t="shared" si="314"/>
        <v>6</v>
      </c>
      <c r="AI459" s="123">
        <f t="shared" si="315"/>
        <v>110</v>
      </c>
      <c r="AJ459" s="123">
        <f t="shared" si="304"/>
        <v>98</v>
      </c>
      <c r="AK459" s="123">
        <f t="shared" si="305"/>
        <v>12</v>
      </c>
      <c r="AL459" s="123">
        <f t="shared" si="306"/>
        <v>0</v>
      </c>
      <c r="AM459" s="123">
        <f t="shared" si="307"/>
        <v>0</v>
      </c>
      <c r="AN459" s="123">
        <f t="shared" si="308"/>
        <v>0</v>
      </c>
      <c r="AO459" s="123">
        <f t="shared" si="309"/>
        <v>0</v>
      </c>
      <c r="AP459" s="123">
        <f t="shared" si="310"/>
        <v>0</v>
      </c>
      <c r="AQ459" s="123">
        <f t="shared" si="311"/>
        <v>0</v>
      </c>
      <c r="AR459" s="123">
        <f t="shared" si="312"/>
        <v>0</v>
      </c>
    </row>
    <row r="460" spans="1:44" ht="12.75">
      <c r="A460" s="144" t="s">
        <v>0</v>
      </c>
      <c r="B460" s="122"/>
      <c r="C460" s="156" t="s">
        <v>120</v>
      </c>
      <c r="D460" s="156" t="s">
        <v>12</v>
      </c>
      <c r="E460" s="122"/>
      <c r="F460" s="122"/>
      <c r="G460" s="122"/>
      <c r="H460" s="122"/>
      <c r="I460" s="122"/>
      <c r="J460" s="122"/>
      <c r="K460" s="122"/>
      <c r="M460" s="122"/>
      <c r="N460" s="122"/>
      <c r="O460" s="122"/>
      <c r="P460" s="122"/>
      <c r="Q460" s="122"/>
      <c r="AE460" s="123">
        <f t="shared" si="313"/>
        <v>17</v>
      </c>
      <c r="AF460" s="123" t="str">
        <f t="shared" si="314"/>
        <v>920</v>
      </c>
      <c r="AG460" s="123" t="str">
        <f t="shared" si="314"/>
        <v>SALARIES</v>
      </c>
      <c r="AH460" s="123">
        <f t="shared" si="314"/>
        <v>6</v>
      </c>
      <c r="AI460" s="123">
        <f t="shared" si="315"/>
        <v>0</v>
      </c>
      <c r="AJ460" s="123">
        <f t="shared" si="304"/>
        <v>0</v>
      </c>
      <c r="AK460" s="123">
        <f t="shared" si="305"/>
        <v>0</v>
      </c>
      <c r="AL460" s="123">
        <f t="shared" si="306"/>
        <v>0</v>
      </c>
      <c r="AM460" s="123">
        <f t="shared" si="307"/>
        <v>0</v>
      </c>
      <c r="AN460" s="123">
        <f t="shared" si="308"/>
        <v>0</v>
      </c>
      <c r="AO460" s="123">
        <f t="shared" si="309"/>
        <v>0</v>
      </c>
      <c r="AP460" s="123">
        <f t="shared" si="310"/>
        <v>0</v>
      </c>
      <c r="AQ460" s="123">
        <f t="shared" si="311"/>
        <v>0</v>
      </c>
      <c r="AR460" s="123">
        <f t="shared" si="312"/>
        <v>0</v>
      </c>
    </row>
    <row r="461" spans="1:44" ht="12.75">
      <c r="A461" s="122" t="s">
        <v>354</v>
      </c>
      <c r="B461" s="122"/>
      <c r="C461" s="156" t="s">
        <v>14</v>
      </c>
      <c r="D461" s="156" t="s">
        <v>15</v>
      </c>
      <c r="E461" s="122"/>
      <c r="F461" s="122"/>
      <c r="G461" s="122"/>
      <c r="H461" s="122"/>
      <c r="I461" s="122"/>
      <c r="J461" s="122"/>
      <c r="K461" s="122"/>
      <c r="M461" s="122"/>
      <c r="N461" s="122"/>
      <c r="O461" s="122"/>
      <c r="P461" s="122"/>
      <c r="Q461" s="122"/>
      <c r="AE461" s="123">
        <f t="shared" si="313"/>
        <v>18</v>
      </c>
      <c r="AF461" s="123" t="str">
        <f t="shared" si="314"/>
        <v>921</v>
      </c>
      <c r="AG461" s="123" t="str">
        <f t="shared" si="314"/>
        <v>OFFICE SUPPLIES AND EXPENSE</v>
      </c>
      <c r="AH461" s="123">
        <f t="shared" si="314"/>
        <v>6</v>
      </c>
      <c r="AI461" s="123">
        <f t="shared" si="315"/>
        <v>0</v>
      </c>
      <c r="AJ461" s="123">
        <f t="shared" si="304"/>
        <v>0</v>
      </c>
      <c r="AK461" s="123">
        <f t="shared" si="305"/>
        <v>0</v>
      </c>
      <c r="AL461" s="123">
        <f t="shared" si="306"/>
        <v>0</v>
      </c>
      <c r="AM461" s="123">
        <f t="shared" si="307"/>
        <v>0</v>
      </c>
      <c r="AN461" s="123">
        <f t="shared" si="308"/>
        <v>0</v>
      </c>
      <c r="AO461" s="123">
        <f t="shared" si="309"/>
        <v>0</v>
      </c>
      <c r="AP461" s="123">
        <f t="shared" si="310"/>
        <v>0</v>
      </c>
      <c r="AQ461" s="123">
        <f t="shared" si="311"/>
        <v>0</v>
      </c>
      <c r="AR461" s="123">
        <f t="shared" si="312"/>
        <v>0</v>
      </c>
    </row>
    <row r="462" spans="1:44" ht="12.75">
      <c r="A462" s="144" t="s">
        <v>0</v>
      </c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M462" s="122"/>
      <c r="N462" s="122"/>
      <c r="O462" s="122"/>
      <c r="P462" s="122"/>
      <c r="Q462" s="122"/>
      <c r="AE462" s="123">
        <f t="shared" si="313"/>
        <v>19</v>
      </c>
      <c r="AF462" s="123" t="str">
        <f t="shared" si="314"/>
        <v>931</v>
      </c>
      <c r="AG462" s="123" t="str">
        <f t="shared" si="314"/>
        <v>RENTS</v>
      </c>
      <c r="AH462" s="123">
        <f t="shared" si="314"/>
        <v>6</v>
      </c>
      <c r="AI462" s="123">
        <f t="shared" si="315"/>
        <v>0</v>
      </c>
      <c r="AJ462" s="123">
        <f t="shared" si="304"/>
        <v>0</v>
      </c>
      <c r="AK462" s="123">
        <f t="shared" si="305"/>
        <v>0</v>
      </c>
      <c r="AL462" s="123">
        <f t="shared" si="306"/>
        <v>0</v>
      </c>
      <c r="AM462" s="123">
        <f t="shared" si="307"/>
        <v>0</v>
      </c>
      <c r="AN462" s="123">
        <f t="shared" si="308"/>
        <v>0</v>
      </c>
      <c r="AO462" s="123">
        <f t="shared" si="309"/>
        <v>0</v>
      </c>
      <c r="AP462" s="123">
        <f t="shared" si="310"/>
        <v>0</v>
      </c>
      <c r="AQ462" s="123">
        <f t="shared" si="311"/>
        <v>0</v>
      </c>
      <c r="AR462" s="123">
        <f t="shared" si="312"/>
        <v>0</v>
      </c>
    </row>
    <row r="463" spans="1:44" ht="12.7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M463" s="122"/>
      <c r="N463" s="122"/>
      <c r="O463" s="122"/>
      <c r="P463" s="122"/>
      <c r="Q463" s="122"/>
      <c r="AE463" s="123">
        <f t="shared" si="313"/>
        <v>20</v>
      </c>
      <c r="AF463" s="123" t="str">
        <f t="shared" si="314"/>
        <v>935</v>
      </c>
      <c r="AG463" s="123" t="str">
        <f t="shared" si="314"/>
        <v>GENERAL PLANT MAINTENANCE</v>
      </c>
      <c r="AH463" s="123">
        <f t="shared" si="314"/>
        <v>6</v>
      </c>
      <c r="AI463" s="141">
        <f t="shared" si="315"/>
        <v>288</v>
      </c>
      <c r="AJ463" s="141">
        <f t="shared" si="304"/>
        <v>258</v>
      </c>
      <c r="AK463" s="141">
        <f t="shared" si="305"/>
        <v>30</v>
      </c>
      <c r="AL463" s="141">
        <f t="shared" si="306"/>
        <v>0</v>
      </c>
      <c r="AM463" s="141">
        <f t="shared" si="307"/>
        <v>0</v>
      </c>
      <c r="AN463" s="141">
        <f t="shared" si="308"/>
        <v>0</v>
      </c>
      <c r="AO463" s="141">
        <f t="shared" si="309"/>
        <v>0</v>
      </c>
      <c r="AP463" s="141">
        <f t="shared" si="310"/>
        <v>0</v>
      </c>
      <c r="AQ463" s="141">
        <f t="shared" si="311"/>
        <v>0</v>
      </c>
      <c r="AR463" s="141">
        <f t="shared" si="312"/>
        <v>0</v>
      </c>
    </row>
    <row r="464" spans="1:44" ht="12.75">
      <c r="A464" s="122" t="str">
        <f aca="true" t="shared" si="316" ref="A464:A471">A442</f>
        <v>ADMINISTRATIVE &amp; GENERAL</v>
      </c>
      <c r="B464" s="122"/>
      <c r="C464" s="122"/>
      <c r="D464" s="172"/>
      <c r="E464" s="122"/>
      <c r="F464" s="122"/>
      <c r="G464" s="122"/>
      <c r="H464" s="122"/>
      <c r="I464" s="122"/>
      <c r="J464" s="122"/>
      <c r="K464" s="122"/>
      <c r="M464" s="122"/>
      <c r="N464" s="122"/>
      <c r="O464" s="122"/>
      <c r="P464" s="122"/>
      <c r="Q464" s="122"/>
      <c r="AE464" s="123">
        <f t="shared" si="313"/>
        <v>21</v>
      </c>
      <c r="AG464" s="123" t="s">
        <v>355</v>
      </c>
      <c r="AI464" s="123">
        <f aca="true" t="shared" si="317" ref="AI464:AR464">SUM(AI456:AI463)</f>
        <v>93263</v>
      </c>
      <c r="AJ464" s="123">
        <f t="shared" si="317"/>
        <v>83441</v>
      </c>
      <c r="AK464" s="123">
        <f t="shared" si="317"/>
        <v>9763</v>
      </c>
      <c r="AL464" s="123">
        <f t="shared" si="317"/>
        <v>1</v>
      </c>
      <c r="AM464" s="123">
        <f t="shared" si="317"/>
        <v>3</v>
      </c>
      <c r="AN464" s="123">
        <f t="shared" si="317"/>
        <v>55</v>
      </c>
      <c r="AO464" s="123">
        <f t="shared" si="317"/>
        <v>0</v>
      </c>
      <c r="AP464" s="123">
        <f t="shared" si="317"/>
        <v>0</v>
      </c>
      <c r="AQ464" s="123">
        <f t="shared" si="317"/>
        <v>0</v>
      </c>
      <c r="AR464" s="123">
        <f t="shared" si="317"/>
        <v>0</v>
      </c>
    </row>
    <row r="465" spans="1:17" ht="12.75">
      <c r="A465" s="122" t="str">
        <f t="shared" si="316"/>
        <v>920</v>
      </c>
      <c r="B465" s="122" t="str">
        <f aca="true" t="shared" si="318" ref="B465:B471">B443</f>
        <v>SALARIES</v>
      </c>
      <c r="C465" s="145">
        <v>13</v>
      </c>
      <c r="D465" s="148">
        <f>330574+E574+E576</f>
        <v>778344</v>
      </c>
      <c r="E465" s="122"/>
      <c r="F465" s="122"/>
      <c r="G465" s="122"/>
      <c r="H465" s="122"/>
      <c r="I465" s="122"/>
      <c r="J465" s="122"/>
      <c r="K465" s="122"/>
      <c r="M465" s="122"/>
      <c r="N465" s="122"/>
      <c r="O465" s="122"/>
      <c r="P465" s="122"/>
      <c r="Q465" s="122"/>
    </row>
    <row r="466" spans="1:17" ht="12.75">
      <c r="A466" s="122" t="str">
        <f t="shared" si="316"/>
        <v>921</v>
      </c>
      <c r="B466" s="122" t="str">
        <f t="shared" si="318"/>
        <v>OFFICE SUPPLIES &amp; EXPENSES</v>
      </c>
      <c r="C466" s="145">
        <v>13</v>
      </c>
      <c r="D466" s="148">
        <f>240947+E570</f>
        <v>240947</v>
      </c>
      <c r="E466" s="122"/>
      <c r="F466" s="122"/>
      <c r="G466" s="122"/>
      <c r="H466" s="122"/>
      <c r="I466" s="122"/>
      <c r="J466" s="122"/>
      <c r="K466" s="122"/>
      <c r="M466" s="122"/>
      <c r="N466" s="122"/>
      <c r="O466" s="122"/>
      <c r="P466" s="122"/>
      <c r="Q466" s="122"/>
    </row>
    <row r="467" spans="1:17" ht="12.75">
      <c r="A467" s="122" t="str">
        <f t="shared" si="316"/>
        <v>922</v>
      </c>
      <c r="B467" s="122" t="str">
        <f t="shared" si="318"/>
        <v>ADMIN. EXPENSES TRANSFERED</v>
      </c>
      <c r="C467" s="145">
        <v>13</v>
      </c>
      <c r="D467" s="148">
        <v>0</v>
      </c>
      <c r="E467" s="122"/>
      <c r="F467" s="122"/>
      <c r="G467" s="122"/>
      <c r="H467" s="122"/>
      <c r="I467" s="122"/>
      <c r="J467" s="122"/>
      <c r="K467" s="122"/>
      <c r="M467" s="122"/>
      <c r="N467" s="122"/>
      <c r="O467" s="122"/>
      <c r="P467" s="122"/>
      <c r="Q467" s="122"/>
    </row>
    <row r="468" spans="1:17" ht="12.75">
      <c r="A468" s="122" t="str">
        <f t="shared" si="316"/>
        <v>923</v>
      </c>
      <c r="B468" s="122" t="str">
        <f t="shared" si="318"/>
        <v>OUTSIDE SERVICES </v>
      </c>
      <c r="C468" s="145">
        <v>13</v>
      </c>
      <c r="D468" s="148">
        <f>9129743+E582</f>
        <v>10139594</v>
      </c>
      <c r="E468" s="122"/>
      <c r="F468" s="122"/>
      <c r="G468" s="122"/>
      <c r="H468" s="122"/>
      <c r="I468" s="122"/>
      <c r="J468" s="122"/>
      <c r="K468" s="122"/>
      <c r="M468" s="122"/>
      <c r="N468" s="122"/>
      <c r="O468" s="122"/>
      <c r="P468" s="122"/>
      <c r="Q468" s="122"/>
    </row>
    <row r="469" spans="1:44" ht="12.75">
      <c r="A469" s="122" t="str">
        <f t="shared" si="316"/>
        <v>924</v>
      </c>
      <c r="B469" s="122" t="str">
        <f t="shared" si="318"/>
        <v>PROPERTY INSURANCE</v>
      </c>
      <c r="C469" s="145">
        <v>13</v>
      </c>
      <c r="D469" s="148">
        <v>160537</v>
      </c>
      <c r="E469" s="122"/>
      <c r="F469" s="122"/>
      <c r="G469" s="122"/>
      <c r="H469" s="122"/>
      <c r="I469" s="122"/>
      <c r="J469" s="122"/>
      <c r="K469" s="122"/>
      <c r="M469" s="122"/>
      <c r="N469" s="122"/>
      <c r="O469" s="122"/>
      <c r="P469" s="122"/>
      <c r="Q469" s="122"/>
      <c r="AM469" s="124"/>
      <c r="AN469" s="126"/>
      <c r="AO469" s="126"/>
      <c r="AP469" s="126"/>
      <c r="AR469" s="126"/>
    </row>
    <row r="470" spans="1:43" ht="12.75">
      <c r="A470" s="122" t="str">
        <f t="shared" si="316"/>
        <v>925</v>
      </c>
      <c r="B470" s="122" t="str">
        <f t="shared" si="318"/>
        <v>INJURIES AND DAMAGES</v>
      </c>
      <c r="C470" s="145">
        <v>12</v>
      </c>
      <c r="D470" s="148">
        <v>720513</v>
      </c>
      <c r="E470" s="122"/>
      <c r="F470" s="122"/>
      <c r="G470" s="122"/>
      <c r="H470" s="122"/>
      <c r="I470" s="122"/>
      <c r="J470" s="122"/>
      <c r="K470" s="122"/>
      <c r="M470" s="122"/>
      <c r="N470" s="122"/>
      <c r="O470" s="122"/>
      <c r="P470" s="122"/>
      <c r="Q470" s="122"/>
      <c r="AK470" s="125" t="str">
        <f>""&amp;+$B$24</f>
        <v>COLUMBIA GAS OF KENTUCKY, INC.</v>
      </c>
      <c r="AQ470" s="123" t="str">
        <f>$B$25</f>
        <v>D/C STUDY</v>
      </c>
    </row>
    <row r="471" spans="1:43" ht="12.75">
      <c r="A471" s="122" t="str">
        <f t="shared" si="316"/>
        <v>926</v>
      </c>
      <c r="B471" s="122" t="str">
        <f t="shared" si="318"/>
        <v>EMPLOYEE PENSIONS &amp; BENEFITS</v>
      </c>
      <c r="C471" s="145">
        <v>12</v>
      </c>
      <c r="D471" s="148">
        <f>1980872+E578+E584</f>
        <v>2361319</v>
      </c>
      <c r="E471" s="122"/>
      <c r="F471" s="122"/>
      <c r="G471" s="122"/>
      <c r="H471" s="122"/>
      <c r="I471" s="122"/>
      <c r="J471" s="122"/>
      <c r="K471" s="122"/>
      <c r="M471" s="122"/>
      <c r="N471" s="122"/>
      <c r="O471" s="122"/>
      <c r="P471" s="122"/>
      <c r="Q471" s="122"/>
      <c r="AE471" s="123" t="str">
        <f>$B$30</f>
        <v>DEMAND-COMMODITY</v>
      </c>
      <c r="AK471" s="125" t="s">
        <v>356</v>
      </c>
      <c r="AQ471" s="123" t="str">
        <f>"PAGE 16 OF "&amp;FIXED($B$31,0,TRUE)</f>
        <v>PAGE 16 OF 28</v>
      </c>
    </row>
    <row r="472" spans="1:44" ht="12.75">
      <c r="A472" s="145" t="s">
        <v>338</v>
      </c>
      <c r="B472" s="145" t="s">
        <v>357</v>
      </c>
      <c r="D472" s="173">
        <v>0</v>
      </c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AE472" s="128" t="str">
        <f>$B$29</f>
        <v>HISTORIC PERIOD - ORIGINAL FILING</v>
      </c>
      <c r="AF472" s="128"/>
      <c r="AG472" s="128"/>
      <c r="AH472" s="129"/>
      <c r="AI472" s="128"/>
      <c r="AJ472" s="129"/>
      <c r="AK472" s="130" t="str">
        <f>"FORTHETWELVEMONTHSENDED"&amp;$B$27</f>
        <v>FORTHETWELVEMONTHSENDED09/30/2006</v>
      </c>
      <c r="AL472" s="128"/>
      <c r="AM472" s="128"/>
      <c r="AN472" s="128"/>
      <c r="AO472" s="128"/>
      <c r="AP472" s="128"/>
      <c r="AQ472" s="128" t="str">
        <f>"WITNESS: "&amp;$B$28</f>
        <v>WITNESS: R. GIBBONS</v>
      </c>
      <c r="AR472" s="131"/>
    </row>
    <row r="473" spans="1:35" ht="12.75">
      <c r="A473" s="122" t="str">
        <f>A450</f>
        <v>928</v>
      </c>
      <c r="B473" s="122" t="str">
        <f>B450</f>
        <v>REG COMMISSION EXP - GENERAL</v>
      </c>
      <c r="C473" s="145">
        <v>13</v>
      </c>
      <c r="D473" s="148">
        <f>+E572+D550</f>
        <v>85000</v>
      </c>
      <c r="E473" s="122"/>
      <c r="F473" s="122"/>
      <c r="G473" s="122"/>
      <c r="H473" s="122"/>
      <c r="I473" s="122"/>
      <c r="J473" s="122"/>
      <c r="K473" s="122"/>
      <c r="M473" s="122"/>
      <c r="N473" s="122"/>
      <c r="O473" s="122"/>
      <c r="P473" s="122"/>
      <c r="Q473" s="122"/>
      <c r="AE473" s="125" t="s">
        <v>9</v>
      </c>
      <c r="AF473" s="123" t="s">
        <v>10</v>
      </c>
      <c r="AH473" s="125" t="s">
        <v>11</v>
      </c>
      <c r="AI473" s="125" t="s">
        <v>12</v>
      </c>
    </row>
    <row r="474" spans="1:44" ht="12.75">
      <c r="A474" s="145" t="s">
        <v>340</v>
      </c>
      <c r="B474" s="145" t="s">
        <v>358</v>
      </c>
      <c r="C474" s="145"/>
      <c r="D474" s="148"/>
      <c r="E474" s="122"/>
      <c r="F474" s="122"/>
      <c r="G474" s="122"/>
      <c r="H474" s="122"/>
      <c r="I474" s="122"/>
      <c r="J474" s="122"/>
      <c r="K474" s="122"/>
      <c r="M474" s="122"/>
      <c r="N474" s="122"/>
      <c r="O474" s="122"/>
      <c r="P474" s="122"/>
      <c r="Q474" s="122"/>
      <c r="AE474" s="133" t="s">
        <v>13</v>
      </c>
      <c r="AF474" s="133" t="s">
        <v>13</v>
      </c>
      <c r="AG474" s="171" t="str">
        <f>AG5</f>
        <v> ACCOUNT TITLE</v>
      </c>
      <c r="AH474" s="141" t="s">
        <v>14</v>
      </c>
      <c r="AI474" s="133" t="s">
        <v>15</v>
      </c>
      <c r="AJ474" s="133" t="str">
        <f>"  "&amp;+$C$35</f>
        <v>  GS-RES.</v>
      </c>
      <c r="AK474" s="133" t="str">
        <f>$C$36</f>
        <v>GS-OTHER</v>
      </c>
      <c r="AL474" s="133" t="str">
        <f>$C$37</f>
        <v>IUS</v>
      </c>
      <c r="AM474" s="133" t="str">
        <f>$C$38</f>
        <v>DS-ML/SC</v>
      </c>
      <c r="AN474" s="133" t="str">
        <f>$C$39</f>
        <v>DS/IS/SS</v>
      </c>
      <c r="AO474" s="133" t="str">
        <f>$C$40</f>
        <v>NOT USED</v>
      </c>
      <c r="AP474" s="133" t="str">
        <f>$C$41</f>
        <v>NOT USED</v>
      </c>
      <c r="AQ474" s="133" t="str">
        <f>$C$42</f>
        <v>NOT USED</v>
      </c>
      <c r="AR474" s="133" t="str">
        <f>$C$43</f>
        <v>NOT USED</v>
      </c>
    </row>
    <row r="475" spans="1:44" ht="12.75">
      <c r="A475" s="122" t="str">
        <f aca="true" t="shared" si="319" ref="A475:B479">A451</f>
        <v>930.10</v>
      </c>
      <c r="B475" s="122" t="str">
        <f t="shared" si="319"/>
        <v>MISC. - INSTITUT &amp; GOODWILL ADV</v>
      </c>
      <c r="C475" s="145">
        <v>13</v>
      </c>
      <c r="D475" s="148">
        <v>0</v>
      </c>
      <c r="E475" s="122"/>
      <c r="F475" s="122"/>
      <c r="G475" s="122"/>
      <c r="H475" s="122"/>
      <c r="I475" s="122"/>
      <c r="J475" s="122"/>
      <c r="K475" s="122"/>
      <c r="M475" s="122"/>
      <c r="N475" s="122"/>
      <c r="O475" s="122"/>
      <c r="P475" s="122"/>
      <c r="Q475" s="122"/>
      <c r="AF475" s="136" t="s">
        <v>17</v>
      </c>
      <c r="AG475" s="136" t="s">
        <v>18</v>
      </c>
      <c r="AH475" s="125" t="s">
        <v>19</v>
      </c>
      <c r="AI475" s="125" t="s">
        <v>20</v>
      </c>
      <c r="AJ475" s="125" t="s">
        <v>21</v>
      </c>
      <c r="AK475" s="125" t="s">
        <v>22</v>
      </c>
      <c r="AL475" s="125" t="s">
        <v>23</v>
      </c>
      <c r="AM475" s="125" t="s">
        <v>24</v>
      </c>
      <c r="AN475" s="125" t="s">
        <v>25</v>
      </c>
      <c r="AO475" s="125" t="s">
        <v>26</v>
      </c>
      <c r="AP475" s="125" t="s">
        <v>27</v>
      </c>
      <c r="AQ475" s="125" t="s">
        <v>28</v>
      </c>
      <c r="AR475" s="125" t="s">
        <v>29</v>
      </c>
    </row>
    <row r="476" spans="1:44" ht="12.75">
      <c r="A476" s="122" t="str">
        <f t="shared" si="319"/>
        <v>930.20</v>
      </c>
      <c r="B476" s="122" t="str">
        <f t="shared" si="319"/>
        <v>MISC. - GENERAL</v>
      </c>
      <c r="C476" s="145">
        <v>13</v>
      </c>
      <c r="D476" s="148">
        <v>41683</v>
      </c>
      <c r="E476" s="122"/>
      <c r="F476" s="122"/>
      <c r="G476" s="122"/>
      <c r="H476" s="122"/>
      <c r="I476" s="122"/>
      <c r="J476" s="122"/>
      <c r="K476" s="122"/>
      <c r="M476" s="122"/>
      <c r="N476" s="122"/>
      <c r="O476" s="122"/>
      <c r="P476" s="122"/>
      <c r="Q476" s="122"/>
      <c r="AI476" s="125" t="s">
        <v>32</v>
      </c>
      <c r="AJ476" s="125" t="s">
        <v>32</v>
      </c>
      <c r="AK476" s="125" t="s">
        <v>32</v>
      </c>
      <c r="AL476" s="125" t="s">
        <v>32</v>
      </c>
      <c r="AM476" s="125" t="s">
        <v>32</v>
      </c>
      <c r="AN476" s="125" t="s">
        <v>32</v>
      </c>
      <c r="AO476" s="125" t="s">
        <v>32</v>
      </c>
      <c r="AP476" s="125" t="s">
        <v>32</v>
      </c>
      <c r="AQ476" s="125" t="s">
        <v>32</v>
      </c>
      <c r="AR476" s="125" t="s">
        <v>32</v>
      </c>
    </row>
    <row r="477" spans="1:33" ht="12.75">
      <c r="A477" s="122" t="str">
        <f t="shared" si="319"/>
        <v>931</v>
      </c>
      <c r="B477" s="122" t="str">
        <f t="shared" si="319"/>
        <v>RENTS</v>
      </c>
      <c r="C477" s="145">
        <v>13</v>
      </c>
      <c r="D477" s="148">
        <f>-388169+E588</f>
        <v>19042</v>
      </c>
      <c r="E477" s="122"/>
      <c r="F477" s="122"/>
      <c r="G477" s="122"/>
      <c r="H477" s="122"/>
      <c r="I477" s="122"/>
      <c r="J477" s="122"/>
      <c r="K477" s="122"/>
      <c r="M477" s="122"/>
      <c r="N477" s="122"/>
      <c r="O477" s="122"/>
      <c r="P477" s="122"/>
      <c r="Q477" s="122"/>
      <c r="AE477" s="123">
        <v>1</v>
      </c>
      <c r="AF477" s="140"/>
      <c r="AG477" s="123" t="str">
        <f>A371</f>
        <v>SALES</v>
      </c>
    </row>
    <row r="478" spans="1:17" ht="12.75">
      <c r="A478" s="122" t="str">
        <f t="shared" si="319"/>
        <v>935.13</v>
      </c>
      <c r="B478" s="122" t="str">
        <f t="shared" si="319"/>
        <v>MAINT. STRUCTURES &amp; IMPROV.</v>
      </c>
      <c r="C478" s="145">
        <v>13</v>
      </c>
      <c r="D478" s="148">
        <v>225</v>
      </c>
      <c r="E478" s="122"/>
      <c r="F478" s="122"/>
      <c r="G478" s="122"/>
      <c r="H478" s="122"/>
      <c r="I478" s="122"/>
      <c r="J478" s="122"/>
      <c r="K478" s="122"/>
      <c r="M478" s="122"/>
      <c r="N478" s="122"/>
      <c r="O478" s="122"/>
      <c r="P478" s="122"/>
      <c r="Q478" s="122"/>
    </row>
    <row r="479" spans="1:44" ht="12.75">
      <c r="A479" s="122" t="str">
        <f t="shared" si="319"/>
        <v>935.23</v>
      </c>
      <c r="B479" s="122" t="str">
        <f t="shared" si="319"/>
        <v>MAINT. - GEN'L OFFICE </v>
      </c>
      <c r="C479" s="122"/>
      <c r="D479" s="173"/>
      <c r="E479" s="122"/>
      <c r="F479" s="122"/>
      <c r="G479" s="122"/>
      <c r="H479" s="122"/>
      <c r="I479" s="122"/>
      <c r="J479" s="122"/>
      <c r="K479" s="122"/>
      <c r="M479" s="122"/>
      <c r="N479" s="122"/>
      <c r="O479" s="122"/>
      <c r="P479" s="122"/>
      <c r="Q479" s="122"/>
      <c r="AE479" s="123">
        <f>AE477+1</f>
        <v>2</v>
      </c>
      <c r="AF479" s="123" t="str">
        <f aca="true" t="shared" si="320" ref="AF479:AH482">A372</f>
        <v>911</v>
      </c>
      <c r="AG479" s="123" t="str">
        <f t="shared" si="320"/>
        <v>SUPERVISION</v>
      </c>
      <c r="AH479" s="123">
        <f t="shared" si="320"/>
        <v>6</v>
      </c>
      <c r="AI479" s="123">
        <f>ROUND(D372*(1+$D$65),0)</f>
        <v>0</v>
      </c>
      <c r="AJ479" s="123">
        <f>ROUND((VLOOKUP($AH479,$A$661:$Y$709,13)*$AI479),0)</f>
        <v>0</v>
      </c>
      <c r="AK479" s="123">
        <f>ROUND((VLOOKUP($AH479,$A$661:$Y$709,14)*$AI479),0)</f>
        <v>0</v>
      </c>
      <c r="AL479" s="123">
        <f>ROUND((VLOOKUP($AH479,$A$661:$Y$709,15)*$AI479),0)</f>
        <v>0</v>
      </c>
      <c r="AM479" s="123">
        <f>ROUND((VLOOKUP($AH479,$A$661:$Y$709,16)*$AI479),0)</f>
        <v>0</v>
      </c>
      <c r="AN479" s="123">
        <f>ROUND((VLOOKUP($AH479,$A$661:$Y$709,17)*$AI479),0)</f>
        <v>0</v>
      </c>
      <c r="AO479" s="123">
        <f>ROUND((VLOOKUP($AH479,$A$661:$Y$709,18)*$AI479),0)</f>
        <v>0</v>
      </c>
      <c r="AP479" s="123">
        <f>ROUND((VLOOKUP($AH479,$A$661:$Y$709,19)*$AI479),0)</f>
        <v>0</v>
      </c>
      <c r="AQ479" s="123">
        <f>ROUND((VLOOKUP($AH479,$A$661:$Y$709,20)*$AI479),0)</f>
        <v>0</v>
      </c>
      <c r="AR479" s="123">
        <f>ROUND((VLOOKUP($AH479,$A$661:$Y$709,21)*$AI479),0)</f>
        <v>0</v>
      </c>
    </row>
    <row r="480" spans="1:44" ht="12.75">
      <c r="A480" s="122"/>
      <c r="B480" s="122" t="str">
        <f>B456</f>
        <v>FURNITURE &amp; EQUIPMENT</v>
      </c>
      <c r="C480" s="145">
        <v>13</v>
      </c>
      <c r="D480" s="148">
        <v>0</v>
      </c>
      <c r="E480" s="122"/>
      <c r="F480" s="122"/>
      <c r="G480" s="122"/>
      <c r="H480" s="122"/>
      <c r="I480" s="122"/>
      <c r="J480" s="122"/>
      <c r="K480" s="122"/>
      <c r="M480" s="122"/>
      <c r="N480" s="122"/>
      <c r="O480" s="122"/>
      <c r="P480" s="122"/>
      <c r="Q480" s="122"/>
      <c r="AE480" s="123">
        <f>AE479+1</f>
        <v>3</v>
      </c>
      <c r="AF480" s="123" t="str">
        <f t="shared" si="320"/>
        <v>912</v>
      </c>
      <c r="AG480" s="123" t="str">
        <f t="shared" si="320"/>
        <v>DEMONSTRATION &amp; SELLING</v>
      </c>
      <c r="AH480" s="123">
        <f t="shared" si="320"/>
        <v>6</v>
      </c>
      <c r="AI480" s="123">
        <f>ROUND(D373*(1+$D$65),0)</f>
        <v>0</v>
      </c>
      <c r="AJ480" s="123">
        <f>ROUND((VLOOKUP($AH480,$A$661:$Y$709,13)*$AI480),0)</f>
        <v>0</v>
      </c>
      <c r="AK480" s="123">
        <f>ROUND((VLOOKUP($AH480,$A$661:$Y$709,14)*$AI480),0)</f>
        <v>0</v>
      </c>
      <c r="AL480" s="123">
        <f>ROUND((VLOOKUP($AH480,$A$661:$Y$709,15)*$AI480),0)</f>
        <v>0</v>
      </c>
      <c r="AM480" s="123">
        <f>ROUND((VLOOKUP($AH480,$A$661:$Y$709,16)*$AI480),0)</f>
        <v>0</v>
      </c>
      <c r="AN480" s="123">
        <f>ROUND((VLOOKUP($AH480,$A$661:$Y$709,17)*$AI480),0)</f>
        <v>0</v>
      </c>
      <c r="AO480" s="123">
        <f>ROUND((VLOOKUP($AH480,$A$661:$Y$709,18)*$AI480),0)</f>
        <v>0</v>
      </c>
      <c r="AP480" s="123">
        <f>ROUND((VLOOKUP($AH480,$A$661:$Y$709,19)*$AI480),0)</f>
        <v>0</v>
      </c>
      <c r="AQ480" s="123">
        <f>ROUND((VLOOKUP($AH480,$A$661:$Y$709,20)*$AI480),0)</f>
        <v>0</v>
      </c>
      <c r="AR480" s="123">
        <f>ROUND((VLOOKUP($AH480,$A$661:$Y$709,21)*$AI480),0)</f>
        <v>0</v>
      </c>
    </row>
    <row r="481" spans="1:44" ht="12.75">
      <c r="A481" s="122" t="str">
        <f>A457</f>
        <v>935.24</v>
      </c>
      <c r="B481" s="122" t="str">
        <f>B457</f>
        <v>MAINT.-MISCELLANEOUS</v>
      </c>
      <c r="C481" s="145">
        <v>13</v>
      </c>
      <c r="D481" s="148">
        <v>0</v>
      </c>
      <c r="F481" s="122"/>
      <c r="G481" s="122"/>
      <c r="H481" s="122"/>
      <c r="I481" s="122"/>
      <c r="J481" s="122"/>
      <c r="K481" s="122"/>
      <c r="M481" s="122"/>
      <c r="N481" s="122"/>
      <c r="O481" s="122"/>
      <c r="P481" s="122"/>
      <c r="Q481" s="122"/>
      <c r="AE481" s="123">
        <f>AE480+1</f>
        <v>4</v>
      </c>
      <c r="AF481" s="123" t="str">
        <f t="shared" si="320"/>
        <v>913</v>
      </c>
      <c r="AG481" s="123" t="str">
        <f t="shared" si="320"/>
        <v>ADVERTISING</v>
      </c>
      <c r="AH481" s="123">
        <f t="shared" si="320"/>
        <v>6</v>
      </c>
      <c r="AI481" s="123">
        <f>ROUND(D374*(1+$D$65),0)</f>
        <v>0</v>
      </c>
      <c r="AJ481" s="123">
        <f>ROUND((VLOOKUP($AH481,$A$661:$Y$709,13)*$AI481),0)</f>
        <v>0</v>
      </c>
      <c r="AK481" s="123">
        <f>ROUND((VLOOKUP($AH481,$A$661:$Y$709,14)*$AI481),0)</f>
        <v>0</v>
      </c>
      <c r="AL481" s="123">
        <f>ROUND((VLOOKUP($AH481,$A$661:$Y$709,15)*$AI481),0)</f>
        <v>0</v>
      </c>
      <c r="AM481" s="123">
        <f>ROUND((VLOOKUP($AH481,$A$661:$Y$709,16)*$AI481),0)</f>
        <v>0</v>
      </c>
      <c r="AN481" s="123">
        <f>ROUND((VLOOKUP($AH481,$A$661:$Y$709,17)*$AI481),0)</f>
        <v>0</v>
      </c>
      <c r="AO481" s="123">
        <f>ROUND((VLOOKUP($AH481,$A$661:$Y$709,18)*$AI481),0)</f>
        <v>0</v>
      </c>
      <c r="AP481" s="123">
        <f>ROUND((VLOOKUP($AH481,$A$661:$Y$709,19)*$AI481),0)</f>
        <v>0</v>
      </c>
      <c r="AQ481" s="123">
        <f>ROUND((VLOOKUP($AH481,$A$661:$Y$709,20)*$AI481),0)</f>
        <v>0</v>
      </c>
      <c r="AR481" s="123">
        <f>ROUND((VLOOKUP($AH481,$A$661:$Y$709,21)*$AI481),0)</f>
        <v>0</v>
      </c>
    </row>
    <row r="482" spans="1:44" ht="12.75">
      <c r="A482" s="122"/>
      <c r="B482" s="122" t="s">
        <v>12</v>
      </c>
      <c r="C482" s="122"/>
      <c r="D482" s="122">
        <f>SUM(D465:D481)</f>
        <v>14547204</v>
      </c>
      <c r="E482" s="122">
        <f>SUM(D465:D481)</f>
        <v>14547204</v>
      </c>
      <c r="F482" s="122"/>
      <c r="G482" s="122"/>
      <c r="H482" s="122"/>
      <c r="I482" s="122"/>
      <c r="J482" s="122"/>
      <c r="K482" s="122"/>
      <c r="M482" s="122"/>
      <c r="N482" s="122"/>
      <c r="O482" s="122"/>
      <c r="P482" s="122"/>
      <c r="Q482" s="122"/>
      <c r="AE482" s="123">
        <f>AE481+1</f>
        <v>5</v>
      </c>
      <c r="AF482" s="123" t="str">
        <f t="shared" si="320"/>
        <v>916</v>
      </c>
      <c r="AG482" s="123" t="str">
        <f t="shared" si="320"/>
        <v>MISC.</v>
      </c>
      <c r="AH482" s="123">
        <f t="shared" si="320"/>
        <v>6</v>
      </c>
      <c r="AI482" s="141">
        <f>ROUND(D375*(1+$D$65),0)</f>
        <v>0</v>
      </c>
      <c r="AJ482" s="141">
        <f>ROUND((VLOOKUP($AH482,$A$661:$Y$709,13)*$AI482),0)</f>
        <v>0</v>
      </c>
      <c r="AK482" s="141">
        <f>ROUND((VLOOKUP($AH482,$A$661:$Y$709,14)*$AI482),0)</f>
        <v>0</v>
      </c>
      <c r="AL482" s="141">
        <f>ROUND((VLOOKUP($AH482,$A$661:$Y$709,15)*$AI482),0)</f>
        <v>0</v>
      </c>
      <c r="AM482" s="141">
        <f>ROUND((VLOOKUP($AH482,$A$661:$Y$709,16)*$AI482),0)</f>
        <v>0</v>
      </c>
      <c r="AN482" s="141">
        <f>ROUND((VLOOKUP($AH482,$A$661:$Y$709,17)*$AI482),0)</f>
        <v>0</v>
      </c>
      <c r="AO482" s="141">
        <f>ROUND((VLOOKUP($AH482,$A$661:$Y$709,18)*$AI482),0)</f>
        <v>0</v>
      </c>
      <c r="AP482" s="141">
        <f>ROUND((VLOOKUP($AH482,$A$661:$Y$709,19)*$AI482),0)</f>
        <v>0</v>
      </c>
      <c r="AQ482" s="141">
        <f>ROUND((VLOOKUP($AH482,$A$661:$Y$709,20)*$AI482),0)</f>
        <v>0</v>
      </c>
      <c r="AR482" s="141">
        <f>ROUND((VLOOKUP($AH482,$A$661:$Y$709,21)*$AI482),0)</f>
        <v>0</v>
      </c>
    </row>
    <row r="483" spans="1:44" ht="12.75">
      <c r="A483" s="144" t="s">
        <v>0</v>
      </c>
      <c r="B483" s="144" t="s">
        <v>0</v>
      </c>
      <c r="C483" s="144" t="s">
        <v>0</v>
      </c>
      <c r="D483" s="144" t="s">
        <v>0</v>
      </c>
      <c r="E483" s="122"/>
      <c r="F483" s="122"/>
      <c r="G483" s="122"/>
      <c r="H483" s="122"/>
      <c r="I483" s="122"/>
      <c r="J483" s="122"/>
      <c r="K483" s="122"/>
      <c r="M483" s="122"/>
      <c r="N483" s="122"/>
      <c r="O483" s="122"/>
      <c r="P483" s="122"/>
      <c r="Q483" s="122"/>
      <c r="AE483" s="123">
        <f>AE482+1</f>
        <v>6</v>
      </c>
      <c r="AG483" s="123" t="s">
        <v>359</v>
      </c>
      <c r="AI483" s="141">
        <f aca="true" t="shared" si="321" ref="AI483:AR483">SUM(AI479:AI482)</f>
        <v>0</v>
      </c>
      <c r="AJ483" s="141">
        <f t="shared" si="321"/>
        <v>0</v>
      </c>
      <c r="AK483" s="141">
        <f t="shared" si="321"/>
        <v>0</v>
      </c>
      <c r="AL483" s="141">
        <f t="shared" si="321"/>
        <v>0</v>
      </c>
      <c r="AM483" s="141">
        <f t="shared" si="321"/>
        <v>0</v>
      </c>
      <c r="AN483" s="141">
        <f t="shared" si="321"/>
        <v>0</v>
      </c>
      <c r="AO483" s="141">
        <f t="shared" si="321"/>
        <v>0</v>
      </c>
      <c r="AP483" s="141">
        <f t="shared" si="321"/>
        <v>0</v>
      </c>
      <c r="AQ483" s="141">
        <f t="shared" si="321"/>
        <v>0</v>
      </c>
      <c r="AR483" s="141">
        <f t="shared" si="321"/>
        <v>0</v>
      </c>
    </row>
    <row r="484" spans="1:17" ht="12.75">
      <c r="A484" s="122" t="s">
        <v>360</v>
      </c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M484" s="122"/>
      <c r="N484" s="122"/>
      <c r="O484" s="122"/>
      <c r="P484" s="122"/>
      <c r="Q484" s="122"/>
    </row>
    <row r="485" spans="1:44" ht="12.75">
      <c r="A485" s="144" t="s">
        <v>0</v>
      </c>
      <c r="B485" s="144" t="s">
        <v>0</v>
      </c>
      <c r="C485" s="144" t="s">
        <v>0</v>
      </c>
      <c r="D485" s="144" t="s">
        <v>0</v>
      </c>
      <c r="E485" s="122"/>
      <c r="F485" s="122"/>
      <c r="G485" s="122"/>
      <c r="H485" s="122"/>
      <c r="I485" s="122"/>
      <c r="J485" s="122"/>
      <c r="K485" s="122"/>
      <c r="M485" s="122"/>
      <c r="N485" s="122"/>
      <c r="O485" s="122"/>
      <c r="P485" s="122"/>
      <c r="Q485" s="122"/>
      <c r="AE485" s="123">
        <f>AE483+1</f>
        <v>7</v>
      </c>
      <c r="AG485" s="123" t="s">
        <v>361</v>
      </c>
      <c r="AI485" s="123">
        <f aca="true" t="shared" si="322" ref="AI485:AR485">AI419+AI431+AI452+AI464+AI483</f>
        <v>5838074</v>
      </c>
      <c r="AJ485" s="123">
        <f t="shared" si="322"/>
        <v>3729068</v>
      </c>
      <c r="AK485" s="123">
        <f t="shared" si="322"/>
        <v>1457993</v>
      </c>
      <c r="AL485" s="123">
        <f t="shared" si="322"/>
        <v>2557</v>
      </c>
      <c r="AM485" s="123">
        <f t="shared" si="322"/>
        <v>4926</v>
      </c>
      <c r="AN485" s="123">
        <f t="shared" si="322"/>
        <v>643528</v>
      </c>
      <c r="AO485" s="123">
        <f t="shared" si="322"/>
        <v>0</v>
      </c>
      <c r="AP485" s="123">
        <f t="shared" si="322"/>
        <v>0</v>
      </c>
      <c r="AQ485" s="123">
        <f t="shared" si="322"/>
        <v>0</v>
      </c>
      <c r="AR485" s="123">
        <f t="shared" si="322"/>
        <v>0</v>
      </c>
    </row>
    <row r="486" spans="1:17" ht="12.75">
      <c r="A486" s="122"/>
      <c r="B486" s="122"/>
      <c r="C486" s="156" t="s">
        <v>120</v>
      </c>
      <c r="D486" s="156" t="s">
        <v>12</v>
      </c>
      <c r="E486" s="122"/>
      <c r="F486" s="122"/>
      <c r="G486" s="122"/>
      <c r="H486" s="122"/>
      <c r="I486" s="122"/>
      <c r="J486" s="122"/>
      <c r="K486" s="122"/>
      <c r="M486" s="122"/>
      <c r="N486" s="122"/>
      <c r="O486" s="122"/>
      <c r="P486" s="122"/>
      <c r="Q486" s="122"/>
    </row>
    <row r="487" spans="1:33" ht="12.75">
      <c r="A487" s="122"/>
      <c r="B487" s="122"/>
      <c r="C487" s="156" t="s">
        <v>14</v>
      </c>
      <c r="D487" s="156" t="s">
        <v>15</v>
      </c>
      <c r="E487" s="122"/>
      <c r="F487" s="122"/>
      <c r="G487" s="122"/>
      <c r="H487" s="122"/>
      <c r="I487" s="122"/>
      <c r="J487" s="122"/>
      <c r="K487" s="122"/>
      <c r="M487" s="122"/>
      <c r="N487" s="122"/>
      <c r="O487" s="122"/>
      <c r="P487" s="122"/>
      <c r="Q487" s="122"/>
      <c r="AE487" s="123">
        <f>AE485+1</f>
        <v>8</v>
      </c>
      <c r="AG487" s="123" t="str">
        <f>A442</f>
        <v>ADMINISTRATIVE &amp; GENERAL</v>
      </c>
    </row>
    <row r="488" spans="1:17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M488" s="122"/>
      <c r="N488" s="122"/>
      <c r="O488" s="122"/>
      <c r="P488" s="122"/>
      <c r="Q488" s="122"/>
    </row>
    <row r="489" spans="1:44" ht="12.75">
      <c r="A489" s="149">
        <v>408</v>
      </c>
      <c r="B489" s="145" t="s">
        <v>781</v>
      </c>
      <c r="C489" s="145">
        <v>7</v>
      </c>
      <c r="D489" s="148">
        <f>1679516+E586</f>
        <v>1791018</v>
      </c>
      <c r="E489" s="122"/>
      <c r="F489" s="122"/>
      <c r="G489" s="122"/>
      <c r="H489" s="122"/>
      <c r="I489" s="122"/>
      <c r="J489" s="122"/>
      <c r="K489" s="122"/>
      <c r="M489" s="122"/>
      <c r="N489" s="122"/>
      <c r="O489" s="122"/>
      <c r="P489" s="122"/>
      <c r="Q489" s="122"/>
      <c r="AE489" s="123">
        <f>AE487+1</f>
        <v>9</v>
      </c>
      <c r="AF489" s="123" t="str">
        <f aca="true" t="shared" si="323" ref="AF489:AF500">A443</f>
        <v>920</v>
      </c>
      <c r="AG489" s="123" t="str">
        <f aca="true" t="shared" si="324" ref="AG489:AG500">B443</f>
        <v>SALARIES</v>
      </c>
      <c r="AH489" s="123">
        <f aca="true" t="shared" si="325" ref="AH489:AH500">C443</f>
        <v>12</v>
      </c>
      <c r="AI489" s="123">
        <f aca="true" t="shared" si="326" ref="AI489:AI500">ROUND(D443*(1+$D$65),0)</f>
        <v>0</v>
      </c>
      <c r="AJ489" s="123">
        <f aca="true" t="shared" si="327" ref="AJ489:AJ500">ROUND((VLOOKUP($AH489,$A$661:$Y$709,13)*$AI489),0)</f>
        <v>0</v>
      </c>
      <c r="AK489" s="123">
        <f aca="true" t="shared" si="328" ref="AK489:AK500">ROUND((VLOOKUP($AH489,$A$661:$Y$709,14)*$AI489),0)</f>
        <v>0</v>
      </c>
      <c r="AL489" s="123">
        <f aca="true" t="shared" si="329" ref="AL489:AL500">ROUND((VLOOKUP($AH489,$A$661:$Y$709,15)*$AI489),0)</f>
        <v>0</v>
      </c>
      <c r="AM489" s="123">
        <f aca="true" t="shared" si="330" ref="AM489:AM500">ROUND((VLOOKUP($AH489,$A$661:$Y$709,16)*$AI489),0)</f>
        <v>0</v>
      </c>
      <c r="AN489" s="123">
        <f aca="true" t="shared" si="331" ref="AN489:AN500">ROUND((VLOOKUP($AH489,$A$661:$Y$709,17)*$AI489),0)</f>
        <v>0</v>
      </c>
      <c r="AO489" s="123">
        <f aca="true" t="shared" si="332" ref="AO489:AO500">ROUND((VLOOKUP($AH489,$A$661:$Y$709,18)*$AI489),0)</f>
        <v>0</v>
      </c>
      <c r="AP489" s="123">
        <f aca="true" t="shared" si="333" ref="AP489:AP500">ROUND((VLOOKUP($AH489,$A$661:$Y$709,19)*$AI489),0)</f>
        <v>0</v>
      </c>
      <c r="AQ489" s="123">
        <f aca="true" t="shared" si="334" ref="AQ489:AQ500">ROUND((VLOOKUP($AH489,$A$661:$Y$709,20)*$AI489),0)</f>
        <v>0</v>
      </c>
      <c r="AR489" s="123">
        <f aca="true" t="shared" si="335" ref="AR489:AR500">ROUND((VLOOKUP($AH489,$A$661:$Y$709,21)*$AI489),0)</f>
        <v>0</v>
      </c>
    </row>
    <row r="490" spans="1:44" ht="12.75">
      <c r="A490" s="149">
        <v>408</v>
      </c>
      <c r="B490" s="145" t="s">
        <v>362</v>
      </c>
      <c r="C490" s="123">
        <v>12</v>
      </c>
      <c r="D490" s="173">
        <f>508868+E590</f>
        <v>530759</v>
      </c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AE490" s="123">
        <f aca="true" t="shared" si="336" ref="AE490:AE501">AE489+1</f>
        <v>10</v>
      </c>
      <c r="AF490" s="123" t="str">
        <f t="shared" si="323"/>
        <v>921</v>
      </c>
      <c r="AG490" s="123" t="str">
        <f t="shared" si="324"/>
        <v>OFFICE SUPPLIES &amp; EXPENSES</v>
      </c>
      <c r="AH490" s="123">
        <f t="shared" si="325"/>
        <v>12</v>
      </c>
      <c r="AI490" s="123">
        <f t="shared" si="326"/>
        <v>0</v>
      </c>
      <c r="AJ490" s="123">
        <f t="shared" si="327"/>
        <v>0</v>
      </c>
      <c r="AK490" s="123">
        <f t="shared" si="328"/>
        <v>0</v>
      </c>
      <c r="AL490" s="123">
        <f t="shared" si="329"/>
        <v>0</v>
      </c>
      <c r="AM490" s="123">
        <f t="shared" si="330"/>
        <v>0</v>
      </c>
      <c r="AN490" s="123">
        <f t="shared" si="331"/>
        <v>0</v>
      </c>
      <c r="AO490" s="123">
        <f t="shared" si="332"/>
        <v>0</v>
      </c>
      <c r="AP490" s="123">
        <f t="shared" si="333"/>
        <v>0</v>
      </c>
      <c r="AQ490" s="123">
        <f t="shared" si="334"/>
        <v>0</v>
      </c>
      <c r="AR490" s="123">
        <f t="shared" si="335"/>
        <v>0</v>
      </c>
    </row>
    <row r="491" spans="1:44" ht="12.75">
      <c r="A491" s="149">
        <v>408</v>
      </c>
      <c r="B491" s="145" t="s">
        <v>782</v>
      </c>
      <c r="C491" s="145">
        <v>12</v>
      </c>
      <c r="D491" s="148">
        <v>3083</v>
      </c>
      <c r="E491" s="122">
        <f>SUM(D489:D491)</f>
        <v>2324860</v>
      </c>
      <c r="F491" s="122"/>
      <c r="G491" s="122"/>
      <c r="H491" s="122"/>
      <c r="I491" s="122"/>
      <c r="J491" s="122"/>
      <c r="K491" s="122"/>
      <c r="M491" s="122"/>
      <c r="N491" s="122"/>
      <c r="O491" s="122"/>
      <c r="P491" s="122"/>
      <c r="Q491" s="122"/>
      <c r="AE491" s="123">
        <f t="shared" si="336"/>
        <v>11</v>
      </c>
      <c r="AF491" s="123" t="str">
        <f t="shared" si="323"/>
        <v>922</v>
      </c>
      <c r="AG491" s="123" t="str">
        <f t="shared" si="324"/>
        <v>ADMIN. EXPENSES TRANSFERED</v>
      </c>
      <c r="AH491" s="123">
        <f t="shared" si="325"/>
        <v>12</v>
      </c>
      <c r="AI491" s="123">
        <f t="shared" si="326"/>
        <v>0</v>
      </c>
      <c r="AJ491" s="123">
        <f t="shared" si="327"/>
        <v>0</v>
      </c>
      <c r="AK491" s="123">
        <f t="shared" si="328"/>
        <v>0</v>
      </c>
      <c r="AL491" s="123">
        <f t="shared" si="329"/>
        <v>0</v>
      </c>
      <c r="AM491" s="123">
        <f t="shared" si="330"/>
        <v>0</v>
      </c>
      <c r="AN491" s="123">
        <f t="shared" si="331"/>
        <v>0</v>
      </c>
      <c r="AO491" s="123">
        <f t="shared" si="332"/>
        <v>0</v>
      </c>
      <c r="AP491" s="123">
        <f t="shared" si="333"/>
        <v>0</v>
      </c>
      <c r="AQ491" s="123">
        <f t="shared" si="334"/>
        <v>0</v>
      </c>
      <c r="AR491" s="123">
        <f t="shared" si="335"/>
        <v>0</v>
      </c>
    </row>
    <row r="492" spans="1:44" ht="12.75">
      <c r="A492" s="149"/>
      <c r="B492" s="145"/>
      <c r="D492" s="122"/>
      <c r="E492" s="145"/>
      <c r="F492" s="145"/>
      <c r="G492" s="145"/>
      <c r="H492" s="145"/>
      <c r="I492" s="145"/>
      <c r="J492" s="145"/>
      <c r="K492" s="145"/>
      <c r="M492" s="145"/>
      <c r="N492" s="122"/>
      <c r="O492" s="122"/>
      <c r="P492" s="122"/>
      <c r="Q492" s="122"/>
      <c r="AE492" s="123">
        <f t="shared" si="336"/>
        <v>12</v>
      </c>
      <c r="AF492" s="123" t="str">
        <f t="shared" si="323"/>
        <v>923</v>
      </c>
      <c r="AG492" s="123" t="str">
        <f t="shared" si="324"/>
        <v>OUTSIDE SERVICES </v>
      </c>
      <c r="AH492" s="123">
        <f t="shared" si="325"/>
        <v>12</v>
      </c>
      <c r="AI492" s="123">
        <f t="shared" si="326"/>
        <v>0</v>
      </c>
      <c r="AJ492" s="123">
        <f t="shared" si="327"/>
        <v>0</v>
      </c>
      <c r="AK492" s="123">
        <f t="shared" si="328"/>
        <v>0</v>
      </c>
      <c r="AL492" s="123">
        <f t="shared" si="329"/>
        <v>0</v>
      </c>
      <c r="AM492" s="123">
        <f t="shared" si="330"/>
        <v>0</v>
      </c>
      <c r="AN492" s="123">
        <f t="shared" si="331"/>
        <v>0</v>
      </c>
      <c r="AO492" s="123">
        <f t="shared" si="332"/>
        <v>0</v>
      </c>
      <c r="AP492" s="123">
        <f t="shared" si="333"/>
        <v>0</v>
      </c>
      <c r="AQ492" s="123">
        <f t="shared" si="334"/>
        <v>0</v>
      </c>
      <c r="AR492" s="123">
        <f t="shared" si="335"/>
        <v>0</v>
      </c>
    </row>
    <row r="493" spans="5:44" ht="12.75">
      <c r="E493" s="122"/>
      <c r="F493" s="122"/>
      <c r="G493" s="122"/>
      <c r="H493" s="122"/>
      <c r="I493" s="122"/>
      <c r="J493" s="122"/>
      <c r="K493" s="122"/>
      <c r="M493" s="122"/>
      <c r="N493" s="122"/>
      <c r="O493" s="122"/>
      <c r="P493" s="122"/>
      <c r="Q493" s="122"/>
      <c r="AE493" s="123">
        <f t="shared" si="336"/>
        <v>13</v>
      </c>
      <c r="AF493" s="123" t="str">
        <f t="shared" si="323"/>
        <v>924</v>
      </c>
      <c r="AG493" s="123" t="str">
        <f t="shared" si="324"/>
        <v>PROPERTY INSURANCE</v>
      </c>
      <c r="AH493" s="123">
        <f t="shared" si="325"/>
        <v>12</v>
      </c>
      <c r="AI493" s="123">
        <f t="shared" si="326"/>
        <v>0</v>
      </c>
      <c r="AJ493" s="123">
        <f t="shared" si="327"/>
        <v>0</v>
      </c>
      <c r="AK493" s="123">
        <f t="shared" si="328"/>
        <v>0</v>
      </c>
      <c r="AL493" s="123">
        <f t="shared" si="329"/>
        <v>0</v>
      </c>
      <c r="AM493" s="123">
        <f t="shared" si="330"/>
        <v>0</v>
      </c>
      <c r="AN493" s="123">
        <f t="shared" si="331"/>
        <v>0</v>
      </c>
      <c r="AO493" s="123">
        <f t="shared" si="332"/>
        <v>0</v>
      </c>
      <c r="AP493" s="123">
        <f t="shared" si="333"/>
        <v>0</v>
      </c>
      <c r="AQ493" s="123">
        <f t="shared" si="334"/>
        <v>0</v>
      </c>
      <c r="AR493" s="123">
        <f t="shared" si="335"/>
        <v>0</v>
      </c>
    </row>
    <row r="494" spans="1:44" ht="12.75">
      <c r="A494" s="149"/>
      <c r="B494" s="145"/>
      <c r="C494" s="145"/>
      <c r="D494" s="145"/>
      <c r="E494" s="122">
        <f>+E482+E432+E377</f>
        <v>27462703</v>
      </c>
      <c r="F494" s="122"/>
      <c r="G494" s="122"/>
      <c r="H494" s="122"/>
      <c r="I494" s="122"/>
      <c r="J494" s="122"/>
      <c r="K494" s="122"/>
      <c r="M494" s="122"/>
      <c r="N494" s="122"/>
      <c r="O494" s="122"/>
      <c r="P494" s="122"/>
      <c r="Q494" s="122"/>
      <c r="AE494" s="123">
        <f t="shared" si="336"/>
        <v>14</v>
      </c>
      <c r="AF494" s="123" t="str">
        <f t="shared" si="323"/>
        <v>925</v>
      </c>
      <c r="AG494" s="123" t="str">
        <f t="shared" si="324"/>
        <v>INJURIES AND DAMAGES</v>
      </c>
      <c r="AH494" s="123">
        <f t="shared" si="325"/>
        <v>12</v>
      </c>
      <c r="AI494" s="123">
        <f t="shared" si="326"/>
        <v>0</v>
      </c>
      <c r="AJ494" s="123">
        <f t="shared" si="327"/>
        <v>0</v>
      </c>
      <c r="AK494" s="123">
        <f t="shared" si="328"/>
        <v>0</v>
      </c>
      <c r="AL494" s="123">
        <f t="shared" si="329"/>
        <v>0</v>
      </c>
      <c r="AM494" s="123">
        <f t="shared" si="330"/>
        <v>0</v>
      </c>
      <c r="AN494" s="123">
        <f t="shared" si="331"/>
        <v>0</v>
      </c>
      <c r="AO494" s="123">
        <f t="shared" si="332"/>
        <v>0</v>
      </c>
      <c r="AP494" s="123">
        <f t="shared" si="333"/>
        <v>0</v>
      </c>
      <c r="AQ494" s="123">
        <f t="shared" si="334"/>
        <v>0</v>
      </c>
      <c r="AR494" s="123">
        <f t="shared" si="335"/>
        <v>0</v>
      </c>
    </row>
    <row r="495" spans="1:44" ht="12.75">
      <c r="A495" s="149"/>
      <c r="B495" s="145"/>
      <c r="C495" s="145"/>
      <c r="D495" s="145"/>
      <c r="E495" s="122"/>
      <c r="F495" s="122"/>
      <c r="G495" s="122"/>
      <c r="H495" s="122"/>
      <c r="I495" s="122"/>
      <c r="J495" s="122"/>
      <c r="K495" s="122"/>
      <c r="M495" s="122"/>
      <c r="N495" s="122"/>
      <c r="O495" s="122"/>
      <c r="P495" s="122"/>
      <c r="Q495" s="122"/>
      <c r="AE495" s="123">
        <f t="shared" si="336"/>
        <v>15</v>
      </c>
      <c r="AF495" s="123" t="str">
        <f t="shared" si="323"/>
        <v>926</v>
      </c>
      <c r="AG495" s="123" t="str">
        <f t="shared" si="324"/>
        <v>EMPLOYEE PENSIONS &amp; BENEFITS</v>
      </c>
      <c r="AH495" s="123">
        <f t="shared" si="325"/>
        <v>12</v>
      </c>
      <c r="AI495" s="123">
        <f t="shared" si="326"/>
        <v>0</v>
      </c>
      <c r="AJ495" s="123">
        <f t="shared" si="327"/>
        <v>0</v>
      </c>
      <c r="AK495" s="123">
        <f t="shared" si="328"/>
        <v>0</v>
      </c>
      <c r="AL495" s="123">
        <f t="shared" si="329"/>
        <v>0</v>
      </c>
      <c r="AM495" s="123">
        <f t="shared" si="330"/>
        <v>0</v>
      </c>
      <c r="AN495" s="123">
        <f t="shared" si="331"/>
        <v>0</v>
      </c>
      <c r="AO495" s="123">
        <f t="shared" si="332"/>
        <v>0</v>
      </c>
      <c r="AP495" s="123">
        <f t="shared" si="333"/>
        <v>0</v>
      </c>
      <c r="AQ495" s="123">
        <f t="shared" si="334"/>
        <v>0</v>
      </c>
      <c r="AR495" s="123">
        <f t="shared" si="335"/>
        <v>0</v>
      </c>
    </row>
    <row r="496" spans="1:44" ht="12.75">
      <c r="A496" s="149"/>
      <c r="B496" s="145"/>
      <c r="D496" s="122"/>
      <c r="E496" s="145"/>
      <c r="F496" s="145"/>
      <c r="G496" s="145"/>
      <c r="H496" s="145"/>
      <c r="I496" s="145"/>
      <c r="J496" s="145"/>
      <c r="K496" s="145"/>
      <c r="M496" s="145"/>
      <c r="N496" s="122"/>
      <c r="O496" s="122"/>
      <c r="P496" s="122"/>
      <c r="Q496" s="122"/>
      <c r="AE496" s="123">
        <f t="shared" si="336"/>
        <v>16</v>
      </c>
      <c r="AF496" s="123" t="str">
        <f t="shared" si="323"/>
        <v>928</v>
      </c>
      <c r="AG496" s="123" t="str">
        <f t="shared" si="324"/>
        <v>REG COMMISSION EXP - GENERAL</v>
      </c>
      <c r="AH496" s="123">
        <f t="shared" si="325"/>
        <v>12</v>
      </c>
      <c r="AI496" s="123">
        <f t="shared" si="326"/>
        <v>0</v>
      </c>
      <c r="AJ496" s="123">
        <f t="shared" si="327"/>
        <v>0</v>
      </c>
      <c r="AK496" s="123">
        <f t="shared" si="328"/>
        <v>0</v>
      </c>
      <c r="AL496" s="123">
        <f t="shared" si="329"/>
        <v>0</v>
      </c>
      <c r="AM496" s="123">
        <f t="shared" si="330"/>
        <v>0</v>
      </c>
      <c r="AN496" s="123">
        <f t="shared" si="331"/>
        <v>0</v>
      </c>
      <c r="AO496" s="123">
        <f t="shared" si="332"/>
        <v>0</v>
      </c>
      <c r="AP496" s="123">
        <f t="shared" si="333"/>
        <v>0</v>
      </c>
      <c r="AQ496" s="123">
        <f t="shared" si="334"/>
        <v>0</v>
      </c>
      <c r="AR496" s="123">
        <f t="shared" si="335"/>
        <v>0</v>
      </c>
    </row>
    <row r="497" spans="1:44" ht="12.75">
      <c r="A497" s="149"/>
      <c r="B497" s="145"/>
      <c r="C497" s="145"/>
      <c r="D497" s="145"/>
      <c r="E497" s="122"/>
      <c r="F497" s="122"/>
      <c r="G497" s="122"/>
      <c r="H497" s="122"/>
      <c r="I497" s="122"/>
      <c r="J497" s="122"/>
      <c r="K497" s="122"/>
      <c r="M497" s="122"/>
      <c r="N497" s="122"/>
      <c r="O497" s="122"/>
      <c r="P497" s="122"/>
      <c r="Q497" s="122"/>
      <c r="AE497" s="123">
        <f t="shared" si="336"/>
        <v>17</v>
      </c>
      <c r="AF497" s="123" t="str">
        <f t="shared" si="323"/>
        <v>930.10</v>
      </c>
      <c r="AG497" s="123" t="str">
        <f t="shared" si="324"/>
        <v>MISC. - INSTITUT &amp; GOODWILL ADV</v>
      </c>
      <c r="AH497" s="123">
        <f t="shared" si="325"/>
        <v>12</v>
      </c>
      <c r="AI497" s="123">
        <f t="shared" si="326"/>
        <v>0</v>
      </c>
      <c r="AJ497" s="123">
        <f t="shared" si="327"/>
        <v>0</v>
      </c>
      <c r="AK497" s="123">
        <f t="shared" si="328"/>
        <v>0</v>
      </c>
      <c r="AL497" s="123">
        <f t="shared" si="329"/>
        <v>0</v>
      </c>
      <c r="AM497" s="123">
        <f t="shared" si="330"/>
        <v>0</v>
      </c>
      <c r="AN497" s="123">
        <f t="shared" si="331"/>
        <v>0</v>
      </c>
      <c r="AO497" s="123">
        <f t="shared" si="332"/>
        <v>0</v>
      </c>
      <c r="AP497" s="123">
        <f t="shared" si="333"/>
        <v>0</v>
      </c>
      <c r="AQ497" s="123">
        <f t="shared" si="334"/>
        <v>0</v>
      </c>
      <c r="AR497" s="123">
        <f t="shared" si="335"/>
        <v>0</v>
      </c>
    </row>
    <row r="498" spans="1:44" ht="12.75">
      <c r="A498" s="149"/>
      <c r="B498" s="145"/>
      <c r="C498" s="145"/>
      <c r="D498" s="145"/>
      <c r="E498" s="122"/>
      <c r="F498" s="122"/>
      <c r="G498" s="122"/>
      <c r="H498" s="122"/>
      <c r="I498" s="122"/>
      <c r="J498" s="122"/>
      <c r="K498" s="122"/>
      <c r="M498" s="122"/>
      <c r="N498" s="122"/>
      <c r="O498" s="122"/>
      <c r="P498" s="122"/>
      <c r="Q498" s="122"/>
      <c r="AE498" s="123">
        <f t="shared" si="336"/>
        <v>18</v>
      </c>
      <c r="AF498" s="123" t="str">
        <f t="shared" si="323"/>
        <v>930.20</v>
      </c>
      <c r="AG498" s="123" t="str">
        <f t="shared" si="324"/>
        <v>MISC. - GENERAL</v>
      </c>
      <c r="AH498" s="123">
        <f t="shared" si="325"/>
        <v>12</v>
      </c>
      <c r="AI498" s="123">
        <f t="shared" si="326"/>
        <v>0</v>
      </c>
      <c r="AJ498" s="123">
        <f t="shared" si="327"/>
        <v>0</v>
      </c>
      <c r="AK498" s="123">
        <f t="shared" si="328"/>
        <v>0</v>
      </c>
      <c r="AL498" s="123">
        <f t="shared" si="329"/>
        <v>0</v>
      </c>
      <c r="AM498" s="123">
        <f t="shared" si="330"/>
        <v>0</v>
      </c>
      <c r="AN498" s="123">
        <f t="shared" si="331"/>
        <v>0</v>
      </c>
      <c r="AO498" s="123">
        <f t="shared" si="332"/>
        <v>0</v>
      </c>
      <c r="AP498" s="123">
        <f t="shared" si="333"/>
        <v>0</v>
      </c>
      <c r="AQ498" s="123">
        <f t="shared" si="334"/>
        <v>0</v>
      </c>
      <c r="AR498" s="123">
        <f t="shared" si="335"/>
        <v>0</v>
      </c>
    </row>
    <row r="499" spans="14:44" ht="12.75">
      <c r="N499" s="122"/>
      <c r="O499" s="122"/>
      <c r="P499" s="122"/>
      <c r="Q499" s="122"/>
      <c r="AE499" s="123">
        <f t="shared" si="336"/>
        <v>19</v>
      </c>
      <c r="AF499" s="123" t="str">
        <f t="shared" si="323"/>
        <v>931</v>
      </c>
      <c r="AG499" s="123" t="str">
        <f t="shared" si="324"/>
        <v>RENTS</v>
      </c>
      <c r="AH499" s="123">
        <f t="shared" si="325"/>
        <v>12</v>
      </c>
      <c r="AI499" s="123">
        <f t="shared" si="326"/>
        <v>0</v>
      </c>
      <c r="AJ499" s="123">
        <f t="shared" si="327"/>
        <v>0</v>
      </c>
      <c r="AK499" s="123">
        <f t="shared" si="328"/>
        <v>0</v>
      </c>
      <c r="AL499" s="123">
        <f t="shared" si="329"/>
        <v>0</v>
      </c>
      <c r="AM499" s="123">
        <f t="shared" si="330"/>
        <v>0</v>
      </c>
      <c r="AN499" s="123">
        <f t="shared" si="331"/>
        <v>0</v>
      </c>
      <c r="AO499" s="123">
        <f t="shared" si="332"/>
        <v>0</v>
      </c>
      <c r="AP499" s="123">
        <f t="shared" si="333"/>
        <v>0</v>
      </c>
      <c r="AQ499" s="123">
        <f t="shared" si="334"/>
        <v>0</v>
      </c>
      <c r="AR499" s="123">
        <f t="shared" si="335"/>
        <v>0</v>
      </c>
    </row>
    <row r="500" spans="6:44" ht="12.75">
      <c r="F500" s="122"/>
      <c r="G500" s="122"/>
      <c r="H500" s="122"/>
      <c r="I500" s="122"/>
      <c r="J500" s="122"/>
      <c r="K500" s="122"/>
      <c r="M500" s="122"/>
      <c r="N500" s="122"/>
      <c r="O500" s="122"/>
      <c r="P500" s="122"/>
      <c r="Q500" s="122"/>
      <c r="AE500" s="123">
        <f t="shared" si="336"/>
        <v>20</v>
      </c>
      <c r="AF500" s="123" t="str">
        <f t="shared" si="323"/>
        <v>935.13</v>
      </c>
      <c r="AG500" s="123" t="str">
        <f t="shared" si="324"/>
        <v>MAINT. STRUCTURES &amp; IMPROV.</v>
      </c>
      <c r="AH500" s="123">
        <f t="shared" si="325"/>
        <v>12</v>
      </c>
      <c r="AI500" s="123">
        <f t="shared" si="326"/>
        <v>0</v>
      </c>
      <c r="AJ500" s="123">
        <f t="shared" si="327"/>
        <v>0</v>
      </c>
      <c r="AK500" s="123">
        <f t="shared" si="328"/>
        <v>0</v>
      </c>
      <c r="AL500" s="123">
        <f t="shared" si="329"/>
        <v>0</v>
      </c>
      <c r="AM500" s="123">
        <f t="shared" si="330"/>
        <v>0</v>
      </c>
      <c r="AN500" s="123">
        <f t="shared" si="331"/>
        <v>0</v>
      </c>
      <c r="AO500" s="123">
        <f t="shared" si="332"/>
        <v>0</v>
      </c>
      <c r="AP500" s="123">
        <f t="shared" si="333"/>
        <v>0</v>
      </c>
      <c r="AQ500" s="123">
        <f t="shared" si="334"/>
        <v>0</v>
      </c>
      <c r="AR500" s="123">
        <f t="shared" si="335"/>
        <v>0</v>
      </c>
    </row>
    <row r="501" spans="6:33" ht="12.75">
      <c r="F501" s="122"/>
      <c r="G501" s="122"/>
      <c r="H501" s="122"/>
      <c r="I501" s="122"/>
      <c r="J501" s="122"/>
      <c r="K501" s="122"/>
      <c r="M501" s="122"/>
      <c r="N501" s="122"/>
      <c r="O501" s="122"/>
      <c r="P501" s="122"/>
      <c r="Q501" s="122"/>
      <c r="AE501" s="123">
        <f t="shared" si="336"/>
        <v>21</v>
      </c>
      <c r="AF501" s="123" t="str">
        <f>A455</f>
        <v>935.23</v>
      </c>
      <c r="AG501" s="123" t="str">
        <f>B455</f>
        <v>MAINT. - GEN'L OFFICE </v>
      </c>
    </row>
    <row r="502" spans="1:44" ht="12.75">
      <c r="A502" s="170"/>
      <c r="B502" s="145"/>
      <c r="C502" s="145"/>
      <c r="D502" s="145" t="s">
        <v>1</v>
      </c>
      <c r="E502" s="122"/>
      <c r="F502" s="122"/>
      <c r="G502" s="122"/>
      <c r="H502" s="122"/>
      <c r="I502" s="122"/>
      <c r="J502" s="122"/>
      <c r="K502" s="122"/>
      <c r="M502" s="122"/>
      <c r="N502" s="122"/>
      <c r="O502" s="122"/>
      <c r="P502" s="122"/>
      <c r="Q502" s="122"/>
      <c r="AG502" s="123" t="str">
        <f>B456</f>
        <v>FURNITURE &amp; EQUIPMENT</v>
      </c>
      <c r="AH502" s="123">
        <f>C456</f>
        <v>12</v>
      </c>
      <c r="AI502" s="123">
        <f>ROUND(D456*(1+$D$65),0)</f>
        <v>0</v>
      </c>
      <c r="AJ502" s="123">
        <f>ROUND((VLOOKUP($AH502,$A$661:$Y$709,13)*$AI502),0)</f>
        <v>0</v>
      </c>
      <c r="AK502" s="123">
        <f>ROUND((VLOOKUP($AH502,$A$661:$Y$709,14)*$AI502),0)</f>
        <v>0</v>
      </c>
      <c r="AL502" s="123">
        <f>ROUND((VLOOKUP($AH502,$A$661:$Y$709,15)*$AI502),0)</f>
        <v>0</v>
      </c>
      <c r="AM502" s="123">
        <f>ROUND((VLOOKUP($AH502,$A$661:$Y$709,16)*$AI502),0)</f>
        <v>0</v>
      </c>
      <c r="AN502" s="123">
        <f>ROUND((VLOOKUP($AH502,$A$661:$Y$709,17)*$AI502),0)</f>
        <v>0</v>
      </c>
      <c r="AO502" s="123">
        <f>ROUND((VLOOKUP($AH502,$A$661:$Y$709,18)*$AI502),0)</f>
        <v>0</v>
      </c>
      <c r="AP502" s="123">
        <f>ROUND((VLOOKUP($AH502,$A$661:$Y$709,19)*$AI502),0)</f>
        <v>0</v>
      </c>
      <c r="AQ502" s="123">
        <f>ROUND((VLOOKUP($AH502,$A$661:$Y$709,20)*$AI502),0)</f>
        <v>0</v>
      </c>
      <c r="AR502" s="123">
        <f>ROUND((VLOOKUP($AH502,$A$661:$Y$709,21)*$AI502),0)</f>
        <v>0</v>
      </c>
    </row>
    <row r="503" spans="1:44" ht="12.75">
      <c r="A503" s="144" t="s">
        <v>0</v>
      </c>
      <c r="B503" s="144" t="s">
        <v>0</v>
      </c>
      <c r="C503" s="144" t="s">
        <v>0</v>
      </c>
      <c r="D503" s="144" t="s">
        <v>0</v>
      </c>
      <c r="E503" s="122"/>
      <c r="F503" s="122"/>
      <c r="G503" s="122"/>
      <c r="H503" s="122"/>
      <c r="I503" s="122"/>
      <c r="J503" s="122"/>
      <c r="K503" s="122"/>
      <c r="M503" s="122"/>
      <c r="N503" s="122"/>
      <c r="O503" s="122"/>
      <c r="P503" s="122"/>
      <c r="Q503" s="122"/>
      <c r="AE503" s="123">
        <f>AE501+1</f>
        <v>22</v>
      </c>
      <c r="AF503" s="123" t="str">
        <f>A457</f>
        <v>935.24</v>
      </c>
      <c r="AG503" s="123" t="str">
        <f>B457</f>
        <v>MAINT.-MISCELLANEOUS</v>
      </c>
      <c r="AH503" s="123">
        <f>C457</f>
        <v>12</v>
      </c>
      <c r="AI503" s="141">
        <f>ROUND(D457*(1+$D$65),0)</f>
        <v>0</v>
      </c>
      <c r="AJ503" s="141">
        <f>ROUND((VLOOKUP($AH503,$A$661:$Y$709,13)*$AI503),0)</f>
        <v>0</v>
      </c>
      <c r="AK503" s="141">
        <f>ROUND((VLOOKUP($AH503,$A$661:$Y$709,14)*$AI503),0)</f>
        <v>0</v>
      </c>
      <c r="AL503" s="141">
        <f>ROUND((VLOOKUP($AH503,$A$661:$Y$709,15)*$AI503),0)</f>
        <v>0</v>
      </c>
      <c r="AM503" s="141">
        <f>ROUND((VLOOKUP($AH503,$A$661:$Y$709,16)*$AI503),0)</f>
        <v>0</v>
      </c>
      <c r="AN503" s="141">
        <f>ROUND((VLOOKUP($AH503,$A$661:$Y$709,17)*$AI503),0)</f>
        <v>0</v>
      </c>
      <c r="AO503" s="141">
        <f>ROUND((VLOOKUP($AH503,$A$661:$Y$709,18)*$AI503),0)</f>
        <v>0</v>
      </c>
      <c r="AP503" s="141">
        <f>ROUND((VLOOKUP($AH503,$A$661:$Y$709,19)*$AI503),0)</f>
        <v>0</v>
      </c>
      <c r="AQ503" s="141">
        <f>ROUND((VLOOKUP($AH503,$A$661:$Y$709,20)*$AI503),0)</f>
        <v>0</v>
      </c>
      <c r="AR503" s="141">
        <f>ROUND((VLOOKUP($AH503,$A$661:$Y$709,21)*$AI503),0)</f>
        <v>0</v>
      </c>
    </row>
    <row r="504" spans="1:44" ht="12.75">
      <c r="A504" s="122" t="s">
        <v>363</v>
      </c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M504" s="122"/>
      <c r="N504" s="122"/>
      <c r="O504" s="122"/>
      <c r="P504" s="122"/>
      <c r="Q504" s="122"/>
      <c r="AE504" s="123">
        <f>AE503+1</f>
        <v>23</v>
      </c>
      <c r="AG504" s="123" t="s">
        <v>364</v>
      </c>
      <c r="AI504" s="141">
        <f aca="true" t="shared" si="337" ref="AI504:AR504">SUM(AI489:AI503)</f>
        <v>0</v>
      </c>
      <c r="AJ504" s="141">
        <f t="shared" si="337"/>
        <v>0</v>
      </c>
      <c r="AK504" s="141">
        <f t="shared" si="337"/>
        <v>0</v>
      </c>
      <c r="AL504" s="141">
        <f t="shared" si="337"/>
        <v>0</v>
      </c>
      <c r="AM504" s="141">
        <f t="shared" si="337"/>
        <v>0</v>
      </c>
      <c r="AN504" s="141">
        <f t="shared" si="337"/>
        <v>0</v>
      </c>
      <c r="AO504" s="141">
        <f t="shared" si="337"/>
        <v>0</v>
      </c>
      <c r="AP504" s="141">
        <f t="shared" si="337"/>
        <v>0</v>
      </c>
      <c r="AQ504" s="141">
        <f t="shared" si="337"/>
        <v>0</v>
      </c>
      <c r="AR504" s="141">
        <f t="shared" si="337"/>
        <v>0</v>
      </c>
    </row>
    <row r="505" spans="1:17" ht="12.75">
      <c r="A505" s="144" t="s">
        <v>0</v>
      </c>
      <c r="B505" s="144" t="s">
        <v>0</v>
      </c>
      <c r="C505" s="144" t="s">
        <v>0</v>
      </c>
      <c r="D505" s="144" t="s">
        <v>0</v>
      </c>
      <c r="E505" s="122"/>
      <c r="F505" s="122"/>
      <c r="G505" s="122"/>
      <c r="H505" s="122"/>
      <c r="I505" s="122"/>
      <c r="J505" s="122"/>
      <c r="K505" s="122"/>
      <c r="M505" s="122"/>
      <c r="N505" s="122"/>
      <c r="O505" s="122"/>
      <c r="P505" s="122"/>
      <c r="Q505" s="122"/>
    </row>
    <row r="506" spans="1:44" ht="12.75">
      <c r="A506" s="122"/>
      <c r="B506" s="122"/>
      <c r="C506" s="156" t="s">
        <v>120</v>
      </c>
      <c r="D506" s="156" t="s">
        <v>12</v>
      </c>
      <c r="E506" s="122"/>
      <c r="F506" s="122"/>
      <c r="G506" s="122"/>
      <c r="H506" s="122"/>
      <c r="I506" s="122"/>
      <c r="J506" s="122"/>
      <c r="K506" s="122"/>
      <c r="M506" s="122"/>
      <c r="N506" s="122"/>
      <c r="O506" s="122"/>
      <c r="P506" s="122"/>
      <c r="Q506" s="122"/>
      <c r="AE506" s="123">
        <f>AE504+1</f>
        <v>24</v>
      </c>
      <c r="AG506" s="123" t="s">
        <v>365</v>
      </c>
      <c r="AI506" s="123">
        <f aca="true" t="shared" si="338" ref="AI506:AR506">AI374+AI382+AI384+AI394+AI485+AI504</f>
        <v>5860451</v>
      </c>
      <c r="AJ506" s="123">
        <f t="shared" si="338"/>
        <v>3742958</v>
      </c>
      <c r="AK506" s="123">
        <f t="shared" si="338"/>
        <v>1466239</v>
      </c>
      <c r="AL506" s="123">
        <f t="shared" si="338"/>
        <v>2602</v>
      </c>
      <c r="AM506" s="123">
        <f t="shared" si="338"/>
        <v>4926</v>
      </c>
      <c r="AN506" s="123">
        <f t="shared" si="338"/>
        <v>643723</v>
      </c>
      <c r="AO506" s="123">
        <f t="shared" si="338"/>
        <v>0</v>
      </c>
      <c r="AP506" s="123">
        <f t="shared" si="338"/>
        <v>0</v>
      </c>
      <c r="AQ506" s="123">
        <f t="shared" si="338"/>
        <v>0</v>
      </c>
      <c r="AR506" s="123">
        <f t="shared" si="338"/>
        <v>0</v>
      </c>
    </row>
    <row r="507" spans="1:17" ht="12.75">
      <c r="A507" s="122"/>
      <c r="B507" s="122"/>
      <c r="C507" s="156" t="s">
        <v>14</v>
      </c>
      <c r="D507" s="156" t="s">
        <v>15</v>
      </c>
      <c r="E507" s="122"/>
      <c r="F507" s="122"/>
      <c r="G507" s="122"/>
      <c r="H507" s="122"/>
      <c r="I507" s="122"/>
      <c r="J507" s="122"/>
      <c r="K507" s="122"/>
      <c r="M507" s="122"/>
      <c r="N507" s="122"/>
      <c r="O507" s="122"/>
      <c r="P507" s="122"/>
      <c r="Q507" s="122"/>
    </row>
    <row r="508" spans="1:44" ht="12.75">
      <c r="A508" s="122" t="s">
        <v>366</v>
      </c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M508" s="122"/>
      <c r="N508" s="122"/>
      <c r="O508" s="122"/>
      <c r="P508" s="122"/>
      <c r="Q508" s="122"/>
      <c r="AM508" s="124"/>
      <c r="AN508" s="126"/>
      <c r="AO508" s="126"/>
      <c r="AP508" s="126"/>
      <c r="AR508" s="126"/>
    </row>
    <row r="509" spans="1:43" ht="12.75">
      <c r="A509" s="145" t="s">
        <v>713</v>
      </c>
      <c r="B509" s="122"/>
      <c r="C509" s="145">
        <v>19</v>
      </c>
      <c r="D509" s="148">
        <v>-14900</v>
      </c>
      <c r="E509" s="122"/>
      <c r="F509" s="122"/>
      <c r="G509" s="122"/>
      <c r="H509" s="122"/>
      <c r="I509" s="122"/>
      <c r="J509" s="122"/>
      <c r="K509" s="122"/>
      <c r="M509" s="122"/>
      <c r="N509" s="122"/>
      <c r="O509" s="122"/>
      <c r="P509" s="122"/>
      <c r="Q509" s="122"/>
      <c r="AK509" s="125" t="str">
        <f>""&amp;+$B$24</f>
        <v>COLUMBIA GAS OF KENTUCKY, INC.</v>
      </c>
      <c r="AQ509" s="123" t="str">
        <f>$B$25</f>
        <v>D/C STUDY</v>
      </c>
    </row>
    <row r="510" spans="1:43" ht="12.75">
      <c r="A510" s="145" t="s">
        <v>368</v>
      </c>
      <c r="B510" s="122"/>
      <c r="C510" s="145">
        <v>12</v>
      </c>
      <c r="D510" s="148">
        <v>52479</v>
      </c>
      <c r="E510" s="122"/>
      <c r="F510" s="122"/>
      <c r="G510" s="122"/>
      <c r="H510" s="122"/>
      <c r="I510" s="122"/>
      <c r="J510" s="122"/>
      <c r="K510" s="122"/>
      <c r="M510" s="122"/>
      <c r="N510" s="122"/>
      <c r="O510" s="122"/>
      <c r="P510" s="122"/>
      <c r="Q510" s="122"/>
      <c r="AE510" s="123" t="str">
        <f>$B$30</f>
        <v>DEMAND-COMMODITY</v>
      </c>
      <c r="AK510" s="125" t="s">
        <v>780</v>
      </c>
      <c r="AQ510" s="123" t="str">
        <f>"PAGE 17 OF "&amp;FIXED($B$31,0,TRUE)</f>
        <v>PAGE 17 OF 28</v>
      </c>
    </row>
    <row r="511" spans="2:44" ht="12.75">
      <c r="B511" s="122"/>
      <c r="C511" s="145"/>
      <c r="D511" s="148"/>
      <c r="E511" s="122"/>
      <c r="F511" s="122"/>
      <c r="G511" s="122"/>
      <c r="H511" s="122"/>
      <c r="I511" s="122"/>
      <c r="J511" s="122"/>
      <c r="K511" s="122"/>
      <c r="M511" s="122"/>
      <c r="N511" s="122"/>
      <c r="O511" s="122"/>
      <c r="P511" s="122"/>
      <c r="Q511" s="122"/>
      <c r="AE511" s="128" t="str">
        <f>$B$29</f>
        <v>HISTORIC PERIOD - ORIGINAL FILING</v>
      </c>
      <c r="AF511" s="128"/>
      <c r="AG511" s="128"/>
      <c r="AH511" s="129"/>
      <c r="AI511" s="128"/>
      <c r="AJ511" s="129"/>
      <c r="AK511" s="130" t="str">
        <f>"FOR THE TWELVE MONTHS ENDED "&amp;$B$27</f>
        <v>FOR THE TWELVE MONTHS ENDED 09/30/2006</v>
      </c>
      <c r="AL511" s="128"/>
      <c r="AM511" s="128"/>
      <c r="AN511" s="128"/>
      <c r="AO511" s="128"/>
      <c r="AP511" s="128"/>
      <c r="AQ511" s="128" t="str">
        <f>"WITNESS: "&amp;$B$28</f>
        <v>WITNESS: R. GIBBONS</v>
      </c>
      <c r="AR511" s="131"/>
    </row>
    <row r="512" spans="1:35" ht="12.75">
      <c r="A512" s="145"/>
      <c r="B512" s="122"/>
      <c r="C512" s="145"/>
      <c r="D512" s="148"/>
      <c r="E512" s="122"/>
      <c r="F512" s="122"/>
      <c r="G512" s="122"/>
      <c r="H512" s="122"/>
      <c r="I512" s="122"/>
      <c r="J512" s="122"/>
      <c r="K512" s="122"/>
      <c r="M512" s="122"/>
      <c r="N512" s="122"/>
      <c r="O512" s="122"/>
      <c r="P512" s="122"/>
      <c r="Q512" s="122"/>
      <c r="AE512" s="125" t="s">
        <v>9</v>
      </c>
      <c r="AF512" s="123" t="s">
        <v>10</v>
      </c>
      <c r="AH512" s="125" t="s">
        <v>11</v>
      </c>
      <c r="AI512" s="125" t="s">
        <v>12</v>
      </c>
    </row>
    <row r="513" spans="1:44" ht="12.75">
      <c r="A513" s="122" t="s">
        <v>369</v>
      </c>
      <c r="D513" s="179"/>
      <c r="E513" s="122"/>
      <c r="F513" s="122"/>
      <c r="G513" s="122"/>
      <c r="H513" s="122"/>
      <c r="I513" s="122"/>
      <c r="J513" s="122"/>
      <c r="K513" s="122"/>
      <c r="M513" s="122"/>
      <c r="N513" s="122"/>
      <c r="O513" s="122"/>
      <c r="P513" s="122"/>
      <c r="Q513" s="122"/>
      <c r="AE513" s="133" t="s">
        <v>13</v>
      </c>
      <c r="AF513" s="133" t="s">
        <v>13</v>
      </c>
      <c r="AG513" s="171" t="str">
        <f>AG5</f>
        <v> ACCOUNT TITLE</v>
      </c>
      <c r="AH513" s="141" t="s">
        <v>14</v>
      </c>
      <c r="AI513" s="133" t="s">
        <v>15</v>
      </c>
      <c r="AJ513" s="133" t="str">
        <f>"  "&amp;+$C$35</f>
        <v>  GS-RES.</v>
      </c>
      <c r="AK513" s="133" t="str">
        <f>$C$36</f>
        <v>GS-OTHER</v>
      </c>
      <c r="AL513" s="133" t="str">
        <f>$C$37</f>
        <v>IUS</v>
      </c>
      <c r="AM513" s="133" t="str">
        <f>$C$38</f>
        <v>DS-ML/SC</v>
      </c>
      <c r="AN513" s="133" t="str">
        <f>$C$39</f>
        <v>DS/IS/SS</v>
      </c>
      <c r="AO513" s="133" t="str">
        <f>$C$40</f>
        <v>NOT USED</v>
      </c>
      <c r="AP513" s="133" t="str">
        <f>$C$41</f>
        <v>NOT USED</v>
      </c>
      <c r="AQ513" s="133" t="str">
        <f>$C$42</f>
        <v>NOT USED</v>
      </c>
      <c r="AR513" s="133" t="str">
        <f>$C$43</f>
        <v>NOT USED</v>
      </c>
    </row>
    <row r="514" spans="1:44" ht="12.75">
      <c r="A514" s="145" t="s">
        <v>901</v>
      </c>
      <c r="B514" s="122"/>
      <c r="C514" s="145">
        <v>19</v>
      </c>
      <c r="D514" s="148">
        <v>-107843</v>
      </c>
      <c r="E514" s="122"/>
      <c r="F514" s="122"/>
      <c r="G514" s="122"/>
      <c r="H514" s="122"/>
      <c r="I514" s="122"/>
      <c r="J514" s="122"/>
      <c r="K514" s="122"/>
      <c r="M514" s="122"/>
      <c r="N514" s="122"/>
      <c r="O514" s="122"/>
      <c r="P514" s="122"/>
      <c r="Q514" s="122"/>
      <c r="AF514" s="136" t="s">
        <v>17</v>
      </c>
      <c r="AG514" s="136" t="s">
        <v>18</v>
      </c>
      <c r="AH514" s="125" t="s">
        <v>19</v>
      </c>
      <c r="AI514" s="125" t="s">
        <v>20</v>
      </c>
      <c r="AJ514" s="125" t="s">
        <v>21</v>
      </c>
      <c r="AK514" s="125" t="s">
        <v>22</v>
      </c>
      <c r="AL514" s="125" t="s">
        <v>23</v>
      </c>
      <c r="AM514" s="125" t="s">
        <v>24</v>
      </c>
      <c r="AN514" s="125" t="s">
        <v>25</v>
      </c>
      <c r="AO514" s="125" t="s">
        <v>26</v>
      </c>
      <c r="AP514" s="125" t="s">
        <v>27</v>
      </c>
      <c r="AQ514" s="125" t="s">
        <v>28</v>
      </c>
      <c r="AR514" s="125" t="s">
        <v>29</v>
      </c>
    </row>
    <row r="515" spans="1:44" ht="12.75">
      <c r="A515" s="145"/>
      <c r="B515" s="122"/>
      <c r="C515" s="145"/>
      <c r="D515" s="148"/>
      <c r="E515" s="122"/>
      <c r="F515" s="122"/>
      <c r="G515" s="122"/>
      <c r="H515" s="122"/>
      <c r="I515" s="122"/>
      <c r="J515" s="122"/>
      <c r="K515" s="122"/>
      <c r="M515" s="122"/>
      <c r="N515" s="122"/>
      <c r="O515" s="122"/>
      <c r="P515" s="122"/>
      <c r="Q515" s="122"/>
      <c r="AI515" s="125" t="s">
        <v>32</v>
      </c>
      <c r="AJ515" s="125" t="s">
        <v>32</v>
      </c>
      <c r="AK515" s="125" t="s">
        <v>32</v>
      </c>
      <c r="AL515" s="125" t="s">
        <v>32</v>
      </c>
      <c r="AM515" s="125" t="s">
        <v>32</v>
      </c>
      <c r="AN515" s="125" t="s">
        <v>32</v>
      </c>
      <c r="AO515" s="125" t="s">
        <v>32</v>
      </c>
      <c r="AP515" s="125" t="s">
        <v>32</v>
      </c>
      <c r="AQ515" s="125" t="s">
        <v>32</v>
      </c>
      <c r="AR515" s="125" t="s">
        <v>32</v>
      </c>
    </row>
    <row r="516" spans="1:33" ht="12.75">
      <c r="A516" s="145" t="s">
        <v>371</v>
      </c>
      <c r="C516" s="145">
        <v>19</v>
      </c>
      <c r="D516" s="148">
        <v>87704</v>
      </c>
      <c r="E516" s="122"/>
      <c r="F516" s="122"/>
      <c r="G516" s="122"/>
      <c r="H516" s="122"/>
      <c r="I516" s="122"/>
      <c r="J516" s="122"/>
      <c r="K516" s="122"/>
      <c r="M516" s="122"/>
      <c r="N516" s="122"/>
      <c r="O516" s="122"/>
      <c r="P516" s="122"/>
      <c r="Q516" s="122"/>
      <c r="AE516" s="123">
        <v>1</v>
      </c>
      <c r="AG516" s="123" t="str">
        <f>A383</f>
        <v>DISTRIBUTION EXPENSES</v>
      </c>
    </row>
    <row r="517" spans="1:17" ht="12.75">
      <c r="A517" s="145"/>
      <c r="B517" s="122"/>
      <c r="C517" s="145"/>
      <c r="D517" s="148"/>
      <c r="E517" s="122"/>
      <c r="F517" s="122"/>
      <c r="G517" s="122"/>
      <c r="H517" s="122"/>
      <c r="I517" s="122"/>
      <c r="J517" s="122"/>
      <c r="K517" s="122"/>
      <c r="M517" s="122"/>
      <c r="N517" s="122"/>
      <c r="O517" s="122"/>
      <c r="P517" s="122"/>
      <c r="Q517" s="122"/>
    </row>
    <row r="518" spans="1:44" ht="12.75">
      <c r="A518" s="145" t="s">
        <v>372</v>
      </c>
      <c r="C518" s="145">
        <v>19</v>
      </c>
      <c r="D518" s="148">
        <v>0</v>
      </c>
      <c r="E518" s="122"/>
      <c r="F518" s="122"/>
      <c r="G518" s="122"/>
      <c r="H518" s="122"/>
      <c r="I518" s="122"/>
      <c r="J518" s="122"/>
      <c r="K518" s="122"/>
      <c r="M518" s="122"/>
      <c r="N518" s="122"/>
      <c r="O518" s="122"/>
      <c r="P518" s="122"/>
      <c r="Q518" s="122"/>
      <c r="AE518" s="123">
        <f>AE516+1</f>
        <v>2</v>
      </c>
      <c r="AF518" s="123" t="str">
        <f aca="true" t="shared" si="339" ref="AF518:AF526">A386</f>
        <v>870</v>
      </c>
      <c r="AG518" s="123" t="str">
        <f aca="true" t="shared" si="340" ref="AG518:AG526">B386</f>
        <v>SUPERVISION &amp; ENGINEERING</v>
      </c>
      <c r="AH518" s="123">
        <f aca="true" t="shared" si="341" ref="AH518:AH526">C386</f>
        <v>11</v>
      </c>
      <c r="AI518" s="123">
        <f aca="true" t="shared" si="342" ref="AI518:AI526">D386</f>
        <v>101263</v>
      </c>
      <c r="AJ518" s="123">
        <f aca="true" t="shared" si="343" ref="AJ518:AJ526">ROUND((VLOOKUP($AH518,$A$661:$Y$709,13)*$AI518),0)</f>
        <v>51968</v>
      </c>
      <c r="AK518" s="123">
        <f aca="true" t="shared" si="344" ref="AK518:AK526">ROUND((VLOOKUP($AH518,$A$661:$Y$709,14)*$AI518),0)</f>
        <v>26667</v>
      </c>
      <c r="AL518" s="123">
        <f aca="true" t="shared" si="345" ref="AL518:AL526">ROUND((VLOOKUP($AH518,$A$661:$Y$709,15)*$AI518),0)</f>
        <v>86</v>
      </c>
      <c r="AM518" s="123">
        <f aca="true" t="shared" si="346" ref="AM518:AM526">ROUND((VLOOKUP($AH518,$A$661:$Y$709,16)*$AI518),0)</f>
        <v>136</v>
      </c>
      <c r="AN518" s="123">
        <f aca="true" t="shared" si="347" ref="AN518:AN526">ROUND((VLOOKUP($AH518,$A$661:$Y$709,17)*$AI518),0)</f>
        <v>22406</v>
      </c>
      <c r="AO518" s="123">
        <f aca="true" t="shared" si="348" ref="AO518:AO526">ROUND((VLOOKUP($AH518,$A$661:$Y$709,18)*$AI518),0)</f>
        <v>0</v>
      </c>
      <c r="AP518" s="123">
        <f aca="true" t="shared" si="349" ref="AP518:AP526">ROUND((VLOOKUP($AH518,$A$661:$Y$709,19)*$AI518),0)</f>
        <v>0</v>
      </c>
      <c r="AQ518" s="123">
        <f aca="true" t="shared" si="350" ref="AQ518:AQ526">ROUND((VLOOKUP($AH518,$A$661:$Y$709,20)*$AI518),0)</f>
        <v>0</v>
      </c>
      <c r="AR518" s="123">
        <f aca="true" t="shared" si="351" ref="AR518:AR526">ROUND((VLOOKUP($AH518,$A$661:$Y$709,21)*$AI518),0)</f>
        <v>0</v>
      </c>
    </row>
    <row r="519" spans="5:44" ht="12.75">
      <c r="E519" s="122"/>
      <c r="F519" s="122"/>
      <c r="G519" s="122"/>
      <c r="H519" s="122"/>
      <c r="I519" s="122"/>
      <c r="J519" s="122"/>
      <c r="K519" s="122"/>
      <c r="M519" s="122"/>
      <c r="N519" s="122"/>
      <c r="O519" s="122"/>
      <c r="P519" s="122"/>
      <c r="Q519" s="122"/>
      <c r="AE519" s="123">
        <f aca="true" t="shared" si="352" ref="AE519:AE527">AE518+1</f>
        <v>3</v>
      </c>
      <c r="AF519" s="123" t="str">
        <f t="shared" si="339"/>
        <v>871</v>
      </c>
      <c r="AG519" s="123" t="str">
        <f t="shared" si="340"/>
        <v>DISTRIBUTION LOAD DISPATCH</v>
      </c>
      <c r="AH519" s="123">
        <f t="shared" si="341"/>
        <v>4</v>
      </c>
      <c r="AI519" s="123">
        <f t="shared" si="342"/>
        <v>3237</v>
      </c>
      <c r="AJ519" s="123">
        <f t="shared" si="343"/>
        <v>1025</v>
      </c>
      <c r="AK519" s="123">
        <f t="shared" si="344"/>
        <v>692</v>
      </c>
      <c r="AL519" s="123">
        <f t="shared" si="345"/>
        <v>3</v>
      </c>
      <c r="AM519" s="123">
        <f t="shared" si="346"/>
        <v>0</v>
      </c>
      <c r="AN519" s="123">
        <f t="shared" si="347"/>
        <v>1518</v>
      </c>
      <c r="AO519" s="123">
        <f t="shared" si="348"/>
        <v>0</v>
      </c>
      <c r="AP519" s="123">
        <f t="shared" si="349"/>
        <v>0</v>
      </c>
      <c r="AQ519" s="123">
        <f t="shared" si="350"/>
        <v>0</v>
      </c>
      <c r="AR519" s="123">
        <f t="shared" si="351"/>
        <v>0</v>
      </c>
    </row>
    <row r="520" spans="1:44" ht="12.75">
      <c r="A520" s="144" t="s">
        <v>0</v>
      </c>
      <c r="B520" s="144" t="s">
        <v>0</v>
      </c>
      <c r="C520" s="144" t="s">
        <v>0</v>
      </c>
      <c r="D520" s="144" t="s">
        <v>0</v>
      </c>
      <c r="E520" s="122"/>
      <c r="F520" s="122"/>
      <c r="G520" s="122"/>
      <c r="H520" s="122"/>
      <c r="I520" s="122"/>
      <c r="J520" s="122"/>
      <c r="K520" s="122"/>
      <c r="M520" s="122"/>
      <c r="N520" s="122"/>
      <c r="O520" s="122"/>
      <c r="P520" s="122"/>
      <c r="Q520" s="122"/>
      <c r="AE520" s="123">
        <f t="shared" si="352"/>
        <v>4</v>
      </c>
      <c r="AF520" s="123" t="str">
        <f t="shared" si="339"/>
        <v>874</v>
      </c>
      <c r="AG520" s="123" t="str">
        <f t="shared" si="340"/>
        <v>MAINS &amp; SERVICES</v>
      </c>
      <c r="AH520" s="123">
        <f t="shared" si="341"/>
        <v>14</v>
      </c>
      <c r="AI520" s="123">
        <f t="shared" si="342"/>
        <v>878001</v>
      </c>
      <c r="AJ520" s="123">
        <f t="shared" si="343"/>
        <v>501022</v>
      </c>
      <c r="AK520" s="123">
        <f t="shared" si="344"/>
        <v>162746</v>
      </c>
      <c r="AL520" s="123">
        <f t="shared" si="345"/>
        <v>527</v>
      </c>
      <c r="AM520" s="123">
        <f t="shared" si="346"/>
        <v>0</v>
      </c>
      <c r="AN520" s="123">
        <f t="shared" si="347"/>
        <v>213705</v>
      </c>
      <c r="AO520" s="123">
        <f t="shared" si="348"/>
        <v>0</v>
      </c>
      <c r="AP520" s="123">
        <f t="shared" si="349"/>
        <v>0</v>
      </c>
      <c r="AQ520" s="123">
        <f t="shared" si="350"/>
        <v>0</v>
      </c>
      <c r="AR520" s="123">
        <f t="shared" si="351"/>
        <v>0</v>
      </c>
    </row>
    <row r="521" spans="1:44" ht="12.75">
      <c r="A521" s="122" t="s">
        <v>373</v>
      </c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M521" s="122"/>
      <c r="N521" s="122"/>
      <c r="O521" s="122"/>
      <c r="P521" s="122"/>
      <c r="Q521" s="122"/>
      <c r="AE521" s="123">
        <f t="shared" si="352"/>
        <v>5</v>
      </c>
      <c r="AF521" s="123" t="str">
        <f t="shared" si="339"/>
        <v>875</v>
      </c>
      <c r="AG521" s="123" t="str">
        <f t="shared" si="340"/>
        <v>M &amp; R - GENERAL</v>
      </c>
      <c r="AH521" s="123">
        <f t="shared" si="341"/>
        <v>18</v>
      </c>
      <c r="AI521" s="123">
        <f t="shared" si="342"/>
        <v>65942</v>
      </c>
      <c r="AJ521" s="123">
        <f t="shared" si="343"/>
        <v>24543</v>
      </c>
      <c r="AK521" s="123">
        <f t="shared" si="344"/>
        <v>15657</v>
      </c>
      <c r="AL521" s="123">
        <f t="shared" si="345"/>
        <v>63</v>
      </c>
      <c r="AM521" s="123">
        <f t="shared" si="346"/>
        <v>0</v>
      </c>
      <c r="AN521" s="123">
        <f t="shared" si="347"/>
        <v>25680</v>
      </c>
      <c r="AO521" s="123">
        <f t="shared" si="348"/>
        <v>0</v>
      </c>
      <c r="AP521" s="123">
        <f t="shared" si="349"/>
        <v>0</v>
      </c>
      <c r="AQ521" s="123">
        <f t="shared" si="350"/>
        <v>0</v>
      </c>
      <c r="AR521" s="123">
        <f t="shared" si="351"/>
        <v>0</v>
      </c>
    </row>
    <row r="522" spans="1:44" ht="12.75">
      <c r="A522" s="144" t="s">
        <v>0</v>
      </c>
      <c r="B522" s="144" t="s">
        <v>0</v>
      </c>
      <c r="C522" s="144" t="s">
        <v>0</v>
      </c>
      <c r="D522" s="144" t="s">
        <v>0</v>
      </c>
      <c r="E522" s="122"/>
      <c r="F522" s="122"/>
      <c r="G522" s="122"/>
      <c r="H522" s="122"/>
      <c r="I522" s="122"/>
      <c r="J522" s="122"/>
      <c r="K522" s="122"/>
      <c r="M522" s="122"/>
      <c r="N522" s="122"/>
      <c r="O522" s="122"/>
      <c r="P522" s="122"/>
      <c r="Q522" s="122"/>
      <c r="AE522" s="123">
        <f t="shared" si="352"/>
        <v>6</v>
      </c>
      <c r="AF522" s="123" t="str">
        <f t="shared" si="339"/>
        <v>876</v>
      </c>
      <c r="AG522" s="123" t="str">
        <f t="shared" si="340"/>
        <v>M &amp; R - INDUSTRIAL</v>
      </c>
      <c r="AH522" s="123">
        <f t="shared" si="341"/>
        <v>8</v>
      </c>
      <c r="AI522" s="123">
        <f t="shared" si="342"/>
        <v>7835</v>
      </c>
      <c r="AJ522" s="123">
        <f t="shared" si="343"/>
        <v>0</v>
      </c>
      <c r="AK522" s="123">
        <f t="shared" si="344"/>
        <v>4302</v>
      </c>
      <c r="AL522" s="123">
        <f t="shared" si="345"/>
        <v>61</v>
      </c>
      <c r="AM522" s="123">
        <f t="shared" si="346"/>
        <v>215</v>
      </c>
      <c r="AN522" s="123">
        <f t="shared" si="347"/>
        <v>3257</v>
      </c>
      <c r="AO522" s="123">
        <f t="shared" si="348"/>
        <v>0</v>
      </c>
      <c r="AP522" s="123">
        <f t="shared" si="349"/>
        <v>0</v>
      </c>
      <c r="AQ522" s="123">
        <f t="shared" si="350"/>
        <v>0</v>
      </c>
      <c r="AR522" s="123">
        <f t="shared" si="351"/>
        <v>0</v>
      </c>
    </row>
    <row r="523" spans="3:44" ht="12.75">
      <c r="C523" s="156" t="s">
        <v>120</v>
      </c>
      <c r="D523" s="156" t="s">
        <v>12</v>
      </c>
      <c r="E523" s="122"/>
      <c r="F523" s="122"/>
      <c r="G523" s="122"/>
      <c r="H523" s="122"/>
      <c r="I523" s="122"/>
      <c r="J523" s="122"/>
      <c r="K523" s="122"/>
      <c r="M523" s="122"/>
      <c r="N523" s="122"/>
      <c r="O523" s="122"/>
      <c r="P523" s="122"/>
      <c r="Q523" s="122"/>
      <c r="AE523" s="123">
        <f t="shared" si="352"/>
        <v>7</v>
      </c>
      <c r="AF523" s="123" t="str">
        <f t="shared" si="339"/>
        <v>878</v>
      </c>
      <c r="AG523" s="123" t="str">
        <f t="shared" si="340"/>
        <v>METERS &amp; HOUSE REGULATORS</v>
      </c>
      <c r="AH523" s="123">
        <f t="shared" si="341"/>
        <v>16</v>
      </c>
      <c r="AI523" s="123">
        <f t="shared" si="342"/>
        <v>434598</v>
      </c>
      <c r="AJ523" s="123">
        <f t="shared" si="343"/>
        <v>270324</v>
      </c>
      <c r="AK523" s="123">
        <f t="shared" si="344"/>
        <v>156147</v>
      </c>
      <c r="AL523" s="123">
        <f t="shared" si="345"/>
        <v>104</v>
      </c>
      <c r="AM523" s="123">
        <f t="shared" si="346"/>
        <v>513</v>
      </c>
      <c r="AN523" s="123">
        <f t="shared" si="347"/>
        <v>7510</v>
      </c>
      <c r="AO523" s="123">
        <f t="shared" si="348"/>
        <v>0</v>
      </c>
      <c r="AP523" s="123">
        <f t="shared" si="349"/>
        <v>0</v>
      </c>
      <c r="AQ523" s="123">
        <f t="shared" si="350"/>
        <v>0</v>
      </c>
      <c r="AR523" s="123">
        <f t="shared" si="351"/>
        <v>0</v>
      </c>
    </row>
    <row r="524" spans="3:44" ht="12.75">
      <c r="C524" s="156" t="s">
        <v>14</v>
      </c>
      <c r="D524" s="156" t="s">
        <v>15</v>
      </c>
      <c r="E524" s="122"/>
      <c r="F524" s="122"/>
      <c r="G524" s="122"/>
      <c r="H524" s="122"/>
      <c r="I524" s="122"/>
      <c r="J524" s="122"/>
      <c r="K524" s="122"/>
      <c r="M524" s="122"/>
      <c r="N524" s="122"/>
      <c r="O524" s="122"/>
      <c r="P524" s="122"/>
      <c r="Q524" s="122"/>
      <c r="AE524" s="123">
        <f t="shared" si="352"/>
        <v>8</v>
      </c>
      <c r="AF524" s="123" t="str">
        <f t="shared" si="339"/>
        <v>879</v>
      </c>
      <c r="AG524" s="123" t="str">
        <f t="shared" si="340"/>
        <v>CUSTOMER INSTALLATION </v>
      </c>
      <c r="AH524" s="123">
        <f t="shared" si="341"/>
        <v>16</v>
      </c>
      <c r="AI524" s="123">
        <f t="shared" si="342"/>
        <v>283104</v>
      </c>
      <c r="AJ524" s="123">
        <f t="shared" si="343"/>
        <v>176094</v>
      </c>
      <c r="AK524" s="123">
        <f t="shared" si="344"/>
        <v>101716</v>
      </c>
      <c r="AL524" s="123">
        <f t="shared" si="345"/>
        <v>68</v>
      </c>
      <c r="AM524" s="123">
        <f t="shared" si="346"/>
        <v>334</v>
      </c>
      <c r="AN524" s="123">
        <f t="shared" si="347"/>
        <v>4892</v>
      </c>
      <c r="AO524" s="123">
        <f t="shared" si="348"/>
        <v>0</v>
      </c>
      <c r="AP524" s="123">
        <f t="shared" si="349"/>
        <v>0</v>
      </c>
      <c r="AQ524" s="123">
        <f t="shared" si="350"/>
        <v>0</v>
      </c>
      <c r="AR524" s="123">
        <f t="shared" si="351"/>
        <v>0</v>
      </c>
    </row>
    <row r="525" spans="1:44" ht="12.75">
      <c r="A525" s="145" t="s">
        <v>367</v>
      </c>
      <c r="B525" s="122"/>
      <c r="C525" s="145">
        <v>19</v>
      </c>
      <c r="D525" s="148">
        <f>D509</f>
        <v>-14900</v>
      </c>
      <c r="E525" s="122"/>
      <c r="F525" s="122"/>
      <c r="G525" s="122"/>
      <c r="H525" s="122"/>
      <c r="I525" s="122"/>
      <c r="J525" s="122"/>
      <c r="K525" s="122"/>
      <c r="M525" s="122"/>
      <c r="N525" s="122"/>
      <c r="O525" s="122"/>
      <c r="P525" s="122"/>
      <c r="Q525" s="122"/>
      <c r="AE525" s="123">
        <f t="shared" si="352"/>
        <v>9</v>
      </c>
      <c r="AF525" s="123" t="str">
        <f t="shared" si="339"/>
        <v>880</v>
      </c>
      <c r="AG525" s="123" t="str">
        <f t="shared" si="340"/>
        <v>OTHER</v>
      </c>
      <c r="AH525" s="123">
        <f t="shared" si="341"/>
        <v>11</v>
      </c>
      <c r="AI525" s="123">
        <f t="shared" si="342"/>
        <v>861367</v>
      </c>
      <c r="AJ525" s="123">
        <f t="shared" si="343"/>
        <v>442054</v>
      </c>
      <c r="AK525" s="123">
        <f t="shared" si="344"/>
        <v>226832</v>
      </c>
      <c r="AL525" s="123">
        <f t="shared" si="345"/>
        <v>732</v>
      </c>
      <c r="AM525" s="123">
        <f t="shared" si="346"/>
        <v>1154</v>
      </c>
      <c r="AN525" s="123">
        <f t="shared" si="347"/>
        <v>190595</v>
      </c>
      <c r="AO525" s="123">
        <f t="shared" si="348"/>
        <v>0</v>
      </c>
      <c r="AP525" s="123">
        <f t="shared" si="349"/>
        <v>0</v>
      </c>
      <c r="AQ525" s="123">
        <f t="shared" si="350"/>
        <v>0</v>
      </c>
      <c r="AR525" s="123">
        <f t="shared" si="351"/>
        <v>0</v>
      </c>
    </row>
    <row r="526" spans="1:44" ht="12.75">
      <c r="A526" s="145" t="s">
        <v>374</v>
      </c>
      <c r="C526" s="145">
        <v>19</v>
      </c>
      <c r="D526" s="148">
        <v>0</v>
      </c>
      <c r="E526" s="122"/>
      <c r="F526" s="122"/>
      <c r="G526" s="122"/>
      <c r="H526" s="122"/>
      <c r="I526" s="122"/>
      <c r="J526" s="122"/>
      <c r="K526" s="122"/>
      <c r="M526" s="122"/>
      <c r="N526" s="122"/>
      <c r="O526" s="122"/>
      <c r="P526" s="122"/>
      <c r="Q526" s="122"/>
      <c r="AE526" s="123">
        <f t="shared" si="352"/>
        <v>10</v>
      </c>
      <c r="AF526" s="123" t="str">
        <f t="shared" si="339"/>
        <v>881</v>
      </c>
      <c r="AG526" s="123" t="str">
        <f t="shared" si="340"/>
        <v>RENTS</v>
      </c>
      <c r="AH526" s="123">
        <f t="shared" si="341"/>
        <v>11</v>
      </c>
      <c r="AI526" s="141">
        <f t="shared" si="342"/>
        <v>114036</v>
      </c>
      <c r="AJ526" s="141">
        <f t="shared" si="343"/>
        <v>58523</v>
      </c>
      <c r="AK526" s="141">
        <f t="shared" si="344"/>
        <v>30030</v>
      </c>
      <c r="AL526" s="141">
        <f t="shared" si="345"/>
        <v>97</v>
      </c>
      <c r="AM526" s="141">
        <f t="shared" si="346"/>
        <v>153</v>
      </c>
      <c r="AN526" s="141">
        <f t="shared" si="347"/>
        <v>25233</v>
      </c>
      <c r="AO526" s="141">
        <f t="shared" si="348"/>
        <v>0</v>
      </c>
      <c r="AP526" s="141">
        <f t="shared" si="349"/>
        <v>0</v>
      </c>
      <c r="AQ526" s="141">
        <f t="shared" si="350"/>
        <v>0</v>
      </c>
      <c r="AR526" s="141">
        <f t="shared" si="351"/>
        <v>0</v>
      </c>
    </row>
    <row r="527" spans="1:44" ht="12.75">
      <c r="A527" s="122" t="s">
        <v>369</v>
      </c>
      <c r="D527" s="179"/>
      <c r="E527" s="122"/>
      <c r="F527" s="122"/>
      <c r="G527" s="122"/>
      <c r="H527" s="122"/>
      <c r="I527" s="122"/>
      <c r="J527" s="122"/>
      <c r="K527" s="122"/>
      <c r="M527" s="122"/>
      <c r="N527" s="122"/>
      <c r="O527" s="122"/>
      <c r="P527" s="122"/>
      <c r="Q527" s="122"/>
      <c r="AE527" s="123">
        <f t="shared" si="352"/>
        <v>11</v>
      </c>
      <c r="AG527" s="123" t="s">
        <v>315</v>
      </c>
      <c r="AI527" s="123">
        <f aca="true" t="shared" si="353" ref="AI527:AR527">SUM(AI518:AI526)</f>
        <v>2749383</v>
      </c>
      <c r="AJ527" s="123">
        <f t="shared" si="353"/>
        <v>1525553</v>
      </c>
      <c r="AK527" s="123">
        <f t="shared" si="353"/>
        <v>724789</v>
      </c>
      <c r="AL527" s="123">
        <f t="shared" si="353"/>
        <v>1741</v>
      </c>
      <c r="AM527" s="123">
        <f t="shared" si="353"/>
        <v>2505</v>
      </c>
      <c r="AN527" s="123">
        <f t="shared" si="353"/>
        <v>494796</v>
      </c>
      <c r="AO527" s="123">
        <f t="shared" si="353"/>
        <v>0</v>
      </c>
      <c r="AP527" s="123">
        <f t="shared" si="353"/>
        <v>0</v>
      </c>
      <c r="AQ527" s="123">
        <f t="shared" si="353"/>
        <v>0</v>
      </c>
      <c r="AR527" s="123">
        <f t="shared" si="353"/>
        <v>0</v>
      </c>
    </row>
    <row r="528" spans="1:17" ht="12.75">
      <c r="A528" s="145" t="s">
        <v>902</v>
      </c>
      <c r="C528" s="145">
        <v>19</v>
      </c>
      <c r="D528" s="148">
        <v>-334</v>
      </c>
      <c r="E528" s="122"/>
      <c r="F528" s="122"/>
      <c r="G528" s="122"/>
      <c r="H528" s="122"/>
      <c r="I528" s="122"/>
      <c r="J528" s="122"/>
      <c r="K528" s="122"/>
      <c r="M528" s="122"/>
      <c r="N528" s="122"/>
      <c r="O528" s="122"/>
      <c r="P528" s="122"/>
      <c r="Q528" s="122"/>
    </row>
    <row r="529" spans="1:33" ht="12.75">
      <c r="A529" s="145" t="s">
        <v>370</v>
      </c>
      <c r="B529" s="122"/>
      <c r="C529" s="145">
        <v>19</v>
      </c>
      <c r="D529" s="148">
        <v>0</v>
      </c>
      <c r="E529" s="122"/>
      <c r="F529" s="122"/>
      <c r="G529" s="122"/>
      <c r="H529" s="122"/>
      <c r="I529" s="122"/>
      <c r="J529" s="122"/>
      <c r="K529" s="122"/>
      <c r="M529" s="122"/>
      <c r="N529" s="122"/>
      <c r="O529" s="122"/>
      <c r="P529" s="122"/>
      <c r="Q529" s="122"/>
      <c r="AE529" s="123">
        <f>AE527+1</f>
        <v>12</v>
      </c>
      <c r="AG529" s="123" t="str">
        <f>A395</f>
        <v>MAINTENANCE</v>
      </c>
    </row>
    <row r="530" spans="5:17" ht="12.75">
      <c r="E530" s="122"/>
      <c r="F530" s="122"/>
      <c r="G530" s="122"/>
      <c r="H530" s="122"/>
      <c r="I530" s="122"/>
      <c r="J530" s="122"/>
      <c r="K530" s="122"/>
      <c r="M530" s="122"/>
      <c r="N530" s="122"/>
      <c r="O530" s="122"/>
      <c r="P530" s="122"/>
      <c r="Q530" s="122"/>
    </row>
    <row r="531" spans="5:44" ht="12.75">
      <c r="E531" s="122"/>
      <c r="F531" s="122"/>
      <c r="G531" s="122"/>
      <c r="H531" s="122"/>
      <c r="I531" s="122"/>
      <c r="J531" s="122"/>
      <c r="K531" s="122"/>
      <c r="M531" s="122"/>
      <c r="N531" s="122"/>
      <c r="O531" s="122"/>
      <c r="P531" s="122"/>
      <c r="Q531" s="122"/>
      <c r="AE531" s="123">
        <f>AE529+1</f>
        <v>13</v>
      </c>
      <c r="AF531" s="123" t="str">
        <f aca="true" t="shared" si="354" ref="AF531:AI538">A396</f>
        <v>885</v>
      </c>
      <c r="AG531" s="123" t="str">
        <f t="shared" si="354"/>
        <v>SUPERVISION &amp; ENGINEERING</v>
      </c>
      <c r="AH531" s="123">
        <f t="shared" si="354"/>
        <v>11</v>
      </c>
      <c r="AI531" s="123">
        <f t="shared" si="354"/>
        <v>42191</v>
      </c>
      <c r="AJ531" s="123">
        <f aca="true" t="shared" si="355" ref="AJ531:AJ538">ROUND((VLOOKUP($AH531,$A$661:$Y$709,13)*$AI531),0)</f>
        <v>21652</v>
      </c>
      <c r="AK531" s="123">
        <f aca="true" t="shared" si="356" ref="AK531:AK538">ROUND((VLOOKUP($AH531,$A$661:$Y$709,14)*$AI531),0)</f>
        <v>11111</v>
      </c>
      <c r="AL531" s="123">
        <f aca="true" t="shared" si="357" ref="AL531:AL538">ROUND((VLOOKUP($AH531,$A$661:$Y$709,15)*$AI531),0)</f>
        <v>36</v>
      </c>
      <c r="AM531" s="123">
        <f aca="true" t="shared" si="358" ref="AM531:AM538">ROUND((VLOOKUP($AH531,$A$661:$Y$709,16)*$AI531),0)</f>
        <v>57</v>
      </c>
      <c r="AN531" s="123">
        <f aca="true" t="shared" si="359" ref="AN531:AN538">ROUND((VLOOKUP($AH531,$A$661:$Y$709,17)*$AI531),0)</f>
        <v>9336</v>
      </c>
      <c r="AO531" s="123">
        <f aca="true" t="shared" si="360" ref="AO531:AO538">ROUND((VLOOKUP($AH531,$A$661:$Y$709,18)*$AI531),0)</f>
        <v>0</v>
      </c>
      <c r="AP531" s="123">
        <f aca="true" t="shared" si="361" ref="AP531:AP538">ROUND((VLOOKUP($AH531,$A$661:$Y$709,19)*$AI531),0)</f>
        <v>0</v>
      </c>
      <c r="AQ531" s="123">
        <f aca="true" t="shared" si="362" ref="AQ531:AQ538">ROUND((VLOOKUP($AH531,$A$661:$Y$709,20)*$AI531),0)</f>
        <v>0</v>
      </c>
      <c r="AR531" s="123">
        <f aca="true" t="shared" si="363" ref="AR531:AR538">ROUND((VLOOKUP($AH531,$A$661:$Y$709,21)*$AI531),0)</f>
        <v>0</v>
      </c>
    </row>
    <row r="532" spans="5:44" ht="12.75">
      <c r="E532" s="122"/>
      <c r="O532" s="122"/>
      <c r="P532" s="122"/>
      <c r="Q532" s="122"/>
      <c r="AE532" s="123">
        <f aca="true" t="shared" si="364" ref="AE532:AE539">AE531+1</f>
        <v>14</v>
      </c>
      <c r="AF532" s="123" t="str">
        <f t="shared" si="354"/>
        <v>886</v>
      </c>
      <c r="AG532" s="123" t="str">
        <f t="shared" si="354"/>
        <v>STRUCTURES &amp; IMPROVEMENTS</v>
      </c>
      <c r="AH532" s="123">
        <f t="shared" si="354"/>
        <v>18</v>
      </c>
      <c r="AI532" s="123">
        <f t="shared" si="354"/>
        <v>78665</v>
      </c>
      <c r="AJ532" s="123">
        <f t="shared" si="355"/>
        <v>29278</v>
      </c>
      <c r="AK532" s="123">
        <f t="shared" si="356"/>
        <v>18677</v>
      </c>
      <c r="AL532" s="123">
        <f t="shared" si="357"/>
        <v>75</v>
      </c>
      <c r="AM532" s="123">
        <f t="shared" si="358"/>
        <v>0</v>
      </c>
      <c r="AN532" s="123">
        <f t="shared" si="359"/>
        <v>30635</v>
      </c>
      <c r="AO532" s="123">
        <f t="shared" si="360"/>
        <v>0</v>
      </c>
      <c r="AP532" s="123">
        <f t="shared" si="361"/>
        <v>0</v>
      </c>
      <c r="AQ532" s="123">
        <f t="shared" si="362"/>
        <v>0</v>
      </c>
      <c r="AR532" s="123">
        <f t="shared" si="363"/>
        <v>0</v>
      </c>
    </row>
    <row r="533" spans="15:44" ht="12.75">
      <c r="O533" s="122"/>
      <c r="P533" s="122"/>
      <c r="Q533" s="122"/>
      <c r="AE533" s="123">
        <f t="shared" si="364"/>
        <v>15</v>
      </c>
      <c r="AF533" s="123" t="str">
        <f t="shared" si="354"/>
        <v>887</v>
      </c>
      <c r="AG533" s="123" t="str">
        <f t="shared" si="354"/>
        <v>MAINS</v>
      </c>
      <c r="AH533" s="123">
        <f t="shared" si="354"/>
        <v>18</v>
      </c>
      <c r="AI533" s="123">
        <f t="shared" si="354"/>
        <v>710916</v>
      </c>
      <c r="AJ533" s="123">
        <f t="shared" si="355"/>
        <v>264596</v>
      </c>
      <c r="AK533" s="123">
        <f t="shared" si="356"/>
        <v>168793</v>
      </c>
      <c r="AL533" s="123">
        <f t="shared" si="357"/>
        <v>675</v>
      </c>
      <c r="AM533" s="123">
        <f t="shared" si="358"/>
        <v>0</v>
      </c>
      <c r="AN533" s="123">
        <f t="shared" si="359"/>
        <v>276852</v>
      </c>
      <c r="AO533" s="123">
        <f t="shared" si="360"/>
        <v>0</v>
      </c>
      <c r="AP533" s="123">
        <f t="shared" si="361"/>
        <v>0</v>
      </c>
      <c r="AQ533" s="123">
        <f t="shared" si="362"/>
        <v>0</v>
      </c>
      <c r="AR533" s="123">
        <f t="shared" si="363"/>
        <v>0</v>
      </c>
    </row>
    <row r="534" spans="15:44" ht="12.75">
      <c r="O534" s="122"/>
      <c r="P534" s="122"/>
      <c r="Q534" s="122"/>
      <c r="AE534" s="123">
        <f t="shared" si="364"/>
        <v>16</v>
      </c>
      <c r="AF534" s="123" t="str">
        <f t="shared" si="354"/>
        <v>889</v>
      </c>
      <c r="AG534" s="123" t="str">
        <f t="shared" si="354"/>
        <v>M &amp; R - GENERAL</v>
      </c>
      <c r="AH534" s="123">
        <f t="shared" si="354"/>
        <v>18</v>
      </c>
      <c r="AI534" s="123">
        <f t="shared" si="354"/>
        <v>37320</v>
      </c>
      <c r="AJ534" s="123">
        <f t="shared" si="355"/>
        <v>13890</v>
      </c>
      <c r="AK534" s="123">
        <f t="shared" si="356"/>
        <v>8861</v>
      </c>
      <c r="AL534" s="123">
        <f t="shared" si="357"/>
        <v>35</v>
      </c>
      <c r="AM534" s="123">
        <f t="shared" si="358"/>
        <v>0</v>
      </c>
      <c r="AN534" s="123">
        <f t="shared" si="359"/>
        <v>14534</v>
      </c>
      <c r="AO534" s="123">
        <f t="shared" si="360"/>
        <v>0</v>
      </c>
      <c r="AP534" s="123">
        <f t="shared" si="361"/>
        <v>0</v>
      </c>
      <c r="AQ534" s="123">
        <f t="shared" si="362"/>
        <v>0</v>
      </c>
      <c r="AR534" s="123">
        <f t="shared" si="363"/>
        <v>0</v>
      </c>
    </row>
    <row r="535" spans="1:44" ht="12.75">
      <c r="A535" s="144" t="s">
        <v>0</v>
      </c>
      <c r="B535" s="144" t="s">
        <v>0</v>
      </c>
      <c r="C535" s="144" t="s">
        <v>0</v>
      </c>
      <c r="D535" s="144" t="s">
        <v>0</v>
      </c>
      <c r="E535" s="144" t="s">
        <v>0</v>
      </c>
      <c r="F535" s="144" t="s">
        <v>0</v>
      </c>
      <c r="G535" s="144" t="s">
        <v>0</v>
      </c>
      <c r="H535" s="144" t="s">
        <v>0</v>
      </c>
      <c r="I535" s="144" t="s">
        <v>0</v>
      </c>
      <c r="J535" s="144" t="s">
        <v>0</v>
      </c>
      <c r="K535" s="144" t="s">
        <v>0</v>
      </c>
      <c r="L535" s="144" t="s">
        <v>0</v>
      </c>
      <c r="M535" s="144" t="s">
        <v>0</v>
      </c>
      <c r="O535" s="122"/>
      <c r="P535" s="122"/>
      <c r="Q535" s="122"/>
      <c r="AE535" s="123">
        <f t="shared" si="364"/>
        <v>17</v>
      </c>
      <c r="AF535" s="123" t="str">
        <f t="shared" si="354"/>
        <v>890</v>
      </c>
      <c r="AG535" s="123" t="str">
        <f t="shared" si="354"/>
        <v>M &amp; R - INDUSTRIAL</v>
      </c>
      <c r="AH535" s="123">
        <f t="shared" si="354"/>
        <v>8</v>
      </c>
      <c r="AI535" s="123">
        <f t="shared" si="354"/>
        <v>93060</v>
      </c>
      <c r="AJ535" s="123">
        <f t="shared" si="355"/>
        <v>0</v>
      </c>
      <c r="AK535" s="123">
        <f t="shared" si="356"/>
        <v>51092</v>
      </c>
      <c r="AL535" s="123">
        <f t="shared" si="357"/>
        <v>730</v>
      </c>
      <c r="AM535" s="123">
        <f t="shared" si="358"/>
        <v>2554</v>
      </c>
      <c r="AN535" s="123">
        <f t="shared" si="359"/>
        <v>38684</v>
      </c>
      <c r="AO535" s="123">
        <f t="shared" si="360"/>
        <v>0</v>
      </c>
      <c r="AP535" s="123">
        <f t="shared" si="361"/>
        <v>0</v>
      </c>
      <c r="AQ535" s="123">
        <f t="shared" si="362"/>
        <v>0</v>
      </c>
      <c r="AR535" s="123">
        <f t="shared" si="363"/>
        <v>0</v>
      </c>
    </row>
    <row r="536" spans="1:44" ht="12.75">
      <c r="A536" s="122" t="s">
        <v>375</v>
      </c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O536" s="122"/>
      <c r="P536" s="122"/>
      <c r="Q536" s="122"/>
      <c r="AE536" s="123">
        <f t="shared" si="364"/>
        <v>18</v>
      </c>
      <c r="AF536" s="123" t="str">
        <f t="shared" si="354"/>
        <v>892</v>
      </c>
      <c r="AG536" s="123" t="str">
        <f t="shared" si="354"/>
        <v>SERVICES</v>
      </c>
      <c r="AH536" s="123">
        <f t="shared" si="354"/>
        <v>15</v>
      </c>
      <c r="AI536" s="123">
        <f t="shared" si="354"/>
        <v>99064</v>
      </c>
      <c r="AJ536" s="123">
        <f t="shared" si="355"/>
        <v>88944</v>
      </c>
      <c r="AK536" s="123">
        <f t="shared" si="356"/>
        <v>9859</v>
      </c>
      <c r="AL536" s="123">
        <f t="shared" si="357"/>
        <v>1</v>
      </c>
      <c r="AM536" s="123">
        <f t="shared" si="358"/>
        <v>0</v>
      </c>
      <c r="AN536" s="123">
        <f t="shared" si="359"/>
        <v>261</v>
      </c>
      <c r="AO536" s="123">
        <f t="shared" si="360"/>
        <v>0</v>
      </c>
      <c r="AP536" s="123">
        <f t="shared" si="361"/>
        <v>0</v>
      </c>
      <c r="AQ536" s="123">
        <f t="shared" si="362"/>
        <v>0</v>
      </c>
      <c r="AR536" s="123">
        <f t="shared" si="363"/>
        <v>0</v>
      </c>
    </row>
    <row r="537" spans="1:44" ht="12.75">
      <c r="A537" s="144" t="s">
        <v>0</v>
      </c>
      <c r="B537" s="144" t="s">
        <v>0</v>
      </c>
      <c r="C537" s="144" t="s">
        <v>0</v>
      </c>
      <c r="D537" s="144" t="s">
        <v>0</v>
      </c>
      <c r="E537" s="144" t="s">
        <v>0</v>
      </c>
      <c r="F537" s="144" t="s">
        <v>0</v>
      </c>
      <c r="G537" s="144" t="s">
        <v>0</v>
      </c>
      <c r="H537" s="144" t="s">
        <v>0</v>
      </c>
      <c r="I537" s="144" t="s">
        <v>0</v>
      </c>
      <c r="J537" s="144" t="s">
        <v>0</v>
      </c>
      <c r="K537" s="144" t="s">
        <v>0</v>
      </c>
      <c r="L537" s="144" t="s">
        <v>0</v>
      </c>
      <c r="M537" s="144" t="s">
        <v>0</v>
      </c>
      <c r="O537" s="122"/>
      <c r="P537" s="122"/>
      <c r="Q537" s="122"/>
      <c r="AE537" s="123">
        <f t="shared" si="364"/>
        <v>19</v>
      </c>
      <c r="AF537" s="123" t="str">
        <f t="shared" si="354"/>
        <v>893</v>
      </c>
      <c r="AG537" s="123" t="str">
        <f t="shared" si="354"/>
        <v>METERS &amp; HOUSE REGULATORS</v>
      </c>
      <c r="AH537" s="123">
        <f t="shared" si="354"/>
        <v>16</v>
      </c>
      <c r="AI537" s="123">
        <f t="shared" si="354"/>
        <v>107435</v>
      </c>
      <c r="AJ537" s="123">
        <f t="shared" si="355"/>
        <v>66826</v>
      </c>
      <c r="AK537" s="123">
        <f t="shared" si="356"/>
        <v>38600</v>
      </c>
      <c r="AL537" s="123">
        <f t="shared" si="357"/>
        <v>26</v>
      </c>
      <c r="AM537" s="123">
        <f t="shared" si="358"/>
        <v>127</v>
      </c>
      <c r="AN537" s="123">
        <f t="shared" si="359"/>
        <v>1856</v>
      </c>
      <c r="AO537" s="123">
        <f t="shared" si="360"/>
        <v>0</v>
      </c>
      <c r="AP537" s="123">
        <f t="shared" si="361"/>
        <v>0</v>
      </c>
      <c r="AQ537" s="123">
        <f t="shared" si="362"/>
        <v>0</v>
      </c>
      <c r="AR537" s="123">
        <f t="shared" si="363"/>
        <v>0</v>
      </c>
    </row>
    <row r="538" spans="1:44" ht="12.75">
      <c r="A538" s="122"/>
      <c r="B538" s="122"/>
      <c r="C538" s="122"/>
      <c r="D538" s="156" t="s">
        <v>136</v>
      </c>
      <c r="E538" s="122" t="str">
        <f>$C$35</f>
        <v>GS-RES.</v>
      </c>
      <c r="F538" s="122" t="str">
        <f>$C$36</f>
        <v>GS-OTHER</v>
      </c>
      <c r="G538" s="122" t="str">
        <f>$C$37</f>
        <v>IUS</v>
      </c>
      <c r="H538" s="122" t="str">
        <f>$C$38</f>
        <v>DS-ML/SC</v>
      </c>
      <c r="I538" s="122" t="str">
        <f>$C$39</f>
        <v>DS/IS/SS</v>
      </c>
      <c r="J538" s="122" t="str">
        <f>$C$40</f>
        <v>NOT USED</v>
      </c>
      <c r="K538" s="122" t="str">
        <f>$C$41</f>
        <v>NOT USED</v>
      </c>
      <c r="L538" s="122" t="str">
        <f>$C$42</f>
        <v>NOT USED</v>
      </c>
      <c r="M538" s="122" t="str">
        <f>$C$43</f>
        <v>NOT USED</v>
      </c>
      <c r="O538" s="122"/>
      <c r="P538" s="122"/>
      <c r="Q538" s="122"/>
      <c r="AE538" s="123">
        <f t="shared" si="364"/>
        <v>20</v>
      </c>
      <c r="AF538" s="123" t="str">
        <f t="shared" si="354"/>
        <v>894</v>
      </c>
      <c r="AG538" s="123" t="str">
        <f t="shared" si="354"/>
        <v>OTHER EQUIPMENT</v>
      </c>
      <c r="AH538" s="123">
        <f t="shared" si="354"/>
        <v>11</v>
      </c>
      <c r="AI538" s="141">
        <f t="shared" si="354"/>
        <v>52665</v>
      </c>
      <c r="AJ538" s="141">
        <f t="shared" si="355"/>
        <v>27028</v>
      </c>
      <c r="AK538" s="141">
        <f t="shared" si="356"/>
        <v>13869</v>
      </c>
      <c r="AL538" s="141">
        <f t="shared" si="357"/>
        <v>45</v>
      </c>
      <c r="AM538" s="141">
        <f t="shared" si="358"/>
        <v>71</v>
      </c>
      <c r="AN538" s="141">
        <f t="shared" si="359"/>
        <v>11653</v>
      </c>
      <c r="AO538" s="141">
        <f t="shared" si="360"/>
        <v>0</v>
      </c>
      <c r="AP538" s="141">
        <f t="shared" si="361"/>
        <v>0</v>
      </c>
      <c r="AQ538" s="141">
        <f t="shared" si="362"/>
        <v>0</v>
      </c>
      <c r="AR538" s="141">
        <f t="shared" si="363"/>
        <v>0</v>
      </c>
    </row>
    <row r="539" spans="1:44" ht="12.75">
      <c r="A539" s="122"/>
      <c r="B539" s="145" t="s">
        <v>211</v>
      </c>
      <c r="C539" s="122"/>
      <c r="D539" s="122">
        <f>SUM(E539:M539)</f>
        <v>27901088.96999999</v>
      </c>
      <c r="E539" s="145">
        <f>'Prop Rev.'!D29</f>
        <v>27901088.96999999</v>
      </c>
      <c r="F539" s="145">
        <v>0</v>
      </c>
      <c r="G539" s="145">
        <v>0</v>
      </c>
      <c r="H539" s="145">
        <v>0</v>
      </c>
      <c r="I539" s="145">
        <v>0</v>
      </c>
      <c r="J539" s="145">
        <v>0</v>
      </c>
      <c r="K539" s="145">
        <v>0</v>
      </c>
      <c r="L539" s="145">
        <v>0</v>
      </c>
      <c r="M539" s="145">
        <v>0</v>
      </c>
      <c r="O539" s="122"/>
      <c r="P539" s="122"/>
      <c r="Q539" s="122"/>
      <c r="AE539" s="123">
        <f t="shared" si="364"/>
        <v>21</v>
      </c>
      <c r="AG539" s="123" t="s">
        <v>325</v>
      </c>
      <c r="AI539" s="123">
        <f aca="true" t="shared" si="365" ref="AI539:AR539">SUM(AI531:AI538)</f>
        <v>1221316</v>
      </c>
      <c r="AJ539" s="123">
        <f t="shared" si="365"/>
        <v>512214</v>
      </c>
      <c r="AK539" s="123">
        <f t="shared" si="365"/>
        <v>320862</v>
      </c>
      <c r="AL539" s="123">
        <f t="shared" si="365"/>
        <v>1623</v>
      </c>
      <c r="AM539" s="123">
        <f t="shared" si="365"/>
        <v>2809</v>
      </c>
      <c r="AN539" s="123">
        <f t="shared" si="365"/>
        <v>383811</v>
      </c>
      <c r="AO539" s="123">
        <f t="shared" si="365"/>
        <v>0</v>
      </c>
      <c r="AP539" s="123">
        <f t="shared" si="365"/>
        <v>0</v>
      </c>
      <c r="AQ539" s="123">
        <f t="shared" si="365"/>
        <v>0</v>
      </c>
      <c r="AR539" s="123">
        <f t="shared" si="365"/>
        <v>0</v>
      </c>
    </row>
    <row r="540" spans="1:17" ht="12.75">
      <c r="A540" s="122"/>
      <c r="B540" s="145" t="s">
        <v>213</v>
      </c>
      <c r="C540" s="122"/>
      <c r="D540" s="122">
        <f>SUM(E540:M540)</f>
        <v>10542079.23</v>
      </c>
      <c r="E540" s="145">
        <v>0</v>
      </c>
      <c r="F540" s="145">
        <f>'Prop Rev.'!E29</f>
        <v>10542079.23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O540" s="122"/>
      <c r="P540" s="122"/>
      <c r="Q540" s="122"/>
    </row>
    <row r="541" spans="1:44" ht="12.75">
      <c r="A541" s="122"/>
      <c r="B541" s="145" t="s">
        <v>215</v>
      </c>
      <c r="C541" s="122"/>
      <c r="D541" s="122">
        <f>SUM(E541:M541)</f>
        <v>19054.31</v>
      </c>
      <c r="E541" s="145">
        <v>0</v>
      </c>
      <c r="F541" s="145">
        <v>0</v>
      </c>
      <c r="G541" s="145">
        <f>'Prop Rev.'!F29</f>
        <v>19054.31</v>
      </c>
      <c r="H541" s="145">
        <f>'Prop Rev.'!G29</f>
        <v>0</v>
      </c>
      <c r="I541" s="145">
        <f>'Prop Rev.'!H29</f>
        <v>0</v>
      </c>
      <c r="J541" s="145">
        <v>0</v>
      </c>
      <c r="K541" s="145">
        <v>0</v>
      </c>
      <c r="L541" s="145">
        <v>0</v>
      </c>
      <c r="M541" s="145">
        <v>0</v>
      </c>
      <c r="O541" s="122"/>
      <c r="P541" s="122"/>
      <c r="Q541" s="122"/>
      <c r="AM541" s="124"/>
      <c r="AN541" s="126"/>
      <c r="AO541" s="126"/>
      <c r="AP541" s="126"/>
      <c r="AR541" s="126"/>
    </row>
    <row r="542" spans="1:43" ht="12.75">
      <c r="A542" s="122"/>
      <c r="B542" s="145" t="s">
        <v>221</v>
      </c>
      <c r="C542" s="146">
        <v>6</v>
      </c>
      <c r="D542" s="145">
        <f>D297+D299+D301+'Prop Rev.'!C54</f>
        <v>805603</v>
      </c>
      <c r="E542" s="123">
        <f>ROUND((VLOOKUP($C$542,$A$661:$Y$709,13)*$D$542),0)</f>
        <v>720757</v>
      </c>
      <c r="F542" s="123">
        <f>ROUND((VLOOKUP($C$542,$A$661:$Y$709,14)*$D$542),0)</f>
        <v>84331</v>
      </c>
      <c r="G542" s="123">
        <f>ROUND((VLOOKUP(C542,$A$661:$Y$709,15)*D542),0)</f>
        <v>8</v>
      </c>
      <c r="H542" s="123">
        <f>ROUND((VLOOKUP(C542,$A$661:$Y$709,16)*D542),0)</f>
        <v>32</v>
      </c>
      <c r="I542" s="123">
        <f>ROUND((VLOOKUP(C542,$A$661:$Y$709,17)*D542),0)</f>
        <v>475</v>
      </c>
      <c r="J542" s="123">
        <f>ROUND((VLOOKUP(C542,$A$661:$Y$709,18)*D542),0)</f>
        <v>0</v>
      </c>
      <c r="K542" s="123">
        <f>ROUND((VLOOKUP(C542,$A$661:$Y$709,19)*D542),0)</f>
        <v>0</v>
      </c>
      <c r="L542" s="123">
        <f>ROUND((VLOOKUP(C542,$A$661:$Y$709,20)*D542),0)</f>
        <v>0</v>
      </c>
      <c r="M542" s="123">
        <f>ROUND((VLOOKUP(C542,$A$661:$Y$709,21)*D542),0)</f>
        <v>0</v>
      </c>
      <c r="O542" s="122"/>
      <c r="P542" s="122"/>
      <c r="Q542" s="122"/>
      <c r="AK542" s="125" t="str">
        <f>""&amp;+$B$24</f>
        <v>COLUMBIA GAS OF KENTUCKY, INC.</v>
      </c>
      <c r="AQ542" s="123" t="str">
        <f>$B$25</f>
        <v>D/C STUDY</v>
      </c>
    </row>
    <row r="543" spans="1:43" ht="12.75">
      <c r="A543" s="122"/>
      <c r="B543" s="145" t="s">
        <v>768</v>
      </c>
      <c r="C543" s="122"/>
      <c r="D543" s="122">
        <f>SUM(E543:M543)</f>
        <v>388732</v>
      </c>
      <c r="E543" s="145">
        <v>0</v>
      </c>
      <c r="F543" s="145">
        <f>F296</f>
        <v>386333.102149926</v>
      </c>
      <c r="G543" s="145">
        <f>G296</f>
        <v>53.06317825048344</v>
      </c>
      <c r="H543" s="145">
        <f>H296</f>
        <v>154.7676032305767</v>
      </c>
      <c r="I543" s="145">
        <f>I296</f>
        <v>2191.0670685928785</v>
      </c>
      <c r="J543" s="145">
        <f>J300</f>
        <v>0</v>
      </c>
      <c r="K543" s="145"/>
      <c r="L543" s="145">
        <v>0</v>
      </c>
      <c r="M543" s="145">
        <v>0</v>
      </c>
      <c r="O543" s="122"/>
      <c r="P543" s="122"/>
      <c r="Q543" s="122"/>
      <c r="AE543" s="123" t="str">
        <f>$B$30</f>
        <v>DEMAND-COMMODITY</v>
      </c>
      <c r="AK543" s="125" t="s">
        <v>780</v>
      </c>
      <c r="AQ543" s="123" t="str">
        <f>"PAGE 18 OF "&amp;FIXED($B$31,0,TRUE)</f>
        <v>PAGE 18 OF 28</v>
      </c>
    </row>
    <row r="544" spans="1:44" ht="12.75">
      <c r="A544" s="122"/>
      <c r="B544" s="145" t="s">
        <v>767</v>
      </c>
      <c r="C544" s="122"/>
      <c r="D544" s="122">
        <f>SUM(E544:M544)</f>
        <v>18921060.91</v>
      </c>
      <c r="E544" s="145">
        <f>'Prop Rev.'!D49</f>
        <v>8090615.17</v>
      </c>
      <c r="F544" s="145">
        <f>'Prop Rev.'!E49</f>
        <v>4570556.13</v>
      </c>
      <c r="G544" s="145">
        <f>'Prop Rev.'!F49</f>
        <v>0</v>
      </c>
      <c r="H544" s="145">
        <f>'Prop Rev.'!G49</f>
        <v>738011.68</v>
      </c>
      <c r="I544" s="145">
        <f>'Prop Rev.'!H49</f>
        <v>5521877.93</v>
      </c>
      <c r="J544" s="145">
        <v>0</v>
      </c>
      <c r="K544" s="145"/>
      <c r="L544" s="145">
        <v>0</v>
      </c>
      <c r="M544" s="145"/>
      <c r="O544" s="122"/>
      <c r="P544" s="122"/>
      <c r="Q544" s="122"/>
      <c r="AE544" s="128" t="str">
        <f>$B$29</f>
        <v>HISTORIC PERIOD - ORIGINAL FILING</v>
      </c>
      <c r="AF544" s="128"/>
      <c r="AG544" s="128"/>
      <c r="AH544" s="129"/>
      <c r="AI544" s="128"/>
      <c r="AJ544" s="129"/>
      <c r="AK544" s="130" t="str">
        <f>"FOR THE TWELVE MONTHS ENDED "&amp;$B$27</f>
        <v>FOR THE TWELVE MONTHS ENDED 09/30/2006</v>
      </c>
      <c r="AL544" s="128"/>
      <c r="AM544" s="128"/>
      <c r="AN544" s="128"/>
      <c r="AO544" s="128"/>
      <c r="AP544" s="128"/>
      <c r="AQ544" s="128" t="str">
        <f>"WITNESS: "&amp;$B$28</f>
        <v>WITNESS: R. GIBBONS</v>
      </c>
      <c r="AR544" s="131"/>
    </row>
    <row r="545" spans="2:35" ht="12.75">
      <c r="B545" s="123" t="s">
        <v>769</v>
      </c>
      <c r="D545" s="122">
        <f>SUM(E545:M545)</f>
        <v>112344668.69</v>
      </c>
      <c r="E545" s="123">
        <f>E315</f>
        <v>69736011.38</v>
      </c>
      <c r="F545" s="123">
        <f>F315</f>
        <v>41401008.260000005</v>
      </c>
      <c r="G545" s="123">
        <f>G315</f>
        <v>227827.88</v>
      </c>
      <c r="H545" s="123">
        <f>H315</f>
        <v>0</v>
      </c>
      <c r="I545" s="123">
        <f>I315</f>
        <v>979821.17</v>
      </c>
      <c r="O545" s="122"/>
      <c r="P545" s="122"/>
      <c r="Q545" s="122"/>
      <c r="AE545" s="125" t="s">
        <v>9</v>
      </c>
      <c r="AF545" s="123" t="s">
        <v>10</v>
      </c>
      <c r="AH545" s="125" t="s">
        <v>11</v>
      </c>
      <c r="AI545" s="125" t="s">
        <v>12</v>
      </c>
    </row>
    <row r="546" spans="2:44" ht="12.75">
      <c r="B546" s="145" t="s">
        <v>376</v>
      </c>
      <c r="C546" s="122"/>
      <c r="D546" s="122">
        <f>SUM(E546:M546)</f>
        <v>0</v>
      </c>
      <c r="E546" s="145">
        <v>0</v>
      </c>
      <c r="F546" s="145">
        <v>0</v>
      </c>
      <c r="G546" s="145">
        <v>0</v>
      </c>
      <c r="H546" s="145">
        <v>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22"/>
      <c r="O546" s="122"/>
      <c r="P546" s="122"/>
      <c r="Q546" s="122"/>
      <c r="AE546" s="133" t="s">
        <v>13</v>
      </c>
      <c r="AF546" s="133" t="s">
        <v>13</v>
      </c>
      <c r="AG546" s="133" t="str">
        <f>"                        ACCOUNT TITLE                "</f>
        <v>                        ACCOUNT TITLE                </v>
      </c>
      <c r="AH546" s="141" t="s">
        <v>14</v>
      </c>
      <c r="AI546" s="133" t="s">
        <v>15</v>
      </c>
      <c r="AJ546" s="133" t="str">
        <f>"  "&amp;+$C$35</f>
        <v>  GS-RES.</v>
      </c>
      <c r="AK546" s="133" t="str">
        <f>$C$36</f>
        <v>GS-OTHER</v>
      </c>
      <c r="AL546" s="133" t="str">
        <f>$C$37</f>
        <v>IUS</v>
      </c>
      <c r="AM546" s="133" t="str">
        <f>$C$38</f>
        <v>DS-ML/SC</v>
      </c>
      <c r="AN546" s="133" t="str">
        <f>$C$39</f>
        <v>DS/IS/SS</v>
      </c>
      <c r="AO546" s="141" t="str">
        <f>$C$40</f>
        <v>NOT USED</v>
      </c>
      <c r="AP546" s="141" t="str">
        <f>$C$41</f>
        <v>NOT USED</v>
      </c>
      <c r="AQ546" s="141" t="str">
        <f>$C$42</f>
        <v>NOT USED</v>
      </c>
      <c r="AR546" s="141" t="str">
        <f>$C$43</f>
        <v>NOT USED</v>
      </c>
    </row>
    <row r="547" spans="1:44" ht="12.75">
      <c r="A547" s="144" t="s">
        <v>0</v>
      </c>
      <c r="B547" s="144" t="s">
        <v>0</v>
      </c>
      <c r="C547" s="144" t="s">
        <v>0</v>
      </c>
      <c r="D547" s="144" t="s">
        <v>0</v>
      </c>
      <c r="E547" s="144" t="s">
        <v>0</v>
      </c>
      <c r="F547" s="144" t="s">
        <v>0</v>
      </c>
      <c r="G547" s="144" t="s">
        <v>0</v>
      </c>
      <c r="H547" s="144" t="s">
        <v>0</v>
      </c>
      <c r="I547" s="144" t="s">
        <v>0</v>
      </c>
      <c r="J547" s="144" t="s">
        <v>0</v>
      </c>
      <c r="K547" s="144" t="s">
        <v>0</v>
      </c>
      <c r="L547" s="144" t="s">
        <v>0</v>
      </c>
      <c r="M547" s="144" t="s">
        <v>0</v>
      </c>
      <c r="N547" s="122"/>
      <c r="O547" s="122"/>
      <c r="P547" s="122"/>
      <c r="Q547" s="122"/>
      <c r="AF547" s="136" t="s">
        <v>17</v>
      </c>
      <c r="AG547" s="136" t="s">
        <v>18</v>
      </c>
      <c r="AH547" s="125" t="s">
        <v>19</v>
      </c>
      <c r="AI547" s="125" t="s">
        <v>20</v>
      </c>
      <c r="AJ547" s="125" t="s">
        <v>21</v>
      </c>
      <c r="AK547" s="125" t="s">
        <v>22</v>
      </c>
      <c r="AL547" s="125" t="s">
        <v>23</v>
      </c>
      <c r="AM547" s="125" t="s">
        <v>24</v>
      </c>
      <c r="AN547" s="125" t="s">
        <v>25</v>
      </c>
      <c r="AO547" s="125" t="s">
        <v>26</v>
      </c>
      <c r="AP547" s="125" t="s">
        <v>27</v>
      </c>
      <c r="AQ547" s="125" t="s">
        <v>28</v>
      </c>
      <c r="AR547" s="125" t="s">
        <v>29</v>
      </c>
    </row>
    <row r="548" spans="1:44" ht="12.75">
      <c r="A548" s="122" t="s">
        <v>377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AI548" s="125" t="s">
        <v>32</v>
      </c>
      <c r="AJ548" s="125" t="s">
        <v>32</v>
      </c>
      <c r="AK548" s="125" t="s">
        <v>32</v>
      </c>
      <c r="AL548" s="125" t="s">
        <v>32</v>
      </c>
      <c r="AM548" s="125" t="s">
        <v>32</v>
      </c>
      <c r="AN548" s="125" t="s">
        <v>32</v>
      </c>
      <c r="AO548" s="125" t="s">
        <v>32</v>
      </c>
      <c r="AP548" s="125" t="s">
        <v>32</v>
      </c>
      <c r="AQ548" s="125" t="s">
        <v>32</v>
      </c>
      <c r="AR548" s="125" t="s">
        <v>32</v>
      </c>
    </row>
    <row r="549" spans="1:17" ht="12.75">
      <c r="A549" s="144" t="s">
        <v>0</v>
      </c>
      <c r="B549" s="144" t="s">
        <v>0</v>
      </c>
      <c r="C549" s="144" t="s">
        <v>0</v>
      </c>
      <c r="D549" s="144" t="s">
        <v>0</v>
      </c>
      <c r="E549" s="144" t="s">
        <v>0</v>
      </c>
      <c r="F549" s="144" t="s">
        <v>0</v>
      </c>
      <c r="G549" s="144" t="s">
        <v>0</v>
      </c>
      <c r="H549" s="144" t="s">
        <v>0</v>
      </c>
      <c r="I549" s="144" t="s">
        <v>0</v>
      </c>
      <c r="J549" s="144" t="s">
        <v>0</v>
      </c>
      <c r="K549" s="144" t="s">
        <v>0</v>
      </c>
      <c r="L549" s="144" t="s">
        <v>0</v>
      </c>
      <c r="M549" s="144" t="s">
        <v>0</v>
      </c>
      <c r="N549" s="145"/>
      <c r="O549" s="122"/>
      <c r="P549" s="122"/>
      <c r="Q549" s="122"/>
    </row>
    <row r="550" spans="1:33" ht="12.75">
      <c r="A550" s="122"/>
      <c r="B550" s="122"/>
      <c r="C550" s="122"/>
      <c r="D550" s="156" t="s">
        <v>15</v>
      </c>
      <c r="E550" s="122" t="str">
        <f>$C$35</f>
        <v>GS-RES.</v>
      </c>
      <c r="F550" s="122" t="str">
        <f>$C$36</f>
        <v>GS-OTHER</v>
      </c>
      <c r="G550" s="122" t="str">
        <f>$C$37</f>
        <v>IUS</v>
      </c>
      <c r="H550" s="122" t="str">
        <f>$C$38</f>
        <v>DS-ML/SC</v>
      </c>
      <c r="I550" s="122" t="str">
        <f>$C$39</f>
        <v>DS/IS/SS</v>
      </c>
      <c r="J550" s="122" t="str">
        <f>$C$40</f>
        <v>NOT USED</v>
      </c>
      <c r="K550" s="122" t="str">
        <f>$C$41</f>
        <v>NOT USED</v>
      </c>
      <c r="L550" s="122" t="str">
        <f>$C$42</f>
        <v>NOT USED</v>
      </c>
      <c r="M550" s="122" t="str">
        <f>$C$43</f>
        <v>NOT USED</v>
      </c>
      <c r="N550" s="145"/>
      <c r="O550" s="122"/>
      <c r="P550" s="122"/>
      <c r="Q550" s="122"/>
      <c r="AE550" s="123">
        <v>1</v>
      </c>
      <c r="AG550" s="123" t="str">
        <f>A404</f>
        <v>CUSTOMER ACCOUNTS</v>
      </c>
    </row>
    <row r="551" spans="1:17" ht="12.75">
      <c r="A551" s="122" t="s">
        <v>378</v>
      </c>
      <c r="B551" s="145" t="s">
        <v>379</v>
      </c>
      <c r="C551" s="145"/>
      <c r="D551" s="186">
        <f>SUM(E551:M551)</f>
        <v>0.9999999999999999</v>
      </c>
      <c r="E551" s="187">
        <f>Services!M21</f>
        <v>0.897834990707549</v>
      </c>
      <c r="F551" s="187">
        <f>Services!Q21</f>
        <v>0.09952447567799333</v>
      </c>
      <c r="G551" s="187">
        <f>Services!U21</f>
        <v>1.34228088764726E-05</v>
      </c>
      <c r="H551" s="187">
        <f>Services!Y21</f>
        <v>0</v>
      </c>
      <c r="I551" s="187">
        <f>Services!AC21</f>
        <v>0.0026271108055811437</v>
      </c>
      <c r="J551" s="187">
        <v>0</v>
      </c>
      <c r="K551" s="187">
        <v>0</v>
      </c>
      <c r="L551" s="187">
        <v>0</v>
      </c>
      <c r="M551" s="187">
        <v>0</v>
      </c>
      <c r="N551" s="145"/>
      <c r="O551" s="122"/>
      <c r="P551" s="122"/>
      <c r="Q551" s="122"/>
    </row>
    <row r="552" spans="1:44" ht="12.75">
      <c r="A552" s="122" t="s">
        <v>380</v>
      </c>
      <c r="B552" s="145" t="s">
        <v>381</v>
      </c>
      <c r="C552" s="145"/>
      <c r="D552" s="186">
        <f>SUM(E552:M552)</f>
        <v>1</v>
      </c>
      <c r="E552" s="187">
        <f>Meters!C44</f>
        <v>0.6220120513543796</v>
      </c>
      <c r="F552" s="187">
        <f>Meters!D44</f>
        <v>0.3592877116793314</v>
      </c>
      <c r="G552" s="187">
        <f>Meters!E44</f>
        <v>0.00024017404679390158</v>
      </c>
      <c r="H552" s="187">
        <f>Meters!F44</f>
        <v>0.001182310631292647</v>
      </c>
      <c r="I552" s="187">
        <f>Meters!G44</f>
        <v>0.017277752288202483</v>
      </c>
      <c r="J552" s="187">
        <f>Meters!H44</f>
        <v>0</v>
      </c>
      <c r="K552" s="187">
        <v>0</v>
      </c>
      <c r="L552" s="187">
        <v>0</v>
      </c>
      <c r="M552" s="187">
        <v>0</v>
      </c>
      <c r="N552" s="145"/>
      <c r="O552" s="122"/>
      <c r="P552" s="122"/>
      <c r="Q552" s="122"/>
      <c r="AE552" s="123">
        <f>AE550+1</f>
        <v>2</v>
      </c>
      <c r="AF552" s="123" t="str">
        <f aca="true" t="shared" si="366" ref="AF552:AI553">A405</f>
        <v>901</v>
      </c>
      <c r="AG552" s="123" t="str">
        <f t="shared" si="366"/>
        <v>SUPERVISION</v>
      </c>
      <c r="AH552" s="123">
        <f t="shared" si="366"/>
        <v>6</v>
      </c>
      <c r="AI552" s="123">
        <f t="shared" si="366"/>
        <v>258</v>
      </c>
      <c r="AJ552" s="123">
        <f aca="true" t="shared" si="367" ref="AJ552:AJ560">ROUND((VLOOKUP($AH552,$A$661:$Y$709,13)*$AI552),0)</f>
        <v>231</v>
      </c>
      <c r="AK552" s="123">
        <f aca="true" t="shared" si="368" ref="AK552:AK560">ROUND((VLOOKUP($AH552,$A$661:$Y$709,14)*$AI552),0)</f>
        <v>27</v>
      </c>
      <c r="AL552" s="123">
        <f aca="true" t="shared" si="369" ref="AL552:AL560">ROUND((VLOOKUP($AH552,$A$661:$Y$709,15)*$AI552),0)</f>
        <v>0</v>
      </c>
      <c r="AM552" s="123">
        <f aca="true" t="shared" si="370" ref="AM552:AM560">ROUND((VLOOKUP($AH552,$A$661:$Y$709,16)*$AI552),0)</f>
        <v>0</v>
      </c>
      <c r="AN552" s="123">
        <f aca="true" t="shared" si="371" ref="AN552:AN560">ROUND((VLOOKUP($AH552,$A$661:$Y$709,17)*$AI552),0)</f>
        <v>0</v>
      </c>
      <c r="AO552" s="123">
        <f aca="true" t="shared" si="372" ref="AO552:AO560">ROUND((VLOOKUP($AH552,$A$661:$Y$709,18)*$AI552),0)</f>
        <v>0</v>
      </c>
      <c r="AP552" s="123">
        <f aca="true" t="shared" si="373" ref="AP552:AP560">ROUND((VLOOKUP($AH552,$A$661:$Y$709,19)*$AI552),0)</f>
        <v>0</v>
      </c>
      <c r="AQ552" s="123">
        <f aca="true" t="shared" si="374" ref="AQ552:AQ560">ROUND((VLOOKUP($AH552,$A$661:$Y$709,20)*$AI552),0)</f>
        <v>0</v>
      </c>
      <c r="AR552" s="123">
        <f>ROUND((VLOOKUP($AH552,$A$661:$Y$709,21)*$AI552),0)</f>
        <v>0</v>
      </c>
    </row>
    <row r="553" spans="1:44" ht="12.75">
      <c r="A553" s="122" t="s">
        <v>382</v>
      </c>
      <c r="B553" s="145" t="s">
        <v>383</v>
      </c>
      <c r="C553" s="145"/>
      <c r="D553" s="186">
        <f>SUM(E553:M553)</f>
        <v>1</v>
      </c>
      <c r="E553" s="187">
        <f>'Reg. Sta'!C30</f>
        <v>0</v>
      </c>
      <c r="F553" s="187">
        <f>'Reg. Sta'!D30</f>
        <v>0.5490196950833574</v>
      </c>
      <c r="G553" s="187">
        <f>'Reg. Sta'!E30</f>
        <v>0.007843161755117059</v>
      </c>
      <c r="H553" s="187">
        <f>'Reg. Sta'!F30</f>
        <v>0.027450984754167865</v>
      </c>
      <c r="I553" s="187">
        <f>'Reg. Sta'!G30</f>
        <v>0.41568615840735773</v>
      </c>
      <c r="J553" s="187">
        <f>'Reg. Sta'!H30</f>
        <v>0</v>
      </c>
      <c r="K553" s="187">
        <f>'Reg. Sta'!I30</f>
        <v>0</v>
      </c>
      <c r="L553" s="187">
        <f>'Reg. Sta'!J30</f>
        <v>0</v>
      </c>
      <c r="M553" s="187">
        <f>'Reg. Sta'!K30</f>
        <v>0</v>
      </c>
      <c r="N553" s="145"/>
      <c r="O553" s="122"/>
      <c r="P553" s="122"/>
      <c r="Q553" s="122"/>
      <c r="AE553" s="123">
        <f aca="true" t="shared" si="375" ref="AE553:AE561">AE552+1</f>
        <v>3</v>
      </c>
      <c r="AF553" s="123" t="str">
        <f t="shared" si="366"/>
        <v>902</v>
      </c>
      <c r="AG553" s="123" t="str">
        <f t="shared" si="366"/>
        <v>METER READING</v>
      </c>
      <c r="AH553" s="123">
        <f t="shared" si="366"/>
        <v>6</v>
      </c>
      <c r="AI553" s="123">
        <f t="shared" si="366"/>
        <v>973496</v>
      </c>
      <c r="AJ553" s="123">
        <f t="shared" si="367"/>
        <v>870967</v>
      </c>
      <c r="AK553" s="123">
        <f t="shared" si="368"/>
        <v>101906</v>
      </c>
      <c r="AL553" s="123">
        <f t="shared" si="369"/>
        <v>10</v>
      </c>
      <c r="AM553" s="123">
        <f t="shared" si="370"/>
        <v>39</v>
      </c>
      <c r="AN553" s="123">
        <f t="shared" si="371"/>
        <v>574</v>
      </c>
      <c r="AO553" s="123">
        <f t="shared" si="372"/>
        <v>0</v>
      </c>
      <c r="AP553" s="123">
        <f t="shared" si="373"/>
        <v>0</v>
      </c>
      <c r="AQ553" s="123">
        <f t="shared" si="374"/>
        <v>0</v>
      </c>
      <c r="AR553" s="123">
        <f>ROUND((VLOOKUP($AH553,$A$661:$Y$709,21)*$AI553),0)</f>
        <v>0</v>
      </c>
    </row>
    <row r="554" spans="1:44" ht="12.75">
      <c r="A554" s="122" t="s">
        <v>384</v>
      </c>
      <c r="B554" s="145" t="s">
        <v>385</v>
      </c>
      <c r="C554" s="145"/>
      <c r="D554" s="186">
        <f>SUM(E554:M554)</f>
        <v>1</v>
      </c>
      <c r="E554" s="187">
        <f>'Min Syst - Mains'!M15</f>
        <v>0.7241127885175112</v>
      </c>
      <c r="F554" s="187">
        <f>'Min Syst - Mains'!M17</f>
        <v>0.16185236629478034</v>
      </c>
      <c r="G554" s="187">
        <f>'Min Syst - Mains'!M19</f>
        <v>0.0004100039752196456</v>
      </c>
      <c r="H554" s="187">
        <f>'Min Syst - Mains'!M21</f>
        <v>0</v>
      </c>
      <c r="I554" s="187">
        <f>'Min Syst - Mains'!M23</f>
        <v>0.11362484121248886</v>
      </c>
      <c r="J554" s="187">
        <v>0</v>
      </c>
      <c r="K554" s="187">
        <v>0</v>
      </c>
      <c r="L554" s="187">
        <v>0</v>
      </c>
      <c r="M554" s="187">
        <v>0</v>
      </c>
      <c r="N554" s="145"/>
      <c r="O554" s="122"/>
      <c r="P554" s="122"/>
      <c r="Q554" s="122"/>
      <c r="AE554" s="123">
        <f t="shared" si="375"/>
        <v>4</v>
      </c>
      <c r="AF554" s="123" t="str">
        <f>A407</f>
        <v>903</v>
      </c>
      <c r="AG554" s="123" t="str">
        <f>B407</f>
        <v>CUSTOMER RECORDS &amp; COLLECTIONS</v>
      </c>
      <c r="AH554" s="123">
        <f>C407</f>
        <v>6</v>
      </c>
      <c r="AI554" s="123">
        <f>D407</f>
        <v>429335</v>
      </c>
      <c r="AJ554" s="123">
        <f t="shared" si="367"/>
        <v>384117</v>
      </c>
      <c r="AK554" s="123">
        <f t="shared" si="368"/>
        <v>44943</v>
      </c>
      <c r="AL554" s="123">
        <f t="shared" si="369"/>
        <v>4</v>
      </c>
      <c r="AM554" s="123">
        <f t="shared" si="370"/>
        <v>17</v>
      </c>
      <c r="AN554" s="123">
        <f t="shared" si="371"/>
        <v>253</v>
      </c>
      <c r="AO554" s="123">
        <f t="shared" si="372"/>
        <v>0</v>
      </c>
      <c r="AP554" s="123">
        <f t="shared" si="373"/>
        <v>0</v>
      </c>
      <c r="AQ554" s="123">
        <f t="shared" si="374"/>
        <v>0</v>
      </c>
      <c r="AR554" s="123">
        <f>ROUND((VLOOKUP($AH554,$A$661:$Y$709,21)*$AI554),0)</f>
        <v>0</v>
      </c>
    </row>
    <row r="555" spans="1:44" ht="12.75">
      <c r="A555" s="122" t="s">
        <v>386</v>
      </c>
      <c r="B555" s="145"/>
      <c r="C555" s="145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AE555" s="123">
        <f t="shared" si="375"/>
        <v>5</v>
      </c>
      <c r="AF555" s="123" t="str">
        <f aca="true" t="shared" si="376" ref="AF555:AG560">A409</f>
        <v>904</v>
      </c>
      <c r="AG555" s="123" t="str">
        <f t="shared" si="376"/>
        <v>UNCOLLECTIBLE ACCOUNTS</v>
      </c>
      <c r="AH555" s="123">
        <f>C409</f>
        <v>6</v>
      </c>
      <c r="AI555" s="123">
        <f>D409</f>
        <v>1646995</v>
      </c>
      <c r="AJ555" s="123">
        <f t="shared" si="367"/>
        <v>1473533</v>
      </c>
      <c r="AK555" s="123">
        <f t="shared" si="368"/>
        <v>172407</v>
      </c>
      <c r="AL555" s="123">
        <f t="shared" si="369"/>
        <v>16</v>
      </c>
      <c r="AM555" s="123">
        <f t="shared" si="370"/>
        <v>66</v>
      </c>
      <c r="AN555" s="123">
        <f t="shared" si="371"/>
        <v>972</v>
      </c>
      <c r="AO555" s="123">
        <f t="shared" si="372"/>
        <v>0</v>
      </c>
      <c r="AP555" s="123">
        <f t="shared" si="373"/>
        <v>0</v>
      </c>
      <c r="AQ555" s="123">
        <f t="shared" si="374"/>
        <v>0</v>
      </c>
      <c r="AR555" s="123">
        <f>M409</f>
        <v>0</v>
      </c>
    </row>
    <row r="556" spans="1:44" ht="12.75">
      <c r="A556" s="122"/>
      <c r="B556" s="145"/>
      <c r="C556" s="145"/>
      <c r="D556" s="186"/>
      <c r="E556" s="186"/>
      <c r="F556" s="186"/>
      <c r="G556" s="186"/>
      <c r="H556" s="186"/>
      <c r="I556" s="186"/>
      <c r="J556" s="186"/>
      <c r="K556" s="186"/>
      <c r="M556" s="186"/>
      <c r="N556" s="122"/>
      <c r="O556" s="122"/>
      <c r="P556" s="122"/>
      <c r="Q556" s="122"/>
      <c r="AE556" s="123">
        <f t="shared" si="375"/>
        <v>6</v>
      </c>
      <c r="AF556" s="123" t="str">
        <f t="shared" si="376"/>
        <v>905</v>
      </c>
      <c r="AG556" s="123" t="str">
        <f t="shared" si="376"/>
        <v>MISC.</v>
      </c>
      <c r="AH556" s="123">
        <f aca="true" t="shared" si="377" ref="AH556:AI560">C410</f>
        <v>6</v>
      </c>
      <c r="AI556" s="123">
        <f t="shared" si="377"/>
        <v>5345</v>
      </c>
      <c r="AJ556" s="123">
        <f t="shared" si="367"/>
        <v>4782</v>
      </c>
      <c r="AK556" s="123">
        <f t="shared" si="368"/>
        <v>560</v>
      </c>
      <c r="AL556" s="123">
        <f t="shared" si="369"/>
        <v>0</v>
      </c>
      <c r="AM556" s="123">
        <f t="shared" si="370"/>
        <v>0</v>
      </c>
      <c r="AN556" s="123">
        <f t="shared" si="371"/>
        <v>3</v>
      </c>
      <c r="AO556" s="123">
        <f t="shared" si="372"/>
        <v>0</v>
      </c>
      <c r="AP556" s="123">
        <f t="shared" si="373"/>
        <v>0</v>
      </c>
      <c r="AQ556" s="123">
        <f t="shared" si="374"/>
        <v>0</v>
      </c>
      <c r="AR556" s="123">
        <f>ROUND((VLOOKUP($AH556,$A$661:$Y$709,21)*$AI556),0)</f>
        <v>0</v>
      </c>
    </row>
    <row r="557" spans="1:44" ht="12.75">
      <c r="A557" s="122" t="s">
        <v>387</v>
      </c>
      <c r="B557" s="122"/>
      <c r="C557" s="122"/>
      <c r="D557" s="187">
        <f>'Min Syst - Mains'!I13</f>
        <v>0.6347</v>
      </c>
      <c r="E557" s="186"/>
      <c r="F557" s="186"/>
      <c r="G557" s="186"/>
      <c r="H557" s="186"/>
      <c r="I557" s="186"/>
      <c r="J557" s="186"/>
      <c r="K557" s="186"/>
      <c r="M557" s="186"/>
      <c r="N557" s="122"/>
      <c r="O557" s="122"/>
      <c r="P557" s="122"/>
      <c r="Q557" s="122"/>
      <c r="AE557" s="123">
        <f t="shared" si="375"/>
        <v>7</v>
      </c>
      <c r="AF557" s="123" t="str">
        <f t="shared" si="376"/>
        <v>920</v>
      </c>
      <c r="AG557" s="123" t="str">
        <f t="shared" si="376"/>
        <v>SALARIES</v>
      </c>
      <c r="AH557" s="123">
        <f t="shared" si="377"/>
        <v>6</v>
      </c>
      <c r="AI557" s="123">
        <f t="shared" si="377"/>
        <v>0</v>
      </c>
      <c r="AJ557" s="123">
        <f t="shared" si="367"/>
        <v>0</v>
      </c>
      <c r="AK557" s="123">
        <f t="shared" si="368"/>
        <v>0</v>
      </c>
      <c r="AL557" s="123">
        <f t="shared" si="369"/>
        <v>0</v>
      </c>
      <c r="AM557" s="123">
        <f t="shared" si="370"/>
        <v>0</v>
      </c>
      <c r="AN557" s="123">
        <f t="shared" si="371"/>
        <v>0</v>
      </c>
      <c r="AO557" s="123">
        <f t="shared" si="372"/>
        <v>0</v>
      </c>
      <c r="AP557" s="123">
        <f t="shared" si="373"/>
        <v>0</v>
      </c>
      <c r="AQ557" s="123">
        <f t="shared" si="374"/>
        <v>0</v>
      </c>
      <c r="AR557" s="123">
        <f>ROUND((VLOOKUP($AH557,$A$661:$Y$709,21)*$AI557),0)</f>
        <v>0</v>
      </c>
    </row>
    <row r="558" spans="1:44" ht="12.75">
      <c r="A558" s="122" t="s">
        <v>388</v>
      </c>
      <c r="B558" s="122"/>
      <c r="C558" s="122"/>
      <c r="D558" s="187">
        <f>Services!M39</f>
        <v>0.9939925543249872</v>
      </c>
      <c r="E558" s="186"/>
      <c r="F558" s="186"/>
      <c r="G558" s="186"/>
      <c r="H558" s="186"/>
      <c r="I558" s="186"/>
      <c r="J558" s="186"/>
      <c r="K558" s="186"/>
      <c r="M558" s="186"/>
      <c r="N558" s="122"/>
      <c r="O558" s="122"/>
      <c r="P558" s="122"/>
      <c r="Q558" s="122"/>
      <c r="AE558" s="123">
        <f t="shared" si="375"/>
        <v>8</v>
      </c>
      <c r="AF558" s="123" t="str">
        <f t="shared" si="376"/>
        <v>921</v>
      </c>
      <c r="AG558" s="123" t="str">
        <f t="shared" si="376"/>
        <v>OFFICE SUPPLIES AND EXPENSE</v>
      </c>
      <c r="AH558" s="123">
        <f t="shared" si="377"/>
        <v>6</v>
      </c>
      <c r="AI558" s="123">
        <f t="shared" si="377"/>
        <v>521</v>
      </c>
      <c r="AJ558" s="123">
        <f t="shared" si="367"/>
        <v>466</v>
      </c>
      <c r="AK558" s="123">
        <f t="shared" si="368"/>
        <v>55</v>
      </c>
      <c r="AL558" s="123">
        <f t="shared" si="369"/>
        <v>0</v>
      </c>
      <c r="AM558" s="123">
        <f t="shared" si="370"/>
        <v>0</v>
      </c>
      <c r="AN558" s="123">
        <f t="shared" si="371"/>
        <v>0</v>
      </c>
      <c r="AO558" s="123">
        <f t="shared" si="372"/>
        <v>0</v>
      </c>
      <c r="AP558" s="123">
        <f t="shared" si="373"/>
        <v>0</v>
      </c>
      <c r="AQ558" s="123">
        <f t="shared" si="374"/>
        <v>0</v>
      </c>
      <c r="AR558" s="123">
        <f>ROUND((VLOOKUP($AH558,$A$661:$Y$709,21)*$AI558),0)</f>
        <v>0</v>
      </c>
    </row>
    <row r="559" spans="1:44" ht="12.75">
      <c r="A559" s="122"/>
      <c r="B559" s="122"/>
      <c r="C559" s="188"/>
      <c r="D559" s="189"/>
      <c r="E559" s="188"/>
      <c r="F559" s="145"/>
      <c r="G559" s="122"/>
      <c r="H559" s="122"/>
      <c r="I559" s="122"/>
      <c r="J559" s="122"/>
      <c r="K559" s="122"/>
      <c r="M559" s="122"/>
      <c r="N559" s="122"/>
      <c r="O559" s="122"/>
      <c r="P559" s="122"/>
      <c r="Q559" s="122"/>
      <c r="AE559" s="123">
        <f t="shared" si="375"/>
        <v>9</v>
      </c>
      <c r="AF559" s="123" t="str">
        <f t="shared" si="376"/>
        <v>931</v>
      </c>
      <c r="AG559" s="123" t="str">
        <f t="shared" si="376"/>
        <v>RENTS</v>
      </c>
      <c r="AH559" s="123">
        <f t="shared" si="377"/>
        <v>6</v>
      </c>
      <c r="AI559" s="123">
        <f t="shared" si="377"/>
        <v>0</v>
      </c>
      <c r="AJ559" s="123">
        <f t="shared" si="367"/>
        <v>0</v>
      </c>
      <c r="AK559" s="123">
        <f t="shared" si="368"/>
        <v>0</v>
      </c>
      <c r="AL559" s="123">
        <f t="shared" si="369"/>
        <v>0</v>
      </c>
      <c r="AM559" s="123">
        <f t="shared" si="370"/>
        <v>0</v>
      </c>
      <c r="AN559" s="123">
        <f t="shared" si="371"/>
        <v>0</v>
      </c>
      <c r="AO559" s="123">
        <f t="shared" si="372"/>
        <v>0</v>
      </c>
      <c r="AP559" s="123">
        <f t="shared" si="373"/>
        <v>0</v>
      </c>
      <c r="AQ559" s="123">
        <f t="shared" si="374"/>
        <v>0</v>
      </c>
      <c r="AR559" s="123">
        <f>ROUND((VLOOKUP($AH559,$A$661:$Y$709,21)*$AI559),0)</f>
        <v>0</v>
      </c>
    </row>
    <row r="560" spans="1:44" ht="12.75">
      <c r="A560" s="190" t="s">
        <v>700</v>
      </c>
      <c r="C560" s="191" t="s">
        <v>119</v>
      </c>
      <c r="D560" s="192" t="s">
        <v>701</v>
      </c>
      <c r="E560" s="193" t="s">
        <v>702</v>
      </c>
      <c r="F560" s="192" t="s">
        <v>12</v>
      </c>
      <c r="G560" s="144"/>
      <c r="H560" s="144"/>
      <c r="I560" s="144"/>
      <c r="J560" s="144"/>
      <c r="K560" s="144"/>
      <c r="L560" s="144"/>
      <c r="M560" s="144"/>
      <c r="N560" s="122"/>
      <c r="O560" s="122"/>
      <c r="P560" s="122"/>
      <c r="Q560" s="122"/>
      <c r="AE560" s="123">
        <f t="shared" si="375"/>
        <v>10</v>
      </c>
      <c r="AF560" s="123" t="str">
        <f t="shared" si="376"/>
        <v>935</v>
      </c>
      <c r="AG560" s="123" t="str">
        <f t="shared" si="376"/>
        <v>GENERAL PLANT MAINTENANCE</v>
      </c>
      <c r="AH560" s="123">
        <f t="shared" si="377"/>
        <v>6</v>
      </c>
      <c r="AI560" s="141">
        <f t="shared" si="377"/>
        <v>397</v>
      </c>
      <c r="AJ560" s="141">
        <f t="shared" si="367"/>
        <v>355</v>
      </c>
      <c r="AK560" s="141">
        <f t="shared" si="368"/>
        <v>42</v>
      </c>
      <c r="AL560" s="141">
        <f t="shared" si="369"/>
        <v>0</v>
      </c>
      <c r="AM560" s="141">
        <f t="shared" si="370"/>
        <v>0</v>
      </c>
      <c r="AN560" s="141">
        <f t="shared" si="371"/>
        <v>0</v>
      </c>
      <c r="AO560" s="141">
        <f t="shared" si="372"/>
        <v>0</v>
      </c>
      <c r="AP560" s="141">
        <f t="shared" si="373"/>
        <v>0</v>
      </c>
      <c r="AQ560" s="141">
        <f t="shared" si="374"/>
        <v>0</v>
      </c>
      <c r="AR560" s="141">
        <f>ROUND((VLOOKUP($AH560,$A$661:$Y$709,21)*$AI560),0)</f>
        <v>0</v>
      </c>
    </row>
    <row r="561" spans="1:44" ht="12.75">
      <c r="A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AE561" s="123">
        <f t="shared" si="375"/>
        <v>11</v>
      </c>
      <c r="AG561" s="123" t="s">
        <v>346</v>
      </c>
      <c r="AI561" s="123">
        <f aca="true" t="shared" si="378" ref="AI561:AR561">SUM(AI552:AI560)</f>
        <v>3056347</v>
      </c>
      <c r="AJ561" s="123">
        <f t="shared" si="378"/>
        <v>2734451</v>
      </c>
      <c r="AK561" s="123">
        <f t="shared" si="378"/>
        <v>319940</v>
      </c>
      <c r="AL561" s="123">
        <f t="shared" si="378"/>
        <v>30</v>
      </c>
      <c r="AM561" s="123">
        <f t="shared" si="378"/>
        <v>122</v>
      </c>
      <c r="AN561" s="123">
        <f t="shared" si="378"/>
        <v>1802</v>
      </c>
      <c r="AO561" s="123">
        <f t="shared" si="378"/>
        <v>0</v>
      </c>
      <c r="AP561" s="123">
        <f t="shared" si="378"/>
        <v>0</v>
      </c>
      <c r="AQ561" s="123">
        <f t="shared" si="378"/>
        <v>0</v>
      </c>
      <c r="AR561" s="123">
        <f t="shared" si="378"/>
        <v>0</v>
      </c>
    </row>
    <row r="562" spans="1:17" ht="12.75">
      <c r="A562" s="123" t="s">
        <v>848</v>
      </c>
      <c r="B562" s="194" t="s">
        <v>715</v>
      </c>
      <c r="C562" s="123">
        <v>903</v>
      </c>
      <c r="D562" s="125" t="s">
        <v>703</v>
      </c>
      <c r="E562" s="179">
        <v>-60454</v>
      </c>
      <c r="F562" s="123">
        <f>SUM(E562)</f>
        <v>-60454</v>
      </c>
      <c r="G562" s="144"/>
      <c r="H562" s="144"/>
      <c r="I562" s="144"/>
      <c r="J562" s="144"/>
      <c r="K562" s="144"/>
      <c r="L562" s="144"/>
      <c r="M562" s="144"/>
      <c r="N562" s="122"/>
      <c r="O562" s="122"/>
      <c r="P562" s="122"/>
      <c r="Q562" s="122"/>
    </row>
    <row r="563" spans="1:33" ht="12.75">
      <c r="A563" s="122"/>
      <c r="C563" s="122"/>
      <c r="D563" s="125"/>
      <c r="E563" s="179"/>
      <c r="O563" s="122"/>
      <c r="P563" s="122"/>
      <c r="Q563" s="122"/>
      <c r="AE563" s="123">
        <f>AE561+1</f>
        <v>12</v>
      </c>
      <c r="AG563" s="123" t="str">
        <f>A415</f>
        <v>CUSTOMER SERVICE &amp; INFORMATIONAL</v>
      </c>
    </row>
    <row r="564" spans="1:17" ht="12.75">
      <c r="A564" s="123" t="s">
        <v>710</v>
      </c>
      <c r="B564" s="194" t="s">
        <v>716</v>
      </c>
      <c r="C564" s="123">
        <v>928</v>
      </c>
      <c r="D564" s="184" t="s">
        <v>703</v>
      </c>
      <c r="E564" s="179">
        <v>-3001</v>
      </c>
      <c r="F564" s="123">
        <f>SUM(E564)</f>
        <v>-3001</v>
      </c>
      <c r="G564" s="122"/>
      <c r="H564" s="122"/>
      <c r="I564" s="122"/>
      <c r="J564" s="122"/>
      <c r="K564" s="122"/>
      <c r="L564" s="122"/>
      <c r="M564" s="122"/>
      <c r="O564" s="122"/>
      <c r="P564" s="122"/>
      <c r="Q564" s="122"/>
    </row>
    <row r="565" spans="3:44" ht="12.75">
      <c r="C565" s="145"/>
      <c r="D565" s="184"/>
      <c r="E565" s="148"/>
      <c r="F565" s="145"/>
      <c r="G565" s="145"/>
      <c r="H565" s="145"/>
      <c r="I565" s="145"/>
      <c r="J565" s="122"/>
      <c r="K565" s="122"/>
      <c r="L565" s="122"/>
      <c r="M565" s="122"/>
      <c r="O565" s="122"/>
      <c r="P565" s="122"/>
      <c r="Q565" s="122"/>
      <c r="AE565" s="123">
        <f>AE563+1</f>
        <v>13</v>
      </c>
      <c r="AF565" s="123" t="str">
        <f>A416</f>
        <v>907</v>
      </c>
      <c r="AG565" s="123" t="str">
        <f>B416</f>
        <v>SUPERVISION</v>
      </c>
      <c r="AH565" s="123">
        <f>C416</f>
        <v>6</v>
      </c>
      <c r="AI565" s="123">
        <f>D416</f>
        <v>19675</v>
      </c>
      <c r="AJ565" s="123">
        <f aca="true" t="shared" si="379" ref="AJ565:AJ572">ROUND((VLOOKUP($AH565,$A$661:$Y$709,13)*$AI565),0)</f>
        <v>17603</v>
      </c>
      <c r="AK565" s="123">
        <f aca="true" t="shared" si="380" ref="AK565:AK572">ROUND((VLOOKUP($AH565,$A$661:$Y$709,14)*$AI565),0)</f>
        <v>2060</v>
      </c>
      <c r="AL565" s="123">
        <f aca="true" t="shared" si="381" ref="AL565:AL572">ROUND((VLOOKUP($AH565,$A$661:$Y$709,15)*$AI565),0)</f>
        <v>0</v>
      </c>
      <c r="AM565" s="123">
        <f aca="true" t="shared" si="382" ref="AM565:AM572">ROUND((VLOOKUP($AH565,$A$661:$Y$709,16)*$AI565),0)</f>
        <v>1</v>
      </c>
      <c r="AN565" s="123">
        <f aca="true" t="shared" si="383" ref="AN565:AN572">ROUND((VLOOKUP($AH565,$A$661:$Y$709,17)*$AI565),0)</f>
        <v>12</v>
      </c>
      <c r="AO565" s="123">
        <f aca="true" t="shared" si="384" ref="AO565:AO572">ROUND((VLOOKUP($AH565,$A$661:$Y$709,18)*$AI565),0)</f>
        <v>0</v>
      </c>
      <c r="AP565" s="123">
        <f aca="true" t="shared" si="385" ref="AP565:AP572">ROUND((VLOOKUP($AH565,$A$661:$Y$709,19)*$AI565),0)</f>
        <v>0</v>
      </c>
      <c r="AQ565" s="123">
        <f aca="true" t="shared" si="386" ref="AQ565:AQ572">ROUND((VLOOKUP($AH565,$A$661:$Y$709,20)*$AI565),0)</f>
        <v>0</v>
      </c>
      <c r="AR565" s="123">
        <f aca="true" t="shared" si="387" ref="AR565:AR572">ROUND((VLOOKUP($AH565,$A$661:$Y$709,21)*$AI565),0)</f>
        <v>0</v>
      </c>
    </row>
    <row r="566" spans="1:44" ht="12.75">
      <c r="A566" s="123" t="s">
        <v>704</v>
      </c>
      <c r="B566" s="194" t="s">
        <v>717</v>
      </c>
      <c r="C566" s="145">
        <v>912</v>
      </c>
      <c r="D566" s="184" t="s">
        <v>703</v>
      </c>
      <c r="E566" s="148">
        <v>0</v>
      </c>
      <c r="F566" s="145"/>
      <c r="G566" s="145"/>
      <c r="H566" s="145"/>
      <c r="I566" s="145"/>
      <c r="J566" s="122"/>
      <c r="K566" s="122"/>
      <c r="L566" s="122"/>
      <c r="M566" s="122"/>
      <c r="O566" s="122"/>
      <c r="P566" s="122"/>
      <c r="Q566" s="122"/>
      <c r="AE566" s="123">
        <f aca="true" t="shared" si="388" ref="AE566:AE572">AE565+1</f>
        <v>14</v>
      </c>
      <c r="AF566" s="123" t="str">
        <f>A418</f>
        <v>908</v>
      </c>
      <c r="AG566" s="123" t="str">
        <f>B418</f>
        <v>CUSTOMER ASSISTANCE</v>
      </c>
      <c r="AH566" s="123">
        <f>C418</f>
        <v>6</v>
      </c>
      <c r="AI566" s="123">
        <f>D418</f>
        <v>23642</v>
      </c>
      <c r="AJ566" s="123">
        <f t="shared" si="379"/>
        <v>21152</v>
      </c>
      <c r="AK566" s="123">
        <f t="shared" si="380"/>
        <v>2475</v>
      </c>
      <c r="AL566" s="123">
        <f t="shared" si="381"/>
        <v>0</v>
      </c>
      <c r="AM566" s="123">
        <f t="shared" si="382"/>
        <v>1</v>
      </c>
      <c r="AN566" s="123">
        <f t="shared" si="383"/>
        <v>14</v>
      </c>
      <c r="AO566" s="123">
        <f t="shared" si="384"/>
        <v>0</v>
      </c>
      <c r="AP566" s="123">
        <f t="shared" si="385"/>
        <v>0</v>
      </c>
      <c r="AQ566" s="123">
        <f t="shared" si="386"/>
        <v>0</v>
      </c>
      <c r="AR566" s="123">
        <f t="shared" si="387"/>
        <v>0</v>
      </c>
    </row>
    <row r="567" spans="2:44" ht="12.75">
      <c r="B567" s="194" t="s">
        <v>718</v>
      </c>
      <c r="C567" s="145">
        <v>913</v>
      </c>
      <c r="D567" s="184"/>
      <c r="E567" s="148">
        <v>0</v>
      </c>
      <c r="F567" s="145"/>
      <c r="G567" s="145"/>
      <c r="H567" s="145"/>
      <c r="I567" s="145"/>
      <c r="J567" s="122"/>
      <c r="K567" s="122"/>
      <c r="L567" s="122"/>
      <c r="M567" s="122"/>
      <c r="O567" s="122"/>
      <c r="P567" s="122"/>
      <c r="Q567" s="122"/>
      <c r="AE567" s="123">
        <f t="shared" si="388"/>
        <v>15</v>
      </c>
      <c r="AF567" s="123" t="str">
        <f aca="true" t="shared" si="389" ref="AF567:AI572">A420</f>
        <v>909</v>
      </c>
      <c r="AG567" s="123" t="str">
        <f t="shared" si="389"/>
        <v>ADVERTISING</v>
      </c>
      <c r="AH567" s="123">
        <f t="shared" si="389"/>
        <v>6</v>
      </c>
      <c r="AI567" s="123">
        <f t="shared" si="389"/>
        <v>0</v>
      </c>
      <c r="AJ567" s="123">
        <f t="shared" si="379"/>
        <v>0</v>
      </c>
      <c r="AK567" s="123">
        <f t="shared" si="380"/>
        <v>0</v>
      </c>
      <c r="AL567" s="123">
        <f t="shared" si="381"/>
        <v>0</v>
      </c>
      <c r="AM567" s="123">
        <f t="shared" si="382"/>
        <v>0</v>
      </c>
      <c r="AN567" s="123">
        <f t="shared" si="383"/>
        <v>0</v>
      </c>
      <c r="AO567" s="123">
        <f t="shared" si="384"/>
        <v>0</v>
      </c>
      <c r="AP567" s="123">
        <f t="shared" si="385"/>
        <v>0</v>
      </c>
      <c r="AQ567" s="123">
        <f t="shared" si="386"/>
        <v>0</v>
      </c>
      <c r="AR567" s="123">
        <f t="shared" si="387"/>
        <v>0</v>
      </c>
    </row>
    <row r="568" spans="2:44" ht="12.75">
      <c r="B568" s="194" t="s">
        <v>719</v>
      </c>
      <c r="C568" s="145">
        <v>880</v>
      </c>
      <c r="D568" s="184"/>
      <c r="E568" s="148">
        <v>0</v>
      </c>
      <c r="F568" s="145"/>
      <c r="G568" s="145"/>
      <c r="H568" s="145"/>
      <c r="I568" s="145"/>
      <c r="J568" s="122"/>
      <c r="K568" s="122"/>
      <c r="L568" s="122"/>
      <c r="M568" s="122"/>
      <c r="O568" s="122"/>
      <c r="P568" s="122"/>
      <c r="Q568" s="122"/>
      <c r="AE568" s="123">
        <f t="shared" si="388"/>
        <v>16</v>
      </c>
      <c r="AF568" s="123" t="str">
        <f t="shared" si="389"/>
        <v>910</v>
      </c>
      <c r="AG568" s="123" t="str">
        <f t="shared" si="389"/>
        <v>MISCELLANEOUS</v>
      </c>
      <c r="AH568" s="123">
        <f t="shared" si="389"/>
        <v>6</v>
      </c>
      <c r="AI568" s="123">
        <f t="shared" si="389"/>
        <v>55</v>
      </c>
      <c r="AJ568" s="123">
        <f t="shared" si="379"/>
        <v>49</v>
      </c>
      <c r="AK568" s="123">
        <f t="shared" si="380"/>
        <v>6</v>
      </c>
      <c r="AL568" s="123">
        <f t="shared" si="381"/>
        <v>0</v>
      </c>
      <c r="AM568" s="123">
        <f t="shared" si="382"/>
        <v>0</v>
      </c>
      <c r="AN568" s="123">
        <f t="shared" si="383"/>
        <v>0</v>
      </c>
      <c r="AO568" s="123">
        <f t="shared" si="384"/>
        <v>0</v>
      </c>
      <c r="AP568" s="123">
        <f t="shared" si="385"/>
        <v>0</v>
      </c>
      <c r="AQ568" s="123">
        <f t="shared" si="386"/>
        <v>0</v>
      </c>
      <c r="AR568" s="123">
        <f t="shared" si="387"/>
        <v>0</v>
      </c>
    </row>
    <row r="569" spans="2:44" ht="12.75">
      <c r="B569" s="194" t="s">
        <v>720</v>
      </c>
      <c r="C569" s="123">
        <v>908</v>
      </c>
      <c r="E569" s="179">
        <v>0</v>
      </c>
      <c r="G569" s="145"/>
      <c r="H569" s="145"/>
      <c r="I569" s="145"/>
      <c r="J569" s="122"/>
      <c r="K569" s="122"/>
      <c r="L569" s="122"/>
      <c r="M569" s="122"/>
      <c r="O569" s="122"/>
      <c r="P569" s="122"/>
      <c r="Q569" s="122"/>
      <c r="AE569" s="123">
        <f t="shared" si="388"/>
        <v>17</v>
      </c>
      <c r="AF569" s="123" t="str">
        <f t="shared" si="389"/>
        <v>920</v>
      </c>
      <c r="AG569" s="123" t="str">
        <f t="shared" si="389"/>
        <v>SALARIES</v>
      </c>
      <c r="AH569" s="123">
        <f t="shared" si="389"/>
        <v>6</v>
      </c>
      <c r="AI569" s="123">
        <f t="shared" si="389"/>
        <v>0</v>
      </c>
      <c r="AJ569" s="123">
        <f t="shared" si="379"/>
        <v>0</v>
      </c>
      <c r="AK569" s="123">
        <f t="shared" si="380"/>
        <v>0</v>
      </c>
      <c r="AL569" s="123">
        <f t="shared" si="381"/>
        <v>0</v>
      </c>
      <c r="AM569" s="123">
        <f t="shared" si="382"/>
        <v>0</v>
      </c>
      <c r="AN569" s="123">
        <f t="shared" si="383"/>
        <v>0</v>
      </c>
      <c r="AO569" s="123">
        <f t="shared" si="384"/>
        <v>0</v>
      </c>
      <c r="AP569" s="123">
        <f t="shared" si="385"/>
        <v>0</v>
      </c>
      <c r="AQ569" s="123">
        <f t="shared" si="386"/>
        <v>0</v>
      </c>
      <c r="AR569" s="123">
        <f t="shared" si="387"/>
        <v>0</v>
      </c>
    </row>
    <row r="570" spans="2:44" ht="12.75">
      <c r="B570" s="194" t="s">
        <v>726</v>
      </c>
      <c r="C570" s="145">
        <v>921</v>
      </c>
      <c r="D570" s="184"/>
      <c r="E570" s="148">
        <v>0</v>
      </c>
      <c r="F570" s="145">
        <f>SUM(E566:E570)</f>
        <v>0</v>
      </c>
      <c r="G570" s="145"/>
      <c r="H570" s="145"/>
      <c r="I570" s="145"/>
      <c r="J570" s="122"/>
      <c r="K570" s="122"/>
      <c r="L570" s="122"/>
      <c r="M570" s="122"/>
      <c r="O570" s="122"/>
      <c r="P570" s="122"/>
      <c r="Q570" s="122"/>
      <c r="AE570" s="123">
        <f t="shared" si="388"/>
        <v>18</v>
      </c>
      <c r="AF570" s="123" t="str">
        <f t="shared" si="389"/>
        <v>921</v>
      </c>
      <c r="AG570" s="123" t="str">
        <f t="shared" si="389"/>
        <v>OFFICE SUPPLIES AND EXPENSE</v>
      </c>
      <c r="AH570" s="123">
        <f t="shared" si="389"/>
        <v>6</v>
      </c>
      <c r="AI570" s="123">
        <f t="shared" si="389"/>
        <v>7172</v>
      </c>
      <c r="AJ570" s="123">
        <f t="shared" si="379"/>
        <v>6417</v>
      </c>
      <c r="AK570" s="123">
        <f t="shared" si="380"/>
        <v>751</v>
      </c>
      <c r="AL570" s="123">
        <f t="shared" si="381"/>
        <v>0</v>
      </c>
      <c r="AM570" s="123">
        <f t="shared" si="382"/>
        <v>0</v>
      </c>
      <c r="AN570" s="123">
        <f t="shared" si="383"/>
        <v>4</v>
      </c>
      <c r="AO570" s="123">
        <f t="shared" si="384"/>
        <v>0</v>
      </c>
      <c r="AP570" s="123">
        <f t="shared" si="385"/>
        <v>0</v>
      </c>
      <c r="AQ570" s="123">
        <f t="shared" si="386"/>
        <v>0</v>
      </c>
      <c r="AR570" s="123">
        <f t="shared" si="387"/>
        <v>0</v>
      </c>
    </row>
    <row r="571" spans="3:44" ht="12.75">
      <c r="C571" s="145"/>
      <c r="D571" s="184"/>
      <c r="E571" s="148"/>
      <c r="F571" s="145"/>
      <c r="G571" s="145"/>
      <c r="H571" s="145"/>
      <c r="I571" s="145"/>
      <c r="J571" s="122"/>
      <c r="K571" s="122"/>
      <c r="L571" s="122"/>
      <c r="M571" s="122"/>
      <c r="O571" s="122"/>
      <c r="P571" s="122"/>
      <c r="Q571" s="122"/>
      <c r="AE571" s="123">
        <f t="shared" si="388"/>
        <v>19</v>
      </c>
      <c r="AF571" s="123" t="str">
        <f t="shared" si="389"/>
        <v>931</v>
      </c>
      <c r="AG571" s="123" t="str">
        <f t="shared" si="389"/>
        <v>RENTS</v>
      </c>
      <c r="AH571" s="123">
        <f t="shared" si="389"/>
        <v>6</v>
      </c>
      <c r="AI571" s="123">
        <f t="shared" si="389"/>
        <v>0</v>
      </c>
      <c r="AJ571" s="123">
        <f t="shared" si="379"/>
        <v>0</v>
      </c>
      <c r="AK571" s="123">
        <f t="shared" si="380"/>
        <v>0</v>
      </c>
      <c r="AL571" s="123">
        <f t="shared" si="381"/>
        <v>0</v>
      </c>
      <c r="AM571" s="123">
        <f t="shared" si="382"/>
        <v>0</v>
      </c>
      <c r="AN571" s="123">
        <f t="shared" si="383"/>
        <v>0</v>
      </c>
      <c r="AO571" s="123">
        <f t="shared" si="384"/>
        <v>0</v>
      </c>
      <c r="AP571" s="123">
        <f t="shared" si="385"/>
        <v>0</v>
      </c>
      <c r="AQ571" s="123">
        <f t="shared" si="386"/>
        <v>0</v>
      </c>
      <c r="AR571" s="123">
        <f t="shared" si="387"/>
        <v>0</v>
      </c>
    </row>
    <row r="572" spans="1:44" ht="12.75">
      <c r="A572" s="123" t="s">
        <v>705</v>
      </c>
      <c r="B572" s="194" t="s">
        <v>721</v>
      </c>
      <c r="C572" s="145">
        <v>928</v>
      </c>
      <c r="D572" s="184" t="s">
        <v>703</v>
      </c>
      <c r="E572" s="148">
        <v>85000</v>
      </c>
      <c r="F572" s="145">
        <f>SUM(E572)</f>
        <v>85000</v>
      </c>
      <c r="G572" s="145"/>
      <c r="H572" s="145"/>
      <c r="I572" s="145"/>
      <c r="J572" s="122"/>
      <c r="K572" s="122"/>
      <c r="L572" s="122"/>
      <c r="M572" s="122"/>
      <c r="O572" s="122"/>
      <c r="P572" s="122"/>
      <c r="Q572" s="122"/>
      <c r="AE572" s="123">
        <f t="shared" si="388"/>
        <v>20</v>
      </c>
      <c r="AF572" s="123" t="str">
        <f t="shared" si="389"/>
        <v>935</v>
      </c>
      <c r="AG572" s="123" t="str">
        <f t="shared" si="389"/>
        <v>GENERAL PLANT MAINTENANCE</v>
      </c>
      <c r="AH572" s="123">
        <f t="shared" si="389"/>
        <v>6</v>
      </c>
      <c r="AI572" s="141">
        <f t="shared" si="389"/>
        <v>-165</v>
      </c>
      <c r="AJ572" s="141">
        <f t="shared" si="379"/>
        <v>-148</v>
      </c>
      <c r="AK572" s="141">
        <f t="shared" si="380"/>
        <v>-17</v>
      </c>
      <c r="AL572" s="141">
        <f t="shared" si="381"/>
        <v>0</v>
      </c>
      <c r="AM572" s="141">
        <f t="shared" si="382"/>
        <v>0</v>
      </c>
      <c r="AN572" s="141">
        <f t="shared" si="383"/>
        <v>0</v>
      </c>
      <c r="AO572" s="141">
        <f t="shared" si="384"/>
        <v>0</v>
      </c>
      <c r="AP572" s="141">
        <f t="shared" si="385"/>
        <v>0</v>
      </c>
      <c r="AQ572" s="141">
        <f t="shared" si="386"/>
        <v>0</v>
      </c>
      <c r="AR572" s="141">
        <f t="shared" si="387"/>
        <v>0</v>
      </c>
    </row>
    <row r="573" spans="3:17" ht="12.75">
      <c r="C573" s="145"/>
      <c r="D573" s="145"/>
      <c r="E573" s="148"/>
      <c r="F573" s="145"/>
      <c r="G573" s="145"/>
      <c r="H573" s="145"/>
      <c r="I573" s="145"/>
      <c r="J573" s="122"/>
      <c r="K573" s="122"/>
      <c r="L573" s="122"/>
      <c r="M573" s="122"/>
      <c r="O573" s="122"/>
      <c r="P573" s="122"/>
      <c r="Q573" s="122"/>
    </row>
    <row r="574" spans="1:44" ht="12.75">
      <c r="A574" s="123" t="s">
        <v>706</v>
      </c>
      <c r="B574" s="194" t="s">
        <v>722</v>
      </c>
      <c r="C574" s="145">
        <v>930</v>
      </c>
      <c r="D574" s="184" t="s">
        <v>391</v>
      </c>
      <c r="E574" s="148">
        <v>70225</v>
      </c>
      <c r="F574" s="145">
        <f>SUM(E574)</f>
        <v>70225</v>
      </c>
      <c r="G574" s="145"/>
      <c r="H574" s="145"/>
      <c r="I574" s="145"/>
      <c r="J574" s="122"/>
      <c r="K574" s="122"/>
      <c r="M574" s="122"/>
      <c r="O574" s="122"/>
      <c r="P574" s="122"/>
      <c r="Q574" s="122"/>
      <c r="AE574" s="123">
        <f>AE572+1</f>
        <v>21</v>
      </c>
      <c r="AG574" s="123" t="s">
        <v>355</v>
      </c>
      <c r="AI574" s="123">
        <f aca="true" t="shared" si="390" ref="AI574:AR574">SUM(AI565:AI572)</f>
        <v>50379</v>
      </c>
      <c r="AJ574" s="123">
        <f t="shared" si="390"/>
        <v>45073</v>
      </c>
      <c r="AK574" s="123">
        <f t="shared" si="390"/>
        <v>5275</v>
      </c>
      <c r="AL574" s="123">
        <f t="shared" si="390"/>
        <v>0</v>
      </c>
      <c r="AM574" s="123">
        <f t="shared" si="390"/>
        <v>2</v>
      </c>
      <c r="AN574" s="123">
        <f t="shared" si="390"/>
        <v>30</v>
      </c>
      <c r="AO574" s="123">
        <f t="shared" si="390"/>
        <v>0</v>
      </c>
      <c r="AP574" s="123">
        <f t="shared" si="390"/>
        <v>0</v>
      </c>
      <c r="AQ574" s="123">
        <f t="shared" si="390"/>
        <v>0</v>
      </c>
      <c r="AR574" s="123">
        <f t="shared" si="390"/>
        <v>0</v>
      </c>
    </row>
    <row r="575" spans="3:17" ht="12.75">
      <c r="C575" s="145"/>
      <c r="D575" s="145"/>
      <c r="E575" s="148"/>
      <c r="F575" s="145"/>
      <c r="G575" s="145"/>
      <c r="H575" s="145"/>
      <c r="I575" s="145"/>
      <c r="J575" s="122"/>
      <c r="K575" s="122"/>
      <c r="L575" s="122"/>
      <c r="O575" s="122"/>
      <c r="P575" s="122"/>
      <c r="Q575" s="122"/>
    </row>
    <row r="576" spans="1:17" ht="12.75">
      <c r="A576" s="123" t="s">
        <v>849</v>
      </c>
      <c r="B576" s="194" t="s">
        <v>722</v>
      </c>
      <c r="C576" s="145">
        <v>920</v>
      </c>
      <c r="D576" s="184" t="s">
        <v>391</v>
      </c>
      <c r="E576" s="148">
        <v>377545</v>
      </c>
      <c r="F576" s="145">
        <f>SUM(E576)</f>
        <v>377545</v>
      </c>
      <c r="J576" s="122"/>
      <c r="K576" s="122"/>
      <c r="L576" s="122"/>
      <c r="O576" s="122"/>
      <c r="P576" s="122"/>
      <c r="Q576" s="122"/>
    </row>
    <row r="577" spans="5:17" ht="12.75">
      <c r="E577" s="166"/>
      <c r="O577" s="122"/>
      <c r="P577" s="122"/>
      <c r="Q577" s="122"/>
    </row>
    <row r="578" spans="1:17" ht="12.75">
      <c r="A578" s="123" t="s">
        <v>707</v>
      </c>
      <c r="B578" s="194" t="s">
        <v>723</v>
      </c>
      <c r="C578" s="145">
        <v>926</v>
      </c>
      <c r="D578" s="184" t="s">
        <v>703</v>
      </c>
      <c r="E578" s="148">
        <v>267000</v>
      </c>
      <c r="F578" s="145">
        <f>SUM(E578)</f>
        <v>267000</v>
      </c>
      <c r="G578" s="145"/>
      <c r="H578" s="145"/>
      <c r="I578" s="145"/>
      <c r="O578" s="122"/>
      <c r="P578" s="122"/>
      <c r="Q578" s="122"/>
    </row>
    <row r="579" spans="3:43" ht="12.75">
      <c r="C579" s="145"/>
      <c r="D579" s="145"/>
      <c r="E579" s="148"/>
      <c r="F579" s="145"/>
      <c r="O579" s="122"/>
      <c r="P579" s="122"/>
      <c r="Q579" s="122"/>
      <c r="AG579" s="124"/>
      <c r="AI579" s="126"/>
      <c r="AK579" s="125" t="str">
        <f>""&amp;+$B$24</f>
        <v>COLUMBIA GAS OF KENTUCKY, INC.</v>
      </c>
      <c r="AQ579" s="123" t="str">
        <f>$B$25</f>
        <v>D/C STUDY</v>
      </c>
    </row>
    <row r="580" spans="1:43" ht="12.75">
      <c r="A580" s="123" t="s">
        <v>708</v>
      </c>
      <c r="B580" s="194" t="s">
        <v>724</v>
      </c>
      <c r="C580" s="123">
        <v>903</v>
      </c>
      <c r="D580" s="184" t="s">
        <v>703</v>
      </c>
      <c r="E580" s="179">
        <v>0</v>
      </c>
      <c r="F580" s="145">
        <f>SUM(E580)</f>
        <v>0</v>
      </c>
      <c r="O580" s="122"/>
      <c r="P580" s="122"/>
      <c r="Q580" s="122"/>
      <c r="AE580" s="123" t="str">
        <f>$B$30</f>
        <v>DEMAND-COMMODITY</v>
      </c>
      <c r="AK580" s="125" t="s">
        <v>780</v>
      </c>
      <c r="AQ580" s="123" t="str">
        <f>"PAGE 19 OF "&amp;FIXED($B$31,0,TRUE)</f>
        <v>PAGE 19 OF 28</v>
      </c>
    </row>
    <row r="581" spans="5:44" ht="12.75">
      <c r="E581" s="179"/>
      <c r="O581" s="122"/>
      <c r="P581" s="122"/>
      <c r="Q581" s="122"/>
      <c r="AE581" s="128" t="str">
        <f>$B$29</f>
        <v>HISTORIC PERIOD - ORIGINAL FILING</v>
      </c>
      <c r="AF581" s="128"/>
      <c r="AG581" s="128"/>
      <c r="AH581" s="129"/>
      <c r="AI581" s="128"/>
      <c r="AJ581" s="128"/>
      <c r="AK581" s="130" t="str">
        <f>"FOR THE TWELVE MONTHS ENDED "&amp;$B$27</f>
        <v>FOR THE TWELVE MONTHS ENDED 09/30/2006</v>
      </c>
      <c r="AL581" s="128"/>
      <c r="AM581" s="128"/>
      <c r="AN581" s="128"/>
      <c r="AO581" s="128"/>
      <c r="AP581" s="128"/>
      <c r="AQ581" s="128" t="str">
        <f>"WITNESS: "&amp;$B$28</f>
        <v>WITNESS: R. GIBBONS</v>
      </c>
      <c r="AR581" s="131"/>
    </row>
    <row r="582" spans="1:35" ht="12.75">
      <c r="A582" s="123" t="s">
        <v>709</v>
      </c>
      <c r="B582" s="194" t="s">
        <v>725</v>
      </c>
      <c r="C582" s="123">
        <v>923</v>
      </c>
      <c r="D582" s="184" t="s">
        <v>703</v>
      </c>
      <c r="E582" s="179">
        <v>1009851</v>
      </c>
      <c r="F582" s="145">
        <f>SUM(E582)</f>
        <v>1009851</v>
      </c>
      <c r="O582" s="122"/>
      <c r="P582" s="122"/>
      <c r="Q582" s="122"/>
      <c r="AE582" s="125" t="s">
        <v>9</v>
      </c>
      <c r="AF582" s="123" t="s">
        <v>10</v>
      </c>
      <c r="AH582" s="125" t="s">
        <v>11</v>
      </c>
      <c r="AI582" s="125" t="s">
        <v>12</v>
      </c>
    </row>
    <row r="583" spans="5:44" ht="12.75">
      <c r="E583" s="179"/>
      <c r="O583" s="122"/>
      <c r="P583" s="122"/>
      <c r="Q583" s="122"/>
      <c r="AE583" s="133" t="s">
        <v>13</v>
      </c>
      <c r="AF583" s="133" t="s">
        <v>13</v>
      </c>
      <c r="AG583" s="133" t="str">
        <f>"                        ACCOUNT TITLE                "</f>
        <v>                        ACCOUNT TITLE                </v>
      </c>
      <c r="AH583" s="141" t="s">
        <v>14</v>
      </c>
      <c r="AI583" s="133" t="s">
        <v>15</v>
      </c>
      <c r="AJ583" s="133" t="str">
        <f>"  "&amp;+$C$35</f>
        <v>  GS-RES.</v>
      </c>
      <c r="AK583" s="133" t="str">
        <f>$C$36</f>
        <v>GS-OTHER</v>
      </c>
      <c r="AL583" s="133" t="str">
        <f>$C$37</f>
        <v>IUS</v>
      </c>
      <c r="AM583" s="133" t="str">
        <f>$C$38</f>
        <v>DS-ML/SC</v>
      </c>
      <c r="AN583" s="133" t="str">
        <f>$C$39</f>
        <v>DS/IS/SS</v>
      </c>
      <c r="AO583" s="133" t="str">
        <f>$C$40</f>
        <v>NOT USED</v>
      </c>
      <c r="AP583" s="133" t="str">
        <f>$C$41</f>
        <v>NOT USED</v>
      </c>
      <c r="AQ583" s="133" t="str">
        <f>$C$42</f>
        <v>NOT USED</v>
      </c>
      <c r="AR583" s="133" t="str">
        <f>$C$43</f>
        <v>NOT USED</v>
      </c>
    </row>
    <row r="584" spans="1:44" ht="12.75">
      <c r="A584" s="123" t="s">
        <v>846</v>
      </c>
      <c r="B584" s="194"/>
      <c r="D584" s="184"/>
      <c r="E584" s="179">
        <v>113447</v>
      </c>
      <c r="F584" s="145">
        <f>SUM(E584)</f>
        <v>113447</v>
      </c>
      <c r="O584" s="122"/>
      <c r="P584" s="122"/>
      <c r="Q584" s="122"/>
      <c r="AF584" s="136" t="s">
        <v>17</v>
      </c>
      <c r="AG584" s="136" t="s">
        <v>18</v>
      </c>
      <c r="AH584" s="125" t="s">
        <v>19</v>
      </c>
      <c r="AI584" s="125" t="s">
        <v>20</v>
      </c>
      <c r="AJ584" s="125" t="s">
        <v>21</v>
      </c>
      <c r="AK584" s="125" t="s">
        <v>22</v>
      </c>
      <c r="AL584" s="125" t="s">
        <v>23</v>
      </c>
      <c r="AM584" s="125" t="s">
        <v>24</v>
      </c>
      <c r="AN584" s="125" t="s">
        <v>25</v>
      </c>
      <c r="AO584" s="125" t="s">
        <v>26</v>
      </c>
      <c r="AP584" s="125" t="s">
        <v>27</v>
      </c>
      <c r="AQ584" s="125" t="s">
        <v>28</v>
      </c>
      <c r="AR584" s="125" t="s">
        <v>29</v>
      </c>
    </row>
    <row r="585" spans="5:44" ht="12.75">
      <c r="E585" s="179"/>
      <c r="Q585" s="122"/>
      <c r="AI585" s="125" t="s">
        <v>32</v>
      </c>
      <c r="AJ585" s="125" t="s">
        <v>32</v>
      </c>
      <c r="AK585" s="125" t="s">
        <v>32</v>
      </c>
      <c r="AL585" s="125" t="s">
        <v>32</v>
      </c>
      <c r="AM585" s="125" t="s">
        <v>32</v>
      </c>
      <c r="AN585" s="125" t="s">
        <v>32</v>
      </c>
      <c r="AO585" s="125" t="s">
        <v>32</v>
      </c>
      <c r="AP585" s="125" t="s">
        <v>32</v>
      </c>
      <c r="AQ585" s="125" t="s">
        <v>32</v>
      </c>
      <c r="AR585" s="125" t="s">
        <v>32</v>
      </c>
    </row>
    <row r="586" spans="1:33" ht="12.75">
      <c r="A586" s="123" t="s">
        <v>845</v>
      </c>
      <c r="C586" s="194"/>
      <c r="E586" s="179">
        <v>111502</v>
      </c>
      <c r="F586" s="145">
        <f>SUM(E586)</f>
        <v>111502</v>
      </c>
      <c r="O586" s="122"/>
      <c r="P586" s="122"/>
      <c r="Q586" s="122"/>
      <c r="AE586" s="123">
        <v>1</v>
      </c>
      <c r="AG586" s="123" t="str">
        <f>A426</f>
        <v>SALES</v>
      </c>
    </row>
    <row r="587" spans="5:17" ht="12.75">
      <c r="E587" s="166"/>
      <c r="O587" s="122"/>
      <c r="P587" s="122"/>
      <c r="Q587" s="122"/>
    </row>
    <row r="588" spans="1:44" ht="12.75">
      <c r="A588" s="123" t="s">
        <v>847</v>
      </c>
      <c r="B588" s="194"/>
      <c r="D588" s="184" t="s">
        <v>703</v>
      </c>
      <c r="E588" s="179">
        <v>407211</v>
      </c>
      <c r="F588" s="145">
        <f>SUM(E588)</f>
        <v>407211</v>
      </c>
      <c r="O588" s="122"/>
      <c r="P588" s="122"/>
      <c r="Q588" s="122"/>
      <c r="AE588" s="123">
        <f>AE586+1</f>
        <v>2</v>
      </c>
      <c r="AF588" s="123" t="str">
        <f aca="true" t="shared" si="391" ref="AF588:AI591">A427</f>
        <v>911</v>
      </c>
      <c r="AG588" s="123" t="str">
        <f t="shared" si="391"/>
        <v>SUPERVISION</v>
      </c>
      <c r="AH588" s="123">
        <f t="shared" si="391"/>
        <v>6</v>
      </c>
      <c r="AI588" s="123">
        <f t="shared" si="391"/>
        <v>0</v>
      </c>
      <c r="AJ588" s="123">
        <f>ROUND((VLOOKUP($AH588,$A$661:$Y$709,13)*$AI588),0)</f>
        <v>0</v>
      </c>
      <c r="AK588" s="123">
        <f>ROUND((VLOOKUP($AH588,$A$661:$Y$709,14)*$AI588),0)</f>
        <v>0</v>
      </c>
      <c r="AL588" s="123">
        <f>ROUND((VLOOKUP($AH588,$A$661:$Y$709,15)*$AI588),0)</f>
        <v>0</v>
      </c>
      <c r="AM588" s="123">
        <f>ROUND((VLOOKUP($AH588,$A$661:$Y$709,16)*$AI588),0)</f>
        <v>0</v>
      </c>
      <c r="AN588" s="123">
        <f>ROUND((VLOOKUP($AH588,$A$661:$Y$709,17)*$AI588),0)</f>
        <v>0</v>
      </c>
      <c r="AO588" s="123">
        <f>ROUND((VLOOKUP($AH588,$A$661:$Y$709,18)*$AI588),0)</f>
        <v>0</v>
      </c>
      <c r="AP588" s="123">
        <f>ROUND((VLOOKUP($AH588,$A$661:$Y$709,19)*$AI588),0)</f>
        <v>0</v>
      </c>
      <c r="AQ588" s="123">
        <f>ROUND((VLOOKUP($AH588,$A$661:$Y$709,20)*$AI588),0)</f>
        <v>0</v>
      </c>
      <c r="AR588" s="123">
        <f>ROUND((VLOOKUP($AH588,$A$661:$Y$709,21)*$AI588),0)</f>
        <v>0</v>
      </c>
    </row>
    <row r="589" spans="5:44" ht="12.75">
      <c r="E589" s="179"/>
      <c r="M589" s="186"/>
      <c r="N589" s="186"/>
      <c r="O589" s="122"/>
      <c r="P589" s="122"/>
      <c r="Q589" s="122"/>
      <c r="AE589" s="123">
        <f>AE588+1</f>
        <v>3</v>
      </c>
      <c r="AF589" s="123" t="str">
        <f t="shared" si="391"/>
        <v>912</v>
      </c>
      <c r="AG589" s="123" t="str">
        <f t="shared" si="391"/>
        <v>DEMONSTRATION &amp; SELLING</v>
      </c>
      <c r="AH589" s="123">
        <f t="shared" si="391"/>
        <v>6</v>
      </c>
      <c r="AI589" s="123">
        <f t="shared" si="391"/>
        <v>0</v>
      </c>
      <c r="AJ589" s="123">
        <f>ROUND((VLOOKUP($AH589,$A$661:$Y$709,13)*$AI589),0)</f>
        <v>0</v>
      </c>
      <c r="AK589" s="123">
        <f>ROUND((VLOOKUP($AH589,$A$661:$Y$709,14)*$AI589),0)</f>
        <v>0</v>
      </c>
      <c r="AL589" s="123">
        <f>ROUND((VLOOKUP($AH589,$A$661:$Y$709,15)*$AI589),0)</f>
        <v>0</v>
      </c>
      <c r="AM589" s="123">
        <f>ROUND((VLOOKUP($AH589,$A$661:$Y$709,16)*$AI589),0)</f>
        <v>0</v>
      </c>
      <c r="AN589" s="123">
        <f>ROUND((VLOOKUP($AH589,$A$661:$Y$709,17)*$AI589),0)</f>
        <v>0</v>
      </c>
      <c r="AO589" s="123">
        <f>ROUND((VLOOKUP($AH589,$A$661:$Y$709,18)*$AI589),0)</f>
        <v>0</v>
      </c>
      <c r="AP589" s="123">
        <f>ROUND((VLOOKUP($AH589,$A$661:$Y$709,19)*$AI589),0)</f>
        <v>0</v>
      </c>
      <c r="AQ589" s="123">
        <f>ROUND((VLOOKUP($AH589,$A$661:$Y$709,20)*$AI589),0)</f>
        <v>0</v>
      </c>
      <c r="AR589" s="123">
        <f>ROUND((VLOOKUP($AH589,$A$661:$Y$709,21)*$AI589),0)</f>
        <v>0</v>
      </c>
    </row>
    <row r="590" spans="1:44" ht="12.75">
      <c r="A590" s="123" t="s">
        <v>784</v>
      </c>
      <c r="B590" s="194" t="s">
        <v>783</v>
      </c>
      <c r="C590" s="123">
        <v>408</v>
      </c>
      <c r="E590" s="179">
        <v>21891</v>
      </c>
      <c r="F590" s="145">
        <f>SUM(E590)</f>
        <v>21891</v>
      </c>
      <c r="G590" s="123">
        <f>SUM(F562:F590)</f>
        <v>2400217</v>
      </c>
      <c r="M590" s="186"/>
      <c r="N590" s="186"/>
      <c r="O590" s="122"/>
      <c r="P590" s="122"/>
      <c r="Q590" s="122"/>
      <c r="AE590" s="123">
        <f>AE589+1</f>
        <v>4</v>
      </c>
      <c r="AF590" s="123" t="str">
        <f t="shared" si="391"/>
        <v>913</v>
      </c>
      <c r="AG590" s="123" t="str">
        <f t="shared" si="391"/>
        <v>ADVERTISING</v>
      </c>
      <c r="AH590" s="123">
        <f t="shared" si="391"/>
        <v>6</v>
      </c>
      <c r="AI590" s="123">
        <f t="shared" si="391"/>
        <v>0</v>
      </c>
      <c r="AJ590" s="123">
        <f>ROUND((VLOOKUP($AH590,$A$661:$Y$709,13)*$AI590),0)</f>
        <v>0</v>
      </c>
      <c r="AK590" s="123">
        <f>ROUND((VLOOKUP($AH590,$A$661:$Y$709,14)*$AI590),0)</f>
        <v>0</v>
      </c>
      <c r="AL590" s="123">
        <f>ROUND((VLOOKUP($AH590,$A$661:$Y$709,15)*$AI590),0)</f>
        <v>0</v>
      </c>
      <c r="AM590" s="123">
        <f>ROUND((VLOOKUP($AH590,$A$661:$Y$709,16)*$AI590),0)</f>
        <v>0</v>
      </c>
      <c r="AN590" s="123">
        <f>ROUND((VLOOKUP($AH590,$A$661:$Y$709,17)*$AI590),0)</f>
        <v>0</v>
      </c>
      <c r="AO590" s="123">
        <f>ROUND((VLOOKUP($AH590,$A$661:$Y$709,18)*$AI590),0)</f>
        <v>0</v>
      </c>
      <c r="AP590" s="123">
        <f>ROUND((VLOOKUP($AH590,$A$661:$Y$709,19)*$AI590),0)</f>
        <v>0</v>
      </c>
      <c r="AQ590" s="123">
        <f>ROUND((VLOOKUP($AH590,$A$661:$Y$709,20)*$AI590),0)</f>
        <v>0</v>
      </c>
      <c r="AR590" s="123">
        <f>ROUND((VLOOKUP($AH590,$A$661:$Y$709,21)*$AI590),0)</f>
        <v>0</v>
      </c>
    </row>
    <row r="591" spans="5:44" ht="12.75">
      <c r="E591" s="166"/>
      <c r="M591" s="186"/>
      <c r="N591" s="186"/>
      <c r="O591" s="122"/>
      <c r="P591" s="122"/>
      <c r="Q591" s="122"/>
      <c r="AE591" s="123">
        <f>AE590+1</f>
        <v>5</v>
      </c>
      <c r="AF591" s="123" t="str">
        <f t="shared" si="391"/>
        <v>916</v>
      </c>
      <c r="AG591" s="123" t="str">
        <f t="shared" si="391"/>
        <v>MISC.</v>
      </c>
      <c r="AH591" s="123">
        <f t="shared" si="391"/>
        <v>6</v>
      </c>
      <c r="AI591" s="141">
        <f t="shared" si="391"/>
        <v>0</v>
      </c>
      <c r="AJ591" s="141">
        <f>ROUND((VLOOKUP($AH591,$A$661:$Y$709,13)*$AI591),0)</f>
        <v>0</v>
      </c>
      <c r="AK591" s="141">
        <f>ROUND((VLOOKUP($AH591,$A$661:$Y$709,14)*$AI591),0)</f>
        <v>0</v>
      </c>
      <c r="AL591" s="141">
        <f>ROUND((VLOOKUP($AH591,$A$661:$Y$709,15)*$AI591),0)</f>
        <v>0</v>
      </c>
      <c r="AM591" s="141">
        <f>ROUND((VLOOKUP($AH591,$A$661:$Y$709,16)*$AI591),0)</f>
        <v>0</v>
      </c>
      <c r="AN591" s="141">
        <f>ROUND((VLOOKUP($AH591,$A$661:$Y$709,17)*$AI591),0)</f>
        <v>0</v>
      </c>
      <c r="AO591" s="141">
        <f>ROUND((VLOOKUP($AH591,$A$661:$Y$709,18)*$AI591),0)</f>
        <v>0</v>
      </c>
      <c r="AP591" s="141">
        <f>ROUND((VLOOKUP($AH591,$A$661:$Y$709,19)*$AI591),0)</f>
        <v>0</v>
      </c>
      <c r="AQ591" s="141">
        <f>ROUND((VLOOKUP($AH591,$A$661:$Y$709,20)*$AI591),0)</f>
        <v>0</v>
      </c>
      <c r="AR591" s="141">
        <f>ROUND((VLOOKUP($AH591,$A$661:$Y$709,21)*$AI591),0)</f>
        <v>0</v>
      </c>
    </row>
    <row r="592" spans="1:44" ht="12.75">
      <c r="A592" s="123" t="s">
        <v>714</v>
      </c>
      <c r="D592" s="123">
        <f>D296</f>
        <v>388732</v>
      </c>
      <c r="F592" s="123">
        <f>$D$592*F594</f>
        <v>386333.102149926</v>
      </c>
      <c r="G592" s="123">
        <f>$D$592*G594</f>
        <v>53.06317825048344</v>
      </c>
      <c r="H592" s="123">
        <f>$D$592*H594</f>
        <v>154.7676032305767</v>
      </c>
      <c r="I592" s="123">
        <f>$D$592*I594</f>
        <v>2191.0670685928785</v>
      </c>
      <c r="O592" s="122"/>
      <c r="P592" s="122"/>
      <c r="Q592" s="122"/>
      <c r="AE592" s="123">
        <f>AE591+1</f>
        <v>6</v>
      </c>
      <c r="AG592" s="123" t="s">
        <v>359</v>
      </c>
      <c r="AI592" s="141">
        <f aca="true" t="shared" si="392" ref="AI592:AR592">SUM(AI588:AI591)</f>
        <v>0</v>
      </c>
      <c r="AJ592" s="141">
        <f t="shared" si="392"/>
        <v>0</v>
      </c>
      <c r="AK592" s="141">
        <f t="shared" si="392"/>
        <v>0</v>
      </c>
      <c r="AL592" s="141">
        <f t="shared" si="392"/>
        <v>0</v>
      </c>
      <c r="AM592" s="141">
        <f t="shared" si="392"/>
        <v>0</v>
      </c>
      <c r="AN592" s="141">
        <f t="shared" si="392"/>
        <v>0</v>
      </c>
      <c r="AO592" s="141">
        <f t="shared" si="392"/>
        <v>0</v>
      </c>
      <c r="AP592" s="141">
        <f t="shared" si="392"/>
        <v>0</v>
      </c>
      <c r="AQ592" s="141">
        <f t="shared" si="392"/>
        <v>0</v>
      </c>
      <c r="AR592" s="141">
        <f t="shared" si="392"/>
        <v>0</v>
      </c>
    </row>
    <row r="593" spans="4:17" ht="12.75">
      <c r="D593" s="145">
        <f>SUM(E593:I593)</f>
        <v>14651.666666666668</v>
      </c>
      <c r="E593" s="145">
        <v>0</v>
      </c>
      <c r="F593" s="145">
        <f>F77</f>
        <v>14561.25</v>
      </c>
      <c r="G593" s="145">
        <f>G77</f>
        <v>2</v>
      </c>
      <c r="H593" s="145">
        <f>H77</f>
        <v>5.833333333333333</v>
      </c>
      <c r="I593" s="145">
        <f>I77</f>
        <v>82.58333333333333</v>
      </c>
      <c r="O593" s="122"/>
      <c r="P593" s="122"/>
      <c r="Q593" s="122"/>
    </row>
    <row r="594" spans="4:44" ht="12.75">
      <c r="D594" s="195">
        <f>SUM(E594:I594)</f>
        <v>1</v>
      </c>
      <c r="F594" s="196">
        <f>F593/D593</f>
        <v>0.9938289159367534</v>
      </c>
      <c r="G594" s="196">
        <f>G593/D593</f>
        <v>0.00013650324195199634</v>
      </c>
      <c r="H594" s="196">
        <f>H593/D593</f>
        <v>0.00039813445569332267</v>
      </c>
      <c r="I594" s="196">
        <f>I593/D593</f>
        <v>0.005636446365601182</v>
      </c>
      <c r="O594" s="122"/>
      <c r="P594" s="122"/>
      <c r="Q594" s="122"/>
      <c r="AE594" s="123">
        <f>AE592+1</f>
        <v>7</v>
      </c>
      <c r="AG594" s="123" t="s">
        <v>361</v>
      </c>
      <c r="AI594" s="123">
        <f aca="true" t="shared" si="393" ref="AI594:AR594">AI527+AI539+AI561+AI574+AI592</f>
        <v>7077425</v>
      </c>
      <c r="AJ594" s="123">
        <f t="shared" si="393"/>
        <v>4817291</v>
      </c>
      <c r="AK594" s="123">
        <f t="shared" si="393"/>
        <v>1370866</v>
      </c>
      <c r="AL594" s="123">
        <f t="shared" si="393"/>
        <v>3394</v>
      </c>
      <c r="AM594" s="123">
        <f t="shared" si="393"/>
        <v>5438</v>
      </c>
      <c r="AN594" s="123">
        <f t="shared" si="393"/>
        <v>880439</v>
      </c>
      <c r="AO594" s="123">
        <f t="shared" si="393"/>
        <v>0</v>
      </c>
      <c r="AP594" s="123">
        <f t="shared" si="393"/>
        <v>0</v>
      </c>
      <c r="AQ594" s="123">
        <f t="shared" si="393"/>
        <v>0</v>
      </c>
      <c r="AR594" s="123">
        <f t="shared" si="393"/>
        <v>0</v>
      </c>
    </row>
    <row r="595" spans="15:17" ht="12.75">
      <c r="O595" s="122"/>
      <c r="P595" s="122"/>
      <c r="Q595" s="122"/>
    </row>
    <row r="596" spans="6:33" ht="12">
      <c r="F596" s="123">
        <f>SUM(F562:F590)</f>
        <v>2400217</v>
      </c>
      <c r="AE596" s="123">
        <f>AE594+1</f>
        <v>8</v>
      </c>
      <c r="AG596" s="123" t="str">
        <f>A464</f>
        <v>ADMINISTRATIVE &amp; GENERAL</v>
      </c>
    </row>
    <row r="597" spans="32:33" ht="12">
      <c r="AF597" s="140"/>
      <c r="AG597" s="140"/>
    </row>
    <row r="598" spans="1:44" ht="12.75">
      <c r="A598" s="292" t="s">
        <v>795</v>
      </c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AE598" s="123">
        <f>AE596+1</f>
        <v>9</v>
      </c>
      <c r="AF598" s="123" t="str">
        <f aca="true" t="shared" si="394" ref="AF598:AI603">A465</f>
        <v>920</v>
      </c>
      <c r="AG598" s="123" t="str">
        <f t="shared" si="394"/>
        <v>SALARIES</v>
      </c>
      <c r="AH598" s="123">
        <f t="shared" si="394"/>
        <v>13</v>
      </c>
      <c r="AI598" s="123">
        <f t="shared" si="394"/>
        <v>778344</v>
      </c>
      <c r="AJ598" s="123">
        <f aca="true" t="shared" si="395" ref="AJ598:AJ604">ROUND((VLOOKUP($AH598,$A$661:$Y$709,13)*$AI598),0)</f>
        <v>479149</v>
      </c>
      <c r="AK598" s="123">
        <f aca="true" t="shared" si="396" ref="AK598:AK604">ROUND((VLOOKUP($AH598,$A$661:$Y$709,14)*$AI598),0)</f>
        <v>168558</v>
      </c>
      <c r="AL598" s="123">
        <f aca="true" t="shared" si="397" ref="AL598:AL604">ROUND((VLOOKUP($AH598,$A$661:$Y$709,15)*$AI598),0)</f>
        <v>451</v>
      </c>
      <c r="AM598" s="123">
        <f aca="true" t="shared" si="398" ref="AM598:AM604">ROUND((VLOOKUP($AH598,$A$661:$Y$709,16)*$AI598),0)</f>
        <v>794</v>
      </c>
      <c r="AN598" s="123">
        <f aca="true" t="shared" si="399" ref="AN598:AN604">ROUND((VLOOKUP($AH598,$A$661:$Y$709,17)*$AI598),0)</f>
        <v>129392</v>
      </c>
      <c r="AO598" s="123">
        <f aca="true" t="shared" si="400" ref="AO598:AO604">ROUND((VLOOKUP($AH598,$A$661:$Y$709,18)*$AI598),0)</f>
        <v>0</v>
      </c>
      <c r="AP598" s="123">
        <f aca="true" t="shared" si="401" ref="AP598:AP604">ROUND((VLOOKUP($AH598,$A$661:$Y$709,19)*$AI598),0)</f>
        <v>0</v>
      </c>
      <c r="AQ598" s="123">
        <f aca="true" t="shared" si="402" ref="AQ598:AQ604">ROUND((VLOOKUP($AH598,$A$661:$Y$709,20)*$AI598),0)</f>
        <v>0</v>
      </c>
      <c r="AR598" s="123">
        <f aca="true" t="shared" si="403" ref="AR598:AR604">ROUND((VLOOKUP($AH598,$A$661:$Y$709,21)*$AI598),0)</f>
        <v>0</v>
      </c>
    </row>
    <row r="599" spans="1:44" ht="12.75">
      <c r="A599" s="292" t="str">
        <f>+'[1]Info'!$C$4</f>
        <v>CASE NO. 2007-00008</v>
      </c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AE599" s="123">
        <f aca="true" t="shared" si="404" ref="AE599:AE612">AE598+1</f>
        <v>10</v>
      </c>
      <c r="AF599" s="123" t="str">
        <f t="shared" si="394"/>
        <v>921</v>
      </c>
      <c r="AG599" s="123" t="str">
        <f t="shared" si="394"/>
        <v>OFFICE SUPPLIES &amp; EXPENSES</v>
      </c>
      <c r="AH599" s="123">
        <f t="shared" si="394"/>
        <v>13</v>
      </c>
      <c r="AI599" s="123">
        <f t="shared" si="394"/>
        <v>240947</v>
      </c>
      <c r="AJ599" s="123">
        <f t="shared" si="395"/>
        <v>148327</v>
      </c>
      <c r="AK599" s="123">
        <f t="shared" si="396"/>
        <v>52179</v>
      </c>
      <c r="AL599" s="123">
        <f t="shared" si="397"/>
        <v>140</v>
      </c>
      <c r="AM599" s="123">
        <f t="shared" si="398"/>
        <v>246</v>
      </c>
      <c r="AN599" s="123">
        <f t="shared" si="399"/>
        <v>40055</v>
      </c>
      <c r="AO599" s="123">
        <f t="shared" si="400"/>
        <v>0</v>
      </c>
      <c r="AP599" s="123">
        <f t="shared" si="401"/>
        <v>0</v>
      </c>
      <c r="AQ599" s="123">
        <f t="shared" si="402"/>
        <v>0</v>
      </c>
      <c r="AR599" s="123">
        <f t="shared" si="403"/>
        <v>0</v>
      </c>
    </row>
    <row r="600" spans="1:44" ht="12.75">
      <c r="A600" s="292" t="s">
        <v>851</v>
      </c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AE600" s="123">
        <f t="shared" si="404"/>
        <v>11</v>
      </c>
      <c r="AF600" s="123" t="str">
        <f t="shared" si="394"/>
        <v>922</v>
      </c>
      <c r="AG600" s="123" t="str">
        <f t="shared" si="394"/>
        <v>ADMIN. EXPENSES TRANSFERED</v>
      </c>
      <c r="AH600" s="123">
        <f t="shared" si="394"/>
        <v>13</v>
      </c>
      <c r="AI600" s="123">
        <f t="shared" si="394"/>
        <v>0</v>
      </c>
      <c r="AJ600" s="123">
        <f t="shared" si="395"/>
        <v>0</v>
      </c>
      <c r="AK600" s="123">
        <f t="shared" si="396"/>
        <v>0</v>
      </c>
      <c r="AL600" s="123">
        <f t="shared" si="397"/>
        <v>0</v>
      </c>
      <c r="AM600" s="123">
        <f t="shared" si="398"/>
        <v>0</v>
      </c>
      <c r="AN600" s="123">
        <f t="shared" si="399"/>
        <v>0</v>
      </c>
      <c r="AO600" s="123">
        <f t="shared" si="400"/>
        <v>0</v>
      </c>
      <c r="AP600" s="123">
        <f t="shared" si="401"/>
        <v>0</v>
      </c>
      <c r="AQ600" s="123">
        <f t="shared" si="402"/>
        <v>0</v>
      </c>
      <c r="AR600" s="123">
        <f t="shared" si="403"/>
        <v>0</v>
      </c>
    </row>
    <row r="601" spans="1:44" ht="12.75">
      <c r="A601" s="292" t="s">
        <v>852</v>
      </c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AE601" s="123">
        <f t="shared" si="404"/>
        <v>12</v>
      </c>
      <c r="AF601" s="123" t="str">
        <f t="shared" si="394"/>
        <v>923</v>
      </c>
      <c r="AG601" s="123" t="str">
        <f t="shared" si="394"/>
        <v>OUTSIDE SERVICES </v>
      </c>
      <c r="AH601" s="123">
        <f t="shared" si="394"/>
        <v>13</v>
      </c>
      <c r="AI601" s="123">
        <f t="shared" si="394"/>
        <v>10139594</v>
      </c>
      <c r="AJ601" s="123">
        <f t="shared" si="395"/>
        <v>6241934</v>
      </c>
      <c r="AK601" s="123">
        <f t="shared" si="396"/>
        <v>2195830</v>
      </c>
      <c r="AL601" s="123">
        <f t="shared" si="397"/>
        <v>5881</v>
      </c>
      <c r="AM601" s="123">
        <f t="shared" si="398"/>
        <v>10342</v>
      </c>
      <c r="AN601" s="123">
        <f t="shared" si="399"/>
        <v>1685606</v>
      </c>
      <c r="AO601" s="123">
        <f t="shared" si="400"/>
        <v>0</v>
      </c>
      <c r="AP601" s="123">
        <f t="shared" si="401"/>
        <v>0</v>
      </c>
      <c r="AQ601" s="123">
        <f t="shared" si="402"/>
        <v>0</v>
      </c>
      <c r="AR601" s="123">
        <f t="shared" si="403"/>
        <v>0</v>
      </c>
    </row>
    <row r="602" spans="1:44" ht="12.7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AE602" s="123">
        <f t="shared" si="404"/>
        <v>13</v>
      </c>
      <c r="AF602" s="123" t="str">
        <f t="shared" si="394"/>
        <v>924</v>
      </c>
      <c r="AG602" s="123" t="str">
        <f t="shared" si="394"/>
        <v>PROPERTY INSURANCE</v>
      </c>
      <c r="AH602" s="123">
        <f t="shared" si="394"/>
        <v>13</v>
      </c>
      <c r="AI602" s="123">
        <f t="shared" si="394"/>
        <v>160537</v>
      </c>
      <c r="AJ602" s="123">
        <f t="shared" si="395"/>
        <v>98827</v>
      </c>
      <c r="AK602" s="123">
        <f t="shared" si="396"/>
        <v>34766</v>
      </c>
      <c r="AL602" s="123">
        <f t="shared" si="397"/>
        <v>93</v>
      </c>
      <c r="AM602" s="123">
        <f t="shared" si="398"/>
        <v>164</v>
      </c>
      <c r="AN602" s="123">
        <f t="shared" si="399"/>
        <v>26688</v>
      </c>
      <c r="AO602" s="123">
        <f t="shared" si="400"/>
        <v>0</v>
      </c>
      <c r="AP602" s="123">
        <f t="shared" si="401"/>
        <v>0</v>
      </c>
      <c r="AQ602" s="123">
        <f t="shared" si="402"/>
        <v>0</v>
      </c>
      <c r="AR602" s="123">
        <f t="shared" si="403"/>
        <v>0</v>
      </c>
    </row>
    <row r="603" spans="1:44" ht="12.75">
      <c r="A603" s="212" t="s">
        <v>853</v>
      </c>
      <c r="B603" s="213"/>
      <c r="C603" s="213"/>
      <c r="D603" s="213"/>
      <c r="E603" s="213"/>
      <c r="F603" s="211"/>
      <c r="G603" s="211"/>
      <c r="H603" s="211"/>
      <c r="I603" s="214"/>
      <c r="J603" s="213"/>
      <c r="K603" s="215" t="s">
        <v>854</v>
      </c>
      <c r="AE603" s="123">
        <f t="shared" si="404"/>
        <v>14</v>
      </c>
      <c r="AF603" s="123" t="str">
        <f t="shared" si="394"/>
        <v>925</v>
      </c>
      <c r="AG603" s="123" t="str">
        <f t="shared" si="394"/>
        <v>INJURIES AND DAMAGES</v>
      </c>
      <c r="AH603" s="123">
        <f t="shared" si="394"/>
        <v>12</v>
      </c>
      <c r="AI603" s="123">
        <f t="shared" si="394"/>
        <v>720513</v>
      </c>
      <c r="AJ603" s="123">
        <f t="shared" si="395"/>
        <v>460184</v>
      </c>
      <c r="AK603" s="123">
        <f t="shared" si="396"/>
        <v>180265</v>
      </c>
      <c r="AL603" s="123">
        <f t="shared" si="397"/>
        <v>317</v>
      </c>
      <c r="AM603" s="123">
        <f t="shared" si="398"/>
        <v>605</v>
      </c>
      <c r="AN603" s="123">
        <f t="shared" si="399"/>
        <v>79141</v>
      </c>
      <c r="AO603" s="123">
        <f t="shared" si="400"/>
        <v>0</v>
      </c>
      <c r="AP603" s="123">
        <f t="shared" si="401"/>
        <v>0</v>
      </c>
      <c r="AQ603" s="123">
        <f t="shared" si="402"/>
        <v>0</v>
      </c>
      <c r="AR603" s="123">
        <f t="shared" si="403"/>
        <v>0</v>
      </c>
    </row>
    <row r="604" spans="1:44" ht="12.75">
      <c r="A604" s="212" t="s">
        <v>855</v>
      </c>
      <c r="B604" s="213"/>
      <c r="C604" s="213"/>
      <c r="D604" s="213"/>
      <c r="E604" s="213"/>
      <c r="F604" s="211"/>
      <c r="G604" s="211"/>
      <c r="H604" s="211"/>
      <c r="I604" s="214"/>
      <c r="J604" s="213"/>
      <c r="K604" s="215" t="s">
        <v>856</v>
      </c>
      <c r="AE604" s="123">
        <f t="shared" si="404"/>
        <v>15</v>
      </c>
      <c r="AF604" s="123" t="str">
        <f>A471</f>
        <v>926</v>
      </c>
      <c r="AG604" s="123" t="str">
        <f>B471</f>
        <v>EMPLOYEE PENSIONS &amp; BENEFITS</v>
      </c>
      <c r="AH604" s="123">
        <f>C471</f>
        <v>12</v>
      </c>
      <c r="AI604" s="123">
        <f>D471-AI605</f>
        <v>2361319</v>
      </c>
      <c r="AJ604" s="123">
        <f t="shared" si="395"/>
        <v>1508151</v>
      </c>
      <c r="AK604" s="123">
        <f t="shared" si="396"/>
        <v>590778</v>
      </c>
      <c r="AL604" s="123">
        <f t="shared" si="397"/>
        <v>1039</v>
      </c>
      <c r="AM604" s="123">
        <f t="shared" si="398"/>
        <v>1984</v>
      </c>
      <c r="AN604" s="123">
        <f t="shared" si="399"/>
        <v>259367</v>
      </c>
      <c r="AO604" s="123">
        <f t="shared" si="400"/>
        <v>0</v>
      </c>
      <c r="AP604" s="123">
        <f t="shared" si="401"/>
        <v>0</v>
      </c>
      <c r="AQ604" s="123">
        <f t="shared" si="402"/>
        <v>0</v>
      </c>
      <c r="AR604" s="123">
        <f t="shared" si="403"/>
        <v>0</v>
      </c>
    </row>
    <row r="605" spans="1:44" ht="12.75">
      <c r="A605" s="216" t="s">
        <v>857</v>
      </c>
      <c r="B605" s="217"/>
      <c r="C605" s="217"/>
      <c r="D605" s="217"/>
      <c r="E605" s="217"/>
      <c r="F605" s="218"/>
      <c r="G605" s="218"/>
      <c r="H605" s="218"/>
      <c r="I605" s="219"/>
      <c r="J605" s="217"/>
      <c r="K605" s="220" t="str">
        <f>+'[2]Info'!$E$14</f>
        <v>WITNESS:  K. L. HUMRICHOUSE</v>
      </c>
      <c r="O605" s="122"/>
      <c r="P605" s="122"/>
      <c r="Q605" s="122"/>
      <c r="AE605" s="123">
        <f t="shared" si="404"/>
        <v>16</v>
      </c>
      <c r="AF605" s="123" t="str">
        <f aca="true" t="shared" si="405" ref="AF605:AG612">A472</f>
        <v>926</v>
      </c>
      <c r="AG605" s="123" t="str">
        <f t="shared" si="405"/>
        <v>DIRECT EMPLOYEE PENSIONS &amp; BENEFITS</v>
      </c>
      <c r="AI605" s="123">
        <f>SUM(AJ605:AR605)</f>
        <v>0</v>
      </c>
      <c r="AJ605" s="123">
        <f aca="true" t="shared" si="406" ref="AJ605:AR605">E472</f>
        <v>0</v>
      </c>
      <c r="AK605" s="123">
        <f t="shared" si="406"/>
        <v>0</v>
      </c>
      <c r="AL605" s="123">
        <f t="shared" si="406"/>
        <v>0</v>
      </c>
      <c r="AM605" s="123">
        <f t="shared" si="406"/>
        <v>0</v>
      </c>
      <c r="AN605" s="123">
        <f t="shared" si="406"/>
        <v>0</v>
      </c>
      <c r="AO605" s="123">
        <f t="shared" si="406"/>
        <v>0</v>
      </c>
      <c r="AP605" s="123">
        <f t="shared" si="406"/>
        <v>0</v>
      </c>
      <c r="AQ605" s="123">
        <f t="shared" si="406"/>
        <v>0</v>
      </c>
      <c r="AR605" s="123">
        <f t="shared" si="406"/>
        <v>0</v>
      </c>
    </row>
    <row r="606" spans="1:44" ht="12.75">
      <c r="A606" s="221"/>
      <c r="B606" s="222"/>
      <c r="C606" s="222"/>
      <c r="D606" s="222"/>
      <c r="E606" s="222"/>
      <c r="F606" s="223"/>
      <c r="G606" s="223"/>
      <c r="H606" s="223"/>
      <c r="I606" s="224"/>
      <c r="J606" s="222"/>
      <c r="K606" s="225"/>
      <c r="O606" s="122"/>
      <c r="P606" s="122"/>
      <c r="Q606" s="122"/>
      <c r="AE606" s="123">
        <f t="shared" si="404"/>
        <v>17</v>
      </c>
      <c r="AF606" s="123" t="str">
        <f t="shared" si="405"/>
        <v>928</v>
      </c>
      <c r="AG606" s="123" t="str">
        <f t="shared" si="405"/>
        <v>REG COMMISSION EXP - GENERAL</v>
      </c>
      <c r="AH606" s="123">
        <f>C473</f>
        <v>13</v>
      </c>
      <c r="AI606" s="123">
        <f>D473</f>
        <v>85000</v>
      </c>
      <c r="AJ606" s="123">
        <f>ROUND((VLOOKUP($AH606,$A$661:$Y$709,13)*$AI606),0)</f>
        <v>52326</v>
      </c>
      <c r="AK606" s="123">
        <f>ROUND((VLOOKUP($AH606,$A$661:$Y$709,14)*$AI606),0)</f>
        <v>18408</v>
      </c>
      <c r="AL606" s="123">
        <f>ROUND((VLOOKUP($AH606,$A$661:$Y$709,15)*$AI606),0)</f>
        <v>49</v>
      </c>
      <c r="AM606" s="123">
        <f>ROUND((VLOOKUP($AH606,$A$661:$Y$709,16)*$AI606),0)</f>
        <v>87</v>
      </c>
      <c r="AN606" s="123">
        <f>ROUND((VLOOKUP($AH606,$A$661:$Y$709,17)*$AI606),0)</f>
        <v>14130</v>
      </c>
      <c r="AO606" s="123">
        <f>ROUND((VLOOKUP($AH606,$A$661:$Y$709,18)*$AI606),0)</f>
        <v>0</v>
      </c>
      <c r="AP606" s="123">
        <f>ROUND((VLOOKUP($AH606,$A$661:$Y$709,19)*$AI606),0)</f>
        <v>0</v>
      </c>
      <c r="AQ606" s="123">
        <f>ROUND((VLOOKUP($AH606,$A$661:$Y$709,20)*$AI606),0)</f>
        <v>0</v>
      </c>
      <c r="AR606" s="123">
        <f>ROUND((VLOOKUP($AH606,$A$661:$Y$709,21)*$AI606),0)</f>
        <v>0</v>
      </c>
    </row>
    <row r="607" spans="1:44" ht="12.75">
      <c r="A607" s="221"/>
      <c r="B607" s="222"/>
      <c r="C607" s="222"/>
      <c r="D607" s="222"/>
      <c r="E607" s="222"/>
      <c r="F607" s="223"/>
      <c r="G607" s="223"/>
      <c r="H607" s="223"/>
      <c r="I607" s="214"/>
      <c r="J607" s="222"/>
      <c r="K607" s="225"/>
      <c r="O607" s="122"/>
      <c r="P607" s="122"/>
      <c r="Q607" s="122"/>
      <c r="AE607" s="123">
        <f t="shared" si="404"/>
        <v>18</v>
      </c>
      <c r="AF607" s="123" t="str">
        <f t="shared" si="405"/>
        <v>928</v>
      </c>
      <c r="AG607" s="123" t="str">
        <f t="shared" si="405"/>
        <v>REGULATORY COMMISSION EXPENSE - PSC</v>
      </c>
      <c r="AI607" s="123">
        <f>SUM(AJ607:AR607)</f>
        <v>300410</v>
      </c>
      <c r="AJ607" s="123">
        <f>ROUND((AJ362)*$D$56,0)</f>
        <v>181675</v>
      </c>
      <c r="AK607" s="123">
        <f>ROUND((AK362)*$D$56,0)</f>
        <v>105525</v>
      </c>
      <c r="AL607" s="123">
        <f>ROUND((AL362)*$D$56,0)</f>
        <v>445</v>
      </c>
      <c r="AM607" s="123">
        <f>ROUND((AM362)*$D$56,0)</f>
        <v>1312</v>
      </c>
      <c r="AN607" s="123">
        <f>ROUND((AN362)*$D$56,0)</f>
        <v>11453</v>
      </c>
      <c r="AO607" s="123">
        <v>0</v>
      </c>
      <c r="AP607" s="123">
        <f>ROUND(AP362*$D$56,0)</f>
        <v>0</v>
      </c>
      <c r="AQ607" s="123">
        <f>ROUND(AQ362*$D$56,0)</f>
        <v>0</v>
      </c>
      <c r="AR607" s="123">
        <f>ROUND(AR362*$D$56,0)</f>
        <v>0</v>
      </c>
    </row>
    <row r="608" spans="1:44" ht="12.75">
      <c r="A608" s="226"/>
      <c r="B608" s="226"/>
      <c r="C608" s="226"/>
      <c r="D608" s="226"/>
      <c r="E608" s="226"/>
      <c r="F608" s="226"/>
      <c r="G608" s="226" t="s">
        <v>858</v>
      </c>
      <c r="H608" s="226"/>
      <c r="I608" s="223" t="s">
        <v>859</v>
      </c>
      <c r="J608" s="226"/>
      <c r="K608" s="211" t="s">
        <v>860</v>
      </c>
      <c r="O608" s="122"/>
      <c r="P608" s="122"/>
      <c r="Q608" s="122"/>
      <c r="AE608" s="123">
        <f t="shared" si="404"/>
        <v>19</v>
      </c>
      <c r="AF608" s="123" t="str">
        <f t="shared" si="405"/>
        <v>930.10</v>
      </c>
      <c r="AG608" s="123" t="str">
        <f t="shared" si="405"/>
        <v>MISC. - INSTITUT &amp; GOODWILL ADV</v>
      </c>
      <c r="AH608" s="123">
        <f aca="true" t="shared" si="407" ref="AH608:AI611">C475</f>
        <v>13</v>
      </c>
      <c r="AI608" s="123">
        <f t="shared" si="407"/>
        <v>0</v>
      </c>
      <c r="AJ608" s="123">
        <f>ROUND((VLOOKUP($AH608,$A$661:$Y$709,13)*$AI608),0)</f>
        <v>0</v>
      </c>
      <c r="AK608" s="123">
        <f>ROUND((VLOOKUP($AH608,$A$661:$Y$709,14)*$AI608),0)</f>
        <v>0</v>
      </c>
      <c r="AL608" s="123">
        <f>ROUND((VLOOKUP($AH608,$A$661:$Y$709,15)*$AI608),0)</f>
        <v>0</v>
      </c>
      <c r="AM608" s="123">
        <f>ROUND((VLOOKUP($AH608,$A$661:$Y$709,16)*$AI608),0)</f>
        <v>0</v>
      </c>
      <c r="AN608" s="123">
        <f>ROUND((VLOOKUP($AH608,$A$661:$Y$709,17)*$AI608),0)</f>
        <v>0</v>
      </c>
      <c r="AO608" s="123">
        <f>ROUND((VLOOKUP($AH608,$A$661:$Y$709,18)*$AI608),0)</f>
        <v>0</v>
      </c>
      <c r="AP608" s="123">
        <f>ROUND((VLOOKUP($AH608,$A$661:$Y$709,19)*$AI608),0)</f>
        <v>0</v>
      </c>
      <c r="AQ608" s="123">
        <f>ROUND((VLOOKUP($AH608,$A$661:$Y$709,20)*$AI608),0)</f>
        <v>0</v>
      </c>
      <c r="AR608" s="123">
        <f>ROUND((VLOOKUP($AH608,$A$661:$Y$709,21)*$AI608),0)</f>
        <v>0</v>
      </c>
    </row>
    <row r="609" spans="1:44" ht="12.75">
      <c r="A609" s="226" t="s">
        <v>861</v>
      </c>
      <c r="B609" s="227"/>
      <c r="C609" s="226"/>
      <c r="D609" s="227"/>
      <c r="E609" s="228" t="s">
        <v>862</v>
      </c>
      <c r="F609" s="229"/>
      <c r="G609" s="229" t="s">
        <v>863</v>
      </c>
      <c r="H609" s="229"/>
      <c r="I609" s="230" t="s">
        <v>864</v>
      </c>
      <c r="J609" s="226"/>
      <c r="K609" s="229" t="s">
        <v>865</v>
      </c>
      <c r="O609" s="122"/>
      <c r="P609" s="122"/>
      <c r="Q609" s="122"/>
      <c r="AE609" s="123">
        <f t="shared" si="404"/>
        <v>20</v>
      </c>
      <c r="AF609" s="123" t="str">
        <f t="shared" si="405"/>
        <v>930.20</v>
      </c>
      <c r="AG609" s="123" t="str">
        <f t="shared" si="405"/>
        <v>MISC. - GENERAL</v>
      </c>
      <c r="AH609" s="123">
        <f t="shared" si="407"/>
        <v>13</v>
      </c>
      <c r="AI609" s="123">
        <f t="shared" si="407"/>
        <v>41683</v>
      </c>
      <c r="AJ609" s="123">
        <f>ROUND((VLOOKUP($AH609,$A$661:$Y$709,13)*$AI609),0)</f>
        <v>25660</v>
      </c>
      <c r="AK609" s="123">
        <f>ROUND((VLOOKUP($AH609,$A$661:$Y$709,14)*$AI609),0)</f>
        <v>9027</v>
      </c>
      <c r="AL609" s="123">
        <f>ROUND((VLOOKUP($AH609,$A$661:$Y$709,15)*$AI609),0)</f>
        <v>24</v>
      </c>
      <c r="AM609" s="123">
        <f>ROUND((VLOOKUP($AH609,$A$661:$Y$709,16)*$AI609),0)</f>
        <v>43</v>
      </c>
      <c r="AN609" s="123">
        <f>ROUND((VLOOKUP($AH609,$A$661:$Y$709,17)*$AI609),0)</f>
        <v>6929</v>
      </c>
      <c r="AO609" s="123">
        <f>ROUND((VLOOKUP($AH609,$A$661:$Y$709,18)*$AI609),0)</f>
        <v>0</v>
      </c>
      <c r="AP609" s="123">
        <f>ROUND((VLOOKUP($AH609,$A$661:$Y$709,19)*$AI609),0)</f>
        <v>0</v>
      </c>
      <c r="AQ609" s="123">
        <f>ROUND((VLOOKUP($AH609,$A$661:$Y$709,20)*$AI609),0)</f>
        <v>0</v>
      </c>
      <c r="AR609" s="123">
        <f>ROUND((VLOOKUP($AH609,$A$661:$Y$709,21)*$AI609),0)</f>
        <v>0</v>
      </c>
    </row>
    <row r="610" spans="1:44" ht="12.75">
      <c r="A610" s="231" t="s">
        <v>663</v>
      </c>
      <c r="B610" s="226"/>
      <c r="C610" s="232" t="s">
        <v>866</v>
      </c>
      <c r="D610" s="232"/>
      <c r="E610" s="233" t="s">
        <v>661</v>
      </c>
      <c r="F610" s="233"/>
      <c r="G610" s="233" t="s">
        <v>867</v>
      </c>
      <c r="H610" s="233"/>
      <c r="I610" s="234" t="s">
        <v>868</v>
      </c>
      <c r="J610" s="226"/>
      <c r="K610" s="233" t="s">
        <v>869</v>
      </c>
      <c r="O610" s="122"/>
      <c r="P610" s="122"/>
      <c r="Q610" s="122"/>
      <c r="AE610" s="123">
        <f t="shared" si="404"/>
        <v>21</v>
      </c>
      <c r="AF610" s="123" t="str">
        <f t="shared" si="405"/>
        <v>931</v>
      </c>
      <c r="AG610" s="123" t="str">
        <f t="shared" si="405"/>
        <v>RENTS</v>
      </c>
      <c r="AH610" s="123">
        <f t="shared" si="407"/>
        <v>13</v>
      </c>
      <c r="AI610" s="123">
        <f t="shared" si="407"/>
        <v>19042</v>
      </c>
      <c r="AJ610" s="123">
        <f>ROUND((VLOOKUP($AH610,$A$661:$Y$709,13)*$AI610),0)</f>
        <v>11722</v>
      </c>
      <c r="AK610" s="123">
        <f>ROUND((VLOOKUP($AH610,$A$661:$Y$709,14)*$AI610),0)</f>
        <v>4124</v>
      </c>
      <c r="AL610" s="123">
        <f>ROUND((VLOOKUP($AH610,$A$661:$Y$709,15)*$AI610),0)</f>
        <v>11</v>
      </c>
      <c r="AM610" s="123">
        <f>ROUND((VLOOKUP($AH610,$A$661:$Y$709,16)*$AI610),0)</f>
        <v>19</v>
      </c>
      <c r="AN610" s="123">
        <f>ROUND((VLOOKUP($AH610,$A$661:$Y$709,17)*$AI610),0)</f>
        <v>3166</v>
      </c>
      <c r="AO610" s="123">
        <f>ROUND((VLOOKUP($AH610,$A$661:$Y$709,18)*$AI610),0)</f>
        <v>0</v>
      </c>
      <c r="AP610" s="123">
        <f>ROUND((VLOOKUP($AH610,$A$661:$Y$709,19)*$AI610),0)</f>
        <v>0</v>
      </c>
      <c r="AQ610" s="123">
        <f>ROUND((VLOOKUP($AH610,$A$661:$Y$709,20)*$AI610),0)</f>
        <v>0</v>
      </c>
      <c r="AR610" s="123">
        <f>ROUND((VLOOKUP($AH610,$A$661:$Y$709,21)*$AI610),0)</f>
        <v>0</v>
      </c>
    </row>
    <row r="611" spans="1:44" ht="12.75">
      <c r="A611" s="231"/>
      <c r="B611" s="226"/>
      <c r="C611" s="232"/>
      <c r="D611" s="232"/>
      <c r="E611" s="235" t="s">
        <v>672</v>
      </c>
      <c r="F611" s="235"/>
      <c r="G611" s="236" t="s">
        <v>673</v>
      </c>
      <c r="H611" s="236"/>
      <c r="I611" s="235" t="s">
        <v>674</v>
      </c>
      <c r="J611" s="226"/>
      <c r="K611" s="235" t="s">
        <v>870</v>
      </c>
      <c r="O611" s="122"/>
      <c r="P611" s="122"/>
      <c r="Q611" s="122"/>
      <c r="AE611" s="123">
        <f t="shared" si="404"/>
        <v>22</v>
      </c>
      <c r="AF611" s="123" t="str">
        <f t="shared" si="405"/>
        <v>935.13</v>
      </c>
      <c r="AG611" s="123" t="str">
        <f t="shared" si="405"/>
        <v>MAINT. STRUCTURES &amp; IMPROV.</v>
      </c>
      <c r="AH611" s="123">
        <f t="shared" si="407"/>
        <v>13</v>
      </c>
      <c r="AI611" s="123">
        <f t="shared" si="407"/>
        <v>225</v>
      </c>
      <c r="AJ611" s="123">
        <f>ROUND((VLOOKUP($AH611,$A$661:$Y$709,13)*$AI611),0)</f>
        <v>139</v>
      </c>
      <c r="AK611" s="123">
        <f>ROUND((VLOOKUP($AH611,$A$661:$Y$709,14)*$AI611),0)</f>
        <v>49</v>
      </c>
      <c r="AL611" s="123">
        <f>ROUND((VLOOKUP($AH611,$A$661:$Y$709,15)*$AI611),0)</f>
        <v>0</v>
      </c>
      <c r="AM611" s="123">
        <f>ROUND((VLOOKUP($AH611,$A$661:$Y$709,16)*$AI611),0)</f>
        <v>0</v>
      </c>
      <c r="AN611" s="123">
        <f>ROUND((VLOOKUP($AH611,$A$661:$Y$709,17)*$AI611),0)</f>
        <v>37</v>
      </c>
      <c r="AO611" s="123">
        <f>ROUND((VLOOKUP($AH611,$A$661:$Y$709,18)*$AI611),0)</f>
        <v>0</v>
      </c>
      <c r="AP611" s="123">
        <f>ROUND((VLOOKUP($AH611,$A$661:$Y$709,19)*$AI611),0)</f>
        <v>0</v>
      </c>
      <c r="AQ611" s="123">
        <f>ROUND((VLOOKUP($AH611,$A$661:$Y$709,20)*$AI611),0)</f>
        <v>0</v>
      </c>
      <c r="AR611" s="123">
        <f>ROUND((VLOOKUP($AH611,$A$661:$Y$709,21)*$AI611),0)</f>
        <v>0</v>
      </c>
    </row>
    <row r="612" spans="1:33" ht="12.75">
      <c r="A612" s="226"/>
      <c r="B612" s="226"/>
      <c r="C612" s="214"/>
      <c r="D612" s="227"/>
      <c r="E612" s="237"/>
      <c r="F612" s="229"/>
      <c r="G612" s="229"/>
      <c r="H612" s="229"/>
      <c r="I612" s="230" t="s">
        <v>618</v>
      </c>
      <c r="J612" s="226"/>
      <c r="K612" s="229" t="s">
        <v>32</v>
      </c>
      <c r="O612" s="122"/>
      <c r="P612" s="122"/>
      <c r="Q612" s="122"/>
      <c r="AE612" s="123">
        <f t="shared" si="404"/>
        <v>23</v>
      </c>
      <c r="AF612" s="123" t="str">
        <f t="shared" si="405"/>
        <v>935.23</v>
      </c>
      <c r="AG612" s="123" t="str">
        <f t="shared" si="405"/>
        <v>MAINT. - GEN'L OFFICE </v>
      </c>
    </row>
    <row r="613" spans="1:44" ht="12.75">
      <c r="A613" s="238">
        <v>1</v>
      </c>
      <c r="B613" s="226"/>
      <c r="C613" s="226" t="s">
        <v>137</v>
      </c>
      <c r="D613" s="227"/>
      <c r="E613" s="237"/>
      <c r="F613" s="229"/>
      <c r="G613" s="229"/>
      <c r="H613" s="229"/>
      <c r="I613" s="230"/>
      <c r="J613" s="226"/>
      <c r="K613" s="229"/>
      <c r="O613" s="122"/>
      <c r="P613" s="122"/>
      <c r="Q613" s="122"/>
      <c r="AG613" s="123" t="str">
        <f aca="true" t="shared" si="408" ref="AG613:AI614">B480</f>
        <v>FURNITURE &amp; EQUIPMENT</v>
      </c>
      <c r="AH613" s="123">
        <f t="shared" si="408"/>
        <v>13</v>
      </c>
      <c r="AI613" s="123">
        <f t="shared" si="408"/>
        <v>0</v>
      </c>
      <c r="AJ613" s="123">
        <f>ROUND((VLOOKUP($AH613,$A$661:$Y$709,13)*$AI613),0)</f>
        <v>0</v>
      </c>
      <c r="AK613" s="123">
        <f>ROUND((VLOOKUP($AH613,$A$661:$Y$709,14)*$AI613),0)</f>
        <v>0</v>
      </c>
      <c r="AL613" s="123">
        <f>ROUND((VLOOKUP($AH613,$A$661:$Y$709,15)*$AI613),0)</f>
        <v>0</v>
      </c>
      <c r="AM613" s="123">
        <f>ROUND((VLOOKUP($AH613,$A$661:$Y$709,16)*$AI613),0)</f>
        <v>0</v>
      </c>
      <c r="AN613" s="123">
        <f>ROUND((VLOOKUP($AH613,$A$661:$Y$709,17)*$AI613),0)</f>
        <v>0</v>
      </c>
      <c r="AO613" s="123">
        <f>ROUND((VLOOKUP($AH613,$A$661:$Y$709,18)*$AI613),0)</f>
        <v>0</v>
      </c>
      <c r="AP613" s="123">
        <f>ROUND((VLOOKUP($AH613,$A$661:$Y$709,19)*$AI613),0)</f>
        <v>0</v>
      </c>
      <c r="AQ613" s="123">
        <f>ROUND((VLOOKUP($AH613,$A$661:$Y$709,20)*$AI613),0)</f>
        <v>0</v>
      </c>
      <c r="AR613" s="123">
        <f>ROUND((VLOOKUP($AH613,$A$661:$Y$709,21)*$AI613),0)</f>
        <v>0</v>
      </c>
    </row>
    <row r="614" spans="1:44" ht="12.75">
      <c r="A614" s="238">
        <f>1+A613</f>
        <v>2</v>
      </c>
      <c r="B614" s="226"/>
      <c r="C614" s="239" t="s">
        <v>871</v>
      </c>
      <c r="D614" s="227"/>
      <c r="E614" s="240">
        <v>303.3</v>
      </c>
      <c r="F614" s="241"/>
      <c r="G614" s="242">
        <v>61758</v>
      </c>
      <c r="H614" s="229"/>
      <c r="I614" s="243" t="s">
        <v>872</v>
      </c>
      <c r="J614" s="226"/>
      <c r="K614" s="244">
        <v>0</v>
      </c>
      <c r="O614" s="122"/>
      <c r="P614" s="122"/>
      <c r="Q614" s="122"/>
      <c r="AE614" s="123">
        <f>AE612+1</f>
        <v>24</v>
      </c>
      <c r="AF614" s="123" t="str">
        <f>A481</f>
        <v>935.24</v>
      </c>
      <c r="AG614" s="123" t="str">
        <f t="shared" si="408"/>
        <v>MAINT.-MISCELLANEOUS</v>
      </c>
      <c r="AH614" s="123">
        <f t="shared" si="408"/>
        <v>13</v>
      </c>
      <c r="AI614" s="141">
        <f t="shared" si="408"/>
        <v>0</v>
      </c>
      <c r="AJ614" s="141">
        <f>ROUND((VLOOKUP($AH614,$A$661:$Y$709,13)*$AI614),0)</f>
        <v>0</v>
      </c>
      <c r="AK614" s="141">
        <f>ROUND((VLOOKUP($AH614,$A$661:$Y$709,14)*$AI614),0)</f>
        <v>0</v>
      </c>
      <c r="AL614" s="141">
        <f>ROUND((VLOOKUP($AH614,$A$661:$Y$709,15)*$AI614),0)</f>
        <v>0</v>
      </c>
      <c r="AM614" s="141">
        <f>ROUND((VLOOKUP($AH614,$A$661:$Y$709,16)*$AI614),0)</f>
        <v>0</v>
      </c>
      <c r="AN614" s="141">
        <f>ROUND((VLOOKUP($AH614,$A$661:$Y$709,17)*$AI614),0)</f>
        <v>0</v>
      </c>
      <c r="AO614" s="141">
        <f>ROUND((VLOOKUP($AH614,$A$661:$Y$709,18)*$AI614),0)</f>
        <v>0</v>
      </c>
      <c r="AP614" s="141">
        <f>ROUND((VLOOKUP($AH614,$A$661:$Y$709,19)*$AI614),0)</f>
        <v>0</v>
      </c>
      <c r="AQ614" s="141">
        <f>ROUND((VLOOKUP($AH614,$A$661:$Y$709,20)*$AI614),0)</f>
        <v>0</v>
      </c>
      <c r="AR614" s="141">
        <f>ROUND((VLOOKUP($AH614,$A$661:$Y$709,21)*$AI614),0)</f>
        <v>0</v>
      </c>
    </row>
    <row r="615" spans="1:44" ht="12.75">
      <c r="A615" s="226"/>
      <c r="B615" s="226"/>
      <c r="C615" s="214"/>
      <c r="D615" s="227"/>
      <c r="E615" s="237"/>
      <c r="F615" s="229"/>
      <c r="G615" s="229"/>
      <c r="H615" s="229"/>
      <c r="I615" s="230"/>
      <c r="J615" s="226"/>
      <c r="K615" s="229"/>
      <c r="O615" s="122"/>
      <c r="P615" s="122"/>
      <c r="Q615" s="122"/>
      <c r="AE615" s="123">
        <f>AE614+1</f>
        <v>25</v>
      </c>
      <c r="AG615" s="123" t="s">
        <v>389</v>
      </c>
      <c r="AI615" s="141">
        <f aca="true" t="shared" si="409" ref="AI615:AR615">SUM(AI598:AI614)</f>
        <v>14847614</v>
      </c>
      <c r="AJ615" s="141">
        <f t="shared" si="409"/>
        <v>9208094</v>
      </c>
      <c r="AK615" s="141">
        <f t="shared" si="409"/>
        <v>3359509</v>
      </c>
      <c r="AL615" s="141">
        <f t="shared" si="409"/>
        <v>8450</v>
      </c>
      <c r="AM615" s="141">
        <f t="shared" si="409"/>
        <v>15596</v>
      </c>
      <c r="AN615" s="141">
        <f t="shared" si="409"/>
        <v>2255964</v>
      </c>
      <c r="AO615" s="141">
        <f t="shared" si="409"/>
        <v>0</v>
      </c>
      <c r="AP615" s="141">
        <f t="shared" si="409"/>
        <v>0</v>
      </c>
      <c r="AQ615" s="141">
        <f t="shared" si="409"/>
        <v>0</v>
      </c>
      <c r="AR615" s="141">
        <f t="shared" si="409"/>
        <v>0</v>
      </c>
    </row>
    <row r="616" spans="1:17" ht="12.75">
      <c r="A616" s="238">
        <f>1+A614</f>
        <v>3</v>
      </c>
      <c r="B616" s="214"/>
      <c r="C616" s="232" t="s">
        <v>146</v>
      </c>
      <c r="D616" s="245"/>
      <c r="E616" s="246"/>
      <c r="F616" s="247"/>
      <c r="G616" s="247"/>
      <c r="H616" s="247"/>
      <c r="I616" s="248"/>
      <c r="J616" s="249"/>
      <c r="K616" s="247"/>
      <c r="O616" s="122"/>
      <c r="P616" s="122"/>
      <c r="Q616" s="122"/>
    </row>
    <row r="617" spans="1:44" ht="12.75">
      <c r="A617" s="238">
        <f aca="true" t="shared" si="410" ref="A617:A641">1+A616</f>
        <v>4</v>
      </c>
      <c r="B617" s="214"/>
      <c r="C617" s="250" t="s">
        <v>873</v>
      </c>
      <c r="D617" s="251"/>
      <c r="E617" s="252">
        <v>374.4</v>
      </c>
      <c r="F617" s="253"/>
      <c r="G617" s="253">
        <v>0</v>
      </c>
      <c r="H617" s="253"/>
      <c r="I617" s="254">
        <v>1.88</v>
      </c>
      <c r="J617" s="249"/>
      <c r="K617" s="244">
        <f aca="true" t="shared" si="411" ref="K617:K641">G617*(I617/100)</f>
        <v>0</v>
      </c>
      <c r="O617" s="122"/>
      <c r="P617" s="122"/>
      <c r="Q617" s="122"/>
      <c r="AE617" s="123">
        <f>AE615+1</f>
        <v>26</v>
      </c>
      <c r="AG617" s="123" t="s">
        <v>390</v>
      </c>
      <c r="AI617" s="123">
        <f aca="true" t="shared" si="412" ref="AI617:AR617">AI375+AI376+AI377+AI383+AI385+AI395+AI396+AI594+AI615</f>
        <v>21777172</v>
      </c>
      <c r="AJ617" s="123">
        <f t="shared" si="412"/>
        <v>13933591</v>
      </c>
      <c r="AK617" s="123">
        <f t="shared" si="412"/>
        <v>4675888</v>
      </c>
      <c r="AL617" s="123">
        <f t="shared" si="412"/>
        <v>11544</v>
      </c>
      <c r="AM617" s="123">
        <f t="shared" si="412"/>
        <v>21034</v>
      </c>
      <c r="AN617" s="123">
        <f t="shared" si="412"/>
        <v>3135114</v>
      </c>
      <c r="AO617" s="123">
        <f t="shared" si="412"/>
        <v>0</v>
      </c>
      <c r="AP617" s="123">
        <f t="shared" si="412"/>
        <v>0</v>
      </c>
      <c r="AQ617" s="123">
        <f t="shared" si="412"/>
        <v>0</v>
      </c>
      <c r="AR617" s="123">
        <f t="shared" si="412"/>
        <v>0</v>
      </c>
    </row>
    <row r="618" spans="1:17" ht="12.75">
      <c r="A618" s="238">
        <f t="shared" si="410"/>
        <v>5</v>
      </c>
      <c r="B618" s="214"/>
      <c r="C618" s="250" t="s">
        <v>150</v>
      </c>
      <c r="D618" s="251"/>
      <c r="E618" s="252">
        <v>374.5</v>
      </c>
      <c r="F618" s="253"/>
      <c r="G618" s="253">
        <v>0</v>
      </c>
      <c r="H618" s="253"/>
      <c r="I618" s="254">
        <v>1.39</v>
      </c>
      <c r="J618" s="249"/>
      <c r="K618" s="244">
        <f t="shared" si="411"/>
        <v>0</v>
      </c>
      <c r="O618" s="122"/>
      <c r="P618" s="122"/>
      <c r="Q618" s="122"/>
    </row>
    <row r="619" spans="1:43" ht="12.75">
      <c r="A619" s="238">
        <f t="shared" si="410"/>
        <v>6</v>
      </c>
      <c r="B619" s="214"/>
      <c r="C619" s="250" t="s">
        <v>874</v>
      </c>
      <c r="D619" s="251"/>
      <c r="E619" s="252">
        <v>375.2</v>
      </c>
      <c r="F619" s="253"/>
      <c r="G619" s="253">
        <v>0</v>
      </c>
      <c r="H619" s="253"/>
      <c r="I619" s="254">
        <v>2.98</v>
      </c>
      <c r="J619" s="249"/>
      <c r="K619" s="244">
        <f t="shared" si="411"/>
        <v>0</v>
      </c>
      <c r="O619" s="122"/>
      <c r="P619" s="122"/>
      <c r="Q619" s="122"/>
      <c r="AG619" s="124"/>
      <c r="AI619" s="126"/>
      <c r="AK619" s="125" t="str">
        <f>""&amp;+$B$24</f>
        <v>COLUMBIA GAS OF KENTUCKY, INC.</v>
      </c>
      <c r="AQ619" s="123" t="str">
        <f>$B$25</f>
        <v>D/C STUDY</v>
      </c>
    </row>
    <row r="620" spans="1:43" ht="12.75">
      <c r="A620" s="238">
        <f t="shared" si="410"/>
        <v>7</v>
      </c>
      <c r="B620" s="214"/>
      <c r="C620" s="250" t="s">
        <v>875</v>
      </c>
      <c r="D620" s="251"/>
      <c r="E620" s="252">
        <v>375.3</v>
      </c>
      <c r="F620" s="253"/>
      <c r="G620" s="253">
        <v>0</v>
      </c>
      <c r="H620" s="253"/>
      <c r="I620" s="254">
        <v>2.98</v>
      </c>
      <c r="J620" s="249"/>
      <c r="K620" s="244">
        <f t="shared" si="411"/>
        <v>0</v>
      </c>
      <c r="O620" s="122"/>
      <c r="P620" s="122"/>
      <c r="Q620" s="122"/>
      <c r="AE620" s="123" t="str">
        <f>$B$30</f>
        <v>DEMAND-COMMODITY</v>
      </c>
      <c r="AK620" s="125" t="s">
        <v>57</v>
      </c>
      <c r="AQ620" s="123" t="str">
        <f>"PAGE 20 OF "&amp;FIXED($B$31,0,TRUE)</f>
        <v>PAGE 20 OF 28</v>
      </c>
    </row>
    <row r="621" spans="1:44" ht="12.75">
      <c r="A621" s="238">
        <f t="shared" si="410"/>
        <v>8</v>
      </c>
      <c r="B621" s="214"/>
      <c r="C621" s="250" t="s">
        <v>876</v>
      </c>
      <c r="D621" s="255"/>
      <c r="E621" s="252">
        <v>375.4</v>
      </c>
      <c r="F621" s="253"/>
      <c r="G621" s="253">
        <v>0</v>
      </c>
      <c r="H621" s="253"/>
      <c r="I621" s="254">
        <v>2.98</v>
      </c>
      <c r="J621" s="249"/>
      <c r="K621" s="244">
        <f t="shared" si="411"/>
        <v>0</v>
      </c>
      <c r="O621" s="122"/>
      <c r="P621" s="122"/>
      <c r="Q621" s="122"/>
      <c r="AE621" s="128" t="str">
        <f>$B$29</f>
        <v>HISTORIC PERIOD - ORIGINAL FILING</v>
      </c>
      <c r="AF621" s="128"/>
      <c r="AG621" s="128"/>
      <c r="AH621" s="129"/>
      <c r="AI621" s="128"/>
      <c r="AJ621" s="128"/>
      <c r="AK621" s="130" t="str">
        <f>"FOR THE TWELVE MONTHS ENDED "&amp;$B$27</f>
        <v>FOR THE TWELVE MONTHS ENDED 09/30/2006</v>
      </c>
      <c r="AL621" s="128"/>
      <c r="AM621" s="128"/>
      <c r="AN621" s="128"/>
      <c r="AO621" s="128"/>
      <c r="AP621" s="128"/>
      <c r="AQ621" s="128" t="str">
        <f>"WITNESS: "&amp;$B$28</f>
        <v>WITNESS: R. GIBBONS</v>
      </c>
      <c r="AR621" s="131"/>
    </row>
    <row r="622" spans="1:35" ht="12.75">
      <c r="A622" s="238">
        <f t="shared" si="410"/>
        <v>9</v>
      </c>
      <c r="B622" s="214"/>
      <c r="C622" s="250" t="s">
        <v>877</v>
      </c>
      <c r="D622" s="255"/>
      <c r="E622" s="252">
        <v>375.6</v>
      </c>
      <c r="F622" s="253"/>
      <c r="G622" s="253">
        <v>0</v>
      </c>
      <c r="H622" s="253"/>
      <c r="I622" s="254">
        <v>2.98</v>
      </c>
      <c r="J622" s="249"/>
      <c r="K622" s="244">
        <f t="shared" si="411"/>
        <v>0</v>
      </c>
      <c r="O622" s="122"/>
      <c r="P622" s="122"/>
      <c r="Q622" s="122"/>
      <c r="AE622" s="125" t="s">
        <v>9</v>
      </c>
      <c r="AF622" s="123" t="s">
        <v>10</v>
      </c>
      <c r="AH622" s="125" t="s">
        <v>11</v>
      </c>
      <c r="AI622" s="125" t="s">
        <v>12</v>
      </c>
    </row>
    <row r="623" spans="1:44" ht="12.75">
      <c r="A623" s="238">
        <f t="shared" si="410"/>
        <v>10</v>
      </c>
      <c r="B623" s="214"/>
      <c r="C623" s="250" t="s">
        <v>878</v>
      </c>
      <c r="D623" s="255"/>
      <c r="E623" s="252">
        <v>375.7</v>
      </c>
      <c r="F623" s="253"/>
      <c r="G623" s="253">
        <v>0</v>
      </c>
      <c r="H623" s="253"/>
      <c r="I623" s="254">
        <v>2.01</v>
      </c>
      <c r="J623" s="249"/>
      <c r="K623" s="244">
        <f t="shared" si="411"/>
        <v>0</v>
      </c>
      <c r="O623" s="122"/>
      <c r="P623" s="122"/>
      <c r="Q623" s="122"/>
      <c r="AE623" s="133" t="s">
        <v>13</v>
      </c>
      <c r="AF623" s="133" t="s">
        <v>13</v>
      </c>
      <c r="AG623" s="133" t="str">
        <f>"                        ACCOUNT TITLE                "</f>
        <v>                        ACCOUNT TITLE                </v>
      </c>
      <c r="AH623" s="141" t="s">
        <v>14</v>
      </c>
      <c r="AI623" s="133" t="s">
        <v>15</v>
      </c>
      <c r="AJ623" s="133" t="str">
        <f>"  "&amp;+$C$35</f>
        <v>  GS-RES.</v>
      </c>
      <c r="AK623" s="133" t="str">
        <f>$C$36</f>
        <v>GS-OTHER</v>
      </c>
      <c r="AL623" s="133" t="str">
        <f>$C$37</f>
        <v>IUS</v>
      </c>
      <c r="AM623" s="133" t="str">
        <f>$C$38</f>
        <v>DS-ML/SC</v>
      </c>
      <c r="AN623" s="133" t="str">
        <f>$C$39</f>
        <v>DS/IS/SS</v>
      </c>
      <c r="AO623" s="133" t="str">
        <f>$C$40</f>
        <v>NOT USED</v>
      </c>
      <c r="AP623" s="133" t="str">
        <f>$C$41</f>
        <v>NOT USED</v>
      </c>
      <c r="AQ623" s="133" t="str">
        <f>$C$42</f>
        <v>NOT USED</v>
      </c>
      <c r="AR623" s="133" t="str">
        <f>$C$43</f>
        <v>NOT USED</v>
      </c>
    </row>
    <row r="624" spans="1:44" ht="12.75">
      <c r="A624" s="238">
        <f t="shared" si="410"/>
        <v>11</v>
      </c>
      <c r="B624" s="214"/>
      <c r="C624" s="250" t="s">
        <v>879</v>
      </c>
      <c r="D624" s="255"/>
      <c r="E624" s="252">
        <v>375.8</v>
      </c>
      <c r="F624" s="253"/>
      <c r="G624" s="253">
        <v>0</v>
      </c>
      <c r="H624" s="253"/>
      <c r="I624" s="254">
        <v>4.63</v>
      </c>
      <c r="J624" s="249"/>
      <c r="K624" s="244">
        <f t="shared" si="411"/>
        <v>0</v>
      </c>
      <c r="O624" s="122"/>
      <c r="P624" s="122"/>
      <c r="Q624" s="122"/>
      <c r="AF624" s="136" t="s">
        <v>17</v>
      </c>
      <c r="AG624" s="136" t="s">
        <v>18</v>
      </c>
      <c r="AH624" s="125" t="s">
        <v>19</v>
      </c>
      <c r="AI624" s="125" t="s">
        <v>20</v>
      </c>
      <c r="AJ624" s="125" t="s">
        <v>21</v>
      </c>
      <c r="AK624" s="125" t="s">
        <v>22</v>
      </c>
      <c r="AL624" s="125" t="s">
        <v>23</v>
      </c>
      <c r="AM624" s="125" t="s">
        <v>24</v>
      </c>
      <c r="AN624" s="125" t="s">
        <v>25</v>
      </c>
      <c r="AO624" s="125" t="s">
        <v>26</v>
      </c>
      <c r="AP624" s="125" t="s">
        <v>27</v>
      </c>
      <c r="AQ624" s="125" t="s">
        <v>28</v>
      </c>
      <c r="AR624" s="125" t="s">
        <v>29</v>
      </c>
    </row>
    <row r="625" spans="1:44" ht="12.75">
      <c r="A625" s="238">
        <f t="shared" si="410"/>
        <v>12</v>
      </c>
      <c r="B625" s="214"/>
      <c r="C625" s="250" t="s">
        <v>158</v>
      </c>
      <c r="D625" s="255"/>
      <c r="E625" s="252">
        <v>376</v>
      </c>
      <c r="F625" s="253"/>
      <c r="G625" s="253">
        <v>74797</v>
      </c>
      <c r="H625" s="253"/>
      <c r="I625" s="254">
        <v>2.19</v>
      </c>
      <c r="J625" s="256"/>
      <c r="K625" s="244">
        <f t="shared" si="411"/>
        <v>1638.0543</v>
      </c>
      <c r="O625" s="122"/>
      <c r="P625" s="122"/>
      <c r="Q625" s="122"/>
      <c r="AI625" s="125" t="s">
        <v>32</v>
      </c>
      <c r="AJ625" s="125" t="s">
        <v>32</v>
      </c>
      <c r="AK625" s="125" t="s">
        <v>32</v>
      </c>
      <c r="AL625" s="125" t="s">
        <v>32</v>
      </c>
      <c r="AM625" s="125" t="s">
        <v>32</v>
      </c>
      <c r="AN625" s="125" t="s">
        <v>32</v>
      </c>
      <c r="AO625" s="125" t="s">
        <v>32</v>
      </c>
      <c r="AP625" s="125" t="s">
        <v>32</v>
      </c>
      <c r="AQ625" s="125" t="s">
        <v>32</v>
      </c>
      <c r="AR625" s="125" t="s">
        <v>32</v>
      </c>
    </row>
    <row r="626" spans="1:32" ht="12.75">
      <c r="A626" s="238">
        <f t="shared" si="410"/>
        <v>13</v>
      </c>
      <c r="B626" s="214"/>
      <c r="C626" s="250" t="s">
        <v>880</v>
      </c>
      <c r="D626" s="214"/>
      <c r="E626" s="252">
        <v>378.1</v>
      </c>
      <c r="F626" s="253"/>
      <c r="G626" s="253">
        <v>0</v>
      </c>
      <c r="H626" s="253"/>
      <c r="I626" s="254">
        <v>3.19</v>
      </c>
      <c r="J626" s="256"/>
      <c r="K626" s="244">
        <f t="shared" si="411"/>
        <v>0</v>
      </c>
      <c r="O626" s="122"/>
      <c r="P626" s="122"/>
      <c r="Q626" s="122"/>
      <c r="AE626" s="123">
        <v>1</v>
      </c>
      <c r="AF626" s="123" t="s">
        <v>391</v>
      </c>
    </row>
    <row r="627" spans="1:17" ht="12.75">
      <c r="A627" s="238">
        <f t="shared" si="410"/>
        <v>14</v>
      </c>
      <c r="B627" s="214"/>
      <c r="C627" s="250" t="s">
        <v>881</v>
      </c>
      <c r="D627" s="251"/>
      <c r="E627" s="252">
        <v>378.2</v>
      </c>
      <c r="F627" s="253"/>
      <c r="G627" s="253">
        <v>14425</v>
      </c>
      <c r="H627" s="253"/>
      <c r="I627" s="254">
        <v>3.19</v>
      </c>
      <c r="J627" s="249"/>
      <c r="K627" s="244">
        <f t="shared" si="411"/>
        <v>460.15749999999997</v>
      </c>
      <c r="P627" s="122"/>
      <c r="Q627" s="122"/>
    </row>
    <row r="628" spans="1:44" ht="12.75">
      <c r="A628" s="238">
        <f t="shared" si="410"/>
        <v>15</v>
      </c>
      <c r="B628" s="214"/>
      <c r="C628" s="250" t="s">
        <v>882</v>
      </c>
      <c r="D628" s="251"/>
      <c r="E628" s="252">
        <v>378.3</v>
      </c>
      <c r="F628" s="253"/>
      <c r="G628" s="253">
        <v>0</v>
      </c>
      <c r="H628" s="253"/>
      <c r="I628" s="254">
        <v>3.19</v>
      </c>
      <c r="J628" s="249"/>
      <c r="K628" s="244">
        <f t="shared" si="411"/>
        <v>0</v>
      </c>
      <c r="P628" s="122"/>
      <c r="Q628" s="122"/>
      <c r="AE628" s="123">
        <f>AE626+1</f>
        <v>2</v>
      </c>
      <c r="AF628" s="123" t="s">
        <v>392</v>
      </c>
      <c r="AH628" s="123" t="s">
        <v>393</v>
      </c>
      <c r="AI628" s="138">
        <f aca="true" t="shared" si="413" ref="AI628:AR628">AI374+AI382+AI384+AI394</f>
        <v>22377</v>
      </c>
      <c r="AJ628" s="138">
        <f t="shared" si="413"/>
        <v>13890</v>
      </c>
      <c r="AK628" s="138">
        <f t="shared" si="413"/>
        <v>8246</v>
      </c>
      <c r="AL628" s="138">
        <f t="shared" si="413"/>
        <v>45</v>
      </c>
      <c r="AM628" s="138">
        <f t="shared" si="413"/>
        <v>0</v>
      </c>
      <c r="AN628" s="138">
        <f t="shared" si="413"/>
        <v>195</v>
      </c>
      <c r="AO628" s="138">
        <f t="shared" si="413"/>
        <v>0</v>
      </c>
      <c r="AP628" s="138">
        <f t="shared" si="413"/>
        <v>0</v>
      </c>
      <c r="AQ628" s="138">
        <f t="shared" si="413"/>
        <v>0</v>
      </c>
      <c r="AR628" s="138">
        <f t="shared" si="413"/>
        <v>0</v>
      </c>
    </row>
    <row r="629" spans="1:44" ht="12.75">
      <c r="A629" s="238">
        <f t="shared" si="410"/>
        <v>16</v>
      </c>
      <c r="B629" s="214"/>
      <c r="C629" s="250" t="s">
        <v>883</v>
      </c>
      <c r="D629" s="251"/>
      <c r="E629" s="252">
        <v>379.1</v>
      </c>
      <c r="F629" s="253"/>
      <c r="G629" s="253">
        <v>0</v>
      </c>
      <c r="H629" s="253"/>
      <c r="I629" s="254">
        <v>1.77</v>
      </c>
      <c r="J629" s="249"/>
      <c r="K629" s="244">
        <f t="shared" si="411"/>
        <v>0</v>
      </c>
      <c r="P629" s="122"/>
      <c r="Q629" s="122"/>
      <c r="AE629" s="123">
        <f aca="true" t="shared" si="414" ref="AE629:AE635">AE628+1</f>
        <v>3</v>
      </c>
      <c r="AF629" s="123" t="s">
        <v>394</v>
      </c>
      <c r="AH629" s="123" t="s">
        <v>395</v>
      </c>
      <c r="AI629" s="138">
        <f aca="true" t="shared" si="415" ref="AI629:AR629">AI419</f>
        <v>3648086</v>
      </c>
      <c r="AJ629" s="138">
        <f t="shared" si="415"/>
        <v>2134146</v>
      </c>
      <c r="AK629" s="138">
        <f t="shared" si="415"/>
        <v>1107142</v>
      </c>
      <c r="AL629" s="138">
        <f t="shared" si="415"/>
        <v>1728</v>
      </c>
      <c r="AM629" s="138">
        <f t="shared" si="415"/>
        <v>3918</v>
      </c>
      <c r="AN629" s="138">
        <f t="shared" si="415"/>
        <v>401151</v>
      </c>
      <c r="AO629" s="138">
        <f t="shared" si="415"/>
        <v>0</v>
      </c>
      <c r="AP629" s="138">
        <f t="shared" si="415"/>
        <v>0</v>
      </c>
      <c r="AQ629" s="138">
        <f t="shared" si="415"/>
        <v>0</v>
      </c>
      <c r="AR629" s="138">
        <f t="shared" si="415"/>
        <v>0</v>
      </c>
    </row>
    <row r="630" spans="1:44" ht="12.75">
      <c r="A630" s="238">
        <f t="shared" si="410"/>
        <v>17</v>
      </c>
      <c r="B630" s="214"/>
      <c r="C630" s="250" t="s">
        <v>163</v>
      </c>
      <c r="D630" s="251"/>
      <c r="E630" s="252">
        <v>380</v>
      </c>
      <c r="F630" s="253"/>
      <c r="G630" s="253">
        <v>69469</v>
      </c>
      <c r="H630" s="253"/>
      <c r="I630" s="254">
        <v>3.69</v>
      </c>
      <c r="J630" s="249"/>
      <c r="K630" s="244">
        <f t="shared" si="411"/>
        <v>2563.4061</v>
      </c>
      <c r="P630" s="122"/>
      <c r="Q630" s="122"/>
      <c r="AE630" s="123">
        <f t="shared" si="414"/>
        <v>4</v>
      </c>
      <c r="AF630" s="123" t="s">
        <v>396</v>
      </c>
      <c r="AH630" s="123" t="s">
        <v>395</v>
      </c>
      <c r="AI630" s="123">
        <f aca="true" t="shared" si="416" ref="AI630:AR630">AI431</f>
        <v>958501</v>
      </c>
      <c r="AJ630" s="123">
        <f t="shared" si="416"/>
        <v>493135</v>
      </c>
      <c r="AK630" s="123">
        <f t="shared" si="416"/>
        <v>221939</v>
      </c>
      <c r="AL630" s="123">
        <f t="shared" si="416"/>
        <v>817</v>
      </c>
      <c r="AM630" s="123">
        <f t="shared" si="416"/>
        <v>960</v>
      </c>
      <c r="AN630" s="123">
        <f t="shared" si="416"/>
        <v>241650</v>
      </c>
      <c r="AO630" s="123">
        <f t="shared" si="416"/>
        <v>0</v>
      </c>
      <c r="AP630" s="123">
        <f t="shared" si="416"/>
        <v>0</v>
      </c>
      <c r="AQ630" s="123">
        <f t="shared" si="416"/>
        <v>0</v>
      </c>
      <c r="AR630" s="123">
        <f t="shared" si="416"/>
        <v>0</v>
      </c>
    </row>
    <row r="631" spans="1:44" ht="12.75">
      <c r="A631" s="238">
        <f t="shared" si="410"/>
        <v>18</v>
      </c>
      <c r="B631" s="214"/>
      <c r="C631" s="250" t="s">
        <v>165</v>
      </c>
      <c r="D631" s="251"/>
      <c r="E631" s="252">
        <v>381</v>
      </c>
      <c r="F631" s="253"/>
      <c r="G631" s="253">
        <v>501</v>
      </c>
      <c r="H631" s="253"/>
      <c r="I631" s="254">
        <v>3.46</v>
      </c>
      <c r="J631" s="249"/>
      <c r="K631" s="244">
        <f t="shared" si="411"/>
        <v>17.3346</v>
      </c>
      <c r="P631" s="122"/>
      <c r="Q631" s="122"/>
      <c r="AE631" s="123">
        <f t="shared" si="414"/>
        <v>5</v>
      </c>
      <c r="AF631" s="123" t="s">
        <v>397</v>
      </c>
      <c r="AH631" s="123" t="s">
        <v>398</v>
      </c>
      <c r="AI631" s="123">
        <f aca="true" t="shared" si="417" ref="AI631:AR631">AI452</f>
        <v>1138224</v>
      </c>
      <c r="AJ631" s="123">
        <f t="shared" si="417"/>
        <v>1018346</v>
      </c>
      <c r="AK631" s="123">
        <f t="shared" si="417"/>
        <v>119149</v>
      </c>
      <c r="AL631" s="123">
        <f t="shared" si="417"/>
        <v>11</v>
      </c>
      <c r="AM631" s="123">
        <f t="shared" si="417"/>
        <v>45</v>
      </c>
      <c r="AN631" s="123">
        <f t="shared" si="417"/>
        <v>672</v>
      </c>
      <c r="AO631" s="123">
        <f t="shared" si="417"/>
        <v>0</v>
      </c>
      <c r="AP631" s="123">
        <f t="shared" si="417"/>
        <v>0</v>
      </c>
      <c r="AQ631" s="123">
        <f t="shared" si="417"/>
        <v>0</v>
      </c>
      <c r="AR631" s="123">
        <f t="shared" si="417"/>
        <v>0</v>
      </c>
    </row>
    <row r="632" spans="1:44" ht="12.75">
      <c r="A632" s="238">
        <f t="shared" si="410"/>
        <v>19</v>
      </c>
      <c r="B632" s="214"/>
      <c r="C632" s="250" t="s">
        <v>166</v>
      </c>
      <c r="D632" s="251"/>
      <c r="E632" s="252">
        <v>382</v>
      </c>
      <c r="F632" s="253"/>
      <c r="G632" s="253">
        <v>94258</v>
      </c>
      <c r="H632" s="253"/>
      <c r="I632" s="254">
        <v>3.06</v>
      </c>
      <c r="J632" s="249"/>
      <c r="K632" s="244">
        <f t="shared" si="411"/>
        <v>2884.2948</v>
      </c>
      <c r="P632" s="122"/>
      <c r="Q632" s="122"/>
      <c r="AE632" s="123">
        <f t="shared" si="414"/>
        <v>6</v>
      </c>
      <c r="AF632" s="123" t="s">
        <v>399</v>
      </c>
      <c r="AH632" s="123" t="s">
        <v>398</v>
      </c>
      <c r="AI632" s="123">
        <f aca="true" t="shared" si="418" ref="AI632:AR632">AI464</f>
        <v>93263</v>
      </c>
      <c r="AJ632" s="123">
        <f t="shared" si="418"/>
        <v>83441</v>
      </c>
      <c r="AK632" s="123">
        <f t="shared" si="418"/>
        <v>9763</v>
      </c>
      <c r="AL632" s="123">
        <f t="shared" si="418"/>
        <v>1</v>
      </c>
      <c r="AM632" s="123">
        <f t="shared" si="418"/>
        <v>3</v>
      </c>
      <c r="AN632" s="123">
        <f t="shared" si="418"/>
        <v>55</v>
      </c>
      <c r="AO632" s="123">
        <f t="shared" si="418"/>
        <v>0</v>
      </c>
      <c r="AP632" s="123">
        <f t="shared" si="418"/>
        <v>0</v>
      </c>
      <c r="AQ632" s="123">
        <f t="shared" si="418"/>
        <v>0</v>
      </c>
      <c r="AR632" s="123">
        <f t="shared" si="418"/>
        <v>0</v>
      </c>
    </row>
    <row r="633" spans="1:44" ht="12.75">
      <c r="A633" s="238">
        <f t="shared" si="410"/>
        <v>20</v>
      </c>
      <c r="B633" s="214"/>
      <c r="C633" s="250" t="s">
        <v>167</v>
      </c>
      <c r="D633" s="251"/>
      <c r="E633" s="252">
        <v>383</v>
      </c>
      <c r="F633" s="253"/>
      <c r="G633" s="253">
        <v>48282</v>
      </c>
      <c r="H633" s="253"/>
      <c r="I633" s="254">
        <v>2.79</v>
      </c>
      <c r="J633" s="249"/>
      <c r="K633" s="244">
        <f t="shared" si="411"/>
        <v>1347.0678</v>
      </c>
      <c r="P633" s="122"/>
      <c r="Q633" s="122"/>
      <c r="AE633" s="123">
        <f t="shared" si="414"/>
        <v>7</v>
      </c>
      <c r="AF633" s="123" t="s">
        <v>400</v>
      </c>
      <c r="AH633" s="123" t="s">
        <v>401</v>
      </c>
      <c r="AI633" s="123">
        <f aca="true" t="shared" si="419" ref="AI633:AR633">AI483</f>
        <v>0</v>
      </c>
      <c r="AJ633" s="123">
        <f t="shared" si="419"/>
        <v>0</v>
      </c>
      <c r="AK633" s="123">
        <f t="shared" si="419"/>
        <v>0</v>
      </c>
      <c r="AL633" s="123">
        <f t="shared" si="419"/>
        <v>0</v>
      </c>
      <c r="AM633" s="123">
        <f t="shared" si="419"/>
        <v>0</v>
      </c>
      <c r="AN633" s="123">
        <f t="shared" si="419"/>
        <v>0</v>
      </c>
      <c r="AO633" s="123">
        <f t="shared" si="419"/>
        <v>0</v>
      </c>
      <c r="AP633" s="123">
        <f t="shared" si="419"/>
        <v>0</v>
      </c>
      <c r="AQ633" s="123">
        <f t="shared" si="419"/>
        <v>0</v>
      </c>
      <c r="AR633" s="123">
        <f t="shared" si="419"/>
        <v>0</v>
      </c>
    </row>
    <row r="634" spans="1:44" ht="12.75">
      <c r="A634" s="238">
        <f t="shared" si="410"/>
        <v>21</v>
      </c>
      <c r="B634" s="214"/>
      <c r="C634" s="250" t="s">
        <v>884</v>
      </c>
      <c r="D634" s="251"/>
      <c r="E634" s="252">
        <v>384</v>
      </c>
      <c r="F634" s="253"/>
      <c r="G634" s="253">
        <v>0</v>
      </c>
      <c r="H634" s="253"/>
      <c r="I634" s="254">
        <v>1.42</v>
      </c>
      <c r="J634" s="249"/>
      <c r="K634" s="244">
        <f t="shared" si="411"/>
        <v>0</v>
      </c>
      <c r="P634" s="122"/>
      <c r="Q634" s="122"/>
      <c r="AE634" s="123">
        <f t="shared" si="414"/>
        <v>8</v>
      </c>
      <c r="AF634" s="123" t="s">
        <v>402</v>
      </c>
      <c r="AH634" s="123" t="s">
        <v>401</v>
      </c>
      <c r="AI634" s="141">
        <f aca="true" t="shared" si="420" ref="AI634:AR634">AI504</f>
        <v>0</v>
      </c>
      <c r="AJ634" s="141">
        <f t="shared" si="420"/>
        <v>0</v>
      </c>
      <c r="AK634" s="141">
        <f t="shared" si="420"/>
        <v>0</v>
      </c>
      <c r="AL634" s="141">
        <f t="shared" si="420"/>
        <v>0</v>
      </c>
      <c r="AM634" s="141">
        <f t="shared" si="420"/>
        <v>0</v>
      </c>
      <c r="AN634" s="141">
        <f t="shared" si="420"/>
        <v>0</v>
      </c>
      <c r="AO634" s="141">
        <f t="shared" si="420"/>
        <v>0</v>
      </c>
      <c r="AP634" s="141">
        <f t="shared" si="420"/>
        <v>0</v>
      </c>
      <c r="AQ634" s="141">
        <f t="shared" si="420"/>
        <v>0</v>
      </c>
      <c r="AR634" s="141">
        <f t="shared" si="420"/>
        <v>0</v>
      </c>
    </row>
    <row r="635" spans="1:44" ht="12.75">
      <c r="A635" s="238">
        <f t="shared" si="410"/>
        <v>22</v>
      </c>
      <c r="B635" s="214"/>
      <c r="C635" s="250" t="s">
        <v>885</v>
      </c>
      <c r="D635" s="251"/>
      <c r="E635" s="252">
        <v>385</v>
      </c>
      <c r="F635" s="253"/>
      <c r="G635" s="253">
        <v>2235</v>
      </c>
      <c r="H635" s="253"/>
      <c r="I635" s="254">
        <v>4.92</v>
      </c>
      <c r="J635" s="249"/>
      <c r="K635" s="244">
        <f t="shared" si="411"/>
        <v>109.962</v>
      </c>
      <c r="P635" s="122"/>
      <c r="Q635" s="122"/>
      <c r="AE635" s="123">
        <f t="shared" si="414"/>
        <v>9</v>
      </c>
      <c r="AF635" s="123" t="s">
        <v>403</v>
      </c>
      <c r="AI635" s="123">
        <f aca="true" t="shared" si="421" ref="AI635:AR635">SUM(AI628:AI634)</f>
        <v>5860451</v>
      </c>
      <c r="AJ635" s="123">
        <f t="shared" si="421"/>
        <v>3742958</v>
      </c>
      <c r="AK635" s="123">
        <f t="shared" si="421"/>
        <v>1466239</v>
      </c>
      <c r="AL635" s="123">
        <f t="shared" si="421"/>
        <v>2602</v>
      </c>
      <c r="AM635" s="123">
        <f t="shared" si="421"/>
        <v>4926</v>
      </c>
      <c r="AN635" s="123">
        <f t="shared" si="421"/>
        <v>643723</v>
      </c>
      <c r="AO635" s="123">
        <f t="shared" si="421"/>
        <v>0</v>
      </c>
      <c r="AP635" s="123">
        <f t="shared" si="421"/>
        <v>0</v>
      </c>
      <c r="AQ635" s="123">
        <f t="shared" si="421"/>
        <v>0</v>
      </c>
      <c r="AR635" s="123">
        <f t="shared" si="421"/>
        <v>0</v>
      </c>
    </row>
    <row r="636" spans="1:17" ht="12.75">
      <c r="A636" s="238">
        <f t="shared" si="410"/>
        <v>23</v>
      </c>
      <c r="B636" s="214"/>
      <c r="C636" s="250" t="s">
        <v>886</v>
      </c>
      <c r="D636" s="251"/>
      <c r="E636" s="246">
        <v>387.2</v>
      </c>
      <c r="F636" s="247"/>
      <c r="G636" s="253">
        <v>0</v>
      </c>
      <c r="H636" s="253"/>
      <c r="I636" s="254">
        <v>6.64</v>
      </c>
      <c r="J636" s="249"/>
      <c r="K636" s="244">
        <f t="shared" si="411"/>
        <v>0</v>
      </c>
      <c r="P636" s="122"/>
      <c r="Q636" s="122"/>
    </row>
    <row r="637" spans="1:32" ht="12.75">
      <c r="A637" s="238">
        <f t="shared" si="410"/>
        <v>24</v>
      </c>
      <c r="B637" s="214"/>
      <c r="C637" s="250" t="s">
        <v>887</v>
      </c>
      <c r="D637" s="251"/>
      <c r="E637" s="246">
        <v>387.41</v>
      </c>
      <c r="F637" s="247"/>
      <c r="G637" s="253">
        <v>0</v>
      </c>
      <c r="H637" s="253"/>
      <c r="I637" s="254">
        <v>3.76</v>
      </c>
      <c r="J637" s="249"/>
      <c r="K637" s="244">
        <f t="shared" si="411"/>
        <v>0</v>
      </c>
      <c r="P637" s="122"/>
      <c r="Q637" s="122"/>
      <c r="AE637" s="123">
        <f>AE635+1</f>
        <v>10</v>
      </c>
      <c r="AF637" s="123" t="s">
        <v>404</v>
      </c>
    </row>
    <row r="638" spans="1:17" ht="12.75">
      <c r="A638" s="238">
        <f t="shared" si="410"/>
        <v>25</v>
      </c>
      <c r="B638" s="214"/>
      <c r="C638" s="250" t="s">
        <v>888</v>
      </c>
      <c r="D638" s="251"/>
      <c r="E638" s="246">
        <v>387.42</v>
      </c>
      <c r="F638" s="257"/>
      <c r="G638" s="253">
        <v>0</v>
      </c>
      <c r="H638" s="253"/>
      <c r="I638" s="254">
        <v>3.76</v>
      </c>
      <c r="J638" s="256"/>
      <c r="K638" s="244">
        <f t="shared" si="411"/>
        <v>0</v>
      </c>
      <c r="P638" s="122"/>
      <c r="Q638" s="122"/>
    </row>
    <row r="639" spans="1:44" ht="12.75">
      <c r="A639" s="238">
        <f t="shared" si="410"/>
        <v>26</v>
      </c>
      <c r="B639" s="214"/>
      <c r="C639" s="250" t="s">
        <v>889</v>
      </c>
      <c r="D639" s="214"/>
      <c r="E639" s="246">
        <v>387.44</v>
      </c>
      <c r="F639" s="257"/>
      <c r="G639" s="253">
        <v>0</v>
      </c>
      <c r="H639" s="253"/>
      <c r="I639" s="254">
        <v>3.76</v>
      </c>
      <c r="J639" s="256"/>
      <c r="K639" s="244">
        <f t="shared" si="411"/>
        <v>0</v>
      </c>
      <c r="P639" s="122"/>
      <c r="Q639" s="122"/>
      <c r="AE639" s="123">
        <f>AE637+1</f>
        <v>11</v>
      </c>
      <c r="AF639" s="123" t="s">
        <v>392</v>
      </c>
      <c r="AH639" s="123" t="s">
        <v>393</v>
      </c>
      <c r="AI639" s="123">
        <f aca="true" t="shared" si="422" ref="AI639:AR639">AI375+AI376+AI377+AI383+AI385+AI395+AI396</f>
        <v>-147867</v>
      </c>
      <c r="AJ639" s="123">
        <f t="shared" si="422"/>
        <v>-91794</v>
      </c>
      <c r="AK639" s="123">
        <f t="shared" si="422"/>
        <v>-54487</v>
      </c>
      <c r="AL639" s="123">
        <f t="shared" si="422"/>
        <v>-300</v>
      </c>
      <c r="AM639" s="123">
        <f t="shared" si="422"/>
        <v>0</v>
      </c>
      <c r="AN639" s="123">
        <f t="shared" si="422"/>
        <v>-1289</v>
      </c>
      <c r="AO639" s="123">
        <f t="shared" si="422"/>
        <v>0</v>
      </c>
      <c r="AP639" s="123">
        <f t="shared" si="422"/>
        <v>0</v>
      </c>
      <c r="AQ639" s="123">
        <f t="shared" si="422"/>
        <v>0</v>
      </c>
      <c r="AR639" s="123">
        <f t="shared" si="422"/>
        <v>0</v>
      </c>
    </row>
    <row r="640" spans="1:44" ht="12.75">
      <c r="A640" s="238">
        <f t="shared" si="410"/>
        <v>27</v>
      </c>
      <c r="B640" s="214"/>
      <c r="C640" s="250" t="s">
        <v>890</v>
      </c>
      <c r="D640" s="251"/>
      <c r="E640" s="246">
        <v>387.45</v>
      </c>
      <c r="F640" s="247"/>
      <c r="G640" s="253">
        <v>33051</v>
      </c>
      <c r="H640" s="253"/>
      <c r="I640" s="254">
        <v>3.76</v>
      </c>
      <c r="J640" s="249"/>
      <c r="K640" s="244">
        <f t="shared" si="411"/>
        <v>1242.7175999999997</v>
      </c>
      <c r="P640" s="122"/>
      <c r="Q640" s="122"/>
      <c r="AE640" s="123">
        <f aca="true" t="shared" si="423" ref="AE640:AE646">AE639+1</f>
        <v>12</v>
      </c>
      <c r="AF640" s="123" t="s">
        <v>394</v>
      </c>
      <c r="AH640" s="123" t="s">
        <v>405</v>
      </c>
      <c r="AI640" s="123">
        <f aca="true" t="shared" si="424" ref="AI640:AR640">AI527</f>
        <v>2749383</v>
      </c>
      <c r="AJ640" s="123">
        <f t="shared" si="424"/>
        <v>1525553</v>
      </c>
      <c r="AK640" s="123">
        <f t="shared" si="424"/>
        <v>724789</v>
      </c>
      <c r="AL640" s="123">
        <f t="shared" si="424"/>
        <v>1741</v>
      </c>
      <c r="AM640" s="123">
        <f t="shared" si="424"/>
        <v>2505</v>
      </c>
      <c r="AN640" s="123">
        <f t="shared" si="424"/>
        <v>494796</v>
      </c>
      <c r="AO640" s="123">
        <f t="shared" si="424"/>
        <v>0</v>
      </c>
      <c r="AP640" s="123">
        <f t="shared" si="424"/>
        <v>0</v>
      </c>
      <c r="AQ640" s="123">
        <f t="shared" si="424"/>
        <v>0</v>
      </c>
      <c r="AR640" s="123">
        <f t="shared" si="424"/>
        <v>0</v>
      </c>
    </row>
    <row r="641" spans="1:44" ht="12.75">
      <c r="A641" s="238">
        <f t="shared" si="410"/>
        <v>28</v>
      </c>
      <c r="B641" s="214"/>
      <c r="C641" s="250" t="s">
        <v>891</v>
      </c>
      <c r="D641" s="251"/>
      <c r="E641" s="246">
        <v>387.46</v>
      </c>
      <c r="F641" s="247"/>
      <c r="G641" s="253">
        <v>0</v>
      </c>
      <c r="H641" s="253"/>
      <c r="I641" s="254">
        <v>3.76</v>
      </c>
      <c r="J641" s="249"/>
      <c r="K641" s="244">
        <f t="shared" si="411"/>
        <v>0</v>
      </c>
      <c r="P641" s="122"/>
      <c r="Q641" s="122"/>
      <c r="AE641" s="123">
        <f t="shared" si="423"/>
        <v>13</v>
      </c>
      <c r="AF641" s="123" t="s">
        <v>396</v>
      </c>
      <c r="AH641" s="123" t="s">
        <v>405</v>
      </c>
      <c r="AI641" s="123">
        <f aca="true" t="shared" si="425" ref="AI641:AR641">AI539</f>
        <v>1221316</v>
      </c>
      <c r="AJ641" s="123">
        <f t="shared" si="425"/>
        <v>512214</v>
      </c>
      <c r="AK641" s="123">
        <f t="shared" si="425"/>
        <v>320862</v>
      </c>
      <c r="AL641" s="123">
        <f t="shared" si="425"/>
        <v>1623</v>
      </c>
      <c r="AM641" s="123">
        <f t="shared" si="425"/>
        <v>2809</v>
      </c>
      <c r="AN641" s="123">
        <f t="shared" si="425"/>
        <v>383811</v>
      </c>
      <c r="AO641" s="123">
        <f t="shared" si="425"/>
        <v>0</v>
      </c>
      <c r="AP641" s="123">
        <f t="shared" si="425"/>
        <v>0</v>
      </c>
      <c r="AQ641" s="123">
        <f t="shared" si="425"/>
        <v>0</v>
      </c>
      <c r="AR641" s="123">
        <f t="shared" si="425"/>
        <v>0</v>
      </c>
    </row>
    <row r="642" spans="1:44" ht="12.75">
      <c r="A642" s="238"/>
      <c r="B642" s="214"/>
      <c r="C642" s="250"/>
      <c r="D642" s="251"/>
      <c r="E642" s="246"/>
      <c r="F642" s="247"/>
      <c r="G642" s="247"/>
      <c r="H642" s="247"/>
      <c r="I642" s="254"/>
      <c r="J642" s="249"/>
      <c r="K642" s="244"/>
      <c r="P642" s="122"/>
      <c r="Q642" s="122"/>
      <c r="AE642" s="123">
        <f t="shared" si="423"/>
        <v>14</v>
      </c>
      <c r="AF642" s="123" t="s">
        <v>397</v>
      </c>
      <c r="AH642" s="123" t="s">
        <v>406</v>
      </c>
      <c r="AI642" s="123">
        <f aca="true" t="shared" si="426" ref="AI642:AR642">AI561</f>
        <v>3056347</v>
      </c>
      <c r="AJ642" s="123">
        <f t="shared" si="426"/>
        <v>2734451</v>
      </c>
      <c r="AK642" s="123">
        <f t="shared" si="426"/>
        <v>319940</v>
      </c>
      <c r="AL642" s="123">
        <f t="shared" si="426"/>
        <v>30</v>
      </c>
      <c r="AM642" s="123">
        <f t="shared" si="426"/>
        <v>122</v>
      </c>
      <c r="AN642" s="123">
        <f t="shared" si="426"/>
        <v>1802</v>
      </c>
      <c r="AO642" s="123">
        <f t="shared" si="426"/>
        <v>0</v>
      </c>
      <c r="AP642" s="123">
        <f t="shared" si="426"/>
        <v>0</v>
      </c>
      <c r="AQ642" s="123">
        <f t="shared" si="426"/>
        <v>0</v>
      </c>
      <c r="AR642" s="123">
        <f t="shared" si="426"/>
        <v>0</v>
      </c>
    </row>
    <row r="643" spans="1:44" ht="12.75">
      <c r="A643" s="238">
        <f>1+A641</f>
        <v>29</v>
      </c>
      <c r="B643" s="214"/>
      <c r="C643" s="232" t="s">
        <v>176</v>
      </c>
      <c r="D643" s="258"/>
      <c r="E643" s="246"/>
      <c r="F643" s="247"/>
      <c r="G643" s="247"/>
      <c r="H643" s="247"/>
      <c r="I643" s="254"/>
      <c r="J643" s="249"/>
      <c r="K643" s="244"/>
      <c r="P643" s="122"/>
      <c r="Q643" s="122"/>
      <c r="W643" s="197"/>
      <c r="AE643" s="123">
        <f t="shared" si="423"/>
        <v>15</v>
      </c>
      <c r="AF643" s="123" t="s">
        <v>399</v>
      </c>
      <c r="AH643" s="123" t="s">
        <v>406</v>
      </c>
      <c r="AI643" s="123">
        <f aca="true" t="shared" si="427" ref="AI643:AR643">AI574</f>
        <v>50379</v>
      </c>
      <c r="AJ643" s="123">
        <f t="shared" si="427"/>
        <v>45073</v>
      </c>
      <c r="AK643" s="123">
        <f t="shared" si="427"/>
        <v>5275</v>
      </c>
      <c r="AL643" s="123">
        <f t="shared" si="427"/>
        <v>0</v>
      </c>
      <c r="AM643" s="123">
        <f t="shared" si="427"/>
        <v>2</v>
      </c>
      <c r="AN643" s="123">
        <f t="shared" si="427"/>
        <v>30</v>
      </c>
      <c r="AO643" s="123">
        <f t="shared" si="427"/>
        <v>0</v>
      </c>
      <c r="AP643" s="123">
        <f t="shared" si="427"/>
        <v>0</v>
      </c>
      <c r="AQ643" s="123">
        <f t="shared" si="427"/>
        <v>0</v>
      </c>
      <c r="AR643" s="123">
        <f t="shared" si="427"/>
        <v>0</v>
      </c>
    </row>
    <row r="644" spans="1:44" ht="12.75">
      <c r="A644" s="238">
        <f aca="true" t="shared" si="428" ref="A644:A650">1+A643</f>
        <v>30</v>
      </c>
      <c r="B644" s="214"/>
      <c r="C644" s="250" t="s">
        <v>892</v>
      </c>
      <c r="D644" s="213"/>
      <c r="E644" s="259">
        <v>391.12</v>
      </c>
      <c r="F644" s="247"/>
      <c r="G644" s="253">
        <v>300</v>
      </c>
      <c r="H644" s="247"/>
      <c r="I644" s="260" t="s">
        <v>872</v>
      </c>
      <c r="J644" s="249"/>
      <c r="K644" s="244">
        <v>0</v>
      </c>
      <c r="P644" s="122"/>
      <c r="Q644" s="122"/>
      <c r="W644" s="197"/>
      <c r="AE644" s="123">
        <f t="shared" si="423"/>
        <v>16</v>
      </c>
      <c r="AF644" s="123" t="s">
        <v>400</v>
      </c>
      <c r="AH644" s="123" t="s">
        <v>407</v>
      </c>
      <c r="AI644" s="123">
        <f aca="true" t="shared" si="429" ref="AI644:AR644">AI592</f>
        <v>0</v>
      </c>
      <c r="AJ644" s="123">
        <f t="shared" si="429"/>
        <v>0</v>
      </c>
      <c r="AK644" s="123">
        <f t="shared" si="429"/>
        <v>0</v>
      </c>
      <c r="AL644" s="123">
        <f t="shared" si="429"/>
        <v>0</v>
      </c>
      <c r="AM644" s="123">
        <f t="shared" si="429"/>
        <v>0</v>
      </c>
      <c r="AN644" s="123">
        <f t="shared" si="429"/>
        <v>0</v>
      </c>
      <c r="AO644" s="123">
        <f t="shared" si="429"/>
        <v>0</v>
      </c>
      <c r="AP644" s="123">
        <f t="shared" si="429"/>
        <v>0</v>
      </c>
      <c r="AQ644" s="123">
        <f t="shared" si="429"/>
        <v>0</v>
      </c>
      <c r="AR644" s="123">
        <f t="shared" si="429"/>
        <v>0</v>
      </c>
    </row>
    <row r="645" spans="1:44" ht="12.75">
      <c r="A645" s="238">
        <f t="shared" si="428"/>
        <v>31</v>
      </c>
      <c r="B645" s="214"/>
      <c r="C645" s="250" t="s">
        <v>893</v>
      </c>
      <c r="D645" s="251"/>
      <c r="E645" s="246">
        <v>392.2</v>
      </c>
      <c r="F645" s="247"/>
      <c r="G645" s="253">
        <v>0</v>
      </c>
      <c r="H645" s="253"/>
      <c r="I645" s="254">
        <v>4.38</v>
      </c>
      <c r="J645" s="249"/>
      <c r="K645" s="244">
        <f>G645*(I645/100)</f>
        <v>0</v>
      </c>
      <c r="P645" s="122"/>
      <c r="Q645" s="122"/>
      <c r="W645" s="197"/>
      <c r="AE645" s="123">
        <f t="shared" si="423"/>
        <v>17</v>
      </c>
      <c r="AF645" s="123" t="s">
        <v>402</v>
      </c>
      <c r="AH645" s="123" t="s">
        <v>407</v>
      </c>
      <c r="AI645" s="141">
        <f aca="true" t="shared" si="430" ref="AI645:AR645">AI615</f>
        <v>14847614</v>
      </c>
      <c r="AJ645" s="141">
        <f t="shared" si="430"/>
        <v>9208094</v>
      </c>
      <c r="AK645" s="141">
        <f t="shared" si="430"/>
        <v>3359509</v>
      </c>
      <c r="AL645" s="141">
        <f t="shared" si="430"/>
        <v>8450</v>
      </c>
      <c r="AM645" s="141">
        <f t="shared" si="430"/>
        <v>15596</v>
      </c>
      <c r="AN645" s="141">
        <f t="shared" si="430"/>
        <v>2255964</v>
      </c>
      <c r="AO645" s="141">
        <f t="shared" si="430"/>
        <v>0</v>
      </c>
      <c r="AP645" s="141">
        <f t="shared" si="430"/>
        <v>0</v>
      </c>
      <c r="AQ645" s="141">
        <f t="shared" si="430"/>
        <v>0</v>
      </c>
      <c r="AR645" s="141">
        <f t="shared" si="430"/>
        <v>0</v>
      </c>
    </row>
    <row r="646" spans="1:44" ht="12.75">
      <c r="A646" s="238">
        <f t="shared" si="428"/>
        <v>32</v>
      </c>
      <c r="B646" s="214"/>
      <c r="C646" s="250" t="s">
        <v>894</v>
      </c>
      <c r="D646" s="251"/>
      <c r="E646" s="246">
        <v>392.21</v>
      </c>
      <c r="F646" s="247"/>
      <c r="G646" s="253">
        <v>0</v>
      </c>
      <c r="H646" s="253"/>
      <c r="I646" s="254">
        <v>4.38</v>
      </c>
      <c r="J646" s="249"/>
      <c r="K646" s="244">
        <f>G646*(I646/100)</f>
        <v>0</v>
      </c>
      <c r="P646" s="122"/>
      <c r="Q646" s="122"/>
      <c r="W646" s="197"/>
      <c r="AE646" s="123">
        <f t="shared" si="423"/>
        <v>18</v>
      </c>
      <c r="AF646" s="123" t="s">
        <v>408</v>
      </c>
      <c r="AI646" s="141">
        <f aca="true" t="shared" si="431" ref="AI646:AR646">SUM(AI639:AI645)</f>
        <v>21777172</v>
      </c>
      <c r="AJ646" s="141">
        <f t="shared" si="431"/>
        <v>13933591</v>
      </c>
      <c r="AK646" s="141">
        <f t="shared" si="431"/>
        <v>4675888</v>
      </c>
      <c r="AL646" s="141">
        <f t="shared" si="431"/>
        <v>11544</v>
      </c>
      <c r="AM646" s="141">
        <f t="shared" si="431"/>
        <v>21034</v>
      </c>
      <c r="AN646" s="141">
        <f t="shared" si="431"/>
        <v>3135114</v>
      </c>
      <c r="AO646" s="141">
        <f t="shared" si="431"/>
        <v>0</v>
      </c>
      <c r="AP646" s="141">
        <f t="shared" si="431"/>
        <v>0</v>
      </c>
      <c r="AQ646" s="141">
        <f t="shared" si="431"/>
        <v>0</v>
      </c>
      <c r="AR646" s="141">
        <f t="shared" si="431"/>
        <v>0</v>
      </c>
    </row>
    <row r="647" spans="1:23" ht="12.75">
      <c r="A647" s="238">
        <f t="shared" si="428"/>
        <v>33</v>
      </c>
      <c r="B647" s="214"/>
      <c r="C647" s="250" t="s">
        <v>895</v>
      </c>
      <c r="D647" s="251"/>
      <c r="E647" s="246">
        <v>394.11</v>
      </c>
      <c r="F647" s="247"/>
      <c r="G647" s="253">
        <v>0</v>
      </c>
      <c r="H647" s="253"/>
      <c r="I647" s="261">
        <v>24.33</v>
      </c>
      <c r="J647" s="249"/>
      <c r="K647" s="244">
        <f>G647*(I647/100)</f>
        <v>0</v>
      </c>
      <c r="P647" s="122"/>
      <c r="Q647" s="122"/>
      <c r="R647" s="197"/>
      <c r="S647" s="197"/>
      <c r="T647" s="198"/>
      <c r="W647" s="197"/>
    </row>
    <row r="648" spans="1:44" ht="12.75">
      <c r="A648" s="238">
        <f t="shared" si="428"/>
        <v>34</v>
      </c>
      <c r="B648" s="214"/>
      <c r="C648" s="250" t="s">
        <v>896</v>
      </c>
      <c r="D648" s="251"/>
      <c r="E648" s="259">
        <v>394.3</v>
      </c>
      <c r="F648" s="213"/>
      <c r="G648" s="253">
        <v>17239</v>
      </c>
      <c r="H648" s="253"/>
      <c r="I648" s="260" t="s">
        <v>872</v>
      </c>
      <c r="J648" s="249"/>
      <c r="K648" s="244">
        <v>0</v>
      </c>
      <c r="P648" s="122"/>
      <c r="Q648" s="122"/>
      <c r="R648" s="197"/>
      <c r="S648" s="197"/>
      <c r="T648" s="198"/>
      <c r="W648" s="197"/>
      <c r="AE648" s="123">
        <f>AE646+1</f>
        <v>19</v>
      </c>
      <c r="AF648" s="123" t="s">
        <v>409</v>
      </c>
      <c r="AI648" s="123">
        <f aca="true" t="shared" si="432" ref="AI648:AR648">AI635+AI646</f>
        <v>27637623</v>
      </c>
      <c r="AJ648" s="123">
        <f t="shared" si="432"/>
        <v>17676549</v>
      </c>
      <c r="AK648" s="123">
        <f t="shared" si="432"/>
        <v>6142127</v>
      </c>
      <c r="AL648" s="123">
        <f t="shared" si="432"/>
        <v>14146</v>
      </c>
      <c r="AM648" s="123">
        <f t="shared" si="432"/>
        <v>25960</v>
      </c>
      <c r="AN648" s="123">
        <f t="shared" si="432"/>
        <v>3778837</v>
      </c>
      <c r="AO648" s="123">
        <f t="shared" si="432"/>
        <v>0</v>
      </c>
      <c r="AP648" s="123">
        <f t="shared" si="432"/>
        <v>0</v>
      </c>
      <c r="AQ648" s="123">
        <f t="shared" si="432"/>
        <v>0</v>
      </c>
      <c r="AR648" s="123">
        <f t="shared" si="432"/>
        <v>0</v>
      </c>
    </row>
    <row r="649" spans="1:23" ht="12.75">
      <c r="A649" s="238">
        <f t="shared" si="428"/>
        <v>35</v>
      </c>
      <c r="B649" s="214"/>
      <c r="C649" s="250" t="s">
        <v>897</v>
      </c>
      <c r="D649" s="251"/>
      <c r="E649" s="246">
        <v>396</v>
      </c>
      <c r="F649" s="257"/>
      <c r="G649" s="262">
        <v>0</v>
      </c>
      <c r="H649" s="253"/>
      <c r="I649" s="254">
        <v>0</v>
      </c>
      <c r="J649" s="249"/>
      <c r="K649" s="263">
        <f>G649*(I649/100)</f>
        <v>0</v>
      </c>
      <c r="P649" s="122"/>
      <c r="Q649" s="122"/>
      <c r="R649" s="197"/>
      <c r="S649" s="197"/>
      <c r="T649" s="198"/>
      <c r="W649" s="197"/>
    </row>
    <row r="650" spans="1:19" ht="12.75">
      <c r="A650" s="238">
        <f t="shared" si="428"/>
        <v>36</v>
      </c>
      <c r="B650" s="214"/>
      <c r="C650" s="232"/>
      <c r="D650" s="251"/>
      <c r="E650" s="246"/>
      <c r="F650" s="247"/>
      <c r="G650" s="247"/>
      <c r="H650" s="247"/>
      <c r="I650" s="248"/>
      <c r="J650" s="249"/>
      <c r="K650" s="247"/>
      <c r="O650" s="122"/>
      <c r="P650" s="122"/>
      <c r="Q650" s="122"/>
      <c r="R650" s="122"/>
      <c r="S650" s="122"/>
    </row>
    <row r="651" spans="1:19" ht="12.75">
      <c r="A651" s="238"/>
      <c r="B651" s="214"/>
      <c r="C651" s="251"/>
      <c r="D651" s="251"/>
      <c r="E651" s="264"/>
      <c r="F651" s="265"/>
      <c r="G651" s="265"/>
      <c r="H651" s="265"/>
      <c r="I651" s="243"/>
      <c r="J651" s="214"/>
      <c r="K651" s="265"/>
      <c r="O651" s="186"/>
      <c r="P651" s="122"/>
      <c r="Q651" s="122"/>
      <c r="R651" s="122"/>
      <c r="S651" s="122"/>
    </row>
    <row r="652" spans="1:44" ht="13.5" thickBot="1">
      <c r="A652"/>
      <c r="B652" s="214"/>
      <c r="C652" s="251" t="s">
        <v>16</v>
      </c>
      <c r="D652" s="251"/>
      <c r="E652" s="264"/>
      <c r="F652" s="266"/>
      <c r="G652" s="267">
        <f>SUM(G614:G649)</f>
        <v>416315</v>
      </c>
      <c r="H652" s="266"/>
      <c r="I652" s="268"/>
      <c r="J652" s="224"/>
      <c r="K652" s="267">
        <f>SUM(K616:K650)</f>
        <v>10262.994700000001</v>
      </c>
      <c r="O652" s="186"/>
      <c r="P652" s="186"/>
      <c r="Q652" s="122"/>
      <c r="R652" s="199"/>
      <c r="S652" s="199"/>
      <c r="AM652" s="124"/>
      <c r="AN652" s="126"/>
      <c r="AO652" s="126"/>
      <c r="AP652" s="126"/>
      <c r="AR652" s="126"/>
    </row>
    <row r="653" spans="1:43" ht="13.5" thickTop="1">
      <c r="A653"/>
      <c r="B653" s="214"/>
      <c r="C653" s="251"/>
      <c r="D653" s="251"/>
      <c r="E653" s="251"/>
      <c r="F653" s="269"/>
      <c r="G653" s="269"/>
      <c r="H653" s="269"/>
      <c r="I653" s="270"/>
      <c r="J653" s="214"/>
      <c r="K653" s="271"/>
      <c r="O653" s="186"/>
      <c r="P653" s="186"/>
      <c r="Q653" s="122"/>
      <c r="R653" s="199"/>
      <c r="S653" s="199"/>
      <c r="AI653" s="126"/>
      <c r="AK653" s="125" t="str">
        <f>""&amp;+$B$24</f>
        <v>COLUMBIA GAS OF KENTUCKY, INC.</v>
      </c>
      <c r="AQ653" s="123" t="str">
        <f>$B$25</f>
        <v>D/C STUDY</v>
      </c>
    </row>
    <row r="654" spans="1:43" ht="12.75">
      <c r="A654" s="272" t="s">
        <v>898</v>
      </c>
      <c r="B654" s="214"/>
      <c r="C654" s="214" t="s">
        <v>899</v>
      </c>
      <c r="D654" s="214"/>
      <c r="E654" s="214"/>
      <c r="F654" s="214"/>
      <c r="G654" s="214"/>
      <c r="H654" s="214"/>
      <c r="I654" s="214"/>
      <c r="J654" s="214"/>
      <c r="K654" s="214"/>
      <c r="O654" s="122"/>
      <c r="P654" s="122"/>
      <c r="Q654" s="122"/>
      <c r="R654" s="199"/>
      <c r="S654" s="199"/>
      <c r="AE654" s="123" t="str">
        <f>$B$30</f>
        <v>DEMAND-COMMODITY</v>
      </c>
      <c r="AK654" s="125" t="s">
        <v>59</v>
      </c>
      <c r="AQ654" s="123" t="str">
        <f>"PAGE 21 OF "&amp;FIXED($B$31,0,TRUE)</f>
        <v>PAGE 21 OF 28</v>
      </c>
    </row>
    <row r="655" spans="2:44" ht="12.75">
      <c r="B655" s="123">
        <v>1</v>
      </c>
      <c r="C655" s="123">
        <v>2</v>
      </c>
      <c r="D655" s="123">
        <v>3</v>
      </c>
      <c r="E655" s="123">
        <v>4</v>
      </c>
      <c r="F655" s="123">
        <v>5</v>
      </c>
      <c r="G655" s="123">
        <v>6</v>
      </c>
      <c r="H655" s="123">
        <v>7</v>
      </c>
      <c r="I655" s="123">
        <v>8</v>
      </c>
      <c r="J655" s="123">
        <v>9</v>
      </c>
      <c r="K655" s="123">
        <v>10</v>
      </c>
      <c r="L655" s="123">
        <v>11</v>
      </c>
      <c r="M655" s="123">
        <v>12</v>
      </c>
      <c r="N655" s="123">
        <v>13</v>
      </c>
      <c r="O655" s="122">
        <v>14</v>
      </c>
      <c r="P655" s="122">
        <v>15</v>
      </c>
      <c r="Q655" s="122">
        <v>16</v>
      </c>
      <c r="R655" s="200">
        <v>17</v>
      </c>
      <c r="S655" s="200">
        <v>18</v>
      </c>
      <c r="T655" s="123">
        <v>19</v>
      </c>
      <c r="U655" s="123">
        <v>20</v>
      </c>
      <c r="AE655" s="128" t="str">
        <f>$B$29</f>
        <v>HISTORIC PERIOD - ORIGINAL FILING</v>
      </c>
      <c r="AF655" s="128"/>
      <c r="AG655" s="128"/>
      <c r="AH655" s="129"/>
      <c r="AI655" s="128"/>
      <c r="AJ655" s="128"/>
      <c r="AK655" s="130" t="str">
        <f>"FOR THE TWELVE MONTHS ENDED "&amp;$B$27</f>
        <v>FOR THE TWELVE MONTHS ENDED 09/30/2006</v>
      </c>
      <c r="AL655" s="128"/>
      <c r="AM655" s="128"/>
      <c r="AN655" s="128"/>
      <c r="AO655" s="128"/>
      <c r="AP655" s="128"/>
      <c r="AQ655" s="128" t="str">
        <f>"WITNESS: "&amp;$B$28</f>
        <v>WITNESS: R. GIBBONS</v>
      </c>
      <c r="AR655" s="131"/>
    </row>
    <row r="656" spans="1:35" ht="12.75">
      <c r="A656" s="144" t="s">
        <v>0</v>
      </c>
      <c r="B656" s="144" t="s">
        <v>0</v>
      </c>
      <c r="C656" s="122" t="s">
        <v>0</v>
      </c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99"/>
      <c r="S656" s="199"/>
      <c r="AE656" s="125" t="s">
        <v>9</v>
      </c>
      <c r="AF656" s="123" t="s">
        <v>10</v>
      </c>
      <c r="AH656" s="125" t="s">
        <v>11</v>
      </c>
      <c r="AI656" s="125" t="s">
        <v>12</v>
      </c>
    </row>
    <row r="657" spans="1:44" ht="12.75">
      <c r="A657" s="122" t="s">
        <v>410</v>
      </c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99"/>
      <c r="R657" s="199"/>
      <c r="AE657" s="133" t="s">
        <v>13</v>
      </c>
      <c r="AF657" s="133" t="s">
        <v>13</v>
      </c>
      <c r="AG657" s="133" t="str">
        <f>"                        ACCOUNT TITLE                "</f>
        <v>                        ACCOUNT TITLE                </v>
      </c>
      <c r="AH657" s="141" t="s">
        <v>14</v>
      </c>
      <c r="AI657" s="133" t="s">
        <v>15</v>
      </c>
      <c r="AJ657" s="133" t="str">
        <f>"  "&amp;+$C$35</f>
        <v>  GS-RES.</v>
      </c>
      <c r="AK657" s="133" t="str">
        <f>$C$36</f>
        <v>GS-OTHER</v>
      </c>
      <c r="AL657" s="133" t="str">
        <f>$C$37</f>
        <v>IUS</v>
      </c>
      <c r="AM657" s="133" t="str">
        <f>$C$38</f>
        <v>DS-ML/SC</v>
      </c>
      <c r="AN657" s="133" t="str">
        <f>$C$39</f>
        <v>DS/IS/SS</v>
      </c>
      <c r="AO657" s="133" t="str">
        <f>$C$40</f>
        <v>NOT USED</v>
      </c>
      <c r="AP657" s="133" t="str">
        <f>$C$41</f>
        <v>NOT USED</v>
      </c>
      <c r="AQ657" s="133" t="str">
        <f>$C$42</f>
        <v>NOT USED</v>
      </c>
      <c r="AR657" s="133" t="str">
        <f>$C$43</f>
        <v>NOT USED</v>
      </c>
    </row>
    <row r="658" spans="1:44" ht="12.75">
      <c r="A658" s="144" t="s">
        <v>0</v>
      </c>
      <c r="B658" s="144" t="s">
        <v>0</v>
      </c>
      <c r="C658" s="122" t="s">
        <v>0</v>
      </c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99"/>
      <c r="R658" s="199"/>
      <c r="AF658" s="136" t="s">
        <v>17</v>
      </c>
      <c r="AG658" s="136" t="s">
        <v>18</v>
      </c>
      <c r="AH658" s="125" t="s">
        <v>19</v>
      </c>
      <c r="AI658" s="125" t="s">
        <v>20</v>
      </c>
      <c r="AJ658" s="125" t="s">
        <v>21</v>
      </c>
      <c r="AK658" s="125" t="s">
        <v>22</v>
      </c>
      <c r="AL658" s="125" t="s">
        <v>23</v>
      </c>
      <c r="AM658" s="125" t="s">
        <v>24</v>
      </c>
      <c r="AN658" s="125" t="s">
        <v>25</v>
      </c>
      <c r="AO658" s="125" t="s">
        <v>26</v>
      </c>
      <c r="AP658" s="125" t="s">
        <v>27</v>
      </c>
      <c r="AQ658" s="125" t="s">
        <v>28</v>
      </c>
      <c r="AR658" s="125" t="s">
        <v>29</v>
      </c>
    </row>
    <row r="659" spans="1:44" ht="12.75">
      <c r="A659" s="156" t="s">
        <v>120</v>
      </c>
      <c r="B659" s="122"/>
      <c r="C659" s="122" t="str">
        <f>$C$35</f>
        <v>GS-RES.</v>
      </c>
      <c r="D659" s="122" t="str">
        <f>$C$36</f>
        <v>GS-OTHER</v>
      </c>
      <c r="E659" s="122" t="str">
        <f>$C$37</f>
        <v>IUS</v>
      </c>
      <c r="F659" s="122" t="str">
        <f>$C$38</f>
        <v>DS-ML/SC</v>
      </c>
      <c r="G659" s="122" t="str">
        <f>$C$39</f>
        <v>DS/IS/SS</v>
      </c>
      <c r="H659" s="122" t="str">
        <f>$C$40</f>
        <v>NOT USED</v>
      </c>
      <c r="I659" s="122" t="str">
        <f>$C$41</f>
        <v>NOT USED</v>
      </c>
      <c r="J659" s="122" t="str">
        <f>$C$42</f>
        <v>NOT USED</v>
      </c>
      <c r="K659" s="122" t="str">
        <f>$C$43</f>
        <v>NOT USED</v>
      </c>
      <c r="L659" s="156" t="s">
        <v>12</v>
      </c>
      <c r="M659" s="122" t="str">
        <f>$C$35</f>
        <v>GS-RES.</v>
      </c>
      <c r="N659" s="122" t="str">
        <f>$C$36</f>
        <v>GS-OTHER</v>
      </c>
      <c r="O659" s="122" t="str">
        <f>$C$37</f>
        <v>IUS</v>
      </c>
      <c r="P659" s="122" t="str">
        <f>$C$38</f>
        <v>DS-ML/SC</v>
      </c>
      <c r="Q659" s="122" t="str">
        <f>$C$39</f>
        <v>DS/IS/SS</v>
      </c>
      <c r="R659" s="122" t="str">
        <f>$C$40</f>
        <v>NOT USED</v>
      </c>
      <c r="S659" s="122" t="str">
        <f>$C$41</f>
        <v>NOT USED</v>
      </c>
      <c r="T659" s="122" t="str">
        <f>$C$42</f>
        <v>NOT USED</v>
      </c>
      <c r="U659" s="122" t="str">
        <f>$C$43</f>
        <v>NOT USED</v>
      </c>
      <c r="AI659" s="125" t="s">
        <v>32</v>
      </c>
      <c r="AJ659" s="125" t="s">
        <v>32</v>
      </c>
      <c r="AK659" s="125" t="s">
        <v>32</v>
      </c>
      <c r="AL659" s="125" t="s">
        <v>32</v>
      </c>
      <c r="AM659" s="125" t="s">
        <v>32</v>
      </c>
      <c r="AN659" s="125" t="s">
        <v>32</v>
      </c>
      <c r="AO659" s="125" t="s">
        <v>32</v>
      </c>
      <c r="AP659" s="125" t="s">
        <v>32</v>
      </c>
      <c r="AQ659" s="125" t="s">
        <v>32</v>
      </c>
      <c r="AR659" s="125" t="s">
        <v>32</v>
      </c>
    </row>
    <row r="660" spans="1:21" ht="12.75">
      <c r="A660" s="156" t="s">
        <v>13</v>
      </c>
      <c r="B660" s="122" t="s">
        <v>30</v>
      </c>
      <c r="C660" s="156" t="s">
        <v>411</v>
      </c>
      <c r="D660" s="156" t="s">
        <v>411</v>
      </c>
      <c r="E660" s="156" t="s">
        <v>411</v>
      </c>
      <c r="F660" s="156" t="s">
        <v>411</v>
      </c>
      <c r="G660" s="156" t="s">
        <v>411</v>
      </c>
      <c r="H660" s="156" t="s">
        <v>411</v>
      </c>
      <c r="I660" s="156" t="s">
        <v>411</v>
      </c>
      <c r="J660" s="156" t="s">
        <v>411</v>
      </c>
      <c r="K660" s="156" t="s">
        <v>411</v>
      </c>
      <c r="L660" s="156" t="s">
        <v>411</v>
      </c>
      <c r="M660" s="156" t="s">
        <v>412</v>
      </c>
      <c r="N660" s="156" t="s">
        <v>412</v>
      </c>
      <c r="O660" s="156" t="s">
        <v>412</v>
      </c>
      <c r="P660" s="156" t="s">
        <v>412</v>
      </c>
      <c r="Q660" s="156" t="s">
        <v>412</v>
      </c>
      <c r="R660" s="156" t="s">
        <v>412</v>
      </c>
      <c r="S660" s="156" t="s">
        <v>412</v>
      </c>
      <c r="U660" s="156" t="s">
        <v>412</v>
      </c>
    </row>
    <row r="661" spans="1:21" ht="12.75">
      <c r="A661" s="149">
        <v>1</v>
      </c>
      <c r="B661" s="145" t="s">
        <v>413</v>
      </c>
      <c r="C661" s="145">
        <f aca="true" t="shared" si="433" ref="C661:K662">E75</f>
        <v>155900</v>
      </c>
      <c r="D661" s="145">
        <f t="shared" si="433"/>
        <v>95200</v>
      </c>
      <c r="E661" s="145">
        <f t="shared" si="433"/>
        <v>400</v>
      </c>
      <c r="F661" s="145">
        <f t="shared" si="433"/>
        <v>0</v>
      </c>
      <c r="G661" s="145">
        <f t="shared" si="433"/>
        <v>113000</v>
      </c>
      <c r="H661" s="145">
        <f t="shared" si="433"/>
        <v>0</v>
      </c>
      <c r="I661" s="145">
        <f t="shared" si="433"/>
        <v>0</v>
      </c>
      <c r="J661" s="145">
        <f t="shared" si="433"/>
        <v>0</v>
      </c>
      <c r="K661" s="145">
        <f t="shared" si="433"/>
        <v>0</v>
      </c>
      <c r="L661" s="122">
        <f aca="true" t="shared" si="434" ref="L661:L679">SUM(C661:K661)</f>
        <v>364500</v>
      </c>
      <c r="M661" s="199">
        <f aca="true" t="shared" si="435" ref="M661:M667">ROUND(1-SUM(N661:U661)+0.00000000001,5)</f>
        <v>0.42771</v>
      </c>
      <c r="N661" s="199">
        <f aca="true" t="shared" si="436" ref="N661:U667">IF($L661=0,0,ROUND(D661/$L661,5))</f>
        <v>0.26118</v>
      </c>
      <c r="O661" s="199">
        <f t="shared" si="436"/>
        <v>0.0011</v>
      </c>
      <c r="P661" s="199">
        <f t="shared" si="436"/>
        <v>0</v>
      </c>
      <c r="Q661" s="199">
        <f t="shared" si="436"/>
        <v>0.31001</v>
      </c>
      <c r="R661" s="199">
        <f t="shared" si="436"/>
        <v>0</v>
      </c>
      <c r="S661" s="199">
        <f t="shared" si="436"/>
        <v>0</v>
      </c>
      <c r="T661" s="199">
        <f t="shared" si="436"/>
        <v>0</v>
      </c>
      <c r="U661" s="199">
        <f t="shared" si="436"/>
        <v>0</v>
      </c>
    </row>
    <row r="662" spans="1:44" ht="12.75">
      <c r="A662" s="149">
        <v>2</v>
      </c>
      <c r="B662" s="145" t="s">
        <v>414</v>
      </c>
      <c r="C662" s="145">
        <f t="shared" si="433"/>
        <v>155900</v>
      </c>
      <c r="D662" s="145">
        <f t="shared" si="433"/>
        <v>95200</v>
      </c>
      <c r="E662" s="145">
        <f t="shared" si="433"/>
        <v>400</v>
      </c>
      <c r="F662" s="145">
        <f t="shared" si="433"/>
        <v>0</v>
      </c>
      <c r="G662" s="145">
        <f t="shared" si="433"/>
        <v>2500</v>
      </c>
      <c r="H662" s="145">
        <f t="shared" si="433"/>
        <v>0</v>
      </c>
      <c r="I662" s="145">
        <f t="shared" si="433"/>
        <v>0</v>
      </c>
      <c r="J662" s="145">
        <f t="shared" si="433"/>
        <v>0</v>
      </c>
      <c r="K662" s="145">
        <f t="shared" si="433"/>
        <v>0</v>
      </c>
      <c r="L662" s="122">
        <f t="shared" si="434"/>
        <v>254000</v>
      </c>
      <c r="M662" s="199">
        <f t="shared" si="435"/>
        <v>0.61379</v>
      </c>
      <c r="N662" s="199">
        <f t="shared" si="436"/>
        <v>0.3748</v>
      </c>
      <c r="O662" s="199">
        <f t="shared" si="436"/>
        <v>0.00157</v>
      </c>
      <c r="P662" s="199">
        <f t="shared" si="436"/>
        <v>0</v>
      </c>
      <c r="Q662" s="199">
        <f t="shared" si="436"/>
        <v>0.00984</v>
      </c>
      <c r="R662" s="199">
        <f t="shared" si="436"/>
        <v>0</v>
      </c>
      <c r="S662" s="199">
        <f t="shared" si="436"/>
        <v>0</v>
      </c>
      <c r="T662" s="199">
        <f t="shared" si="436"/>
        <v>0</v>
      </c>
      <c r="U662" s="199">
        <f t="shared" si="436"/>
        <v>0</v>
      </c>
      <c r="AE662" s="123">
        <v>1</v>
      </c>
      <c r="AF662" s="123">
        <f>A489</f>
        <v>408</v>
      </c>
      <c r="AG662" s="138" t="str">
        <f>B489</f>
        <v>TAXES BASED ON PROPERTY</v>
      </c>
      <c r="AH662" s="123">
        <f>C489</f>
        <v>7</v>
      </c>
      <c r="AI662" s="123">
        <f>D489-SUM(E490:M490)</f>
        <v>1791018</v>
      </c>
      <c r="AJ662" s="123">
        <f>ROUND((VLOOKUP($AH662,$A$661:$Y$709,13)*$AI662),0)</f>
        <v>1005263</v>
      </c>
      <c r="AK662" s="123">
        <f>ROUND((VLOOKUP($AH662,$A$661:$Y$709,14)*$AI662),0)</f>
        <v>375236</v>
      </c>
      <c r="AL662" s="123">
        <f>ROUND((VLOOKUP($AH662,$A$661:$Y$709,15)*$AI662),0)</f>
        <v>1182</v>
      </c>
      <c r="AM662" s="123">
        <f>ROUND((VLOOKUP($AH662,$A$661:$Y$709,16)*$AI662),0)</f>
        <v>788</v>
      </c>
      <c r="AN662" s="123">
        <f>ROUND((VLOOKUP($AH662,$A$661:$Y$709,17)*$AI662),0)</f>
        <v>408549</v>
      </c>
      <c r="AO662" s="123">
        <f>ROUND((VLOOKUP($AH662,$A$661:$Y$709,18)*$AI662),0)</f>
        <v>0</v>
      </c>
      <c r="AP662" s="123">
        <f>ROUND((VLOOKUP($AH662,$A$661:$Y$709,19)*$AI662),0)</f>
        <v>0</v>
      </c>
      <c r="AQ662" s="123">
        <f>ROUND((VLOOKUP($AH662,$A$661:$Y$709,20)*$AI662),0)</f>
        <v>0</v>
      </c>
      <c r="AR662" s="123">
        <f>ROUND((VLOOKUP($AH662,$A$661:$Y$709,21)*$AI662),0)</f>
        <v>0</v>
      </c>
    </row>
    <row r="663" spans="1:31" ht="12.75">
      <c r="A663" s="149">
        <v>3</v>
      </c>
      <c r="B663" s="145" t="s">
        <v>385</v>
      </c>
      <c r="C663" s="187">
        <f aca="true" t="shared" si="437" ref="C663:K663">E554</f>
        <v>0.7241127885175112</v>
      </c>
      <c r="D663" s="187">
        <f t="shared" si="437"/>
        <v>0.16185236629478034</v>
      </c>
      <c r="E663" s="187">
        <f t="shared" si="437"/>
        <v>0.0004100039752196456</v>
      </c>
      <c r="F663" s="187">
        <f t="shared" si="437"/>
        <v>0</v>
      </c>
      <c r="G663" s="187">
        <f t="shared" si="437"/>
        <v>0.11362484121248886</v>
      </c>
      <c r="H663" s="187">
        <f t="shared" si="437"/>
        <v>0</v>
      </c>
      <c r="I663" s="187">
        <f t="shared" si="437"/>
        <v>0</v>
      </c>
      <c r="J663" s="187">
        <f t="shared" si="437"/>
        <v>0</v>
      </c>
      <c r="K663" s="187">
        <f t="shared" si="437"/>
        <v>0</v>
      </c>
      <c r="L663" s="186">
        <f t="shared" si="434"/>
        <v>1</v>
      </c>
      <c r="M663" s="199">
        <f t="shared" si="435"/>
        <v>0.72412</v>
      </c>
      <c r="N663" s="199">
        <f t="shared" si="436"/>
        <v>0.16185</v>
      </c>
      <c r="O663" s="199">
        <f t="shared" si="436"/>
        <v>0.00041</v>
      </c>
      <c r="P663" s="199">
        <f t="shared" si="436"/>
        <v>0</v>
      </c>
      <c r="Q663" s="199">
        <f t="shared" si="436"/>
        <v>0.11362</v>
      </c>
      <c r="R663" s="199">
        <f t="shared" si="436"/>
        <v>0</v>
      </c>
      <c r="S663" s="199">
        <f t="shared" si="436"/>
        <v>0</v>
      </c>
      <c r="T663" s="199">
        <f t="shared" si="436"/>
        <v>0</v>
      </c>
      <c r="U663" s="199">
        <f t="shared" si="436"/>
        <v>0</v>
      </c>
      <c r="AE663" s="123" t="s">
        <v>2</v>
      </c>
    </row>
    <row r="664" spans="1:44" ht="12.75">
      <c r="A664" s="149">
        <v>4</v>
      </c>
      <c r="B664" s="145" t="s">
        <v>415</v>
      </c>
      <c r="C664" s="145">
        <f aca="true" t="shared" si="438" ref="C664:K664">E74</f>
        <v>8799874.1</v>
      </c>
      <c r="D664" s="145">
        <f t="shared" si="438"/>
        <v>5937231.7</v>
      </c>
      <c r="E664" s="145">
        <f t="shared" si="438"/>
        <v>21904</v>
      </c>
      <c r="F664" s="145">
        <f t="shared" si="438"/>
        <v>0</v>
      </c>
      <c r="G664" s="145">
        <f t="shared" si="438"/>
        <v>13027175.499999998</v>
      </c>
      <c r="H664" s="145">
        <f t="shared" si="438"/>
        <v>0</v>
      </c>
      <c r="I664" s="145">
        <f t="shared" si="438"/>
        <v>0</v>
      </c>
      <c r="J664" s="145">
        <f t="shared" si="438"/>
        <v>0</v>
      </c>
      <c r="K664" s="145">
        <f t="shared" si="438"/>
        <v>0</v>
      </c>
      <c r="L664" s="122">
        <f t="shared" si="434"/>
        <v>27786185.299999997</v>
      </c>
      <c r="M664" s="199">
        <f t="shared" si="435"/>
        <v>0.31669</v>
      </c>
      <c r="N664" s="199">
        <f t="shared" si="436"/>
        <v>0.21368</v>
      </c>
      <c r="O664" s="199">
        <f t="shared" si="436"/>
        <v>0.00079</v>
      </c>
      <c r="P664" s="199">
        <f t="shared" si="436"/>
        <v>0</v>
      </c>
      <c r="Q664" s="199">
        <f t="shared" si="436"/>
        <v>0.46884</v>
      </c>
      <c r="R664" s="199">
        <f t="shared" si="436"/>
        <v>0</v>
      </c>
      <c r="S664" s="199">
        <f t="shared" si="436"/>
        <v>0</v>
      </c>
      <c r="T664" s="199">
        <f t="shared" si="436"/>
        <v>0</v>
      </c>
      <c r="U664" s="199">
        <f t="shared" si="436"/>
        <v>0</v>
      </c>
      <c r="AE664" s="123">
        <f>AE662+1</f>
        <v>2</v>
      </c>
      <c r="AF664" s="123">
        <f>A490</f>
        <v>408</v>
      </c>
      <c r="AG664" s="138" t="str">
        <f>B490</f>
        <v>TAXES BASED ON PAYROLL</v>
      </c>
      <c r="AH664" s="123">
        <f>C490</f>
        <v>12</v>
      </c>
      <c r="AI664" s="123">
        <f>D490</f>
        <v>530759</v>
      </c>
      <c r="AJ664" s="123">
        <f>ROUND((VLOOKUP($AH664,$A$661:$Y$709,13)*$AI664),0)</f>
        <v>338990</v>
      </c>
      <c r="AK664" s="123">
        <f>ROUND((VLOOKUP($AH664,$A$661:$Y$709,14)*$AI664),0)</f>
        <v>132791</v>
      </c>
      <c r="AL664" s="123">
        <f>ROUND((VLOOKUP($AH664,$A$661:$Y$709,15)*$AI664),0)</f>
        <v>234</v>
      </c>
      <c r="AM664" s="123">
        <f>ROUND((VLOOKUP($AH664,$A$661:$Y$709,16)*$AI664),0)</f>
        <v>446</v>
      </c>
      <c r="AN664" s="123">
        <f>ROUND((VLOOKUP($AH664,$A$661:$Y$709,17)*$AI664),0)</f>
        <v>58299</v>
      </c>
      <c r="AO664" s="123">
        <f>ROUND((VLOOKUP($AH664,$A$661:$Y$709,18)*$AI664),0)</f>
        <v>0</v>
      </c>
      <c r="AP664" s="123">
        <f>ROUND((VLOOKUP($AH664,$A$661:$Y$709,19)*$AI664),0)</f>
        <v>0</v>
      </c>
      <c r="AQ664" s="123">
        <f>ROUND((VLOOKUP($AH664,$A$661:$Y$709,20)*$AI664),0)</f>
        <v>0</v>
      </c>
      <c r="AR664" s="123">
        <f>ROUND((VLOOKUP($AH664,$A$661:$Y$709,21)*$AI664),0)</f>
        <v>0</v>
      </c>
    </row>
    <row r="665" spans="1:21" ht="12.75">
      <c r="A665" s="149">
        <v>5</v>
      </c>
      <c r="B665" s="145" t="s">
        <v>416</v>
      </c>
      <c r="C665" s="187">
        <f aca="true" t="shared" si="439" ref="C665:K665">ROUND((M661+M664)/2,5)</f>
        <v>0.3722</v>
      </c>
      <c r="D665" s="187">
        <f t="shared" si="439"/>
        <v>0.23743</v>
      </c>
      <c r="E665" s="187">
        <f t="shared" si="439"/>
        <v>0.00095</v>
      </c>
      <c r="F665" s="187">
        <f t="shared" si="439"/>
        <v>0</v>
      </c>
      <c r="G665" s="187">
        <f t="shared" si="439"/>
        <v>0.38943</v>
      </c>
      <c r="H665" s="187">
        <f t="shared" si="439"/>
        <v>0</v>
      </c>
      <c r="I665" s="187">
        <f t="shared" si="439"/>
        <v>0</v>
      </c>
      <c r="J665" s="187">
        <f t="shared" si="439"/>
        <v>0</v>
      </c>
      <c r="K665" s="187">
        <f t="shared" si="439"/>
        <v>0</v>
      </c>
      <c r="L665" s="122">
        <f t="shared" si="434"/>
        <v>1.00001</v>
      </c>
      <c r="M665" s="199">
        <f t="shared" si="435"/>
        <v>0.37219</v>
      </c>
      <c r="N665" s="199">
        <f t="shared" si="436"/>
        <v>0.23743</v>
      </c>
      <c r="O665" s="199">
        <f t="shared" si="436"/>
        <v>0.00095</v>
      </c>
      <c r="P665" s="199">
        <f t="shared" si="436"/>
        <v>0</v>
      </c>
      <c r="Q665" s="199">
        <f t="shared" si="436"/>
        <v>0.38943</v>
      </c>
      <c r="R665" s="199">
        <f t="shared" si="436"/>
        <v>0</v>
      </c>
      <c r="S665" s="199">
        <f t="shared" si="436"/>
        <v>0</v>
      </c>
      <c r="T665" s="199">
        <f t="shared" si="436"/>
        <v>0</v>
      </c>
      <c r="U665" s="199">
        <f t="shared" si="436"/>
        <v>0</v>
      </c>
    </row>
    <row r="666" spans="1:44" ht="12.75">
      <c r="A666" s="149">
        <v>6</v>
      </c>
      <c r="B666" s="145" t="s">
        <v>417</v>
      </c>
      <c r="C666" s="145">
        <f aca="true" t="shared" si="440" ref="C666:K666">E77</f>
        <v>124450.33333333333</v>
      </c>
      <c r="D666" s="145">
        <f t="shared" si="440"/>
        <v>14561.25</v>
      </c>
      <c r="E666" s="145">
        <f t="shared" si="440"/>
        <v>2</v>
      </c>
      <c r="F666" s="145">
        <f t="shared" si="440"/>
        <v>5.833333333333333</v>
      </c>
      <c r="G666" s="145">
        <f t="shared" si="440"/>
        <v>82.58333333333333</v>
      </c>
      <c r="H666" s="145">
        <f t="shared" si="440"/>
        <v>0</v>
      </c>
      <c r="I666" s="145">
        <f t="shared" si="440"/>
        <v>0</v>
      </c>
      <c r="J666" s="145">
        <f t="shared" si="440"/>
        <v>0</v>
      </c>
      <c r="K666" s="145">
        <f t="shared" si="440"/>
        <v>0</v>
      </c>
      <c r="L666" s="122">
        <f t="shared" si="434"/>
        <v>139102</v>
      </c>
      <c r="M666" s="199">
        <f t="shared" si="435"/>
        <v>0.89468</v>
      </c>
      <c r="N666" s="199">
        <f t="shared" si="436"/>
        <v>0.10468</v>
      </c>
      <c r="O666" s="199">
        <f t="shared" si="436"/>
        <v>1E-05</v>
      </c>
      <c r="P666" s="199">
        <f t="shared" si="436"/>
        <v>4E-05</v>
      </c>
      <c r="Q666" s="199">
        <f t="shared" si="436"/>
        <v>0.00059</v>
      </c>
      <c r="R666" s="199">
        <f t="shared" si="436"/>
        <v>0</v>
      </c>
      <c r="S666" s="199">
        <f t="shared" si="436"/>
        <v>0</v>
      </c>
      <c r="T666" s="199">
        <f t="shared" si="436"/>
        <v>0</v>
      </c>
      <c r="U666" s="199">
        <f t="shared" si="436"/>
        <v>0</v>
      </c>
      <c r="AE666" s="123">
        <f>AE664+1</f>
        <v>3</v>
      </c>
      <c r="AF666" s="123">
        <f>A491</f>
        <v>408</v>
      </c>
      <c r="AG666" s="138" t="str">
        <f>B491</f>
        <v>OTHER TAXES</v>
      </c>
      <c r="AH666" s="123">
        <f>C491</f>
        <v>12</v>
      </c>
      <c r="AI666" s="123">
        <f>D491</f>
        <v>3083</v>
      </c>
      <c r="AJ666" s="123">
        <f>ROUND((VLOOKUP($AH666,$A$661:$Y$709,13)*$AI666),0)</f>
        <v>1969</v>
      </c>
      <c r="AK666" s="123">
        <f>ROUND((VLOOKUP($AH666,$A$661:$Y$709,14)*$AI666),0)</f>
        <v>771</v>
      </c>
      <c r="AL666" s="123">
        <f>ROUND((VLOOKUP($AH666,$A$661:$Y$709,15)*$AI666),0)</f>
        <v>1</v>
      </c>
      <c r="AM666" s="123">
        <f>ROUND((VLOOKUP($AH666,$A$661:$Y$709,16)*$AI666),0)</f>
        <v>3</v>
      </c>
      <c r="AN666" s="123">
        <f>ROUND((VLOOKUP($AH666,$A$661:$Y$709,17)*$AI666),0)</f>
        <v>339</v>
      </c>
      <c r="AO666" s="123">
        <f>ROUND((VLOOKUP($AH666,$A$661:$Y$709,18)*$AI666),0)</f>
        <v>0</v>
      </c>
      <c r="AP666" s="123">
        <f>ROUND((VLOOKUP($AH666,$A$661:$Y$709,19)*$AI666),0)</f>
        <v>0</v>
      </c>
      <c r="AQ666" s="123">
        <f>ROUND((VLOOKUP($AH666,$A$661:$Y$709,20)*$AI666),0)</f>
        <v>0</v>
      </c>
      <c r="AR666" s="123">
        <f>ROUND((VLOOKUP($AH666,$A$661:$Y$709,21)*$AI666),0)</f>
        <v>0</v>
      </c>
    </row>
    <row r="667" spans="1:21" ht="12.75">
      <c r="A667" s="149">
        <v>7</v>
      </c>
      <c r="B667" s="145" t="s">
        <v>418</v>
      </c>
      <c r="C667" s="145">
        <f aca="true" t="shared" si="441" ref="C667:K667">SUM(AJ$26:AJ$33)+SUM(AJ$36:AJ$43)+SUM(AJ$53:AJ$59)+SUM(AJ$110:AJ$117)+SUM(AJ$120:AJ$127)+SUM(AJ$135:AJ$138)</f>
        <v>130782327</v>
      </c>
      <c r="D667" s="145">
        <f t="shared" si="441"/>
        <v>48815827</v>
      </c>
      <c r="E667" s="145">
        <f t="shared" si="441"/>
        <v>152886</v>
      </c>
      <c r="F667" s="145">
        <f t="shared" si="441"/>
        <v>101535</v>
      </c>
      <c r="G667" s="145">
        <f t="shared" si="441"/>
        <v>53149768</v>
      </c>
      <c r="H667" s="145">
        <f t="shared" si="441"/>
        <v>0</v>
      </c>
      <c r="I667" s="145">
        <f t="shared" si="441"/>
        <v>0</v>
      </c>
      <c r="J667" s="145">
        <f t="shared" si="441"/>
        <v>0</v>
      </c>
      <c r="K667" s="145">
        <f t="shared" si="441"/>
        <v>0</v>
      </c>
      <c r="L667" s="122">
        <f t="shared" si="434"/>
        <v>233002343</v>
      </c>
      <c r="M667" s="199">
        <f t="shared" si="435"/>
        <v>0.56128</v>
      </c>
      <c r="N667" s="199">
        <f t="shared" si="436"/>
        <v>0.20951</v>
      </c>
      <c r="O667" s="199">
        <f t="shared" si="436"/>
        <v>0.00066</v>
      </c>
      <c r="P667" s="199">
        <f t="shared" si="436"/>
        <v>0.00044</v>
      </c>
      <c r="Q667" s="199">
        <f t="shared" si="436"/>
        <v>0.22811</v>
      </c>
      <c r="R667" s="199">
        <f t="shared" si="436"/>
        <v>0</v>
      </c>
      <c r="S667" s="199">
        <f t="shared" si="436"/>
        <v>0</v>
      </c>
      <c r="T667" s="199">
        <f t="shared" si="436"/>
        <v>0</v>
      </c>
      <c r="U667" s="199">
        <f t="shared" si="436"/>
        <v>0</v>
      </c>
    </row>
    <row r="668" spans="1:44" ht="12.75">
      <c r="A668" s="149">
        <v>8</v>
      </c>
      <c r="B668" s="145" t="s">
        <v>419</v>
      </c>
      <c r="C668" s="145">
        <f aca="true" t="shared" si="442" ref="C668:K668">SUM(AJ58+AJ59)+AJ138</f>
        <v>0</v>
      </c>
      <c r="D668" s="145">
        <f t="shared" si="442"/>
        <v>1417813</v>
      </c>
      <c r="E668" s="145">
        <f t="shared" si="442"/>
        <v>20247</v>
      </c>
      <c r="F668" s="145">
        <f t="shared" si="442"/>
        <v>70888</v>
      </c>
      <c r="G668" s="145">
        <f t="shared" si="442"/>
        <v>1073496</v>
      </c>
      <c r="H668" s="145">
        <f t="shared" si="442"/>
        <v>0</v>
      </c>
      <c r="I668" s="145">
        <f t="shared" si="442"/>
        <v>0</v>
      </c>
      <c r="J668" s="145">
        <f t="shared" si="442"/>
        <v>0</v>
      </c>
      <c r="K668" s="145">
        <f t="shared" si="442"/>
        <v>0</v>
      </c>
      <c r="L668" s="122">
        <f t="shared" si="434"/>
        <v>2582444</v>
      </c>
      <c r="M668" s="199">
        <f>IF($L668=0,0,ROUND(C668/$L668,5))</f>
        <v>0</v>
      </c>
      <c r="N668" s="199">
        <f>ROUND(1-SUM(O668:U668)-M668+0.00000000001,5)</f>
        <v>0.54902</v>
      </c>
      <c r="O668" s="199">
        <f aca="true" t="shared" si="443" ref="O668:O680">IF($L668=0,0,ROUND(E668/$L668,5))</f>
        <v>0.00784</v>
      </c>
      <c r="P668" s="199">
        <f aca="true" t="shared" si="444" ref="P668:P680">IF($L668=0,0,ROUND(F668/$L668,5))</f>
        <v>0.02745</v>
      </c>
      <c r="Q668" s="199">
        <f aca="true" t="shared" si="445" ref="Q668:Q679">IF($L668=0,0,ROUND(G668/$L668,5))</f>
        <v>0.41569</v>
      </c>
      <c r="R668" s="199">
        <f aca="true" t="shared" si="446" ref="R668:R680">IF($L668=0,0,ROUND(H668/$L668,5))</f>
        <v>0</v>
      </c>
      <c r="S668" s="199">
        <f aca="true" t="shared" si="447" ref="S668:S680">IF($L668=0,0,ROUND(I668/$L668,5))</f>
        <v>0</v>
      </c>
      <c r="T668" s="199">
        <f aca="true" t="shared" si="448" ref="T668:T680">IF($L668=0,0,ROUND(J668/$L668,5))</f>
        <v>0</v>
      </c>
      <c r="U668" s="199">
        <f aca="true" t="shared" si="449" ref="U668:U679">IF($L668=0,0,ROUND(K668/$L668,5))</f>
        <v>0</v>
      </c>
      <c r="AE668" s="123">
        <f>AE666+1</f>
        <v>4</v>
      </c>
      <c r="AG668" s="123" t="s">
        <v>420</v>
      </c>
      <c r="AI668" s="123">
        <f aca="true" t="shared" si="450" ref="AI668:AR668">SUM(AI662:AI666)</f>
        <v>2324860</v>
      </c>
      <c r="AJ668" s="123">
        <f t="shared" si="450"/>
        <v>1346222</v>
      </c>
      <c r="AK668" s="123">
        <f t="shared" si="450"/>
        <v>508798</v>
      </c>
      <c r="AL668" s="123">
        <f t="shared" si="450"/>
        <v>1417</v>
      </c>
      <c r="AM668" s="123">
        <f t="shared" si="450"/>
        <v>1237</v>
      </c>
      <c r="AN668" s="123">
        <f t="shared" si="450"/>
        <v>467187</v>
      </c>
      <c r="AO668" s="123">
        <f t="shared" si="450"/>
        <v>0</v>
      </c>
      <c r="AP668" s="123">
        <f t="shared" si="450"/>
        <v>0</v>
      </c>
      <c r="AQ668" s="123">
        <f t="shared" si="450"/>
        <v>0</v>
      </c>
      <c r="AR668" s="123">
        <f t="shared" si="450"/>
        <v>0</v>
      </c>
    </row>
    <row r="669" spans="1:21" ht="12.75">
      <c r="A669" s="149">
        <v>9</v>
      </c>
      <c r="B669" s="145" t="s">
        <v>712</v>
      </c>
      <c r="C669" s="145">
        <f aca="true" t="shared" si="451" ref="C669:K669">AJ393</f>
        <v>69736011.38</v>
      </c>
      <c r="D669" s="145">
        <f t="shared" si="451"/>
        <v>41401008.260000005</v>
      </c>
      <c r="E669" s="145">
        <f t="shared" si="451"/>
        <v>227827.88</v>
      </c>
      <c r="F669" s="145">
        <f t="shared" si="451"/>
        <v>0</v>
      </c>
      <c r="G669" s="145">
        <f t="shared" si="451"/>
        <v>979821.17</v>
      </c>
      <c r="H669" s="145">
        <v>0</v>
      </c>
      <c r="I669" s="145">
        <f t="shared" si="451"/>
        <v>0</v>
      </c>
      <c r="J669" s="145">
        <f t="shared" si="451"/>
        <v>0</v>
      </c>
      <c r="K669" s="145">
        <f t="shared" si="451"/>
        <v>0</v>
      </c>
      <c r="L669" s="122">
        <f t="shared" si="434"/>
        <v>112344668.69</v>
      </c>
      <c r="M669" s="199">
        <f aca="true" t="shared" si="452" ref="M669:M679">ROUND(1-SUM(N669:U669)+0.00000000001,5)</f>
        <v>0.62073</v>
      </c>
      <c r="N669" s="199">
        <f aca="true" t="shared" si="453" ref="N669:N680">IF($L669=0,0,ROUND(D669/$L669,5))</f>
        <v>0.36852</v>
      </c>
      <c r="O669" s="199">
        <f t="shared" si="443"/>
        <v>0.00203</v>
      </c>
      <c r="P669" s="199">
        <f t="shared" si="444"/>
        <v>0</v>
      </c>
      <c r="Q669" s="199">
        <f t="shared" si="445"/>
        <v>0.00872</v>
      </c>
      <c r="R669" s="199">
        <f t="shared" si="446"/>
        <v>0</v>
      </c>
      <c r="S669" s="199">
        <f t="shared" si="447"/>
        <v>0</v>
      </c>
      <c r="T669" s="199">
        <f t="shared" si="448"/>
        <v>0</v>
      </c>
      <c r="U669" s="199">
        <f t="shared" si="449"/>
        <v>0</v>
      </c>
    </row>
    <row r="670" spans="1:21" ht="12.75">
      <c r="A670" s="149">
        <v>10</v>
      </c>
      <c r="B670" s="145" t="s">
        <v>421</v>
      </c>
      <c r="C670" s="145">
        <f aca="true" t="shared" si="454" ref="C670:K670">SUM(AJ411:AJ416)+SUM(AJ424:AJ429)</f>
        <v>2016410</v>
      </c>
      <c r="D670" s="145">
        <f t="shared" si="454"/>
        <v>1020052</v>
      </c>
      <c r="E670" s="145">
        <f t="shared" si="454"/>
        <v>1956</v>
      </c>
      <c r="F670" s="145">
        <f t="shared" si="454"/>
        <v>3744</v>
      </c>
      <c r="G670" s="145">
        <f t="shared" si="454"/>
        <v>493342</v>
      </c>
      <c r="H670" s="145">
        <f t="shared" si="454"/>
        <v>0</v>
      </c>
      <c r="I670" s="145">
        <f t="shared" si="454"/>
        <v>0</v>
      </c>
      <c r="J670" s="145">
        <f t="shared" si="454"/>
        <v>0</v>
      </c>
      <c r="K670" s="145">
        <f t="shared" si="454"/>
        <v>0</v>
      </c>
      <c r="L670" s="122">
        <f t="shared" si="434"/>
        <v>3535504</v>
      </c>
      <c r="M670" s="199">
        <f t="shared" si="452"/>
        <v>0.57033</v>
      </c>
      <c r="N670" s="199">
        <f t="shared" si="453"/>
        <v>0.28852</v>
      </c>
      <c r="O670" s="199">
        <f t="shared" si="443"/>
        <v>0.00055</v>
      </c>
      <c r="P670" s="199">
        <f t="shared" si="444"/>
        <v>0.00106</v>
      </c>
      <c r="Q670" s="199">
        <f t="shared" si="445"/>
        <v>0.13954</v>
      </c>
      <c r="R670" s="199">
        <f t="shared" si="446"/>
        <v>0</v>
      </c>
      <c r="S670" s="199">
        <f t="shared" si="447"/>
        <v>0</v>
      </c>
      <c r="T670" s="199">
        <f t="shared" si="448"/>
        <v>0</v>
      </c>
      <c r="U670" s="199">
        <f t="shared" si="449"/>
        <v>0</v>
      </c>
    </row>
    <row r="671" spans="1:33" ht="12.75">
      <c r="A671" s="149">
        <v>11</v>
      </c>
      <c r="B671" s="145" t="s">
        <v>422</v>
      </c>
      <c r="C671" s="145">
        <f aca="true" t="shared" si="455" ref="C671:K671">SUM(AJ519:AJ524)+SUM(AJ532:AJ537)</f>
        <v>1436542</v>
      </c>
      <c r="D671" s="145">
        <f t="shared" si="455"/>
        <v>737142</v>
      </c>
      <c r="E671" s="145">
        <f t="shared" si="455"/>
        <v>2368</v>
      </c>
      <c r="F671" s="145">
        <f t="shared" si="455"/>
        <v>3743</v>
      </c>
      <c r="G671" s="145">
        <f t="shared" si="455"/>
        <v>619384</v>
      </c>
      <c r="H671" s="145">
        <f t="shared" si="455"/>
        <v>0</v>
      </c>
      <c r="I671" s="145">
        <f t="shared" si="455"/>
        <v>0</v>
      </c>
      <c r="J671" s="145">
        <f t="shared" si="455"/>
        <v>0</v>
      </c>
      <c r="K671" s="145">
        <f t="shared" si="455"/>
        <v>0</v>
      </c>
      <c r="L671" s="122">
        <f t="shared" si="434"/>
        <v>2799179</v>
      </c>
      <c r="M671" s="199">
        <f t="shared" si="452"/>
        <v>0.5132</v>
      </c>
      <c r="N671" s="199">
        <f t="shared" si="453"/>
        <v>0.26334</v>
      </c>
      <c r="O671" s="199">
        <f t="shared" si="443"/>
        <v>0.00085</v>
      </c>
      <c r="P671" s="199">
        <f t="shared" si="444"/>
        <v>0.00134</v>
      </c>
      <c r="Q671" s="199">
        <f t="shared" si="445"/>
        <v>0.22127</v>
      </c>
      <c r="R671" s="199">
        <f t="shared" si="446"/>
        <v>0</v>
      </c>
      <c r="S671" s="199">
        <f t="shared" si="447"/>
        <v>0</v>
      </c>
      <c r="T671" s="199">
        <f t="shared" si="448"/>
        <v>0</v>
      </c>
      <c r="U671" s="199">
        <f t="shared" si="449"/>
        <v>0</v>
      </c>
      <c r="AG671" s="138"/>
    </row>
    <row r="672" spans="1:33" ht="12.75">
      <c r="A672" s="149">
        <v>12</v>
      </c>
      <c r="B672" s="145" t="s">
        <v>423</v>
      </c>
      <c r="C672" s="145">
        <f aca="true" t="shared" si="456" ref="C672:K672">SUM(AJ628:AJ633)</f>
        <v>3742958</v>
      </c>
      <c r="D672" s="145">
        <f t="shared" si="456"/>
        <v>1466239</v>
      </c>
      <c r="E672" s="145">
        <f t="shared" si="456"/>
        <v>2602</v>
      </c>
      <c r="F672" s="145">
        <f t="shared" si="456"/>
        <v>4926</v>
      </c>
      <c r="G672" s="145">
        <f t="shared" si="456"/>
        <v>643723</v>
      </c>
      <c r="H672" s="145">
        <f t="shared" si="456"/>
        <v>0</v>
      </c>
      <c r="I672" s="145">
        <f t="shared" si="456"/>
        <v>0</v>
      </c>
      <c r="J672" s="145">
        <f t="shared" si="456"/>
        <v>0</v>
      </c>
      <c r="K672" s="145">
        <f t="shared" si="456"/>
        <v>0</v>
      </c>
      <c r="L672" s="122">
        <f t="shared" si="434"/>
        <v>5860448</v>
      </c>
      <c r="M672" s="199">
        <f t="shared" si="452"/>
        <v>0.63869</v>
      </c>
      <c r="N672" s="199">
        <f t="shared" si="453"/>
        <v>0.25019</v>
      </c>
      <c r="O672" s="199">
        <f t="shared" si="443"/>
        <v>0.00044</v>
      </c>
      <c r="P672" s="199">
        <f t="shared" si="444"/>
        <v>0.00084</v>
      </c>
      <c r="Q672" s="199">
        <f t="shared" si="445"/>
        <v>0.10984</v>
      </c>
      <c r="R672" s="199">
        <f t="shared" si="446"/>
        <v>0</v>
      </c>
      <c r="S672" s="199">
        <f t="shared" si="447"/>
        <v>0</v>
      </c>
      <c r="T672" s="199">
        <f t="shared" si="448"/>
        <v>0</v>
      </c>
      <c r="U672" s="199">
        <f t="shared" si="449"/>
        <v>0</v>
      </c>
      <c r="AG672" s="138"/>
    </row>
    <row r="673" spans="1:33" ht="12.75">
      <c r="A673" s="149">
        <v>13</v>
      </c>
      <c r="B673" s="145" t="s">
        <v>424</v>
      </c>
      <c r="C673" s="145">
        <f aca="true" t="shared" si="457" ref="C673:K673">SUM(AJ639:AJ644)-AJ446-AJ555</f>
        <v>3251964</v>
      </c>
      <c r="D673" s="145">
        <f t="shared" si="457"/>
        <v>1143972</v>
      </c>
      <c r="E673" s="145">
        <f t="shared" si="457"/>
        <v>3078</v>
      </c>
      <c r="F673" s="145">
        <f t="shared" si="457"/>
        <v>5372</v>
      </c>
      <c r="G673" s="145">
        <f t="shared" si="457"/>
        <v>878178</v>
      </c>
      <c r="H673" s="145">
        <f t="shared" si="457"/>
        <v>0</v>
      </c>
      <c r="I673" s="145">
        <f t="shared" si="457"/>
        <v>0</v>
      </c>
      <c r="J673" s="145">
        <f t="shared" si="457"/>
        <v>0</v>
      </c>
      <c r="K673" s="145">
        <f t="shared" si="457"/>
        <v>0</v>
      </c>
      <c r="L673" s="122">
        <f t="shared" si="434"/>
        <v>5282564</v>
      </c>
      <c r="M673" s="199">
        <f t="shared" si="452"/>
        <v>0.6156</v>
      </c>
      <c r="N673" s="199">
        <f t="shared" si="453"/>
        <v>0.21656</v>
      </c>
      <c r="O673" s="199">
        <f t="shared" si="443"/>
        <v>0.00058</v>
      </c>
      <c r="P673" s="199">
        <f t="shared" si="444"/>
        <v>0.00102</v>
      </c>
      <c r="Q673" s="199">
        <f t="shared" si="445"/>
        <v>0.16624</v>
      </c>
      <c r="R673" s="199">
        <f t="shared" si="446"/>
        <v>0</v>
      </c>
      <c r="S673" s="199">
        <f t="shared" si="447"/>
        <v>0</v>
      </c>
      <c r="T673" s="199">
        <f t="shared" si="448"/>
        <v>0</v>
      </c>
      <c r="U673" s="199">
        <f t="shared" si="449"/>
        <v>0</v>
      </c>
      <c r="AG673" s="138"/>
    </row>
    <row r="674" spans="1:33" ht="12.75">
      <c r="A674" s="149">
        <v>14</v>
      </c>
      <c r="B674" s="145" t="s">
        <v>425</v>
      </c>
      <c r="C674" s="145">
        <f aca="true" t="shared" si="458" ref="C674:K674">AJ37+AJ38+AJ121+AJ43+AJ53+AJ126</f>
        <v>112370459</v>
      </c>
      <c r="D674" s="145">
        <f t="shared" si="458"/>
        <v>36501319</v>
      </c>
      <c r="E674" s="145">
        <f t="shared" si="458"/>
        <v>117188</v>
      </c>
      <c r="F674" s="145">
        <f t="shared" si="458"/>
        <v>0</v>
      </c>
      <c r="G674" s="145">
        <f t="shared" si="458"/>
        <v>47929103</v>
      </c>
      <c r="H674" s="145">
        <f t="shared" si="458"/>
        <v>0</v>
      </c>
      <c r="I674" s="145">
        <f t="shared" si="458"/>
        <v>0</v>
      </c>
      <c r="J674" s="145">
        <f t="shared" si="458"/>
        <v>0</v>
      </c>
      <c r="K674" s="145">
        <f t="shared" si="458"/>
        <v>0</v>
      </c>
      <c r="L674" s="122">
        <f t="shared" si="434"/>
        <v>196918069</v>
      </c>
      <c r="M674" s="199">
        <f t="shared" si="452"/>
        <v>0.57064</v>
      </c>
      <c r="N674" s="199">
        <f t="shared" si="453"/>
        <v>0.18536</v>
      </c>
      <c r="O674" s="199">
        <f t="shared" si="443"/>
        <v>0.0006</v>
      </c>
      <c r="P674" s="199">
        <f t="shared" si="444"/>
        <v>0</v>
      </c>
      <c r="Q674" s="199">
        <f t="shared" si="445"/>
        <v>0.2434</v>
      </c>
      <c r="R674" s="199">
        <f t="shared" si="446"/>
        <v>0</v>
      </c>
      <c r="S674" s="199">
        <f t="shared" si="447"/>
        <v>0</v>
      </c>
      <c r="T674" s="199">
        <f t="shared" si="448"/>
        <v>0</v>
      </c>
      <c r="U674" s="199">
        <f t="shared" si="449"/>
        <v>0</v>
      </c>
      <c r="AG674" s="138"/>
    </row>
    <row r="675" spans="1:44" ht="12.75">
      <c r="A675" s="149">
        <v>15</v>
      </c>
      <c r="B675" s="145" t="s">
        <v>426</v>
      </c>
      <c r="C675" s="187">
        <f aca="true" t="shared" si="459" ref="C675:K677">E551</f>
        <v>0.897834990707549</v>
      </c>
      <c r="D675" s="187">
        <f t="shared" si="459"/>
        <v>0.09952447567799333</v>
      </c>
      <c r="E675" s="187">
        <f t="shared" si="459"/>
        <v>1.34228088764726E-05</v>
      </c>
      <c r="F675" s="187">
        <f t="shared" si="459"/>
        <v>0</v>
      </c>
      <c r="G675" s="187">
        <f t="shared" si="459"/>
        <v>0.0026271108055811437</v>
      </c>
      <c r="H675" s="187">
        <f t="shared" si="459"/>
        <v>0</v>
      </c>
      <c r="I675" s="187">
        <f t="shared" si="459"/>
        <v>0</v>
      </c>
      <c r="J675" s="187">
        <f t="shared" si="459"/>
        <v>0</v>
      </c>
      <c r="K675" s="187">
        <f t="shared" si="459"/>
        <v>0</v>
      </c>
      <c r="L675" s="122">
        <f t="shared" si="434"/>
        <v>0.9999999999999999</v>
      </c>
      <c r="M675" s="199">
        <f t="shared" si="452"/>
        <v>0.89784</v>
      </c>
      <c r="N675" s="199">
        <f t="shared" si="453"/>
        <v>0.09952</v>
      </c>
      <c r="O675" s="199">
        <f t="shared" si="443"/>
        <v>1E-05</v>
      </c>
      <c r="P675" s="199">
        <f t="shared" si="444"/>
        <v>0</v>
      </c>
      <c r="Q675" s="199">
        <f t="shared" si="445"/>
        <v>0.00263</v>
      </c>
      <c r="R675" s="199">
        <f t="shared" si="446"/>
        <v>0</v>
      </c>
      <c r="S675" s="199">
        <f t="shared" si="447"/>
        <v>0</v>
      </c>
      <c r="T675" s="199">
        <f t="shared" si="448"/>
        <v>0</v>
      </c>
      <c r="U675" s="199">
        <f t="shared" si="449"/>
        <v>0</v>
      </c>
      <c r="AG675" s="138"/>
      <c r="AI675" s="141"/>
      <c r="AJ675" s="141"/>
      <c r="AK675" s="141"/>
      <c r="AL675" s="141"/>
      <c r="AM675" s="141"/>
      <c r="AN675" s="141"/>
      <c r="AO675" s="141"/>
      <c r="AP675" s="141"/>
      <c r="AQ675" s="141"/>
      <c r="AR675" s="141"/>
    </row>
    <row r="676" spans="1:44" ht="12.75">
      <c r="A676" s="149">
        <v>16</v>
      </c>
      <c r="B676" s="145" t="s">
        <v>427</v>
      </c>
      <c r="C676" s="187">
        <f t="shared" si="459"/>
        <v>0.6220120513543796</v>
      </c>
      <c r="D676" s="187">
        <f t="shared" si="459"/>
        <v>0.3592877116793314</v>
      </c>
      <c r="E676" s="187">
        <f t="shared" si="459"/>
        <v>0.00024017404679390158</v>
      </c>
      <c r="F676" s="187">
        <f t="shared" si="459"/>
        <v>0.001182310631292647</v>
      </c>
      <c r="G676" s="187">
        <f t="shared" si="459"/>
        <v>0.017277752288202483</v>
      </c>
      <c r="H676" s="187">
        <f t="shared" si="459"/>
        <v>0</v>
      </c>
      <c r="I676" s="187">
        <f t="shared" si="459"/>
        <v>0</v>
      </c>
      <c r="J676" s="187">
        <f t="shared" si="459"/>
        <v>0</v>
      </c>
      <c r="K676" s="187">
        <f t="shared" si="459"/>
        <v>0</v>
      </c>
      <c r="L676" s="122">
        <f t="shared" si="434"/>
        <v>1</v>
      </c>
      <c r="M676" s="199">
        <f t="shared" si="452"/>
        <v>0.62201</v>
      </c>
      <c r="N676" s="199">
        <f t="shared" si="453"/>
        <v>0.35929</v>
      </c>
      <c r="O676" s="199">
        <f t="shared" si="443"/>
        <v>0.00024</v>
      </c>
      <c r="P676" s="199">
        <f t="shared" si="444"/>
        <v>0.00118</v>
      </c>
      <c r="Q676" s="199">
        <f t="shared" si="445"/>
        <v>0.01728</v>
      </c>
      <c r="R676" s="199">
        <f t="shared" si="446"/>
        <v>0</v>
      </c>
      <c r="S676" s="199">
        <f t="shared" si="447"/>
        <v>0</v>
      </c>
      <c r="T676" s="199">
        <f t="shared" si="448"/>
        <v>0</v>
      </c>
      <c r="U676" s="199">
        <f t="shared" si="449"/>
        <v>0</v>
      </c>
      <c r="AI676" s="141"/>
      <c r="AJ676" s="141"/>
      <c r="AK676" s="141"/>
      <c r="AL676" s="141"/>
      <c r="AM676" s="141"/>
      <c r="AN676" s="141"/>
      <c r="AO676" s="141"/>
      <c r="AP676" s="141"/>
      <c r="AQ676" s="141"/>
      <c r="AR676" s="141"/>
    </row>
    <row r="677" spans="1:21" ht="12.75">
      <c r="A677" s="149">
        <v>17</v>
      </c>
      <c r="B677" s="145" t="s">
        <v>428</v>
      </c>
      <c r="C677" s="187">
        <f t="shared" si="459"/>
        <v>0</v>
      </c>
      <c r="D677" s="187">
        <f t="shared" si="459"/>
        <v>0.5490196950833574</v>
      </c>
      <c r="E677" s="187">
        <f t="shared" si="459"/>
        <v>0.007843161755117059</v>
      </c>
      <c r="F677" s="187">
        <f t="shared" si="459"/>
        <v>0.027450984754167865</v>
      </c>
      <c r="G677" s="187">
        <f t="shared" si="459"/>
        <v>0.41568615840735773</v>
      </c>
      <c r="H677" s="187">
        <f t="shared" si="459"/>
        <v>0</v>
      </c>
      <c r="I677" s="187">
        <f t="shared" si="459"/>
        <v>0</v>
      </c>
      <c r="J677" s="187">
        <f t="shared" si="459"/>
        <v>0</v>
      </c>
      <c r="K677" s="187">
        <f t="shared" si="459"/>
        <v>0</v>
      </c>
      <c r="L677" s="122">
        <f t="shared" si="434"/>
        <v>1</v>
      </c>
      <c r="M677" s="199">
        <f t="shared" si="452"/>
        <v>0</v>
      </c>
      <c r="N677" s="199">
        <f t="shared" si="453"/>
        <v>0.54902</v>
      </c>
      <c r="O677" s="199">
        <f t="shared" si="443"/>
        <v>0.00784</v>
      </c>
      <c r="P677" s="199">
        <f t="shared" si="444"/>
        <v>0.02745</v>
      </c>
      <c r="Q677" s="199">
        <f t="shared" si="445"/>
        <v>0.41569</v>
      </c>
      <c r="R677" s="199">
        <f t="shared" si="446"/>
        <v>0</v>
      </c>
      <c r="S677" s="199">
        <f t="shared" si="447"/>
        <v>0</v>
      </c>
      <c r="T677" s="199">
        <f t="shared" si="448"/>
        <v>0</v>
      </c>
      <c r="U677" s="199">
        <f t="shared" si="449"/>
        <v>0</v>
      </c>
    </row>
    <row r="678" spans="1:21" ht="12.75">
      <c r="A678" s="149">
        <v>18</v>
      </c>
      <c r="B678" s="145" t="s">
        <v>429</v>
      </c>
      <c r="C678" s="145">
        <f aca="true" t="shared" si="460" ref="C678:K678">AJ37+AJ38+AJ121</f>
        <v>45620418</v>
      </c>
      <c r="D678" s="145">
        <f t="shared" si="460"/>
        <v>29102490</v>
      </c>
      <c r="E678" s="145">
        <f t="shared" si="460"/>
        <v>116444</v>
      </c>
      <c r="F678" s="145">
        <f t="shared" si="460"/>
        <v>0</v>
      </c>
      <c r="G678" s="145">
        <f t="shared" si="460"/>
        <v>47733575</v>
      </c>
      <c r="H678" s="145">
        <f t="shared" si="460"/>
        <v>0</v>
      </c>
      <c r="I678" s="145">
        <f t="shared" si="460"/>
        <v>0</v>
      </c>
      <c r="J678" s="145">
        <f t="shared" si="460"/>
        <v>0</v>
      </c>
      <c r="K678" s="145">
        <f t="shared" si="460"/>
        <v>0</v>
      </c>
      <c r="L678" s="122">
        <f t="shared" si="434"/>
        <v>122572927</v>
      </c>
      <c r="M678" s="199">
        <f t="shared" si="452"/>
        <v>0.37219</v>
      </c>
      <c r="N678" s="199">
        <f t="shared" si="453"/>
        <v>0.23743</v>
      </c>
      <c r="O678" s="199">
        <f t="shared" si="443"/>
        <v>0.00095</v>
      </c>
      <c r="P678" s="199">
        <f t="shared" si="444"/>
        <v>0</v>
      </c>
      <c r="Q678" s="199">
        <f t="shared" si="445"/>
        <v>0.38943</v>
      </c>
      <c r="R678" s="199">
        <f t="shared" si="446"/>
        <v>0</v>
      </c>
      <c r="S678" s="199">
        <f t="shared" si="447"/>
        <v>0</v>
      </c>
      <c r="T678" s="199">
        <f t="shared" si="448"/>
        <v>0</v>
      </c>
      <c r="U678" s="199">
        <f t="shared" si="449"/>
        <v>0</v>
      </c>
    </row>
    <row r="679" spans="1:21" ht="12.75">
      <c r="A679" s="149">
        <v>19</v>
      </c>
      <c r="B679" s="145" t="s">
        <v>192</v>
      </c>
      <c r="C679" s="145">
        <f aca="true" t="shared" si="461" ref="C679:K679">AJ166</f>
        <v>140329106</v>
      </c>
      <c r="D679" s="145">
        <f t="shared" si="461"/>
        <v>52380489</v>
      </c>
      <c r="E679" s="145">
        <f t="shared" si="461"/>
        <v>164117</v>
      </c>
      <c r="F679" s="145">
        <f t="shared" si="461"/>
        <v>109018</v>
      </c>
      <c r="G679" s="145">
        <f t="shared" si="461"/>
        <v>57027838</v>
      </c>
      <c r="H679" s="145">
        <f t="shared" si="461"/>
        <v>0</v>
      </c>
      <c r="I679" s="145">
        <f t="shared" si="461"/>
        <v>0</v>
      </c>
      <c r="J679" s="145">
        <f t="shared" si="461"/>
        <v>0</v>
      </c>
      <c r="K679" s="145">
        <f t="shared" si="461"/>
        <v>0</v>
      </c>
      <c r="L679" s="122">
        <f t="shared" si="434"/>
        <v>250010568</v>
      </c>
      <c r="M679" s="199">
        <f t="shared" si="452"/>
        <v>0.56129</v>
      </c>
      <c r="N679" s="199">
        <f t="shared" si="453"/>
        <v>0.20951</v>
      </c>
      <c r="O679" s="199">
        <f t="shared" si="443"/>
        <v>0.00066</v>
      </c>
      <c r="P679" s="199">
        <f t="shared" si="444"/>
        <v>0.00044</v>
      </c>
      <c r="Q679" s="199">
        <f t="shared" si="445"/>
        <v>0.2281</v>
      </c>
      <c r="R679" s="199">
        <f t="shared" si="446"/>
        <v>0</v>
      </c>
      <c r="S679" s="199">
        <f t="shared" si="447"/>
        <v>0</v>
      </c>
      <c r="T679" s="199">
        <f t="shared" si="448"/>
        <v>0</v>
      </c>
      <c r="U679" s="199">
        <f t="shared" si="449"/>
        <v>0</v>
      </c>
    </row>
    <row r="680" spans="1:43" ht="12.75">
      <c r="A680" s="149">
        <v>20</v>
      </c>
      <c r="B680" s="145" t="s">
        <v>430</v>
      </c>
      <c r="C680" s="187">
        <f aca="true" t="shared" si="462" ref="C680:K680">ROUND((M663+M665)/2,5)</f>
        <v>0.54816</v>
      </c>
      <c r="D680" s="187">
        <f t="shared" si="462"/>
        <v>0.19964</v>
      </c>
      <c r="E680" s="187">
        <f t="shared" si="462"/>
        <v>0.00068</v>
      </c>
      <c r="F680" s="187">
        <f t="shared" si="462"/>
        <v>0</v>
      </c>
      <c r="G680" s="187">
        <f t="shared" si="462"/>
        <v>0.25153</v>
      </c>
      <c r="H680" s="187">
        <f t="shared" si="462"/>
        <v>0</v>
      </c>
      <c r="I680" s="187">
        <f t="shared" si="462"/>
        <v>0</v>
      </c>
      <c r="J680" s="187">
        <f t="shared" si="462"/>
        <v>0</v>
      </c>
      <c r="K680" s="187">
        <f t="shared" si="462"/>
        <v>0</v>
      </c>
      <c r="L680" s="186">
        <f>SUM(C680:K680)</f>
        <v>1.00001</v>
      </c>
      <c r="M680" s="199">
        <f>1-SUM(N680:U680)</f>
        <v>0.54815</v>
      </c>
      <c r="N680" s="199">
        <f t="shared" si="453"/>
        <v>0.19964</v>
      </c>
      <c r="O680" s="199">
        <f t="shared" si="443"/>
        <v>0.00068</v>
      </c>
      <c r="P680" s="199">
        <f t="shared" si="444"/>
        <v>0</v>
      </c>
      <c r="Q680" s="199">
        <f>IF($L680=0,0,ROUND(G680/$L680,5))</f>
        <v>0.25153</v>
      </c>
      <c r="R680" s="199">
        <f t="shared" si="446"/>
        <v>0</v>
      </c>
      <c r="S680" s="199">
        <f t="shared" si="447"/>
        <v>0</v>
      </c>
      <c r="T680" s="199">
        <f t="shared" si="448"/>
        <v>0</v>
      </c>
      <c r="U680" s="199">
        <f>IF($L680=0,0,ROUND(K680/$L680,5))</f>
        <v>0</v>
      </c>
      <c r="AK680" s="125" t="str">
        <f>""&amp;+$B$24</f>
        <v>COLUMBIA GAS OF KENTUCKY, INC.</v>
      </c>
      <c r="AQ680" s="123" t="str">
        <f>$B$25</f>
        <v>D/C STUDY</v>
      </c>
    </row>
    <row r="681" spans="1:43" ht="12.75">
      <c r="A681" s="149">
        <v>21</v>
      </c>
      <c r="B681" s="145" t="s">
        <v>2</v>
      </c>
      <c r="C681" s="145" t="s">
        <v>2</v>
      </c>
      <c r="D681" s="145" t="s">
        <v>2</v>
      </c>
      <c r="E681" s="145" t="s">
        <v>2</v>
      </c>
      <c r="F681" s="145" t="s">
        <v>2</v>
      </c>
      <c r="G681" s="145" t="s">
        <v>2</v>
      </c>
      <c r="H681" s="145" t="s">
        <v>2</v>
      </c>
      <c r="I681" s="145" t="s">
        <v>2</v>
      </c>
      <c r="L681" s="145" t="s">
        <v>2</v>
      </c>
      <c r="M681" s="145" t="s">
        <v>2</v>
      </c>
      <c r="N681" s="122"/>
      <c r="O681" s="122"/>
      <c r="P681" s="145" t="s">
        <v>2</v>
      </c>
      <c r="Q681" s="122"/>
      <c r="R681" s="122"/>
      <c r="S681" s="122"/>
      <c r="T681" s="122"/>
      <c r="U681" s="122"/>
      <c r="AE681" s="123" t="str">
        <f>$B$30</f>
        <v>DEMAND-COMMODITY</v>
      </c>
      <c r="AK681" s="125" t="s">
        <v>482</v>
      </c>
      <c r="AQ681" s="123" t="str">
        <f>"PAGE 22 OF "&amp;FIXED($B$31,0,TRUE)</f>
        <v>PAGE 22 OF 28</v>
      </c>
    </row>
    <row r="682" spans="1:44" ht="12.75">
      <c r="A682" s="149">
        <v>22</v>
      </c>
      <c r="B682" s="145" t="s">
        <v>2</v>
      </c>
      <c r="C682" s="145" t="s">
        <v>2</v>
      </c>
      <c r="D682" s="145" t="s">
        <v>2</v>
      </c>
      <c r="E682" s="145" t="s">
        <v>2</v>
      </c>
      <c r="F682" s="145" t="s">
        <v>2</v>
      </c>
      <c r="G682" s="145" t="s">
        <v>2</v>
      </c>
      <c r="H682" s="145" t="s">
        <v>2</v>
      </c>
      <c r="I682" s="145" t="s">
        <v>2</v>
      </c>
      <c r="L682" s="145" t="s">
        <v>2</v>
      </c>
      <c r="M682" s="145" t="s">
        <v>2</v>
      </c>
      <c r="N682" s="122"/>
      <c r="O682" s="122"/>
      <c r="P682" s="145" t="s">
        <v>2</v>
      </c>
      <c r="Q682" s="122"/>
      <c r="R682" s="122"/>
      <c r="S682" s="122"/>
      <c r="T682" s="122"/>
      <c r="U682" s="122"/>
      <c r="AE682" s="128" t="str">
        <f>$B$29</f>
        <v>HISTORIC PERIOD - ORIGINAL FILING</v>
      </c>
      <c r="AF682" s="128"/>
      <c r="AG682" s="128"/>
      <c r="AH682" s="129"/>
      <c r="AI682" s="128"/>
      <c r="AJ682" s="128"/>
      <c r="AK682" s="130" t="str">
        <f>"FOR THE TWELVE MONTHS ENDED "&amp;$B$27</f>
        <v>FOR THE TWELVE MONTHS ENDED 09/30/2006</v>
      </c>
      <c r="AL682" s="128"/>
      <c r="AM682" s="128"/>
      <c r="AN682" s="128"/>
      <c r="AO682" s="128"/>
      <c r="AP682" s="128"/>
      <c r="AQ682" s="128" t="str">
        <f>"WITNESS: "&amp;$B$28</f>
        <v>WITNESS: R. GIBBONS</v>
      </c>
      <c r="AR682" s="131"/>
    </row>
    <row r="683" spans="1:35" ht="12.75">
      <c r="A683" s="149">
        <v>23</v>
      </c>
      <c r="B683" s="145" t="s">
        <v>2</v>
      </c>
      <c r="C683" s="145" t="s">
        <v>2</v>
      </c>
      <c r="D683" s="145" t="s">
        <v>2</v>
      </c>
      <c r="E683" s="145" t="s">
        <v>2</v>
      </c>
      <c r="F683" s="145" t="s">
        <v>2</v>
      </c>
      <c r="G683" s="145" t="s">
        <v>2</v>
      </c>
      <c r="H683" s="145" t="s">
        <v>2</v>
      </c>
      <c r="I683" s="145" t="s">
        <v>2</v>
      </c>
      <c r="L683" s="145" t="s">
        <v>2</v>
      </c>
      <c r="M683" s="145" t="s">
        <v>2</v>
      </c>
      <c r="N683" s="122"/>
      <c r="O683" s="122"/>
      <c r="P683" s="145" t="s">
        <v>2</v>
      </c>
      <c r="Q683" s="122"/>
      <c r="R683" s="122"/>
      <c r="S683" s="122"/>
      <c r="T683" s="122"/>
      <c r="U683" s="122"/>
      <c r="AE683" s="125" t="s">
        <v>9</v>
      </c>
      <c r="AF683" s="123" t="s">
        <v>10</v>
      </c>
      <c r="AH683" s="125" t="s">
        <v>11</v>
      </c>
      <c r="AI683" s="125" t="s">
        <v>12</v>
      </c>
    </row>
    <row r="684" spans="1:44" ht="12.75">
      <c r="A684" s="149">
        <v>24</v>
      </c>
      <c r="B684" s="145" t="s">
        <v>2</v>
      </c>
      <c r="C684" s="145" t="s">
        <v>2</v>
      </c>
      <c r="D684" s="145" t="s">
        <v>2</v>
      </c>
      <c r="E684" s="145" t="s">
        <v>2</v>
      </c>
      <c r="F684" s="145" t="s">
        <v>2</v>
      </c>
      <c r="G684" s="145" t="s">
        <v>2</v>
      </c>
      <c r="H684" s="145" t="s">
        <v>2</v>
      </c>
      <c r="I684" s="145" t="s">
        <v>2</v>
      </c>
      <c r="L684" s="145" t="s">
        <v>2</v>
      </c>
      <c r="M684" s="145" t="s">
        <v>2</v>
      </c>
      <c r="N684" s="122"/>
      <c r="O684" s="122"/>
      <c r="P684" s="145" t="s">
        <v>2</v>
      </c>
      <c r="Q684" s="122"/>
      <c r="R684" s="122"/>
      <c r="S684" s="122"/>
      <c r="T684" s="122"/>
      <c r="U684" s="122"/>
      <c r="AE684" s="133" t="s">
        <v>13</v>
      </c>
      <c r="AF684" s="133" t="s">
        <v>13</v>
      </c>
      <c r="AG684" s="133" t="str">
        <f>"                           ACCOUNT TITLE                  "</f>
        <v>                           ACCOUNT TITLE                  </v>
      </c>
      <c r="AH684" s="141" t="s">
        <v>14</v>
      </c>
      <c r="AI684" s="133" t="s">
        <v>15</v>
      </c>
      <c r="AJ684" s="137" t="str">
        <f>"  "&amp;+$C$35</f>
        <v>  GS-RES.</v>
      </c>
      <c r="AK684" s="137" t="str">
        <f>$C$36</f>
        <v>GS-OTHER</v>
      </c>
      <c r="AL684" s="137" t="str">
        <f>$C$37</f>
        <v>IUS</v>
      </c>
      <c r="AM684" s="137" t="str">
        <f>$C$38</f>
        <v>DS-ML/SC</v>
      </c>
      <c r="AN684" s="137" t="str">
        <f>$C$39</f>
        <v>DS/IS/SS</v>
      </c>
      <c r="AO684" s="137" t="str">
        <f>$C$40</f>
        <v>NOT USED</v>
      </c>
      <c r="AP684" s="137" t="str">
        <f>$C$41</f>
        <v>NOT USED</v>
      </c>
      <c r="AQ684" s="137" t="str">
        <f>$C$42</f>
        <v>NOT USED</v>
      </c>
      <c r="AR684" s="137" t="str">
        <f>$C$43</f>
        <v>NOT USED</v>
      </c>
    </row>
    <row r="685" spans="1:44" ht="12.75">
      <c r="A685" s="149">
        <v>25</v>
      </c>
      <c r="B685" s="145" t="s">
        <v>2</v>
      </c>
      <c r="C685" s="145" t="s">
        <v>2</v>
      </c>
      <c r="D685" s="145" t="s">
        <v>2</v>
      </c>
      <c r="E685" s="145" t="s">
        <v>2</v>
      </c>
      <c r="F685" s="145" t="s">
        <v>2</v>
      </c>
      <c r="G685" s="145" t="s">
        <v>2</v>
      </c>
      <c r="H685" s="145" t="s">
        <v>2</v>
      </c>
      <c r="I685" s="145" t="s">
        <v>2</v>
      </c>
      <c r="L685" s="145" t="s">
        <v>2</v>
      </c>
      <c r="M685" s="145" t="s">
        <v>2</v>
      </c>
      <c r="N685" s="122"/>
      <c r="O685" s="122"/>
      <c r="P685" s="145" t="s">
        <v>2</v>
      </c>
      <c r="Q685" s="122"/>
      <c r="R685" s="122"/>
      <c r="S685" s="122"/>
      <c r="T685" s="122"/>
      <c r="U685" s="122"/>
      <c r="AF685" s="136" t="s">
        <v>17</v>
      </c>
      <c r="AG685" s="136" t="s">
        <v>18</v>
      </c>
      <c r="AH685" s="125" t="s">
        <v>19</v>
      </c>
      <c r="AI685" s="125" t="s">
        <v>20</v>
      </c>
      <c r="AJ685" s="125" t="s">
        <v>21</v>
      </c>
      <c r="AK685" s="125" t="s">
        <v>22</v>
      </c>
      <c r="AL685" s="125" t="s">
        <v>23</v>
      </c>
      <c r="AM685" s="125" t="s">
        <v>24</v>
      </c>
      <c r="AN685" s="125" t="s">
        <v>25</v>
      </c>
      <c r="AO685" s="125" t="s">
        <v>26</v>
      </c>
      <c r="AP685" s="125" t="s">
        <v>27</v>
      </c>
      <c r="AQ685" s="125" t="s">
        <v>28</v>
      </c>
      <c r="AR685" s="125" t="s">
        <v>29</v>
      </c>
    </row>
    <row r="686" spans="1:44" ht="12.75">
      <c r="A686" s="149">
        <v>26</v>
      </c>
      <c r="B686" s="145" t="s">
        <v>2</v>
      </c>
      <c r="C686" s="145" t="s">
        <v>2</v>
      </c>
      <c r="D686" s="145" t="s">
        <v>2</v>
      </c>
      <c r="E686" s="145" t="s">
        <v>2</v>
      </c>
      <c r="F686" s="145" t="s">
        <v>2</v>
      </c>
      <c r="G686" s="145" t="s">
        <v>2</v>
      </c>
      <c r="H686" s="145"/>
      <c r="I686" s="145" t="s">
        <v>2</v>
      </c>
      <c r="J686" s="145" t="s">
        <v>2</v>
      </c>
      <c r="M686" s="145" t="s">
        <v>2</v>
      </c>
      <c r="N686" s="145" t="s">
        <v>2</v>
      </c>
      <c r="O686" s="122"/>
      <c r="P686" s="122"/>
      <c r="Q686" s="145" t="s">
        <v>2</v>
      </c>
      <c r="R686" s="122"/>
      <c r="S686" s="122"/>
      <c r="T686" s="122"/>
      <c r="U686" s="199"/>
      <c r="V686" s="122"/>
      <c r="AI686" s="125" t="s">
        <v>32</v>
      </c>
      <c r="AJ686" s="125" t="s">
        <v>32</v>
      </c>
      <c r="AK686" s="125" t="s">
        <v>32</v>
      </c>
      <c r="AL686" s="125" t="s">
        <v>32</v>
      </c>
      <c r="AM686" s="125" t="s">
        <v>32</v>
      </c>
      <c r="AN686" s="125" t="s">
        <v>32</v>
      </c>
      <c r="AO686" s="125" t="s">
        <v>32</v>
      </c>
      <c r="AP686" s="125" t="s">
        <v>32</v>
      </c>
      <c r="AQ686" s="125" t="s">
        <v>32</v>
      </c>
      <c r="AR686" s="125" t="s">
        <v>32</v>
      </c>
    </row>
    <row r="687" spans="1:44" ht="12.75">
      <c r="A687" s="149">
        <v>27</v>
      </c>
      <c r="B687" s="145" t="s">
        <v>2</v>
      </c>
      <c r="C687" s="145" t="s">
        <v>2</v>
      </c>
      <c r="D687" s="145" t="s">
        <v>2</v>
      </c>
      <c r="E687" s="145" t="s">
        <v>2</v>
      </c>
      <c r="F687" s="145" t="s">
        <v>2</v>
      </c>
      <c r="G687" s="145" t="s">
        <v>2</v>
      </c>
      <c r="H687" s="145"/>
      <c r="I687" s="145" t="s">
        <v>2</v>
      </c>
      <c r="J687" s="145" t="s">
        <v>2</v>
      </c>
      <c r="M687" s="145" t="s">
        <v>2</v>
      </c>
      <c r="N687" s="145" t="s">
        <v>2</v>
      </c>
      <c r="O687" s="122"/>
      <c r="P687" s="122"/>
      <c r="Q687" s="143" t="s">
        <v>2</v>
      </c>
      <c r="S687" s="201"/>
      <c r="Y687" s="197"/>
      <c r="AE687" s="123">
        <v>1</v>
      </c>
      <c r="AF687" s="123" t="s">
        <v>431</v>
      </c>
      <c r="AI687" s="123">
        <f aca="true" t="shared" si="463" ref="AI687:AR687">AI751</f>
        <v>8572854.085300028</v>
      </c>
      <c r="AJ687" s="123">
        <f t="shared" si="463"/>
        <v>2477250.500000015</v>
      </c>
      <c r="AK687" s="123">
        <f t="shared" si="463"/>
        <v>6060343.822149925</v>
      </c>
      <c r="AL687" s="123">
        <f t="shared" si="463"/>
        <v>-13437.496821749519</v>
      </c>
      <c r="AM687" s="123">
        <f t="shared" si="463"/>
        <v>659043.9776032305</v>
      </c>
      <c r="AN687" s="123">
        <f t="shared" si="463"/>
        <v>-610343.7229314074</v>
      </c>
      <c r="AO687" s="123">
        <f t="shared" si="463"/>
        <v>0</v>
      </c>
      <c r="AP687" s="123">
        <f t="shared" si="463"/>
        <v>0</v>
      </c>
      <c r="AQ687" s="123">
        <f t="shared" si="463"/>
        <v>0</v>
      </c>
      <c r="AR687" s="123">
        <f t="shared" si="463"/>
        <v>0</v>
      </c>
    </row>
    <row r="688" spans="1:25" ht="12.75">
      <c r="A688" s="149">
        <v>28</v>
      </c>
      <c r="B688" s="122"/>
      <c r="C688" s="122"/>
      <c r="D688" s="122"/>
      <c r="E688" s="122"/>
      <c r="F688" s="122"/>
      <c r="G688" s="122"/>
      <c r="H688" s="122"/>
      <c r="I688" s="122"/>
      <c r="J688" s="122"/>
      <c r="M688" s="122"/>
      <c r="N688" s="122"/>
      <c r="O688" s="122"/>
      <c r="P688" s="122"/>
      <c r="S688" s="201"/>
      <c r="Y688" s="197"/>
    </row>
    <row r="689" spans="1:32" ht="12.75">
      <c r="A689" s="149">
        <v>29</v>
      </c>
      <c r="B689" s="122"/>
      <c r="C689" s="122" t="s">
        <v>2</v>
      </c>
      <c r="D689" s="122"/>
      <c r="E689" s="122"/>
      <c r="F689" s="122"/>
      <c r="G689" s="122"/>
      <c r="H689" s="122"/>
      <c r="I689" s="122"/>
      <c r="J689" s="122"/>
      <c r="M689" s="122"/>
      <c r="N689" s="122"/>
      <c r="O689" s="122"/>
      <c r="P689" s="122"/>
      <c r="S689" s="201"/>
      <c r="Y689" s="197"/>
      <c r="AE689" s="123">
        <f>AE687+1</f>
        <v>2</v>
      </c>
      <c r="AF689" s="123" t="s">
        <v>432</v>
      </c>
    </row>
    <row r="690" spans="1:25" ht="12.75">
      <c r="A690" s="149">
        <v>30</v>
      </c>
      <c r="B690" s="122"/>
      <c r="C690" s="122"/>
      <c r="D690" s="122"/>
      <c r="E690" s="122"/>
      <c r="F690" s="122"/>
      <c r="G690" s="122"/>
      <c r="H690" s="122"/>
      <c r="I690" s="122"/>
      <c r="J690" s="122"/>
      <c r="M690" s="122"/>
      <c r="N690" s="122"/>
      <c r="O690" s="122"/>
      <c r="P690" s="122"/>
      <c r="S690" s="201"/>
      <c r="Y690" s="197"/>
    </row>
    <row r="691" spans="1:44" ht="12.75">
      <c r="A691" s="149">
        <v>31</v>
      </c>
      <c r="B691" s="122"/>
      <c r="C691" s="122"/>
      <c r="D691" s="122"/>
      <c r="E691" s="122"/>
      <c r="F691" s="122"/>
      <c r="G691" s="122"/>
      <c r="H691" s="122"/>
      <c r="I691" s="122"/>
      <c r="J691" s="122"/>
      <c r="M691" s="122"/>
      <c r="N691" s="122"/>
      <c r="O691" s="122"/>
      <c r="P691" s="122"/>
      <c r="S691" s="201"/>
      <c r="Y691" s="197"/>
      <c r="AE691" s="123">
        <f>AE689+1</f>
        <v>3</v>
      </c>
      <c r="AF691" s="123" t="s">
        <v>433</v>
      </c>
      <c r="AI691" s="123">
        <f aca="true" t="shared" si="464" ref="AI691:AR691">AI755</f>
        <v>4663375</v>
      </c>
      <c r="AJ691" s="123">
        <f t="shared" si="464"/>
        <v>2490651</v>
      </c>
      <c r="AK691" s="123">
        <f t="shared" si="464"/>
        <v>1255640</v>
      </c>
      <c r="AL691" s="123">
        <f t="shared" si="464"/>
        <v>4626</v>
      </c>
      <c r="AM691" s="123">
        <f t="shared" si="464"/>
        <v>1742</v>
      </c>
      <c r="AN691" s="123">
        <f t="shared" si="464"/>
        <v>910716</v>
      </c>
      <c r="AO691" s="123">
        <f t="shared" si="464"/>
        <v>0</v>
      </c>
      <c r="AP691" s="123">
        <f t="shared" si="464"/>
        <v>0</v>
      </c>
      <c r="AQ691" s="123">
        <f t="shared" si="464"/>
        <v>0</v>
      </c>
      <c r="AR691" s="123">
        <f t="shared" si="464"/>
        <v>0</v>
      </c>
    </row>
    <row r="692" spans="1:25" ht="12.75">
      <c r="A692" s="149">
        <v>32</v>
      </c>
      <c r="B692" s="122"/>
      <c r="C692" s="122"/>
      <c r="D692" s="122"/>
      <c r="E692" s="122"/>
      <c r="F692" s="122"/>
      <c r="G692" s="122"/>
      <c r="H692" s="122"/>
      <c r="I692" s="122"/>
      <c r="J692" s="122"/>
      <c r="M692" s="122"/>
      <c r="N692" s="122"/>
      <c r="O692" s="122"/>
      <c r="P692" s="122"/>
      <c r="Q692" s="122"/>
      <c r="R692" s="122"/>
      <c r="S692" s="201"/>
      <c r="W692" s="197"/>
      <c r="Y692" s="197"/>
    </row>
    <row r="693" spans="1:44" ht="12.75">
      <c r="A693" s="149">
        <v>33</v>
      </c>
      <c r="B693" s="122"/>
      <c r="C693" s="122"/>
      <c r="D693" s="122"/>
      <c r="E693" s="122"/>
      <c r="F693" s="122"/>
      <c r="G693" s="122"/>
      <c r="H693" s="122"/>
      <c r="I693" s="122"/>
      <c r="J693" s="122"/>
      <c r="M693" s="122"/>
      <c r="N693" s="122"/>
      <c r="O693" s="122"/>
      <c r="P693" s="122"/>
      <c r="Q693" s="122"/>
      <c r="R693" s="122"/>
      <c r="S693" s="201"/>
      <c r="Y693" s="197"/>
      <c r="AE693" s="123">
        <f>AE691+1</f>
        <v>4</v>
      </c>
      <c r="AF693" s="123" t="str">
        <f>A525</f>
        <v>TAX ACCELERATED DEPRECIATION</v>
      </c>
      <c r="AH693" s="123">
        <f>C525</f>
        <v>19</v>
      </c>
      <c r="AI693" s="123">
        <f>AI694-D525</f>
        <v>7188295.9947</v>
      </c>
      <c r="AJ693" s="123">
        <f>ROUND((VLOOKUP($AH693,$A$661:$Y$709,13)*$AI693),0)</f>
        <v>4034719</v>
      </c>
      <c r="AK693" s="123">
        <f>ROUND((VLOOKUP($AH693,$A$661:$Y$709,14)*$AI693),0)</f>
        <v>1506020</v>
      </c>
      <c r="AL693" s="123">
        <f>ROUND((VLOOKUP($AH693,$A$661:$Y$709,15)*$AI693),0)</f>
        <v>4744</v>
      </c>
      <c r="AM693" s="123">
        <f>ROUND((VLOOKUP($AH693,$A$661:$Y$709,16)*$AI693),0)</f>
        <v>3163</v>
      </c>
      <c r="AN693" s="123">
        <f>ROUND((VLOOKUP($AH693,$A$661:$Y$709,17)*$AI693),0)</f>
        <v>1639650</v>
      </c>
      <c r="AO693" s="123">
        <f>ROUND((VLOOKUP($AH693,$A$661:$Y$709,18)*$AI693),0)</f>
        <v>0</v>
      </c>
      <c r="AP693" s="123">
        <f>ROUND((VLOOKUP($AH693,$A$661:$Y$709,19)*$AI693),0)</f>
        <v>0</v>
      </c>
      <c r="AQ693" s="123">
        <f>ROUND((VLOOKUP($AH693,$A$661:$Y$709,20)*$AI693),0)</f>
        <v>0</v>
      </c>
      <c r="AR693" s="123">
        <f>ROUND((VLOOKUP($AH693,$A$661:$Y$709,21)*$AI693),0)</f>
        <v>0</v>
      </c>
    </row>
    <row r="694" spans="1:44" ht="12.75">
      <c r="A694" s="149">
        <v>34</v>
      </c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201"/>
      <c r="W694" s="197"/>
      <c r="Y694" s="197"/>
      <c r="AE694" s="123">
        <f>AE693+1</f>
        <v>5</v>
      </c>
      <c r="AF694" s="123" t="str">
        <f>AF758</f>
        <v>  BOOK DEPRECIATION</v>
      </c>
      <c r="AI694" s="141">
        <f aca="true" t="shared" si="465" ref="AI694:AR694">AI758</f>
        <v>7173395.9947</v>
      </c>
      <c r="AJ694" s="141">
        <f t="shared" si="465"/>
        <v>4357659</v>
      </c>
      <c r="AK694" s="141">
        <f t="shared" si="465"/>
        <v>1438941</v>
      </c>
      <c r="AL694" s="141">
        <f t="shared" si="465"/>
        <v>4441</v>
      </c>
      <c r="AM694" s="141">
        <f t="shared" si="465"/>
        <v>4706</v>
      </c>
      <c r="AN694" s="141">
        <f t="shared" si="465"/>
        <v>1367648</v>
      </c>
      <c r="AO694" s="141">
        <f t="shared" si="465"/>
        <v>0</v>
      </c>
      <c r="AP694" s="141">
        <f t="shared" si="465"/>
        <v>0</v>
      </c>
      <c r="AQ694" s="141">
        <f t="shared" si="465"/>
        <v>0</v>
      </c>
      <c r="AR694" s="141">
        <f t="shared" si="465"/>
        <v>0</v>
      </c>
    </row>
    <row r="695" spans="1:44" ht="12.75">
      <c r="A695" s="149">
        <v>35</v>
      </c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201"/>
      <c r="Y695" s="197"/>
      <c r="AE695" s="123">
        <f>AE694+1</f>
        <v>6</v>
      </c>
      <c r="AF695" s="123" t="str">
        <f>AF759</f>
        <v>  EXCESS OF BOOK OVER TAX DEPRECIATION</v>
      </c>
      <c r="AI695" s="123">
        <f aca="true" t="shared" si="466" ref="AI695:AR695">AI693-AI694</f>
        <v>14900</v>
      </c>
      <c r="AJ695" s="123">
        <f t="shared" si="466"/>
        <v>-322940</v>
      </c>
      <c r="AK695" s="123">
        <f t="shared" si="466"/>
        <v>67079</v>
      </c>
      <c r="AL695" s="123">
        <f t="shared" si="466"/>
        <v>303</v>
      </c>
      <c r="AM695" s="123">
        <f t="shared" si="466"/>
        <v>-1543</v>
      </c>
      <c r="AN695" s="123">
        <f t="shared" si="466"/>
        <v>272002</v>
      </c>
      <c r="AO695" s="123">
        <f t="shared" si="466"/>
        <v>0</v>
      </c>
      <c r="AP695" s="123">
        <f t="shared" si="466"/>
        <v>0</v>
      </c>
      <c r="AQ695" s="123">
        <f t="shared" si="466"/>
        <v>0</v>
      </c>
      <c r="AR695" s="123">
        <f t="shared" si="466"/>
        <v>0</v>
      </c>
    </row>
    <row r="696" spans="1:25" ht="12.75">
      <c r="A696" s="149">
        <v>36</v>
      </c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201"/>
      <c r="W696" s="197"/>
      <c r="Y696" s="197"/>
    </row>
    <row r="697" spans="1:44" ht="12.75">
      <c r="A697" s="149">
        <v>37</v>
      </c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201"/>
      <c r="Y697" s="197"/>
      <c r="AE697" s="123">
        <f>AE695+1</f>
        <v>7</v>
      </c>
      <c r="AF697" s="123" t="str">
        <f>AF761</f>
        <v>  NON DEDUCTIBLE EMPLOYEE EXPENSE</v>
      </c>
      <c r="AH697" s="123">
        <f>AH761</f>
        <v>12</v>
      </c>
      <c r="AI697" s="141">
        <f>AI761</f>
        <v>52479</v>
      </c>
      <c r="AJ697" s="141">
        <f>ROUND((VLOOKUP($AH697,$A$661:$Y$709,13)*$AI697),0)</f>
        <v>33518</v>
      </c>
      <c r="AK697" s="141">
        <f>ROUND((VLOOKUP($AH697,$A$661:$Y$709,14)*$AI697),0)</f>
        <v>13130</v>
      </c>
      <c r="AL697" s="141">
        <f>ROUND((VLOOKUP($AH697,$A$661:$Y$709,15)*$AI697),0)</f>
        <v>23</v>
      </c>
      <c r="AM697" s="141">
        <f>ROUND((VLOOKUP($AH697,$A$661:$Y$709,16)*$AI697),0)</f>
        <v>44</v>
      </c>
      <c r="AN697" s="141">
        <f>ROUND((VLOOKUP($AH697,$A$661:$Y$709,17)*$AI697),0)</f>
        <v>5764</v>
      </c>
      <c r="AO697" s="141">
        <f>ROUND((VLOOKUP($AH697,$A$661:$Y$709,18)*$AI697),0)</f>
        <v>0</v>
      </c>
      <c r="AP697" s="141">
        <f>ROUND((VLOOKUP($AH697,$A$661:$Y$709,19)*$AI697),0)</f>
        <v>0</v>
      </c>
      <c r="AQ697" s="141">
        <f>ROUND((VLOOKUP($AH697,$A$661:$Y$709,20)*$AI697),0)</f>
        <v>0</v>
      </c>
      <c r="AR697" s="141">
        <f>ROUND((VLOOKUP($AH697,$A$661:$Y$709,21)*$AI697),0)</f>
        <v>0</v>
      </c>
    </row>
    <row r="698" spans="1:19" ht="12.75">
      <c r="A698" s="149">
        <v>39</v>
      </c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</row>
    <row r="699" spans="1:44" ht="12.75">
      <c r="A699" s="149">
        <v>40</v>
      </c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AE699" s="123">
        <f>AE697+1</f>
        <v>8</v>
      </c>
      <c r="AF699" s="123" t="s">
        <v>434</v>
      </c>
      <c r="AI699" s="141">
        <f aca="true" t="shared" si="467" ref="AI699:AR699">AI691+AI695+SUM(AI697:AI698)</f>
        <v>4730754</v>
      </c>
      <c r="AJ699" s="141">
        <f t="shared" si="467"/>
        <v>2201229</v>
      </c>
      <c r="AK699" s="141">
        <f t="shared" si="467"/>
        <v>1335849</v>
      </c>
      <c r="AL699" s="141">
        <f t="shared" si="467"/>
        <v>4952</v>
      </c>
      <c r="AM699" s="141">
        <f t="shared" si="467"/>
        <v>243</v>
      </c>
      <c r="AN699" s="141">
        <f t="shared" si="467"/>
        <v>1188482</v>
      </c>
      <c r="AO699" s="141">
        <f t="shared" si="467"/>
        <v>0</v>
      </c>
      <c r="AP699" s="141">
        <f t="shared" si="467"/>
        <v>0</v>
      </c>
      <c r="AQ699" s="141">
        <f t="shared" si="467"/>
        <v>0</v>
      </c>
      <c r="AR699" s="141">
        <f t="shared" si="467"/>
        <v>0</v>
      </c>
    </row>
    <row r="700" spans="1:44" ht="12.75">
      <c r="A700" s="149">
        <v>41</v>
      </c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AE700" s="123">
        <f>AE699+1</f>
        <v>9</v>
      </c>
      <c r="AF700" s="123" t="s">
        <v>435</v>
      </c>
      <c r="AI700" s="123">
        <f aca="true" t="shared" si="468" ref="AI700:AR700">AI687-AI699</f>
        <v>3842100.0853000283</v>
      </c>
      <c r="AJ700" s="123">
        <f t="shared" si="468"/>
        <v>276021.5000000149</v>
      </c>
      <c r="AK700" s="123">
        <f t="shared" si="468"/>
        <v>4724494.822149925</v>
      </c>
      <c r="AL700" s="123">
        <f t="shared" si="468"/>
        <v>-18389.49682174952</v>
      </c>
      <c r="AM700" s="123">
        <f t="shared" si="468"/>
        <v>658800.9776032305</v>
      </c>
      <c r="AN700" s="123">
        <f t="shared" si="468"/>
        <v>-1798825.7229314074</v>
      </c>
      <c r="AO700" s="123">
        <f t="shared" si="468"/>
        <v>0</v>
      </c>
      <c r="AP700" s="123">
        <f t="shared" si="468"/>
        <v>0</v>
      </c>
      <c r="AQ700" s="123">
        <f t="shared" si="468"/>
        <v>0</v>
      </c>
      <c r="AR700" s="123">
        <f t="shared" si="468"/>
        <v>0</v>
      </c>
    </row>
    <row r="701" spans="1:19" ht="12.75">
      <c r="A701" s="149">
        <v>42</v>
      </c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</row>
    <row r="702" spans="1:44" ht="12.75">
      <c r="A702" s="149">
        <v>43</v>
      </c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AE702" s="123">
        <f>AE700+1</f>
        <v>10</v>
      </c>
      <c r="AF702" s="123" t="str">
        <f>"STATE INCOME TAX @ "&amp;FIXED(ROUND($D$53*100,2),2,TRUE)&amp;"%"</f>
        <v>STATE INCOME TAX @ 6.00%</v>
      </c>
      <c r="AI702" s="273">
        <f>((+AI700-100000)*0.06)+4500</f>
        <v>229026.0051180017</v>
      </c>
      <c r="AJ702" s="123">
        <f>($AI$702/$AI$700)*AJ700</f>
        <v>16453.528036281074</v>
      </c>
      <c r="AK702" s="123">
        <f>($AI$702/$AI$700)*AK700</f>
        <v>281625.19228938455</v>
      </c>
      <c r="AL702" s="123">
        <f>($AI$702/$AI$700)*AL700</f>
        <v>-1096.1903385415305</v>
      </c>
      <c r="AM702" s="123">
        <f>($AI$702/$AI$700)*AM700</f>
        <v>39270.85518817754</v>
      </c>
      <c r="AN702" s="123">
        <f>($AI$702/$AI$700)*AN700</f>
        <v>-107227.2611540546</v>
      </c>
      <c r="AO702" s="123">
        <f>ROUND(AO700*$D$53,0)</f>
        <v>0</v>
      </c>
      <c r="AP702" s="123">
        <f>ROUND(AP700*$D$53,0)</f>
        <v>0</v>
      </c>
      <c r="AQ702" s="123">
        <f>ROUND(AQ700*$D$53,0)</f>
        <v>0</v>
      </c>
      <c r="AR702" s="123">
        <f>ROUND(AR700*$D$53,0)</f>
        <v>0</v>
      </c>
    </row>
    <row r="703" spans="1:44" ht="12.75">
      <c r="A703" s="149">
        <v>44</v>
      </c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AE703" s="123">
        <f>AE702+1</f>
        <v>11</v>
      </c>
      <c r="AF703" s="123" t="str">
        <f>"PLUS: "&amp;+A526</f>
        <v>PLUS: FOREIGN TAX PAYMENTS</v>
      </c>
      <c r="AH703" s="123">
        <f>C526</f>
        <v>19</v>
      </c>
      <c r="AI703" s="141">
        <f>D526</f>
        <v>0</v>
      </c>
      <c r="AJ703" s="141">
        <f>ROUND((VLOOKUP($AH703,$A$661:$Y$709,13)*$AI703),0)</f>
        <v>0</v>
      </c>
      <c r="AK703" s="141">
        <f>ROUND((VLOOKUP($AH703,$A$661:$Y$709,14)*$AI703),0)</f>
        <v>0</v>
      </c>
      <c r="AL703" s="141">
        <f>ROUND((VLOOKUP($AH703,$A$661:$Y$709,15)*$AI703),0)</f>
        <v>0</v>
      </c>
      <c r="AM703" s="141">
        <f>ROUND((VLOOKUP($AH703,$A$661:$Y$709,16)*$AI703),0)</f>
        <v>0</v>
      </c>
      <c r="AN703" s="141">
        <f>ROUND((VLOOKUP($AH703,$A$661:$Y$709,17)*$AI703),0)</f>
        <v>0</v>
      </c>
      <c r="AO703" s="141">
        <f>ROUND((VLOOKUP($AH703,$A$661:$Y$709,18)*$AI703),0)</f>
        <v>0</v>
      </c>
      <c r="AP703" s="141">
        <f>ROUND((VLOOKUP($AH703,$A$661:$Y$709,19)*$AI703),0)</f>
        <v>0</v>
      </c>
      <c r="AQ703" s="141">
        <f>ROUND((VLOOKUP($AH703,$A$661:$Y$709,20)*$AI703),0)</f>
        <v>0</v>
      </c>
      <c r="AR703" s="141">
        <f>ROUND((VLOOKUP($AH703,$A$661:$Y$709,21)*$AI703),0)</f>
        <v>0</v>
      </c>
    </row>
    <row r="704" spans="1:25" ht="12.75">
      <c r="A704" s="149">
        <v>45</v>
      </c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201"/>
      <c r="Y704" s="197"/>
    </row>
    <row r="705" spans="1:44" ht="12.75">
      <c r="A705" s="149">
        <v>46</v>
      </c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201"/>
      <c r="Y705" s="197"/>
      <c r="AE705" s="123">
        <f>AE703+1</f>
        <v>12</v>
      </c>
      <c r="AF705" s="123" t="s">
        <v>62</v>
      </c>
      <c r="AI705" s="123">
        <f aca="true" t="shared" si="469" ref="AI705:AR705">AI702+AI703</f>
        <v>229026.0051180017</v>
      </c>
      <c r="AJ705" s="123">
        <f t="shared" si="469"/>
        <v>16453.528036281074</v>
      </c>
      <c r="AK705" s="123">
        <f t="shared" si="469"/>
        <v>281625.19228938455</v>
      </c>
      <c r="AL705" s="123">
        <f t="shared" si="469"/>
        <v>-1096.1903385415305</v>
      </c>
      <c r="AM705" s="123">
        <f t="shared" si="469"/>
        <v>39270.85518817754</v>
      </c>
      <c r="AN705" s="123">
        <f t="shared" si="469"/>
        <v>-107227.2611540546</v>
      </c>
      <c r="AO705" s="123">
        <f t="shared" si="469"/>
        <v>0</v>
      </c>
      <c r="AP705" s="123">
        <f t="shared" si="469"/>
        <v>0</v>
      </c>
      <c r="AQ705" s="123">
        <f t="shared" si="469"/>
        <v>0</v>
      </c>
      <c r="AR705" s="123">
        <f t="shared" si="469"/>
        <v>0</v>
      </c>
    </row>
    <row r="706" spans="1:25" ht="12.75">
      <c r="A706" s="149">
        <v>47</v>
      </c>
      <c r="B706" s="145"/>
      <c r="C706" s="145"/>
      <c r="D706" s="145"/>
      <c r="E706" s="145"/>
      <c r="F706" s="145"/>
      <c r="G706" s="122"/>
      <c r="H706" s="145"/>
      <c r="I706" s="122"/>
      <c r="J706" s="145"/>
      <c r="K706" s="122"/>
      <c r="L706" s="145"/>
      <c r="M706" s="145"/>
      <c r="N706" s="199"/>
      <c r="O706" s="122"/>
      <c r="P706" s="122"/>
      <c r="Q706" s="122"/>
      <c r="R706" s="122"/>
      <c r="S706" s="201"/>
      <c r="Y706" s="197"/>
    </row>
    <row r="707" spans="1:25" ht="12.75">
      <c r="A707" s="149">
        <v>48</v>
      </c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Y707" s="197"/>
    </row>
    <row r="708" spans="1:25" ht="12.75">
      <c r="A708" s="149">
        <v>49</v>
      </c>
      <c r="B708" s="145"/>
      <c r="C708" s="145"/>
      <c r="D708" s="145"/>
      <c r="E708" s="145"/>
      <c r="F708" s="145"/>
      <c r="G708" s="122"/>
      <c r="H708" s="145"/>
      <c r="I708" s="122"/>
      <c r="J708" s="145"/>
      <c r="K708" s="122"/>
      <c r="L708" s="145"/>
      <c r="M708" s="145"/>
      <c r="N708" s="199"/>
      <c r="O708" s="122"/>
      <c r="P708" s="122"/>
      <c r="Q708" s="122"/>
      <c r="Y708" s="197"/>
    </row>
    <row r="709" spans="1:25" ht="12.75">
      <c r="A709" s="149">
        <v>50</v>
      </c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Y709" s="197"/>
    </row>
    <row r="710" spans="2:25" ht="12.75">
      <c r="B710" s="145"/>
      <c r="C710" s="145"/>
      <c r="D710" s="145"/>
      <c r="E710" s="145"/>
      <c r="F710" s="145"/>
      <c r="G710" s="122"/>
      <c r="H710" s="145"/>
      <c r="I710" s="122"/>
      <c r="J710" s="145"/>
      <c r="K710" s="122"/>
      <c r="L710" s="145"/>
      <c r="M710" s="145"/>
      <c r="N710" s="199"/>
      <c r="O710" s="122"/>
      <c r="P710" s="122"/>
      <c r="Q710" s="122"/>
      <c r="Y710" s="197"/>
    </row>
    <row r="711" spans="2:43" ht="12.75"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Y711" s="197"/>
      <c r="AK711" s="125" t="str">
        <f>""&amp;+$B$24</f>
        <v>COLUMBIA GAS OF KENTUCKY, INC.</v>
      </c>
      <c r="AQ711" s="123" t="str">
        <f>$B$25</f>
        <v>D/C STUDY</v>
      </c>
    </row>
    <row r="712" spans="2:43" ht="12.75"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W712" s="197"/>
      <c r="Y712" s="197"/>
      <c r="AE712" s="123" t="str">
        <f>$B$30</f>
        <v>DEMAND-COMMODITY</v>
      </c>
      <c r="AK712" s="125" t="s">
        <v>482</v>
      </c>
      <c r="AQ712" s="123" t="str">
        <f>"PAGE 23 OF "&amp;FIXED($B$31,0,TRUE)</f>
        <v>PAGE 23 OF 28</v>
      </c>
    </row>
    <row r="713" spans="2:44" ht="12.75"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Y713" s="197"/>
      <c r="AE713" s="128" t="str">
        <f>$B$29</f>
        <v>HISTORIC PERIOD - ORIGINAL FILING</v>
      </c>
      <c r="AF713" s="128"/>
      <c r="AG713" s="128"/>
      <c r="AH713" s="129"/>
      <c r="AI713" s="128"/>
      <c r="AJ713" s="128"/>
      <c r="AK713" s="130" t="str">
        <f>"FOR THE TWELVE MONTHS ENDED "&amp;$B$27</f>
        <v>FOR THE TWELVE MONTHS ENDED 09/30/2006</v>
      </c>
      <c r="AL713" s="128"/>
      <c r="AM713" s="128"/>
      <c r="AN713" s="128"/>
      <c r="AO713" s="128"/>
      <c r="AP713" s="128"/>
      <c r="AQ713" s="128" t="str">
        <f>"WITNESS: "&amp;$B$28</f>
        <v>WITNESS: R. GIBBONS</v>
      </c>
      <c r="AR713" s="131"/>
    </row>
    <row r="714" spans="2:35" ht="12.75"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Y714" s="197"/>
      <c r="AE714" s="125" t="s">
        <v>9</v>
      </c>
      <c r="AF714" s="123" t="s">
        <v>10</v>
      </c>
      <c r="AH714" s="125" t="s">
        <v>11</v>
      </c>
      <c r="AI714" s="125" t="s">
        <v>12</v>
      </c>
    </row>
    <row r="715" spans="2:44" ht="12.75"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W715" s="197"/>
      <c r="Y715" s="197"/>
      <c r="AE715" s="133" t="s">
        <v>13</v>
      </c>
      <c r="AF715" s="133" t="s">
        <v>13</v>
      </c>
      <c r="AG715" s="133" t="str">
        <f>"                        ACCOUNT TITLE                "</f>
        <v>                        ACCOUNT TITLE                </v>
      </c>
      <c r="AH715" s="141" t="s">
        <v>14</v>
      </c>
      <c r="AI715" s="133" t="s">
        <v>15</v>
      </c>
      <c r="AJ715" s="133" t="str">
        <f>"  "&amp;+$C$35</f>
        <v>  GS-RES.</v>
      </c>
      <c r="AK715" s="133" t="str">
        <f>$C$36</f>
        <v>GS-OTHER</v>
      </c>
      <c r="AL715" s="133" t="str">
        <f>$C$37</f>
        <v>IUS</v>
      </c>
      <c r="AM715" s="133" t="str">
        <f>$C$38</f>
        <v>DS-ML/SC</v>
      </c>
      <c r="AN715" s="133" t="str">
        <f>$C$39</f>
        <v>DS/IS/SS</v>
      </c>
      <c r="AO715" s="133" t="str">
        <f>$C$40</f>
        <v>NOT USED</v>
      </c>
      <c r="AP715" s="133" t="str">
        <f>$C$41</f>
        <v>NOT USED</v>
      </c>
      <c r="AQ715" s="133" t="str">
        <f>$C$42</f>
        <v>NOT USED</v>
      </c>
      <c r="AR715" s="133" t="str">
        <f>$C$43</f>
        <v>NOT USED</v>
      </c>
    </row>
    <row r="716" spans="25:44" ht="12">
      <c r="Y716" s="197"/>
      <c r="AF716" s="136" t="s">
        <v>17</v>
      </c>
      <c r="AG716" s="136" t="s">
        <v>18</v>
      </c>
      <c r="AH716" s="125" t="s">
        <v>19</v>
      </c>
      <c r="AI716" s="125" t="s">
        <v>20</v>
      </c>
      <c r="AJ716" s="125" t="s">
        <v>21</v>
      </c>
      <c r="AK716" s="125" t="s">
        <v>22</v>
      </c>
      <c r="AL716" s="125" t="s">
        <v>23</v>
      </c>
      <c r="AM716" s="125" t="s">
        <v>24</v>
      </c>
      <c r="AN716" s="125" t="s">
        <v>25</v>
      </c>
      <c r="AO716" s="125" t="s">
        <v>26</v>
      </c>
      <c r="AP716" s="125" t="s">
        <v>27</v>
      </c>
      <c r="AQ716" s="125" t="s">
        <v>28</v>
      </c>
      <c r="AR716" s="125" t="s">
        <v>29</v>
      </c>
    </row>
    <row r="717" spans="21:44" ht="12">
      <c r="U717" s="198"/>
      <c r="W717" s="197"/>
      <c r="Y717" s="197"/>
      <c r="AI717" s="125" t="s">
        <v>32</v>
      </c>
      <c r="AJ717" s="125" t="s">
        <v>32</v>
      </c>
      <c r="AK717" s="125" t="s">
        <v>32</v>
      </c>
      <c r="AL717" s="125" t="s">
        <v>32</v>
      </c>
      <c r="AM717" s="125" t="s">
        <v>32</v>
      </c>
      <c r="AN717" s="125" t="s">
        <v>32</v>
      </c>
      <c r="AO717" s="125" t="s">
        <v>32</v>
      </c>
      <c r="AP717" s="125" t="s">
        <v>32</v>
      </c>
      <c r="AQ717" s="125" t="s">
        <v>32</v>
      </c>
      <c r="AR717" s="125" t="s">
        <v>32</v>
      </c>
    </row>
    <row r="718" spans="21:33" ht="12">
      <c r="U718" s="198"/>
      <c r="Y718" s="197"/>
      <c r="AE718" s="123">
        <v>1</v>
      </c>
      <c r="AG718" s="123" t="s">
        <v>436</v>
      </c>
    </row>
    <row r="719" spans="21:25" ht="12">
      <c r="U719" s="198"/>
      <c r="Y719" s="197"/>
    </row>
    <row r="720" spans="21:32" ht="12">
      <c r="U720" s="198"/>
      <c r="Y720" s="197"/>
      <c r="AE720" s="123">
        <f>AE718+1</f>
        <v>2</v>
      </c>
      <c r="AF720" s="123" t="s">
        <v>437</v>
      </c>
    </row>
    <row r="721" spans="21:25" ht="12">
      <c r="U721" s="198"/>
      <c r="W721" s="197"/>
      <c r="Y721" s="197"/>
    </row>
    <row r="722" spans="21:44" ht="12">
      <c r="U722" s="198"/>
      <c r="Y722" s="197"/>
      <c r="AE722" s="123">
        <f>AE720+1</f>
        <v>3</v>
      </c>
      <c r="AF722" s="123" t="str">
        <f>A528</f>
        <v>AMORTIZATION OF EXCESS ADIT-STATE</v>
      </c>
      <c r="AH722" s="123">
        <f>C528</f>
        <v>19</v>
      </c>
      <c r="AI722" s="141">
        <f>D528</f>
        <v>-334</v>
      </c>
      <c r="AJ722" s="141">
        <f>ROUND((VLOOKUP($AH722,$A$661:$Y$709,13)*$AI722),0)</f>
        <v>-187</v>
      </c>
      <c r="AK722" s="141">
        <f>ROUND((VLOOKUP($AH722,$A$661:$Y$709,14)*$AI722),0)</f>
        <v>-70</v>
      </c>
      <c r="AL722" s="141">
        <f>ROUND((VLOOKUP($AH722,$A$661:$Y$709,15)*$AI722),0)</f>
        <v>0</v>
      </c>
      <c r="AM722" s="141">
        <f>ROUND((VLOOKUP($AH722,$A$661:$Y$709,16)*$AI722),0)</f>
        <v>0</v>
      </c>
      <c r="AN722" s="141">
        <f>ROUND((VLOOKUP($AH722,$A$661:$Y$709,17)*$AI722),0)</f>
        <v>-76</v>
      </c>
      <c r="AO722" s="141">
        <f>ROUND((VLOOKUP($AH722,$A$661:$Y$709,18)*$AI722),0)</f>
        <v>0</v>
      </c>
      <c r="AP722" s="141">
        <f>ROUND((VLOOKUP($AH722,$A$661:$Y$709,19)*$AI722),0)</f>
        <v>0</v>
      </c>
      <c r="AQ722" s="141">
        <f>ROUND((VLOOKUP($AH722,$A$661:$Y$709,20)*$AI722),0)</f>
        <v>0</v>
      </c>
      <c r="AR722" s="141">
        <f>ROUND((VLOOKUP($AH722,$A$661:$Y$709,21)*$AI722),0)</f>
        <v>0</v>
      </c>
    </row>
    <row r="723" spans="21:44" ht="12">
      <c r="U723" s="198"/>
      <c r="W723" s="197"/>
      <c r="Y723" s="197"/>
      <c r="AI723" s="141"/>
      <c r="AJ723" s="141"/>
      <c r="AK723" s="141"/>
      <c r="AL723" s="141"/>
      <c r="AM723" s="141"/>
      <c r="AN723" s="141"/>
      <c r="AO723" s="141"/>
      <c r="AP723" s="141"/>
      <c r="AQ723" s="141"/>
      <c r="AR723" s="141"/>
    </row>
    <row r="724" spans="21:44" ht="12">
      <c r="U724" s="198"/>
      <c r="W724" s="197"/>
      <c r="Y724" s="197"/>
      <c r="AE724" s="123">
        <f>AE722+1</f>
        <v>4</v>
      </c>
      <c r="AF724" s="123" t="s">
        <v>438</v>
      </c>
      <c r="AI724" s="123">
        <f aca="true" t="shared" si="470" ref="AI724:AR724">AI722</f>
        <v>-334</v>
      </c>
      <c r="AJ724" s="123">
        <f t="shared" si="470"/>
        <v>-187</v>
      </c>
      <c r="AK724" s="123">
        <f t="shared" si="470"/>
        <v>-70</v>
      </c>
      <c r="AL724" s="123">
        <f t="shared" si="470"/>
        <v>0</v>
      </c>
      <c r="AM724" s="123">
        <f t="shared" si="470"/>
        <v>0</v>
      </c>
      <c r="AN724" s="123">
        <f t="shared" si="470"/>
        <v>-76</v>
      </c>
      <c r="AO724" s="123">
        <f t="shared" si="470"/>
        <v>0</v>
      </c>
      <c r="AP724" s="123">
        <f t="shared" si="470"/>
        <v>0</v>
      </c>
      <c r="AQ724" s="123">
        <f t="shared" si="470"/>
        <v>0</v>
      </c>
      <c r="AR724" s="123">
        <f t="shared" si="470"/>
        <v>0</v>
      </c>
    </row>
    <row r="725" ht="12">
      <c r="Y725" s="197"/>
    </row>
    <row r="726" spans="25:44" ht="12">
      <c r="Y726" s="197"/>
      <c r="AE726" s="123">
        <f>AE724+1</f>
        <v>5</v>
      </c>
      <c r="AF726" s="123" t="s">
        <v>439</v>
      </c>
      <c r="AI726" s="123">
        <f aca="true" t="shared" si="471" ref="AI726:AR726">AI705+AI724</f>
        <v>228692.0051180017</v>
      </c>
      <c r="AJ726" s="123">
        <f t="shared" si="471"/>
        <v>16266.528036281074</v>
      </c>
      <c r="AK726" s="123">
        <f t="shared" si="471"/>
        <v>281555.19228938455</v>
      </c>
      <c r="AL726" s="123">
        <f t="shared" si="471"/>
        <v>-1096.1903385415305</v>
      </c>
      <c r="AM726" s="123">
        <f t="shared" si="471"/>
        <v>39270.85518817754</v>
      </c>
      <c r="AN726" s="123">
        <f t="shared" si="471"/>
        <v>-107303.2611540546</v>
      </c>
      <c r="AO726" s="123">
        <f t="shared" si="471"/>
        <v>0</v>
      </c>
      <c r="AP726" s="123">
        <f t="shared" si="471"/>
        <v>0</v>
      </c>
      <c r="AQ726" s="123">
        <f t="shared" si="471"/>
        <v>0</v>
      </c>
      <c r="AR726" s="123">
        <f t="shared" si="471"/>
        <v>0</v>
      </c>
    </row>
    <row r="727" ht="12">
      <c r="Y727" s="197"/>
    </row>
    <row r="728" ht="12">
      <c r="Y728" s="197"/>
    </row>
    <row r="731" ht="12">
      <c r="Y731" s="197"/>
    </row>
    <row r="732" ht="12">
      <c r="Y732" s="197"/>
    </row>
    <row r="733" spans="25:44" ht="12">
      <c r="Y733" s="197"/>
      <c r="AI733" s="141"/>
      <c r="AJ733" s="141"/>
      <c r="AK733" s="141"/>
      <c r="AL733" s="141"/>
      <c r="AM733" s="141"/>
      <c r="AN733" s="141"/>
      <c r="AO733" s="141"/>
      <c r="AP733" s="141"/>
      <c r="AQ733" s="141"/>
      <c r="AR733" s="141"/>
    </row>
    <row r="734" spans="25:44" ht="12">
      <c r="Y734" s="197"/>
      <c r="AI734" s="138"/>
      <c r="AJ734" s="138"/>
      <c r="AK734" s="138"/>
      <c r="AL734" s="138"/>
      <c r="AM734" s="138"/>
      <c r="AN734" s="138"/>
      <c r="AO734" s="138"/>
      <c r="AP734" s="138"/>
      <c r="AQ734" s="138"/>
      <c r="AR734" s="138"/>
    </row>
    <row r="735" ht="12">
      <c r="Y735" s="197"/>
    </row>
    <row r="736" spans="25:44" ht="12">
      <c r="Y736" s="197"/>
      <c r="AI736" s="141"/>
      <c r="AJ736" s="141"/>
      <c r="AK736" s="141"/>
      <c r="AL736" s="141"/>
      <c r="AM736" s="141"/>
      <c r="AN736" s="141"/>
      <c r="AO736" s="141"/>
      <c r="AP736" s="141"/>
      <c r="AQ736" s="141"/>
      <c r="AR736" s="141"/>
    </row>
    <row r="737" ht="12">
      <c r="Y737" s="197"/>
    </row>
    <row r="738" ht="12">
      <c r="Y738" s="197"/>
    </row>
    <row r="739" ht="12">
      <c r="Y739" s="197"/>
    </row>
    <row r="740" ht="12">
      <c r="Y740" s="197"/>
    </row>
    <row r="741" spans="25:43" ht="12">
      <c r="Y741" s="197"/>
      <c r="AK741" s="125" t="str">
        <f>""&amp;+$B$24</f>
        <v>COLUMBIA GAS OF KENTUCKY, INC.</v>
      </c>
      <c r="AQ741" s="123" t="str">
        <f>$B$25</f>
        <v>D/C STUDY</v>
      </c>
    </row>
    <row r="742" spans="25:43" ht="12">
      <c r="Y742" s="197"/>
      <c r="AE742" s="123" t="str">
        <f>$B$30</f>
        <v>DEMAND-COMMODITY</v>
      </c>
      <c r="AK742" s="125" t="s">
        <v>785</v>
      </c>
      <c r="AQ742" s="123" t="str">
        <f>"PAGE 24 OF "&amp;FIXED($B$31,0,TRUE)</f>
        <v>PAGE 24 OF 28</v>
      </c>
    </row>
    <row r="743" spans="25:44" ht="12">
      <c r="Y743" s="197"/>
      <c r="AE743" s="128" t="str">
        <f>$B$29</f>
        <v>HISTORIC PERIOD - ORIGINAL FILING</v>
      </c>
      <c r="AF743" s="128"/>
      <c r="AG743" s="128"/>
      <c r="AH743" s="129"/>
      <c r="AI743" s="128"/>
      <c r="AJ743" s="128"/>
      <c r="AK743" s="130" t="str">
        <f>"FOR THE TWELVE MONTHS ENDED "&amp;$B$27</f>
        <v>FOR THE TWELVE MONTHS ENDED 09/30/2006</v>
      </c>
      <c r="AL743" s="128"/>
      <c r="AM743" s="128"/>
      <c r="AN743" s="128"/>
      <c r="AO743" s="128"/>
      <c r="AP743" s="128"/>
      <c r="AQ743" s="128" t="str">
        <f>"WITNESS: "&amp;$B$28</f>
        <v>WITNESS: R. GIBBONS</v>
      </c>
      <c r="AR743" s="131"/>
    </row>
    <row r="744" spans="31:35" ht="12">
      <c r="AE744" s="125" t="s">
        <v>9</v>
      </c>
      <c r="AF744" s="123" t="s">
        <v>10</v>
      </c>
      <c r="AH744" s="125" t="s">
        <v>11</v>
      </c>
      <c r="AI744" s="125" t="s">
        <v>12</v>
      </c>
    </row>
    <row r="745" spans="31:44" ht="12">
      <c r="AE745" s="133" t="s">
        <v>13</v>
      </c>
      <c r="AF745" s="133" t="s">
        <v>13</v>
      </c>
      <c r="AG745" s="133" t="str">
        <f>"                        ACCOUNT TITLE                "</f>
        <v>                        ACCOUNT TITLE                </v>
      </c>
      <c r="AH745" s="141" t="s">
        <v>14</v>
      </c>
      <c r="AI745" s="133" t="s">
        <v>15</v>
      </c>
      <c r="AJ745" s="133" t="str">
        <f>"  "&amp;+$C$35</f>
        <v>  GS-RES.</v>
      </c>
      <c r="AK745" s="133" t="str">
        <f>$C$36</f>
        <v>GS-OTHER</v>
      </c>
      <c r="AL745" s="133" t="str">
        <f>$C$37</f>
        <v>IUS</v>
      </c>
      <c r="AM745" s="133" t="str">
        <f>$C$38</f>
        <v>DS-ML/SC</v>
      </c>
      <c r="AN745" s="133" t="str">
        <f>$C$39</f>
        <v>DS/IS/SS</v>
      </c>
      <c r="AO745" s="133" t="str">
        <f>$C$40</f>
        <v>NOT USED</v>
      </c>
      <c r="AP745" s="133" t="str">
        <f>$C$41</f>
        <v>NOT USED</v>
      </c>
      <c r="AQ745" s="133" t="str">
        <f>$C$42</f>
        <v>NOT USED</v>
      </c>
      <c r="AR745" s="133" t="str">
        <f>$C$43</f>
        <v>NOT USED</v>
      </c>
    </row>
    <row r="746" spans="32:44" ht="12">
      <c r="AF746" s="136" t="s">
        <v>17</v>
      </c>
      <c r="AG746" s="136" t="s">
        <v>18</v>
      </c>
      <c r="AH746" s="125" t="s">
        <v>19</v>
      </c>
      <c r="AI746" s="125" t="s">
        <v>20</v>
      </c>
      <c r="AJ746" s="125" t="s">
        <v>21</v>
      </c>
      <c r="AK746" s="125" t="s">
        <v>22</v>
      </c>
      <c r="AL746" s="125" t="s">
        <v>23</v>
      </c>
      <c r="AM746" s="125" t="s">
        <v>24</v>
      </c>
      <c r="AN746" s="125" t="s">
        <v>25</v>
      </c>
      <c r="AO746" s="125" t="s">
        <v>26</v>
      </c>
      <c r="AP746" s="125" t="s">
        <v>27</v>
      </c>
      <c r="AQ746" s="125" t="s">
        <v>28</v>
      </c>
      <c r="AR746" s="125" t="s">
        <v>29</v>
      </c>
    </row>
    <row r="747" spans="35:44" ht="12">
      <c r="AI747" s="125" t="s">
        <v>32</v>
      </c>
      <c r="AJ747" s="125" t="s">
        <v>32</v>
      </c>
      <c r="AK747" s="125" t="s">
        <v>32</v>
      </c>
      <c r="AL747" s="125" t="s">
        <v>32</v>
      </c>
      <c r="AM747" s="125" t="s">
        <v>32</v>
      </c>
      <c r="AN747" s="125" t="s">
        <v>32</v>
      </c>
      <c r="AO747" s="125" t="s">
        <v>32</v>
      </c>
      <c r="AP747" s="125" t="s">
        <v>32</v>
      </c>
      <c r="AQ747" s="125" t="s">
        <v>32</v>
      </c>
      <c r="AR747" s="125" t="s">
        <v>32</v>
      </c>
    </row>
    <row r="749" spans="31:44" ht="12">
      <c r="AE749" s="123">
        <v>1</v>
      </c>
      <c r="AF749" s="123" t="s">
        <v>440</v>
      </c>
      <c r="AI749" s="123">
        <f aca="true" t="shared" si="472" ref="AI749:AR749">AI362</f>
        <v>158276795.77000004</v>
      </c>
      <c r="AJ749" s="123">
        <f t="shared" si="472"/>
        <v>95719078.88000001</v>
      </c>
      <c r="AK749" s="123">
        <f t="shared" si="472"/>
        <v>55598022.08214993</v>
      </c>
      <c r="AL749" s="123">
        <f t="shared" si="472"/>
        <v>234541.3831782505</v>
      </c>
      <c r="AM749" s="123">
        <f t="shared" si="472"/>
        <v>691045.9776032305</v>
      </c>
      <c r="AN749" s="123">
        <f t="shared" si="472"/>
        <v>6034107.4470685925</v>
      </c>
      <c r="AO749" s="123">
        <f t="shared" si="472"/>
        <v>0</v>
      </c>
      <c r="AP749" s="123">
        <f t="shared" si="472"/>
        <v>0</v>
      </c>
      <c r="AQ749" s="123">
        <f t="shared" si="472"/>
        <v>0</v>
      </c>
      <c r="AR749" s="123">
        <f t="shared" si="472"/>
        <v>0</v>
      </c>
    </row>
    <row r="750" spans="31:44" ht="12">
      <c r="AE750" s="123">
        <f>AE749+1</f>
        <v>2</v>
      </c>
      <c r="AF750" s="123" t="s">
        <v>441</v>
      </c>
      <c r="AI750" s="141">
        <f aca="true" t="shared" si="473" ref="AI750:AR750">AI$648+AI$668+AI$338+AI393</f>
        <v>149703941.6847</v>
      </c>
      <c r="AJ750" s="141">
        <f t="shared" si="473"/>
        <v>93241828.38</v>
      </c>
      <c r="AK750" s="141">
        <f t="shared" si="473"/>
        <v>49537678.260000005</v>
      </c>
      <c r="AL750" s="141">
        <f t="shared" si="473"/>
        <v>247978.88</v>
      </c>
      <c r="AM750" s="141">
        <f t="shared" si="473"/>
        <v>32002</v>
      </c>
      <c r="AN750" s="141">
        <f t="shared" si="473"/>
        <v>6644451.17</v>
      </c>
      <c r="AO750" s="141">
        <f t="shared" si="473"/>
        <v>0</v>
      </c>
      <c r="AP750" s="141">
        <f t="shared" si="473"/>
        <v>0</v>
      </c>
      <c r="AQ750" s="141">
        <f t="shared" si="473"/>
        <v>0</v>
      </c>
      <c r="AR750" s="141">
        <f t="shared" si="473"/>
        <v>0</v>
      </c>
    </row>
    <row r="751" spans="31:44" ht="12">
      <c r="AE751" s="123">
        <f>AE750+1</f>
        <v>3</v>
      </c>
      <c r="AF751" s="123" t="s">
        <v>442</v>
      </c>
      <c r="AI751" s="123">
        <f aca="true" t="shared" si="474" ref="AI751:AR751">AI749-AI750</f>
        <v>8572854.085300028</v>
      </c>
      <c r="AJ751" s="123">
        <f t="shared" si="474"/>
        <v>2477250.500000015</v>
      </c>
      <c r="AK751" s="123">
        <f t="shared" si="474"/>
        <v>6060343.822149925</v>
      </c>
      <c r="AL751" s="123">
        <f t="shared" si="474"/>
        <v>-13437.496821749519</v>
      </c>
      <c r="AM751" s="123">
        <f t="shared" si="474"/>
        <v>659043.9776032305</v>
      </c>
      <c r="AN751" s="123">
        <f t="shared" si="474"/>
        <v>-610343.7229314074</v>
      </c>
      <c r="AO751" s="123">
        <f t="shared" si="474"/>
        <v>0</v>
      </c>
      <c r="AP751" s="123">
        <f t="shared" si="474"/>
        <v>0</v>
      </c>
      <c r="AQ751" s="123">
        <f t="shared" si="474"/>
        <v>0</v>
      </c>
      <c r="AR751" s="123">
        <f t="shared" si="474"/>
        <v>0</v>
      </c>
    </row>
    <row r="753" spans="31:32" ht="12">
      <c r="AE753" s="123">
        <f>AE751+1</f>
        <v>4</v>
      </c>
      <c r="AF753" s="123" t="s">
        <v>432</v>
      </c>
    </row>
    <row r="755" spans="31:44" ht="12">
      <c r="AE755" s="123">
        <f>AE753+1</f>
        <v>5</v>
      </c>
      <c r="AF755" s="123" t="s">
        <v>433</v>
      </c>
      <c r="AI755" s="123">
        <f aca="true" t="shared" si="475" ref="AI755:AR755">ROUND((AI844*ROUND($D$54*$D$55,4)),0)</f>
        <v>4663375</v>
      </c>
      <c r="AJ755" s="123">
        <f t="shared" si="475"/>
        <v>2490651</v>
      </c>
      <c r="AK755" s="123">
        <f t="shared" si="475"/>
        <v>1255640</v>
      </c>
      <c r="AL755" s="123">
        <f t="shared" si="475"/>
        <v>4626</v>
      </c>
      <c r="AM755" s="123">
        <f t="shared" si="475"/>
        <v>1742</v>
      </c>
      <c r="AN755" s="123">
        <f t="shared" si="475"/>
        <v>910716</v>
      </c>
      <c r="AO755" s="123">
        <f t="shared" si="475"/>
        <v>0</v>
      </c>
      <c r="AP755" s="123">
        <f t="shared" si="475"/>
        <v>0</v>
      </c>
      <c r="AQ755" s="123">
        <f t="shared" si="475"/>
        <v>0</v>
      </c>
      <c r="AR755" s="123">
        <f t="shared" si="475"/>
        <v>0</v>
      </c>
    </row>
    <row r="757" spans="31:44" ht="12">
      <c r="AE757" s="123">
        <f>AE755+1</f>
        <v>6</v>
      </c>
      <c r="AF757" s="123" t="str">
        <f>"  "&amp;+A509</f>
        <v>  EXCESS OF BOOK OVER TAX S/L</v>
      </c>
      <c r="AH757" s="123">
        <f>C509</f>
        <v>19</v>
      </c>
      <c r="AI757" s="123">
        <f>AI758-D525</f>
        <v>7188295.9947</v>
      </c>
      <c r="AJ757" s="123">
        <f>ROUND((VLOOKUP($AH757,$A$661:$Y$709,13)*$AI757),0)</f>
        <v>4034719</v>
      </c>
      <c r="AK757" s="123">
        <f>ROUND((VLOOKUP($AH757,$A$661:$Y$709,14)*$AI757),0)</f>
        <v>1506020</v>
      </c>
      <c r="AL757" s="123">
        <f>ROUND((VLOOKUP($AH757,$A$661:$Y$709,15)*$AI757),0)</f>
        <v>4744</v>
      </c>
      <c r="AM757" s="123">
        <f>ROUND((VLOOKUP($AH757,$A$661:$Y$709,16)*$AI757),0)</f>
        <v>3163</v>
      </c>
      <c r="AN757" s="123">
        <f>ROUND((VLOOKUP($AH757,$A$661:$Y$709,17)*$AI757),0)</f>
        <v>1639650</v>
      </c>
      <c r="AO757" s="123">
        <f>ROUND((VLOOKUP($AH757,$A$661:$Y$709,18)*$AI757),0)</f>
        <v>0</v>
      </c>
      <c r="AP757" s="123">
        <f>ROUND((VLOOKUP($AH757,$A$661:$Y$709,19)*$AI757),0)</f>
        <v>0</v>
      </c>
      <c r="AQ757" s="123">
        <f>ROUND((VLOOKUP($AH757,$A$661:$Y$709,20)*$AI757),0)</f>
        <v>0</v>
      </c>
      <c r="AR757" s="123">
        <f>ROUND((VLOOKUP($AH757,$A$661:$Y$709,21)*$AI757),0)</f>
        <v>0</v>
      </c>
    </row>
    <row r="758" spans="31:44" ht="12">
      <c r="AE758" s="123">
        <f>AE757+1</f>
        <v>7</v>
      </c>
      <c r="AF758" s="123" t="s">
        <v>443</v>
      </c>
      <c r="AI758" s="141">
        <f aca="true" t="shared" si="476" ref="AI758:AR758">AI338-AI268</f>
        <v>7173395.9947</v>
      </c>
      <c r="AJ758" s="141">
        <f t="shared" si="476"/>
        <v>4357659</v>
      </c>
      <c r="AK758" s="141">
        <f t="shared" si="476"/>
        <v>1438941</v>
      </c>
      <c r="AL758" s="141">
        <f t="shared" si="476"/>
        <v>4441</v>
      </c>
      <c r="AM758" s="141">
        <f t="shared" si="476"/>
        <v>4706</v>
      </c>
      <c r="AN758" s="141">
        <f t="shared" si="476"/>
        <v>1367648</v>
      </c>
      <c r="AO758" s="141">
        <f t="shared" si="476"/>
        <v>0</v>
      </c>
      <c r="AP758" s="141">
        <f t="shared" si="476"/>
        <v>0</v>
      </c>
      <c r="AQ758" s="141">
        <f t="shared" si="476"/>
        <v>0</v>
      </c>
      <c r="AR758" s="141">
        <f t="shared" si="476"/>
        <v>0</v>
      </c>
    </row>
    <row r="759" spans="31:44" ht="12">
      <c r="AE759" s="123">
        <f>AE758+1</f>
        <v>8</v>
      </c>
      <c r="AF759" s="123" t="s">
        <v>711</v>
      </c>
      <c r="AI759" s="123">
        <f aca="true" t="shared" si="477" ref="AI759:AR759">AI757-AI758</f>
        <v>14900</v>
      </c>
      <c r="AJ759" s="123">
        <f t="shared" si="477"/>
        <v>-322940</v>
      </c>
      <c r="AK759" s="123">
        <f t="shared" si="477"/>
        <v>67079</v>
      </c>
      <c r="AL759" s="123">
        <f t="shared" si="477"/>
        <v>303</v>
      </c>
      <c r="AM759" s="123">
        <f t="shared" si="477"/>
        <v>-1543</v>
      </c>
      <c r="AN759" s="123">
        <f t="shared" si="477"/>
        <v>272002</v>
      </c>
      <c r="AO759" s="123">
        <f t="shared" si="477"/>
        <v>0</v>
      </c>
      <c r="AP759" s="123">
        <f t="shared" si="477"/>
        <v>0</v>
      </c>
      <c r="AQ759" s="123">
        <f t="shared" si="477"/>
        <v>0</v>
      </c>
      <c r="AR759" s="123">
        <f t="shared" si="477"/>
        <v>0</v>
      </c>
    </row>
    <row r="761" spans="31:44" ht="12">
      <c r="AE761" s="123">
        <f>AE759+1</f>
        <v>9</v>
      </c>
      <c r="AF761" s="123" t="str">
        <f>"  "&amp;+A510</f>
        <v>  NON DEDUCTIBLE EMPLOYEE EXPENSE</v>
      </c>
      <c r="AH761" s="123">
        <f>C510</f>
        <v>12</v>
      </c>
      <c r="AI761" s="123">
        <f>D510</f>
        <v>52479</v>
      </c>
      <c r="AJ761" s="123">
        <f>ROUND((VLOOKUP($AH761,$A$661:$Y$709,13)*$AI761),0)</f>
        <v>33518</v>
      </c>
      <c r="AK761" s="123">
        <f>ROUND((VLOOKUP($AH761,$A$661:$Y$709,14)*$AI761),0)</f>
        <v>13130</v>
      </c>
      <c r="AL761" s="123">
        <f>ROUND((VLOOKUP($AH761,$A$661:$Y$709,15)*$AI761),0)</f>
        <v>23</v>
      </c>
      <c r="AM761" s="123">
        <f>ROUND((VLOOKUP($AH761,$A$661:$Y$709,16)*$AI761),0)</f>
        <v>44</v>
      </c>
      <c r="AN761" s="123">
        <f>ROUND((VLOOKUP($AH761,$A$661:$Y$709,17)*$AI761),0)</f>
        <v>5764</v>
      </c>
      <c r="AO761" s="123">
        <f>ROUND((VLOOKUP($AH761,$A$661:$Y$709,18)*$AI761),0)</f>
        <v>0</v>
      </c>
      <c r="AP761" s="123">
        <f>ROUND((VLOOKUP($AH761,$A$661:$Y$709,19)*$AI761),0)</f>
        <v>0</v>
      </c>
      <c r="AQ761" s="123">
        <f>ROUND((VLOOKUP($AH761,$A$661:$Y$709,20)*$AI761),0)</f>
        <v>0</v>
      </c>
      <c r="AR761" s="123">
        <f>ROUND((VLOOKUP($AH761,$A$661:$Y$709,21)*$AI761),0)</f>
        <v>0</v>
      </c>
    </row>
    <row r="762" spans="31:44" ht="12">
      <c r="AE762" s="123">
        <f>AE761+1</f>
        <v>10</v>
      </c>
      <c r="AF762" s="123" t="s">
        <v>444</v>
      </c>
      <c r="AI762" s="141">
        <f aca="true" t="shared" si="478" ref="AI762:AR762">AI705</f>
        <v>229026.0051180017</v>
      </c>
      <c r="AJ762" s="141">
        <f t="shared" si="478"/>
        <v>16453.528036281074</v>
      </c>
      <c r="AK762" s="141">
        <f t="shared" si="478"/>
        <v>281625.19228938455</v>
      </c>
      <c r="AL762" s="141">
        <f t="shared" si="478"/>
        <v>-1096.1903385415305</v>
      </c>
      <c r="AM762" s="141">
        <f t="shared" si="478"/>
        <v>39270.85518817754</v>
      </c>
      <c r="AN762" s="141">
        <f t="shared" si="478"/>
        <v>-107227.2611540546</v>
      </c>
      <c r="AO762" s="141">
        <f t="shared" si="478"/>
        <v>0</v>
      </c>
      <c r="AP762" s="141">
        <f t="shared" si="478"/>
        <v>0</v>
      </c>
      <c r="AQ762" s="141">
        <f t="shared" si="478"/>
        <v>0</v>
      </c>
      <c r="AR762" s="141">
        <f t="shared" si="478"/>
        <v>0</v>
      </c>
    </row>
    <row r="764" spans="31:44" ht="12">
      <c r="AE764" s="123">
        <f>AE762+1</f>
        <v>11</v>
      </c>
      <c r="AF764" s="123" t="s">
        <v>434</v>
      </c>
      <c r="AI764" s="138">
        <f aca="true" t="shared" si="479" ref="AI764:AR764">AI755+AI759+SUM(AI761:AI762)</f>
        <v>4959780.005118001</v>
      </c>
      <c r="AJ764" s="138">
        <f t="shared" si="479"/>
        <v>2217682.528036281</v>
      </c>
      <c r="AK764" s="138">
        <f t="shared" si="479"/>
        <v>1617474.1922893845</v>
      </c>
      <c r="AL764" s="138">
        <f t="shared" si="479"/>
        <v>3855.8096614584692</v>
      </c>
      <c r="AM764" s="138">
        <f t="shared" si="479"/>
        <v>39513.85518817754</v>
      </c>
      <c r="AN764" s="138">
        <f t="shared" si="479"/>
        <v>1081254.7388459453</v>
      </c>
      <c r="AO764" s="138">
        <f t="shared" si="479"/>
        <v>0</v>
      </c>
      <c r="AP764" s="138">
        <f t="shared" si="479"/>
        <v>0</v>
      </c>
      <c r="AQ764" s="138">
        <f t="shared" si="479"/>
        <v>0</v>
      </c>
      <c r="AR764" s="138">
        <f t="shared" si="479"/>
        <v>0</v>
      </c>
    </row>
    <row r="766" spans="31:44" ht="12">
      <c r="AE766" s="123">
        <f>AE764+1</f>
        <v>12</v>
      </c>
      <c r="AF766" s="123" t="s">
        <v>435</v>
      </c>
      <c r="AI766" s="123">
        <f aca="true" t="shared" si="480" ref="AI766:AR766">AI751-AI764</f>
        <v>3613074.080182027</v>
      </c>
      <c r="AJ766" s="123">
        <f t="shared" si="480"/>
        <v>259567.9719637339</v>
      </c>
      <c r="AK766" s="123">
        <f t="shared" si="480"/>
        <v>4442869.629860541</v>
      </c>
      <c r="AL766" s="123">
        <f t="shared" si="480"/>
        <v>-17293.306483207987</v>
      </c>
      <c r="AM766" s="123">
        <f t="shared" si="480"/>
        <v>619530.122415053</v>
      </c>
      <c r="AN766" s="123">
        <f t="shared" si="480"/>
        <v>-1691598.4617773527</v>
      </c>
      <c r="AO766" s="123">
        <f t="shared" si="480"/>
        <v>0</v>
      </c>
      <c r="AP766" s="123">
        <f t="shared" si="480"/>
        <v>0</v>
      </c>
      <c r="AQ766" s="123">
        <f t="shared" si="480"/>
        <v>0</v>
      </c>
      <c r="AR766" s="123">
        <f t="shared" si="480"/>
        <v>0</v>
      </c>
    </row>
    <row r="768" spans="31:44" ht="12">
      <c r="AE768" s="123">
        <f>AE766+1</f>
        <v>13</v>
      </c>
      <c r="AF768" s="123" t="str">
        <f>"CURRENT FEDERAL INCOME TAX @ "&amp;FIXED(ROUND($D$52*100,0),0,TRUE)&amp;"%"</f>
        <v>CURRENT FEDERAL INCOME TAX @ 35%</v>
      </c>
      <c r="AI768" s="273">
        <f>IF(AI766&gt;10000000,((+AI766-10000000)*0.35)+(10000000*0.34),AI766*0.34)</f>
        <v>1228445.1872618892</v>
      </c>
      <c r="AJ768" s="123">
        <f>ROUND(+AJ766*($AI$768/$AI$766),0)</f>
        <v>88253</v>
      </c>
      <c r="AK768" s="123">
        <f>ROUND(+AK766*($AI$768/$AI$766),0)</f>
        <v>1510576</v>
      </c>
      <c r="AL768" s="123">
        <f>ROUND(+AL766*($AI$768/$AI$766),0)</f>
        <v>-5880</v>
      </c>
      <c r="AM768" s="123">
        <f>ROUND(+AM766*($AI$768/$AI$766),0)</f>
        <v>210640</v>
      </c>
      <c r="AN768" s="123">
        <f>ROUND(+AN766*($AI$768/$AI$766),0)</f>
        <v>-575143</v>
      </c>
      <c r="AO768" s="123">
        <f>ROUND(+AO766*$D$52,0)</f>
        <v>0</v>
      </c>
      <c r="AP768" s="123">
        <f>ROUND(+AP766*$D$52,0)</f>
        <v>0</v>
      </c>
      <c r="AQ768" s="123">
        <f>ROUND(+AQ766*$D$52,0)</f>
        <v>0</v>
      </c>
      <c r="AR768" s="123">
        <f>ROUND(+AR766*$D$52,0)</f>
        <v>0</v>
      </c>
    </row>
    <row r="769" spans="31:44" ht="12">
      <c r="AE769" s="123">
        <f>AE768+1</f>
        <v>14</v>
      </c>
      <c r="AF769" s="123" t="str">
        <f>"PLUS: "&amp;+A518</f>
        <v>PLUS: DIRECT ADJUSTMENT TO F.I.T.</v>
      </c>
      <c r="AH769" s="123">
        <f>C518</f>
        <v>19</v>
      </c>
      <c r="AI769" s="141">
        <f>D518</f>
        <v>0</v>
      </c>
      <c r="AJ769" s="141">
        <f>ROUND((VLOOKUP($AH769,$A$661:$Y$709,13)*$AI769),0)</f>
        <v>0</v>
      </c>
      <c r="AK769" s="141">
        <f>ROUND((VLOOKUP($AH769,$A$661:$Y$709,14)*$AI769),0)</f>
        <v>0</v>
      </c>
      <c r="AL769" s="141">
        <f>ROUND((VLOOKUP($AH769,$A$661:$Y$709,15)*$AI769),0)</f>
        <v>0</v>
      </c>
      <c r="AM769" s="141">
        <f>ROUND((VLOOKUP($AH769,$A$661:$Y$709,16)*$AI769),0)</f>
        <v>0</v>
      </c>
      <c r="AN769" s="141">
        <f>ROUND((VLOOKUP($AH769,$A$661:$Y$709,17)*$AI769),0)</f>
        <v>0</v>
      </c>
      <c r="AO769" s="141">
        <f>ROUND((VLOOKUP($AH769,$A$661:$Y$709,18)*$AI769),0)</f>
        <v>0</v>
      </c>
      <c r="AP769" s="141">
        <f>ROUND((VLOOKUP($AH769,$A$661:$Y$709,19)*$AI769),0)</f>
        <v>0</v>
      </c>
      <c r="AQ769" s="141">
        <f>ROUND((VLOOKUP($AH769,$A$661:$Y$709,20)*$AI769),0)</f>
        <v>0</v>
      </c>
      <c r="AR769" s="141">
        <f>ROUND((VLOOKUP($AH769,$A$661:$Y$709,21)*$AI769),0)</f>
        <v>0</v>
      </c>
    </row>
    <row r="770" spans="31:44" ht="12">
      <c r="AE770" s="123">
        <f>AE769+1</f>
        <v>15</v>
      </c>
      <c r="AF770" s="123" t="str">
        <f>"CURRENT FEDERAL INCOME TAX @ "&amp;FIXED(ROUND($D$52*100,0),0,TRUE)&amp;"%"</f>
        <v>CURRENT FEDERAL INCOME TAX @ 35%</v>
      </c>
      <c r="AI770" s="123">
        <f aca="true" t="shared" si="481" ref="AI770:AR770">AI768+AI769</f>
        <v>1228445.1872618892</v>
      </c>
      <c r="AJ770" s="123">
        <f t="shared" si="481"/>
        <v>88253</v>
      </c>
      <c r="AK770" s="123">
        <f t="shared" si="481"/>
        <v>1510576</v>
      </c>
      <c r="AL770" s="123">
        <f t="shared" si="481"/>
        <v>-5880</v>
      </c>
      <c r="AM770" s="123">
        <f t="shared" si="481"/>
        <v>210640</v>
      </c>
      <c r="AN770" s="123">
        <f t="shared" si="481"/>
        <v>-575143</v>
      </c>
      <c r="AO770" s="123">
        <f t="shared" si="481"/>
        <v>0</v>
      </c>
      <c r="AP770" s="123">
        <f t="shared" si="481"/>
        <v>0</v>
      </c>
      <c r="AQ770" s="123">
        <f t="shared" si="481"/>
        <v>0</v>
      </c>
      <c r="AR770" s="123">
        <f t="shared" si="481"/>
        <v>0</v>
      </c>
    </row>
    <row r="778" spans="37:43" ht="12">
      <c r="AK778" s="125" t="str">
        <f>""&amp;+$B$24</f>
        <v>COLUMBIA GAS OF KENTUCKY, INC.</v>
      </c>
      <c r="AQ778" s="123" t="str">
        <f>$B$25</f>
        <v>D/C STUDY</v>
      </c>
    </row>
    <row r="779" spans="31:43" ht="12">
      <c r="AE779" s="123" t="str">
        <f>$B$30</f>
        <v>DEMAND-COMMODITY</v>
      </c>
      <c r="AK779" s="125" t="s">
        <v>785</v>
      </c>
      <c r="AQ779" s="123" t="str">
        <f>"PAGE 25 OF "&amp;FIXED($B$31,0,TRUE)</f>
        <v>PAGE 25 OF 28</v>
      </c>
    </row>
    <row r="780" spans="31:44" ht="12">
      <c r="AE780" s="128" t="str">
        <f>$B$29</f>
        <v>HISTORIC PERIOD - ORIGINAL FILING</v>
      </c>
      <c r="AF780" s="128"/>
      <c r="AG780" s="128"/>
      <c r="AH780" s="129"/>
      <c r="AI780" s="128"/>
      <c r="AJ780" s="128"/>
      <c r="AK780" s="130" t="str">
        <f>"FOR THE TWELVE MONTHS ENDED "&amp;$B$27</f>
        <v>FOR THE TWELVE MONTHS ENDED 09/30/2006</v>
      </c>
      <c r="AL780" s="128"/>
      <c r="AM780" s="128"/>
      <c r="AN780" s="128"/>
      <c r="AO780" s="128"/>
      <c r="AP780" s="128"/>
      <c r="AQ780" s="128" t="str">
        <f>"WITNESS: "&amp;$B$28</f>
        <v>WITNESS: R. GIBBONS</v>
      </c>
      <c r="AR780" s="131"/>
    </row>
    <row r="781" spans="31:35" ht="12">
      <c r="AE781" s="125" t="s">
        <v>9</v>
      </c>
      <c r="AF781" s="123" t="s">
        <v>10</v>
      </c>
      <c r="AH781" s="125" t="s">
        <v>11</v>
      </c>
      <c r="AI781" s="125" t="s">
        <v>12</v>
      </c>
    </row>
    <row r="782" spans="31:44" ht="12">
      <c r="AE782" s="133" t="s">
        <v>13</v>
      </c>
      <c r="AF782" s="133" t="s">
        <v>13</v>
      </c>
      <c r="AG782" s="133" t="str">
        <f>"                        ACCOUNT TITLE                "</f>
        <v>                        ACCOUNT TITLE                </v>
      </c>
      <c r="AH782" s="141" t="s">
        <v>14</v>
      </c>
      <c r="AI782" s="133" t="s">
        <v>15</v>
      </c>
      <c r="AJ782" s="133" t="str">
        <f>"  "&amp;+$C$35</f>
        <v>  GS-RES.</v>
      </c>
      <c r="AK782" s="133" t="str">
        <f>$C$36</f>
        <v>GS-OTHER</v>
      </c>
      <c r="AL782" s="133" t="str">
        <f>$C$37</f>
        <v>IUS</v>
      </c>
      <c r="AM782" s="133" t="str">
        <f>$C$38</f>
        <v>DS-ML/SC</v>
      </c>
      <c r="AN782" s="133" t="str">
        <f>$C$39</f>
        <v>DS/IS/SS</v>
      </c>
      <c r="AO782" s="133" t="str">
        <f>$C$40</f>
        <v>NOT USED</v>
      </c>
      <c r="AP782" s="133" t="str">
        <f>$C$41</f>
        <v>NOT USED</v>
      </c>
      <c r="AQ782" s="133" t="str">
        <f>$C$42</f>
        <v>NOT USED</v>
      </c>
      <c r="AR782" s="133" t="str">
        <f>$C$43</f>
        <v>NOT USED</v>
      </c>
    </row>
    <row r="783" spans="32:44" ht="12">
      <c r="AF783" s="136" t="s">
        <v>17</v>
      </c>
      <c r="AG783" s="136" t="s">
        <v>18</v>
      </c>
      <c r="AH783" s="125" t="s">
        <v>19</v>
      </c>
      <c r="AI783" s="125" t="s">
        <v>20</v>
      </c>
      <c r="AJ783" s="125" t="s">
        <v>21</v>
      </c>
      <c r="AK783" s="125" t="s">
        <v>22</v>
      </c>
      <c r="AL783" s="125" t="s">
        <v>23</v>
      </c>
      <c r="AM783" s="125" t="s">
        <v>24</v>
      </c>
      <c r="AN783" s="125" t="s">
        <v>25</v>
      </c>
      <c r="AO783" s="125" t="s">
        <v>26</v>
      </c>
      <c r="AP783" s="125" t="s">
        <v>27</v>
      </c>
      <c r="AQ783" s="125" t="s">
        <v>28</v>
      </c>
      <c r="AR783" s="125" t="s">
        <v>29</v>
      </c>
    </row>
    <row r="784" spans="35:44" ht="12">
      <c r="AI784" s="125" t="s">
        <v>32</v>
      </c>
      <c r="AJ784" s="125" t="s">
        <v>32</v>
      </c>
      <c r="AK784" s="125" t="s">
        <v>32</v>
      </c>
      <c r="AL784" s="125" t="s">
        <v>32</v>
      </c>
      <c r="AM784" s="125" t="s">
        <v>32</v>
      </c>
      <c r="AN784" s="125" t="s">
        <v>32</v>
      </c>
      <c r="AO784" s="125" t="s">
        <v>32</v>
      </c>
      <c r="AP784" s="125" t="s">
        <v>32</v>
      </c>
      <c r="AQ784" s="125" t="s">
        <v>32</v>
      </c>
      <c r="AR784" s="125" t="s">
        <v>32</v>
      </c>
    </row>
    <row r="786" spans="31:33" ht="12">
      <c r="AE786" s="123">
        <v>1</v>
      </c>
      <c r="AG786" s="123" t="s">
        <v>445</v>
      </c>
    </row>
    <row r="788" spans="31:44" ht="12">
      <c r="AE788" s="123">
        <f>AE786+1</f>
        <v>2</v>
      </c>
      <c r="AF788" s="123" t="str">
        <f>"LESS: "&amp;A516</f>
        <v>LESS: AMORT. OF PRIOR YEARS ITC</v>
      </c>
      <c r="AH788" s="123">
        <f>C516</f>
        <v>19</v>
      </c>
      <c r="AI788" s="123">
        <f>D516</f>
        <v>87704</v>
      </c>
      <c r="AJ788" s="123">
        <f>ROUND((VLOOKUP($AH788,$A$661:$Y$709,13)*$AI788),0)</f>
        <v>49227</v>
      </c>
      <c r="AK788" s="123">
        <f>ROUND((VLOOKUP($AH788,$A$661:$Y$709,14)*$AI788),0)</f>
        <v>18375</v>
      </c>
      <c r="AL788" s="123">
        <f>ROUND((VLOOKUP($AH788,$A$661:$Y$709,15)*$AI788),0)</f>
        <v>58</v>
      </c>
      <c r="AM788" s="123">
        <f>ROUND((VLOOKUP($AH788,$A$661:$Y$709,16)*$AI788),0)</f>
        <v>39</v>
      </c>
      <c r="AN788" s="123">
        <f>ROUND((VLOOKUP($AH788,$A$661:$Y$709,17)*$AI788),0)</f>
        <v>20005</v>
      </c>
      <c r="AO788" s="123">
        <f>ROUND((VLOOKUP($AH788,$A$661:$Y$709,18)*$AI788),0)</f>
        <v>0</v>
      </c>
      <c r="AP788" s="123">
        <f>ROUND((VLOOKUP($AH788,$A$661:$Y$709,19)*$AI788),0)</f>
        <v>0</v>
      </c>
      <c r="AQ788" s="123">
        <f>ROUND((VLOOKUP($AH788,$A$661:$Y$709,20)*$AI788),0)</f>
        <v>0</v>
      </c>
      <c r="AR788" s="123">
        <f>ROUND((VLOOKUP($AH788,$A$661:$Y$709,21)*$AI788),0)</f>
        <v>0</v>
      </c>
    </row>
    <row r="790" spans="31:32" ht="12">
      <c r="AE790" s="123">
        <f>AE788+1</f>
        <v>3</v>
      </c>
      <c r="AF790" s="123" t="s">
        <v>446</v>
      </c>
    </row>
    <row r="792" spans="31:45" ht="12">
      <c r="AE792" s="123">
        <f>AE790+1</f>
        <v>4</v>
      </c>
      <c r="AF792" s="123" t="str">
        <f>A514</f>
        <v>AMORTIZATION OF EXCESS ADIT-FEDERAL</v>
      </c>
      <c r="AH792" s="123">
        <f>C514</f>
        <v>19</v>
      </c>
      <c r="AI792" s="141">
        <f>D514</f>
        <v>-107843</v>
      </c>
      <c r="AJ792" s="141">
        <f>ROUND((VLOOKUP($AH792,$A$661:$Y$709,13)*$AI792),0)</f>
        <v>-60531</v>
      </c>
      <c r="AK792" s="141">
        <f>ROUND((VLOOKUP($AH792,$A$661:$Y$709,14)*$AI792),0)</f>
        <v>-22594</v>
      </c>
      <c r="AL792" s="141">
        <f>ROUND((VLOOKUP($AH792,$A$661:$Y$709,15)*$AI792),0)</f>
        <v>-71</v>
      </c>
      <c r="AM792" s="141">
        <f>ROUND((VLOOKUP($AH792,$A$661:$Y$709,16)*$AI792),0)</f>
        <v>-47</v>
      </c>
      <c r="AN792" s="141">
        <f>ROUND((VLOOKUP($AH792,$A$661:$Y$709,17)*$AI792),0)</f>
        <v>-24599</v>
      </c>
      <c r="AO792" s="141">
        <f>ROUND((VLOOKUP($AH792,$A$661:$Y$709,18)*$AI792),0)</f>
        <v>0</v>
      </c>
      <c r="AP792" s="141">
        <f>ROUND((VLOOKUP($AH792,$A$661:$Y$709,19)*$AI792),0)</f>
        <v>0</v>
      </c>
      <c r="AQ792" s="141">
        <f>ROUND((VLOOKUP($AH792,$A$661:$Y$709,20)*$AI792),0)</f>
        <v>0</v>
      </c>
      <c r="AR792" s="141">
        <f>ROUND((VLOOKUP($AH792,$A$661:$Y$709,21)*$AI792),0)</f>
        <v>0</v>
      </c>
      <c r="AS792" s="141"/>
    </row>
    <row r="793" spans="31:44" ht="12">
      <c r="AE793" s="123">
        <f>AE792+1</f>
        <v>5</v>
      </c>
      <c r="AF793" s="123" t="s">
        <v>447</v>
      </c>
      <c r="AI793" s="138">
        <f aca="true" t="shared" si="482" ref="AI793:AR793">SUM(AI792:AI792)</f>
        <v>-107843</v>
      </c>
      <c r="AJ793" s="138">
        <f t="shared" si="482"/>
        <v>-60531</v>
      </c>
      <c r="AK793" s="138">
        <f t="shared" si="482"/>
        <v>-22594</v>
      </c>
      <c r="AL793" s="138">
        <f t="shared" si="482"/>
        <v>-71</v>
      </c>
      <c r="AM793" s="138">
        <f t="shared" si="482"/>
        <v>-47</v>
      </c>
      <c r="AN793" s="138">
        <f t="shared" si="482"/>
        <v>-24599</v>
      </c>
      <c r="AO793" s="138">
        <f t="shared" si="482"/>
        <v>0</v>
      </c>
      <c r="AP793" s="138">
        <f t="shared" si="482"/>
        <v>0</v>
      </c>
      <c r="AQ793" s="138">
        <f t="shared" si="482"/>
        <v>0</v>
      </c>
      <c r="AR793" s="138">
        <f t="shared" si="482"/>
        <v>0</v>
      </c>
    </row>
    <row r="795" spans="31:44" ht="12">
      <c r="AE795" s="123">
        <f>AE793+1</f>
        <v>6</v>
      </c>
      <c r="AF795" s="123" t="s">
        <v>438</v>
      </c>
      <c r="AI795" s="141">
        <f>-AI788+AI793</f>
        <v>-195547</v>
      </c>
      <c r="AJ795" s="141">
        <f aca="true" t="shared" si="483" ref="AJ795:AR795">-AJ788+AJ793</f>
        <v>-109758</v>
      </c>
      <c r="AK795" s="141">
        <f t="shared" si="483"/>
        <v>-40969</v>
      </c>
      <c r="AL795" s="141">
        <f t="shared" si="483"/>
        <v>-129</v>
      </c>
      <c r="AM795" s="141">
        <f t="shared" si="483"/>
        <v>-86</v>
      </c>
      <c r="AN795" s="141">
        <f t="shared" si="483"/>
        <v>-44604</v>
      </c>
      <c r="AO795" s="141">
        <f t="shared" si="483"/>
        <v>0</v>
      </c>
      <c r="AP795" s="141">
        <f t="shared" si="483"/>
        <v>0</v>
      </c>
      <c r="AQ795" s="141">
        <f t="shared" si="483"/>
        <v>0</v>
      </c>
      <c r="AR795" s="141">
        <f t="shared" si="483"/>
        <v>0</v>
      </c>
    </row>
    <row r="797" spans="31:44" ht="12">
      <c r="AE797" s="123">
        <f>AE795+1</f>
        <v>7</v>
      </c>
      <c r="AF797" s="123" t="s">
        <v>448</v>
      </c>
      <c r="AI797" s="123">
        <f aca="true" t="shared" si="484" ref="AI797:AR797">AI770+AI795</f>
        <v>1032898.1872618892</v>
      </c>
      <c r="AJ797" s="123">
        <f t="shared" si="484"/>
        <v>-21505</v>
      </c>
      <c r="AK797" s="123">
        <f t="shared" si="484"/>
        <v>1469607</v>
      </c>
      <c r="AL797" s="123">
        <f t="shared" si="484"/>
        <v>-6009</v>
      </c>
      <c r="AM797" s="123">
        <f t="shared" si="484"/>
        <v>210554</v>
      </c>
      <c r="AN797" s="123">
        <f t="shared" si="484"/>
        <v>-619747</v>
      </c>
      <c r="AO797" s="123">
        <f t="shared" si="484"/>
        <v>0</v>
      </c>
      <c r="AP797" s="123">
        <f t="shared" si="484"/>
        <v>0</v>
      </c>
      <c r="AQ797" s="123">
        <f t="shared" si="484"/>
        <v>0</v>
      </c>
      <c r="AR797" s="123">
        <f t="shared" si="484"/>
        <v>0</v>
      </c>
    </row>
    <row r="814" spans="33:43" ht="12">
      <c r="AG814" s="124"/>
      <c r="AI814" s="126"/>
      <c r="AK814" s="125" t="str">
        <f>""&amp;+$B$24</f>
        <v>COLUMBIA GAS OF KENTUCKY, INC.</v>
      </c>
      <c r="AQ814" s="123" t="str">
        <f>$B$25</f>
        <v>D/C STUDY</v>
      </c>
    </row>
    <row r="815" spans="31:43" ht="12">
      <c r="AE815" s="123" t="str">
        <f>$B$30</f>
        <v>DEMAND-COMMODITY</v>
      </c>
      <c r="AK815" s="125" t="s">
        <v>786</v>
      </c>
      <c r="AQ815" s="123" t="str">
        <f>"PAGE 26 OF "&amp;FIXED($B$31,0,TRUE)</f>
        <v>PAGE 26 OF 28</v>
      </c>
    </row>
    <row r="816" spans="31:44" ht="12">
      <c r="AE816" s="128" t="str">
        <f>$B$29</f>
        <v>HISTORIC PERIOD - ORIGINAL FILING</v>
      </c>
      <c r="AF816" s="128"/>
      <c r="AG816" s="128"/>
      <c r="AH816" s="129"/>
      <c r="AI816" s="128"/>
      <c r="AJ816" s="128"/>
      <c r="AK816" s="130" t="str">
        <f>"FOR THE TWELVE MONTHS ENDED "&amp;$B$27</f>
        <v>FOR THE TWELVE MONTHS ENDED 09/30/2006</v>
      </c>
      <c r="AL816" s="128"/>
      <c r="AM816" s="128"/>
      <c r="AN816" s="128"/>
      <c r="AO816" s="128"/>
      <c r="AP816" s="128"/>
      <c r="AQ816" s="128" t="str">
        <f>"WITNESS: "&amp;$B$28</f>
        <v>WITNESS: R. GIBBONS</v>
      </c>
      <c r="AR816" s="131"/>
    </row>
    <row r="817" spans="31:35" ht="12">
      <c r="AE817" s="125" t="s">
        <v>9</v>
      </c>
      <c r="AF817" s="123" t="s">
        <v>10</v>
      </c>
      <c r="AH817" s="125" t="s">
        <v>11</v>
      </c>
      <c r="AI817" s="125" t="s">
        <v>12</v>
      </c>
    </row>
    <row r="818" spans="31:44" ht="12">
      <c r="AE818" s="133" t="s">
        <v>13</v>
      </c>
      <c r="AF818" s="133" t="s">
        <v>13</v>
      </c>
      <c r="AG818" s="133" t="str">
        <f>"                        ACCOUNT TITLE                "</f>
        <v>                        ACCOUNT TITLE                </v>
      </c>
      <c r="AH818" s="141" t="s">
        <v>14</v>
      </c>
      <c r="AI818" s="133" t="s">
        <v>15</v>
      </c>
      <c r="AJ818" s="133" t="str">
        <f>"  "&amp;+$C$35</f>
        <v>  GS-RES.</v>
      </c>
      <c r="AK818" s="133" t="str">
        <f>$C$36</f>
        <v>GS-OTHER</v>
      </c>
      <c r="AL818" s="133" t="str">
        <f>$C$37</f>
        <v>IUS</v>
      </c>
      <c r="AM818" s="133" t="str">
        <f>$C$38</f>
        <v>DS-ML/SC</v>
      </c>
      <c r="AN818" s="133" t="str">
        <f>$C$39</f>
        <v>DS/IS/SS</v>
      </c>
      <c r="AO818" s="133" t="str">
        <f>$C$40</f>
        <v>NOT USED</v>
      </c>
      <c r="AP818" s="133" t="str">
        <f>$C$41</f>
        <v>NOT USED</v>
      </c>
      <c r="AQ818" s="133" t="str">
        <f>$C$42</f>
        <v>NOT USED</v>
      </c>
      <c r="AR818" s="133" t="str">
        <f>$C$43</f>
        <v>NOT USED</v>
      </c>
    </row>
    <row r="819" spans="32:44" ht="12">
      <c r="AF819" s="136" t="s">
        <v>17</v>
      </c>
      <c r="AG819" s="136" t="s">
        <v>18</v>
      </c>
      <c r="AH819" s="125" t="s">
        <v>19</v>
      </c>
      <c r="AI819" s="125" t="s">
        <v>20</v>
      </c>
      <c r="AJ819" s="125" t="s">
        <v>21</v>
      </c>
      <c r="AK819" s="125" t="s">
        <v>22</v>
      </c>
      <c r="AL819" s="125" t="s">
        <v>23</v>
      </c>
      <c r="AM819" s="125" t="s">
        <v>24</v>
      </c>
      <c r="AN819" s="125" t="s">
        <v>25</v>
      </c>
      <c r="AO819" s="125" t="s">
        <v>26</v>
      </c>
      <c r="AP819" s="125" t="s">
        <v>27</v>
      </c>
      <c r="AQ819" s="125" t="s">
        <v>28</v>
      </c>
      <c r="AR819" s="125" t="s">
        <v>29</v>
      </c>
    </row>
    <row r="820" spans="35:44" ht="12">
      <c r="AI820" s="125" t="s">
        <v>32</v>
      </c>
      <c r="AJ820" s="125" t="s">
        <v>32</v>
      </c>
      <c r="AK820" s="125" t="s">
        <v>32</v>
      </c>
      <c r="AL820" s="125" t="s">
        <v>32</v>
      </c>
      <c r="AM820" s="125" t="s">
        <v>32</v>
      </c>
      <c r="AN820" s="125" t="s">
        <v>32</v>
      </c>
      <c r="AO820" s="125" t="s">
        <v>32</v>
      </c>
      <c r="AP820" s="125" t="s">
        <v>32</v>
      </c>
      <c r="AQ820" s="125" t="s">
        <v>32</v>
      </c>
      <c r="AR820" s="125" t="s">
        <v>32</v>
      </c>
    </row>
    <row r="821" spans="31:44" ht="12">
      <c r="AE821" s="123">
        <v>1</v>
      </c>
      <c r="AF821" s="123" t="s">
        <v>449</v>
      </c>
      <c r="AI821" s="138">
        <f aca="true" t="shared" si="485" ref="AI821:AR821">AI166</f>
        <v>250010564.10000002</v>
      </c>
      <c r="AJ821" s="138">
        <f t="shared" si="485"/>
        <v>140329106</v>
      </c>
      <c r="AK821" s="138">
        <f t="shared" si="485"/>
        <v>52380489</v>
      </c>
      <c r="AL821" s="138">
        <f t="shared" si="485"/>
        <v>164117</v>
      </c>
      <c r="AM821" s="138">
        <f t="shared" si="485"/>
        <v>109018</v>
      </c>
      <c r="AN821" s="138">
        <f t="shared" si="485"/>
        <v>57027838</v>
      </c>
      <c r="AO821" s="138">
        <f t="shared" si="485"/>
        <v>0</v>
      </c>
      <c r="AP821" s="138">
        <f t="shared" si="485"/>
        <v>0</v>
      </c>
      <c r="AQ821" s="138">
        <f t="shared" si="485"/>
        <v>0</v>
      </c>
      <c r="AR821" s="138">
        <f t="shared" si="485"/>
        <v>0</v>
      </c>
    </row>
    <row r="822" ht="12">
      <c r="AF822" s="123" t="s">
        <v>450</v>
      </c>
    </row>
    <row r="823" spans="31:44" ht="12">
      <c r="AE823" s="123">
        <f>AE821+1</f>
        <v>2</v>
      </c>
      <c r="AF823" s="123" t="s">
        <v>451</v>
      </c>
      <c r="AG823" s="123" t="s">
        <v>452</v>
      </c>
      <c r="AI823" s="141">
        <f aca="true" t="shared" si="486" ref="AI823:AR823">AI252</f>
        <v>112159507</v>
      </c>
      <c r="AJ823" s="141">
        <f t="shared" si="486"/>
        <v>70417756</v>
      </c>
      <c r="AK823" s="141">
        <f t="shared" si="486"/>
        <v>21204753</v>
      </c>
      <c r="AL823" s="141">
        <f t="shared" si="486"/>
        <v>59202</v>
      </c>
      <c r="AM823" s="141">
        <f t="shared" si="486"/>
        <v>40650</v>
      </c>
      <c r="AN823" s="141">
        <f t="shared" si="486"/>
        <v>20437149</v>
      </c>
      <c r="AO823" s="141">
        <f t="shared" si="486"/>
        <v>0</v>
      </c>
      <c r="AP823" s="141">
        <f t="shared" si="486"/>
        <v>0</v>
      </c>
      <c r="AQ823" s="141">
        <f t="shared" si="486"/>
        <v>0</v>
      </c>
      <c r="AR823" s="141">
        <f t="shared" si="486"/>
        <v>0</v>
      </c>
    </row>
    <row r="824" spans="31:44" ht="12">
      <c r="AE824" s="123">
        <f>AE823+1</f>
        <v>3</v>
      </c>
      <c r="AG824" s="123" t="s">
        <v>453</v>
      </c>
      <c r="AI824" s="138">
        <f aca="true" t="shared" si="487" ref="AI824:AR824">AI821-AI823</f>
        <v>137851057.10000002</v>
      </c>
      <c r="AJ824" s="138">
        <f t="shared" si="487"/>
        <v>69911350</v>
      </c>
      <c r="AK824" s="138">
        <f t="shared" si="487"/>
        <v>31175736</v>
      </c>
      <c r="AL824" s="138">
        <f t="shared" si="487"/>
        <v>104915</v>
      </c>
      <c r="AM824" s="138">
        <f t="shared" si="487"/>
        <v>68368</v>
      </c>
      <c r="AN824" s="138">
        <f t="shared" si="487"/>
        <v>36590689</v>
      </c>
      <c r="AO824" s="138">
        <f t="shared" si="487"/>
        <v>0</v>
      </c>
      <c r="AP824" s="138">
        <f t="shared" si="487"/>
        <v>0</v>
      </c>
      <c r="AQ824" s="138">
        <f t="shared" si="487"/>
        <v>0</v>
      </c>
      <c r="AR824" s="138">
        <f t="shared" si="487"/>
        <v>0</v>
      </c>
    </row>
    <row r="826" spans="31:44" ht="12">
      <c r="AE826" s="123">
        <f>AE824+1</f>
        <v>4</v>
      </c>
      <c r="AF826" s="139">
        <f>A86</f>
        <v>190</v>
      </c>
      <c r="AG826" s="123" t="str">
        <f>B86</f>
        <v>ACCUMULATED DEF INCOME TAX</v>
      </c>
      <c r="AH826" s="123">
        <f>C86</f>
        <v>19</v>
      </c>
      <c r="AI826" s="157">
        <f>D86</f>
        <v>4193252</v>
      </c>
      <c r="AJ826" s="123">
        <f>ROUND((VLOOKUP($AH826,$A$661:$Y$709,13)*$AI826),0)</f>
        <v>2353630</v>
      </c>
      <c r="AK826" s="123">
        <f>ROUND((VLOOKUP($AH826,$A$661:$Y$709,14)*$AI826),0)</f>
        <v>878528</v>
      </c>
      <c r="AL826" s="123">
        <f>ROUND((VLOOKUP($AH826,$A$661:$Y$709,15)*$AI826),0)</f>
        <v>2768</v>
      </c>
      <c r="AM826" s="123">
        <f>ROUND((VLOOKUP($AH826,$A$661:$Y$709,16)*$AI826),0)</f>
        <v>1845</v>
      </c>
      <c r="AN826" s="123">
        <f>ROUND((VLOOKUP($AH826,$A$661:$Y$709,17)*$AI826),0)</f>
        <v>956481</v>
      </c>
      <c r="AO826" s="123">
        <f>ROUND((VLOOKUP($AH826,$A$661:$Y$709,18)*$AI826),0)</f>
        <v>0</v>
      </c>
      <c r="AP826" s="123">
        <f>ROUND((VLOOKUP($AH826,$A$661:$Y$709,19)*$AI826),0)</f>
        <v>0</v>
      </c>
      <c r="AQ826" s="123">
        <f>ROUND((VLOOKUP($AH826,$A$661:$Y$709,20)*$AI826),0)</f>
        <v>0</v>
      </c>
      <c r="AR826" s="123">
        <f>ROUND((VLOOKUP($AH826,$A$661:$Y$709,21)*$AI826),0)</f>
        <v>0</v>
      </c>
    </row>
    <row r="827" ht="12">
      <c r="AF827" s="123" t="s">
        <v>450</v>
      </c>
    </row>
    <row r="828" spans="31:44" ht="12">
      <c r="AE828" s="123">
        <f>AE826+1</f>
        <v>5</v>
      </c>
      <c r="AF828" s="139">
        <f aca="true" t="shared" si="488" ref="AF828:AI831">A87</f>
        <v>252</v>
      </c>
      <c r="AG828" s="123" t="str">
        <f t="shared" si="488"/>
        <v>CUSTOMER ADVANCES</v>
      </c>
      <c r="AH828" s="123">
        <f t="shared" si="488"/>
        <v>7</v>
      </c>
      <c r="AI828" s="123">
        <f t="shared" si="488"/>
        <v>163698</v>
      </c>
      <c r="AJ828" s="123">
        <f>ROUND((VLOOKUP($AH828,$A$661:$Y$709,13)*$AI828),0)</f>
        <v>91880</v>
      </c>
      <c r="AK828" s="123">
        <f>ROUND((VLOOKUP($AH828,$A$661:$Y$709,14)*$AI828),0)</f>
        <v>34296</v>
      </c>
      <c r="AL828" s="123">
        <f>ROUND((VLOOKUP($AH828,$A$661:$Y$709,15)*$AI828),0)</f>
        <v>108</v>
      </c>
      <c r="AM828" s="123">
        <f>ROUND((VLOOKUP($AH828,$A$661:$Y$709,16)*$AI828),0)</f>
        <v>72</v>
      </c>
      <c r="AN828" s="123">
        <f>ROUND((VLOOKUP($AH828,$A$661:$Y$709,17)*$AI828),0)</f>
        <v>37341</v>
      </c>
      <c r="AO828" s="123">
        <f>ROUND((VLOOKUP($AH828,$A$661:$Y$709,18)*$AI828),0)</f>
        <v>0</v>
      </c>
      <c r="AP828" s="123">
        <f>ROUND((VLOOKUP($AH828,$A$661:$Y$709,19)*$AI828),0)</f>
        <v>0</v>
      </c>
      <c r="AQ828" s="123">
        <f>ROUND((VLOOKUP($AH828,$A$661:$Y$709,20)*$AI828),0)</f>
        <v>0</v>
      </c>
      <c r="AR828" s="123">
        <f>ROUND((VLOOKUP($AH828,$A$661:$Y$709,21)*$AI828),0)</f>
        <v>0</v>
      </c>
    </row>
    <row r="829" spans="31:44" ht="12">
      <c r="AE829" s="123">
        <f>AE828+1</f>
        <v>6</v>
      </c>
      <c r="AF829" s="139">
        <f t="shared" si="488"/>
        <v>255</v>
      </c>
      <c r="AG829" s="123" t="str">
        <f t="shared" si="488"/>
        <v>(1962 - 69) INVESTMENT TAX CREDIT</v>
      </c>
      <c r="AH829" s="123">
        <f t="shared" si="488"/>
        <v>19</v>
      </c>
      <c r="AI829" s="123">
        <f t="shared" si="488"/>
        <v>0</v>
      </c>
      <c r="AJ829" s="123">
        <f>ROUND((VLOOKUP($AH829,$A$661:$Y$709,13)*$AI829),0)</f>
        <v>0</v>
      </c>
      <c r="AK829" s="123">
        <f>ROUND((VLOOKUP($AH829,$A$661:$Y$709,14)*$AI829),0)</f>
        <v>0</v>
      </c>
      <c r="AL829" s="123">
        <f>ROUND((VLOOKUP($AH829,$A$661:$Y$709,15)*$AI829),0)</f>
        <v>0</v>
      </c>
      <c r="AM829" s="123">
        <f>ROUND((VLOOKUP($AH829,$A$661:$Y$709,16)*$AI829),0)</f>
        <v>0</v>
      </c>
      <c r="AN829" s="123">
        <f>ROUND((VLOOKUP($AH829,$A$661:$Y$709,17)*$AI829),0)</f>
        <v>0</v>
      </c>
      <c r="AO829" s="123">
        <f>ROUND((VLOOKUP($AH829,$A$661:$Y$709,18)*$AI829),0)</f>
        <v>0</v>
      </c>
      <c r="AP829" s="123">
        <f>ROUND((VLOOKUP($AH829,$A$661:$Y$709,19)*$AI829),0)</f>
        <v>0</v>
      </c>
      <c r="AQ829" s="123">
        <f>ROUND((VLOOKUP($AH829,$A$661:$Y$709,20)*$AI829),0)</f>
        <v>0</v>
      </c>
      <c r="AR829" s="123">
        <f>ROUND((VLOOKUP($AH829,$A$661:$Y$709,21)*$AI829),0)</f>
        <v>0</v>
      </c>
    </row>
    <row r="830" spans="31:44" ht="12">
      <c r="AE830" s="123">
        <f>AE829+1</f>
        <v>7</v>
      </c>
      <c r="AF830" s="139">
        <f t="shared" si="488"/>
        <v>282</v>
      </c>
      <c r="AG830" s="123" t="str">
        <f t="shared" si="488"/>
        <v>ACCUMULATED DEF INCOME TAX</v>
      </c>
      <c r="AH830" s="123">
        <f t="shared" si="488"/>
        <v>19</v>
      </c>
      <c r="AI830" s="123">
        <f t="shared" si="488"/>
        <v>22025497</v>
      </c>
      <c r="AJ830" s="123">
        <f>ROUND((VLOOKUP($AH830,$A$661:$Y$709,13)*$AI830),0)</f>
        <v>12362691</v>
      </c>
      <c r="AK830" s="123">
        <f>ROUND((VLOOKUP($AH830,$A$661:$Y$709,14)*$AI830),0)</f>
        <v>4614562</v>
      </c>
      <c r="AL830" s="123">
        <f>ROUND((VLOOKUP($AH830,$A$661:$Y$709,15)*$AI830),0)</f>
        <v>14537</v>
      </c>
      <c r="AM830" s="123">
        <f>ROUND((VLOOKUP($AH830,$A$661:$Y$709,16)*$AI830),0)</f>
        <v>9691</v>
      </c>
      <c r="AN830" s="123">
        <f>ROUND((VLOOKUP($AH830,$A$661:$Y$709,17)*$AI830),0)</f>
        <v>5024016</v>
      </c>
      <c r="AO830" s="123">
        <f>ROUND((VLOOKUP($AH830,$A$661:$Y$709,18)*$AI830),0)</f>
        <v>0</v>
      </c>
      <c r="AP830" s="123">
        <f>ROUND((VLOOKUP($AH830,$A$661:$Y$709,19)*$AI830),0)</f>
        <v>0</v>
      </c>
      <c r="AQ830" s="123">
        <f>ROUND((VLOOKUP($AH830,$A$661:$Y$709,20)*$AI830),0)</f>
        <v>0</v>
      </c>
      <c r="AR830" s="123">
        <f>ROUND((VLOOKUP($AH830,$A$661:$Y$709,21)*$AI830),0)</f>
        <v>0</v>
      </c>
    </row>
    <row r="831" spans="31:44" ht="12">
      <c r="AE831" s="123">
        <f>AE830+1</f>
        <v>8</v>
      </c>
      <c r="AF831" s="139">
        <f t="shared" si="488"/>
        <v>283</v>
      </c>
      <c r="AG831" s="123" t="str">
        <f t="shared" si="488"/>
        <v>ACCUMULATED DEF INCOME TAX</v>
      </c>
      <c r="AH831" s="123">
        <f t="shared" si="488"/>
        <v>19</v>
      </c>
      <c r="AI831" s="141">
        <f t="shared" si="488"/>
        <v>103963</v>
      </c>
      <c r="AJ831" s="141">
        <f>ROUND((VLOOKUP($AH831,$A$661:$Y$709,13)*$AI831),0)</f>
        <v>58353</v>
      </c>
      <c r="AK831" s="141">
        <f>ROUND((VLOOKUP($AH831,$A$661:$Y$709,14)*$AI831),0)</f>
        <v>21781</v>
      </c>
      <c r="AL831" s="141">
        <f>ROUND((VLOOKUP($AH831,$A$661:$Y$709,15)*$AI831),0)</f>
        <v>69</v>
      </c>
      <c r="AM831" s="141">
        <f>ROUND((VLOOKUP($AH831,$A$661:$Y$709,16)*$AI831),0)</f>
        <v>46</v>
      </c>
      <c r="AN831" s="141">
        <f>ROUND((VLOOKUP($AH831,$A$661:$Y$709,17)*$AI831),0)</f>
        <v>23714</v>
      </c>
      <c r="AO831" s="141">
        <f>ROUND((VLOOKUP($AH831,$A$661:$Y$709,18)*$AI831),0)</f>
        <v>0</v>
      </c>
      <c r="AP831" s="141">
        <f>ROUND((VLOOKUP($AH831,$A$661:$Y$709,19)*$AI831),0)</f>
        <v>0</v>
      </c>
      <c r="AQ831" s="141">
        <f>ROUND((VLOOKUP($AH831,$A$661:$Y$709,20)*$AI831),0)</f>
        <v>0</v>
      </c>
      <c r="AR831" s="141">
        <f>ROUND((VLOOKUP($AH831,$A$661:$Y$709,21)*$AI831),0)</f>
        <v>0</v>
      </c>
    </row>
    <row r="832" spans="31:44" ht="12">
      <c r="AE832" s="123">
        <f>AE831+1</f>
        <v>9</v>
      </c>
      <c r="AG832" s="123" t="s">
        <v>454</v>
      </c>
      <c r="AI832" s="138">
        <f aca="true" t="shared" si="489" ref="AI832:AR832">AI824-SUM(AI828:AI831)+AI826</f>
        <v>119751151.10000002</v>
      </c>
      <c r="AJ832" s="138">
        <f t="shared" si="489"/>
        <v>59752056</v>
      </c>
      <c r="AK832" s="138">
        <f t="shared" si="489"/>
        <v>27383625</v>
      </c>
      <c r="AL832" s="138">
        <f t="shared" si="489"/>
        <v>92969</v>
      </c>
      <c r="AM832" s="138">
        <f t="shared" si="489"/>
        <v>60404</v>
      </c>
      <c r="AN832" s="138">
        <f t="shared" si="489"/>
        <v>32462099</v>
      </c>
      <c r="AO832" s="138">
        <f t="shared" si="489"/>
        <v>0</v>
      </c>
      <c r="AP832" s="138">
        <f t="shared" si="489"/>
        <v>0</v>
      </c>
      <c r="AQ832" s="138">
        <f t="shared" si="489"/>
        <v>0</v>
      </c>
      <c r="AR832" s="138">
        <f t="shared" si="489"/>
        <v>0</v>
      </c>
    </row>
    <row r="834" spans="31:32" ht="12">
      <c r="AE834" s="123">
        <f>AE832+1</f>
        <v>10</v>
      </c>
      <c r="AF834" s="123" t="s">
        <v>455</v>
      </c>
    </row>
    <row r="836" spans="31:32" ht="12">
      <c r="AE836" s="123">
        <f>AE834+1</f>
        <v>11</v>
      </c>
      <c r="AF836" s="123" t="s">
        <v>456</v>
      </c>
    </row>
    <row r="837" spans="31:44" ht="12">
      <c r="AE837" s="123">
        <f aca="true" t="shared" si="490" ref="AE837:AE844">AE836+1</f>
        <v>12</v>
      </c>
      <c r="AF837" s="123" t="s">
        <v>457</v>
      </c>
      <c r="AI837" s="123">
        <f aca="true" t="shared" si="491" ref="AI837:AR837">ROUND(AI850/8,0)</f>
        <v>3473737</v>
      </c>
      <c r="AJ837" s="123">
        <f t="shared" si="491"/>
        <v>2221384</v>
      </c>
      <c r="AK837" s="123">
        <f t="shared" si="491"/>
        <v>774780</v>
      </c>
      <c r="AL837" s="123">
        <f t="shared" si="491"/>
        <v>1807</v>
      </c>
      <c r="AM837" s="123">
        <f t="shared" si="491"/>
        <v>3245</v>
      </c>
      <c r="AN837" s="123">
        <f t="shared" si="491"/>
        <v>472521</v>
      </c>
      <c r="AO837" s="123">
        <f t="shared" si="491"/>
        <v>0</v>
      </c>
      <c r="AP837" s="123">
        <f t="shared" si="491"/>
        <v>0</v>
      </c>
      <c r="AQ837" s="123">
        <f t="shared" si="491"/>
        <v>0</v>
      </c>
      <c r="AR837" s="123">
        <f t="shared" si="491"/>
        <v>0</v>
      </c>
    </row>
    <row r="838" spans="31:44" ht="12">
      <c r="AE838" s="123">
        <f t="shared" si="490"/>
        <v>13</v>
      </c>
      <c r="AF838" s="139">
        <f>A85</f>
        <v>151</v>
      </c>
      <c r="AG838" s="123" t="str">
        <f>B85</f>
        <v>FUEL STOCK</v>
      </c>
      <c r="AH838" s="123">
        <f>C85</f>
        <v>2</v>
      </c>
      <c r="AI838" s="123">
        <f>D85</f>
        <v>0</v>
      </c>
      <c r="AJ838" s="123">
        <f aca="true" t="shared" si="492" ref="AJ838:AJ843">ROUND((VLOOKUP($AH838,$A$661:$Y$709,13)*$AI838),0)</f>
        <v>0</v>
      </c>
      <c r="AK838" s="123">
        <f aca="true" t="shared" si="493" ref="AK838:AK843">ROUND((VLOOKUP($AH838,$A$661:$Y$709,14)*$AI838),0)</f>
        <v>0</v>
      </c>
      <c r="AL838" s="123">
        <f aca="true" t="shared" si="494" ref="AL838:AL843">ROUND((VLOOKUP($AH838,$A$661:$Y$709,15)*$AI838),0)</f>
        <v>0</v>
      </c>
      <c r="AM838" s="123">
        <f aca="true" t="shared" si="495" ref="AM838:AM843">ROUND((VLOOKUP($AH838,$A$661:$Y$709,16)*$AI838),0)</f>
        <v>0</v>
      </c>
      <c r="AN838" s="123">
        <f aca="true" t="shared" si="496" ref="AN838:AN843">ROUND((VLOOKUP($AH838,$A$661:$Y$709,17)*$AI838),0)</f>
        <v>0</v>
      </c>
      <c r="AO838" s="123">
        <f aca="true" t="shared" si="497" ref="AO838:AO843">ROUND((VLOOKUP($AH838,$A$661:$Y$709,18)*$AI838),0)</f>
        <v>0</v>
      </c>
      <c r="AP838" s="123">
        <f aca="true" t="shared" si="498" ref="AP838:AP843">ROUND((VLOOKUP($AH838,$A$661:$Y$709,19)*$AI838),0)</f>
        <v>0</v>
      </c>
      <c r="AQ838" s="123">
        <f aca="true" t="shared" si="499" ref="AQ838:AQ843">ROUND((VLOOKUP($AH838,$A$661:$Y$709,20)*$AI838),0)</f>
        <v>0</v>
      </c>
      <c r="AR838" s="123">
        <f aca="true" t="shared" si="500" ref="AR838:AR843">ROUND((VLOOKUP($AH838,$A$661:$Y$709,21)*$AI838),0)</f>
        <v>0</v>
      </c>
    </row>
    <row r="839" spans="31:44" ht="12">
      <c r="AE839" s="123">
        <f t="shared" si="490"/>
        <v>14</v>
      </c>
      <c r="AF839" s="139">
        <f aca="true" t="shared" si="501" ref="AF839:AI841">A91</f>
        <v>186</v>
      </c>
      <c r="AG839" s="123" t="str">
        <f t="shared" si="501"/>
        <v>MATERIALS &amp; SUPPLIES</v>
      </c>
      <c r="AH839" s="123">
        <f t="shared" si="501"/>
        <v>7</v>
      </c>
      <c r="AI839" s="123">
        <f t="shared" si="501"/>
        <v>88123</v>
      </c>
      <c r="AJ839" s="123">
        <f t="shared" si="492"/>
        <v>49462</v>
      </c>
      <c r="AK839" s="123">
        <f t="shared" si="493"/>
        <v>18463</v>
      </c>
      <c r="AL839" s="123">
        <f t="shared" si="494"/>
        <v>58</v>
      </c>
      <c r="AM839" s="123">
        <f t="shared" si="495"/>
        <v>39</v>
      </c>
      <c r="AN839" s="123">
        <f t="shared" si="496"/>
        <v>20102</v>
      </c>
      <c r="AO839" s="123">
        <f t="shared" si="497"/>
        <v>0</v>
      </c>
      <c r="AP839" s="123">
        <f t="shared" si="498"/>
        <v>0</v>
      </c>
      <c r="AQ839" s="123">
        <f t="shared" si="499"/>
        <v>0</v>
      </c>
      <c r="AR839" s="123">
        <f t="shared" si="500"/>
        <v>0</v>
      </c>
    </row>
    <row r="840" spans="31:44" ht="12">
      <c r="AE840" s="123">
        <f t="shared" si="490"/>
        <v>15</v>
      </c>
      <c r="AF840" s="139">
        <f t="shared" si="501"/>
        <v>165</v>
      </c>
      <c r="AG840" s="123" t="str">
        <f t="shared" si="501"/>
        <v>PREPAYMENTS</v>
      </c>
      <c r="AH840" s="123">
        <f t="shared" si="501"/>
        <v>13</v>
      </c>
      <c r="AI840" s="123">
        <f t="shared" si="501"/>
        <v>344194</v>
      </c>
      <c r="AJ840" s="123">
        <f t="shared" si="492"/>
        <v>211886</v>
      </c>
      <c r="AK840" s="123">
        <f t="shared" si="493"/>
        <v>74539</v>
      </c>
      <c r="AL840" s="123">
        <f t="shared" si="494"/>
        <v>200</v>
      </c>
      <c r="AM840" s="123">
        <f t="shared" si="495"/>
        <v>351</v>
      </c>
      <c r="AN840" s="123">
        <f t="shared" si="496"/>
        <v>57219</v>
      </c>
      <c r="AO840" s="123">
        <f t="shared" si="497"/>
        <v>0</v>
      </c>
      <c r="AP840" s="123">
        <f t="shared" si="498"/>
        <v>0</v>
      </c>
      <c r="AQ840" s="123">
        <f t="shared" si="499"/>
        <v>0</v>
      </c>
      <c r="AR840" s="123">
        <f t="shared" si="500"/>
        <v>0</v>
      </c>
    </row>
    <row r="841" spans="31:44" ht="12">
      <c r="AE841" s="123">
        <f t="shared" si="490"/>
        <v>16</v>
      </c>
      <c r="AF841" s="139">
        <f t="shared" si="501"/>
        <v>164</v>
      </c>
      <c r="AG841" s="123" t="str">
        <f t="shared" si="501"/>
        <v>GAS STORED UNDERGROUND - FSS</v>
      </c>
      <c r="AH841" s="123">
        <f t="shared" si="501"/>
        <v>2</v>
      </c>
      <c r="AI841" s="123">
        <f t="shared" si="501"/>
        <v>47790396</v>
      </c>
      <c r="AJ841" s="123">
        <f t="shared" si="492"/>
        <v>29333267</v>
      </c>
      <c r="AK841" s="123">
        <f t="shared" si="493"/>
        <v>17911840</v>
      </c>
      <c r="AL841" s="123">
        <f t="shared" si="494"/>
        <v>75031</v>
      </c>
      <c r="AM841" s="123">
        <f t="shared" si="495"/>
        <v>0</v>
      </c>
      <c r="AN841" s="123">
        <f t="shared" si="496"/>
        <v>470257</v>
      </c>
      <c r="AO841" s="123">
        <f t="shared" si="497"/>
        <v>0</v>
      </c>
      <c r="AP841" s="123">
        <f t="shared" si="498"/>
        <v>0</v>
      </c>
      <c r="AQ841" s="123">
        <f t="shared" si="499"/>
        <v>0</v>
      </c>
      <c r="AR841" s="123">
        <f t="shared" si="500"/>
        <v>0</v>
      </c>
    </row>
    <row r="842" spans="31:44" ht="12">
      <c r="AE842" s="123">
        <f t="shared" si="490"/>
        <v>17</v>
      </c>
      <c r="AF842" s="139" t="s">
        <v>2</v>
      </c>
      <c r="AG842" s="123" t="str">
        <f aca="true" t="shared" si="502" ref="AG842:AI843">B94</f>
        <v> </v>
      </c>
      <c r="AH842" s="123">
        <f t="shared" si="502"/>
        <v>12</v>
      </c>
      <c r="AI842" s="123">
        <f t="shared" si="502"/>
        <v>0</v>
      </c>
      <c r="AJ842" s="123">
        <f t="shared" si="492"/>
        <v>0</v>
      </c>
      <c r="AK842" s="123">
        <f t="shared" si="493"/>
        <v>0</v>
      </c>
      <c r="AL842" s="123">
        <f t="shared" si="494"/>
        <v>0</v>
      </c>
      <c r="AM842" s="123">
        <f t="shared" si="495"/>
        <v>0</v>
      </c>
      <c r="AN842" s="123">
        <f t="shared" si="496"/>
        <v>0</v>
      </c>
      <c r="AO842" s="123">
        <f t="shared" si="497"/>
        <v>0</v>
      </c>
      <c r="AP842" s="123">
        <f t="shared" si="498"/>
        <v>0</v>
      </c>
      <c r="AQ842" s="123">
        <f t="shared" si="499"/>
        <v>0</v>
      </c>
      <c r="AR842" s="123">
        <f t="shared" si="500"/>
        <v>0</v>
      </c>
    </row>
    <row r="843" spans="31:44" ht="12">
      <c r="AE843" s="123">
        <f t="shared" si="490"/>
        <v>18</v>
      </c>
      <c r="AF843" s="139" t="s">
        <v>2</v>
      </c>
      <c r="AG843" s="123" t="str">
        <f t="shared" si="502"/>
        <v> </v>
      </c>
      <c r="AH843" s="123">
        <f t="shared" si="502"/>
        <v>12</v>
      </c>
      <c r="AI843" s="141">
        <f t="shared" si="502"/>
        <v>0</v>
      </c>
      <c r="AJ843" s="141">
        <f t="shared" si="492"/>
        <v>0</v>
      </c>
      <c r="AK843" s="141">
        <f t="shared" si="493"/>
        <v>0</v>
      </c>
      <c r="AL843" s="141">
        <f t="shared" si="494"/>
        <v>0</v>
      </c>
      <c r="AM843" s="141">
        <f t="shared" si="495"/>
        <v>0</v>
      </c>
      <c r="AN843" s="141">
        <f t="shared" si="496"/>
        <v>0</v>
      </c>
      <c r="AO843" s="141">
        <f t="shared" si="497"/>
        <v>0</v>
      </c>
      <c r="AP843" s="141">
        <f t="shared" si="498"/>
        <v>0</v>
      </c>
      <c r="AQ843" s="141">
        <f t="shared" si="499"/>
        <v>0</v>
      </c>
      <c r="AR843" s="141">
        <f t="shared" si="500"/>
        <v>0</v>
      </c>
    </row>
    <row r="844" spans="31:44" ht="12">
      <c r="AE844" s="123">
        <f t="shared" si="490"/>
        <v>19</v>
      </c>
      <c r="AG844" s="123" t="s">
        <v>458</v>
      </c>
      <c r="AI844" s="138">
        <f aca="true" t="shared" si="503" ref="AI844:AR844">AI832+SUM(AI837:AI843)</f>
        <v>171447601.10000002</v>
      </c>
      <c r="AJ844" s="138">
        <f t="shared" si="503"/>
        <v>91568055</v>
      </c>
      <c r="AK844" s="138">
        <f t="shared" si="503"/>
        <v>46163247</v>
      </c>
      <c r="AL844" s="138">
        <f t="shared" si="503"/>
        <v>170065</v>
      </c>
      <c r="AM844" s="138">
        <f t="shared" si="503"/>
        <v>64039</v>
      </c>
      <c r="AN844" s="138">
        <f t="shared" si="503"/>
        <v>33482198</v>
      </c>
      <c r="AO844" s="138">
        <f t="shared" si="503"/>
        <v>0</v>
      </c>
      <c r="AP844" s="138">
        <f t="shared" si="503"/>
        <v>0</v>
      </c>
      <c r="AQ844" s="138">
        <f t="shared" si="503"/>
        <v>0</v>
      </c>
      <c r="AR844" s="138">
        <f t="shared" si="503"/>
        <v>0</v>
      </c>
    </row>
    <row r="847" ht="12">
      <c r="AE847" s="123" t="s">
        <v>459</v>
      </c>
    </row>
    <row r="848" spans="32:44" ht="12">
      <c r="AF848" s="202" t="s">
        <v>787</v>
      </c>
      <c r="AI848" s="123">
        <f aca="true" t="shared" si="504" ref="AI848:AR848">AI648+AI393</f>
        <v>139982291.69</v>
      </c>
      <c r="AJ848" s="123">
        <f t="shared" si="504"/>
        <v>87412560.38</v>
      </c>
      <c r="AK848" s="123">
        <f t="shared" si="504"/>
        <v>47543135.260000005</v>
      </c>
      <c r="AL848" s="123">
        <f t="shared" si="504"/>
        <v>241973.88</v>
      </c>
      <c r="AM848" s="123">
        <f t="shared" si="504"/>
        <v>25960</v>
      </c>
      <c r="AN848" s="123">
        <f t="shared" si="504"/>
        <v>4758658.17</v>
      </c>
      <c r="AO848" s="123">
        <f t="shared" si="504"/>
        <v>0</v>
      </c>
      <c r="AP848" s="123">
        <f t="shared" si="504"/>
        <v>0</v>
      </c>
      <c r="AQ848" s="123">
        <f t="shared" si="504"/>
        <v>0</v>
      </c>
      <c r="AR848" s="123">
        <f t="shared" si="504"/>
        <v>0</v>
      </c>
    </row>
    <row r="849" spans="33:44" ht="12">
      <c r="AG849" s="202" t="s">
        <v>788</v>
      </c>
      <c r="AI849" s="141">
        <f aca="true" t="shared" si="505" ref="AI849:AO849">AI393+AI396</f>
        <v>112192398.69</v>
      </c>
      <c r="AJ849" s="141">
        <f t="shared" si="505"/>
        <v>69641492.38</v>
      </c>
      <c r="AK849" s="141">
        <f t="shared" si="505"/>
        <v>41344893.260000005</v>
      </c>
      <c r="AL849" s="141">
        <f t="shared" si="505"/>
        <v>227518.88</v>
      </c>
      <c r="AM849" s="141">
        <f t="shared" si="505"/>
        <v>0</v>
      </c>
      <c r="AN849" s="141">
        <f t="shared" si="505"/>
        <v>978493.17</v>
      </c>
      <c r="AO849" s="141">
        <f t="shared" si="505"/>
        <v>0</v>
      </c>
      <c r="AP849" s="141">
        <f>AP393</f>
        <v>0</v>
      </c>
      <c r="AQ849" s="141">
        <f>AQ393</f>
        <v>0</v>
      </c>
      <c r="AR849" s="141">
        <f>AR393</f>
        <v>0</v>
      </c>
    </row>
    <row r="850" spans="33:44" ht="12">
      <c r="AG850" s="202" t="s">
        <v>789</v>
      </c>
      <c r="AI850" s="123">
        <f aca="true" t="shared" si="506" ref="AI850:AR850">AI848-AI849</f>
        <v>27789893</v>
      </c>
      <c r="AJ850" s="123">
        <f t="shared" si="506"/>
        <v>17771068</v>
      </c>
      <c r="AK850" s="123">
        <f t="shared" si="506"/>
        <v>6198242</v>
      </c>
      <c r="AL850" s="123">
        <f t="shared" si="506"/>
        <v>14455</v>
      </c>
      <c r="AM850" s="123">
        <f t="shared" si="506"/>
        <v>25960</v>
      </c>
      <c r="AN850" s="123">
        <f t="shared" si="506"/>
        <v>3780165</v>
      </c>
      <c r="AO850" s="123">
        <f t="shared" si="506"/>
        <v>0</v>
      </c>
      <c r="AP850" s="123">
        <f t="shared" si="506"/>
        <v>0</v>
      </c>
      <c r="AQ850" s="123">
        <f t="shared" si="506"/>
        <v>0</v>
      </c>
      <c r="AR850" s="123">
        <f t="shared" si="506"/>
        <v>0</v>
      </c>
    </row>
    <row r="851" spans="33:43" ht="12">
      <c r="AG851" s="124"/>
      <c r="AI851" s="126"/>
      <c r="AK851" s="125" t="str">
        <f>""&amp;+$B$24</f>
        <v>COLUMBIA GAS OF KENTUCKY, INC.</v>
      </c>
      <c r="AQ851" s="123" t="str">
        <f>$B$25</f>
        <v>D/C STUDY</v>
      </c>
    </row>
    <row r="852" spans="31:43" ht="12">
      <c r="AE852" s="123" t="str">
        <f>$B$30</f>
        <v>DEMAND-COMMODITY</v>
      </c>
      <c r="AK852" s="125" t="s">
        <v>792</v>
      </c>
      <c r="AQ852" s="123" t="str">
        <f>"PAGE 3 OF "&amp;FIXED($B$31,0,TRUE)</f>
        <v>PAGE 3 OF 28</v>
      </c>
    </row>
    <row r="853" spans="31:44" ht="12">
      <c r="AE853" s="128" t="str">
        <f>$B$29</f>
        <v>HISTORIC PERIOD - ORIGINAL FILING</v>
      </c>
      <c r="AF853" s="128"/>
      <c r="AG853" s="128"/>
      <c r="AH853" s="129"/>
      <c r="AI853" s="128"/>
      <c r="AJ853" s="129"/>
      <c r="AK853" s="130" t="str">
        <f>"FOR THE TWELVE MONTHS ENDED "&amp;$B$27</f>
        <v>FOR THE TWELVE MONTHS ENDED 09/30/2006</v>
      </c>
      <c r="AL853" s="128"/>
      <c r="AM853" s="128"/>
      <c r="AN853" s="128"/>
      <c r="AO853" s="128"/>
      <c r="AP853" s="128"/>
      <c r="AQ853" s="128" t="str">
        <f>"WITNESS: "&amp;$B$28</f>
        <v>WITNESS: R. GIBBONS</v>
      </c>
      <c r="AR853" s="131"/>
    </row>
    <row r="854" spans="31:44" ht="12">
      <c r="AE854" s="125" t="s">
        <v>9</v>
      </c>
      <c r="AF854" s="123" t="s">
        <v>10</v>
      </c>
      <c r="AH854" s="125" t="s">
        <v>11</v>
      </c>
      <c r="AI854" s="125" t="s">
        <v>12</v>
      </c>
      <c r="AJ854" s="125"/>
      <c r="AK854" s="125"/>
      <c r="AL854" s="125"/>
      <c r="AM854" s="125"/>
      <c r="AN854" s="125"/>
      <c r="AO854" s="125"/>
      <c r="AP854" s="125"/>
      <c r="AQ854" s="125"/>
      <c r="AR854" s="125"/>
    </row>
    <row r="855" spans="31:44" ht="12">
      <c r="AE855" s="133" t="s">
        <v>13</v>
      </c>
      <c r="AF855" s="133" t="s">
        <v>13</v>
      </c>
      <c r="AG855" s="133" t="str">
        <f>"                        ACCOUNT TITLE                "</f>
        <v>                        ACCOUNT TITLE                </v>
      </c>
      <c r="AH855" s="133" t="s">
        <v>14</v>
      </c>
      <c r="AI855" s="133" t="s">
        <v>15</v>
      </c>
      <c r="AJ855" s="133" t="str">
        <f>"  "&amp;+$C$35</f>
        <v>  GS-RES.</v>
      </c>
      <c r="AK855" s="133" t="str">
        <f>$C$36</f>
        <v>GS-OTHER</v>
      </c>
      <c r="AL855" s="133" t="str">
        <f>$C$37</f>
        <v>IUS</v>
      </c>
      <c r="AM855" s="133" t="str">
        <f>$C$38</f>
        <v>DS-ML/SC</v>
      </c>
      <c r="AN855" s="133" t="str">
        <f>$C$39</f>
        <v>DS/IS/SS</v>
      </c>
      <c r="AO855" s="133" t="str">
        <f>$C$40</f>
        <v>NOT USED</v>
      </c>
      <c r="AP855" s="133" t="str">
        <f>$C$41</f>
        <v>NOT USED</v>
      </c>
      <c r="AQ855" s="133" t="str">
        <f>$C$42</f>
        <v>NOT USED</v>
      </c>
      <c r="AR855" s="133" t="str">
        <f>$C$43</f>
        <v>NOT USED</v>
      </c>
    </row>
    <row r="856" spans="32:44" ht="12">
      <c r="AF856" s="136" t="s">
        <v>17</v>
      </c>
      <c r="AG856" s="136" t="s">
        <v>18</v>
      </c>
      <c r="AH856" s="125" t="s">
        <v>19</v>
      </c>
      <c r="AI856" s="125" t="s">
        <v>20</v>
      </c>
      <c r="AJ856" s="125" t="s">
        <v>21</v>
      </c>
      <c r="AK856" s="125" t="s">
        <v>22</v>
      </c>
      <c r="AL856" s="125" t="s">
        <v>23</v>
      </c>
      <c r="AM856" s="125" t="s">
        <v>24</v>
      </c>
      <c r="AN856" s="125" t="s">
        <v>25</v>
      </c>
      <c r="AO856" s="125" t="s">
        <v>26</v>
      </c>
      <c r="AP856" s="125" t="s">
        <v>27</v>
      </c>
      <c r="AQ856" s="125" t="s">
        <v>28</v>
      </c>
      <c r="AR856" s="125" t="s">
        <v>29</v>
      </c>
    </row>
    <row r="857" spans="35:44" ht="12">
      <c r="AI857" s="125" t="s">
        <v>32</v>
      </c>
      <c r="AJ857" s="125" t="s">
        <v>32</v>
      </c>
      <c r="AK857" s="125" t="s">
        <v>32</v>
      </c>
      <c r="AL857" s="125" t="s">
        <v>32</v>
      </c>
      <c r="AM857" s="125" t="s">
        <v>32</v>
      </c>
      <c r="AN857" s="125" t="s">
        <v>32</v>
      </c>
      <c r="AO857" s="125" t="s">
        <v>32</v>
      </c>
      <c r="AP857" s="125" t="s">
        <v>32</v>
      </c>
      <c r="AQ857" s="125" t="s">
        <v>32</v>
      </c>
      <c r="AR857" s="125" t="s">
        <v>32</v>
      </c>
    </row>
    <row r="858" spans="31:44" ht="12">
      <c r="AE858" s="123">
        <v>1</v>
      </c>
      <c r="AF858" s="123" t="s">
        <v>460</v>
      </c>
      <c r="AI858" s="123">
        <f aca="true" t="shared" si="507" ref="AI858:AR858">AI362</f>
        <v>158276795.77000004</v>
      </c>
      <c r="AJ858" s="123">
        <f t="shared" si="507"/>
        <v>95719078.88000001</v>
      </c>
      <c r="AK858" s="123">
        <f t="shared" si="507"/>
        <v>55598022.08214993</v>
      </c>
      <c r="AL858" s="123">
        <f t="shared" si="507"/>
        <v>234541.3831782505</v>
      </c>
      <c r="AM858" s="123">
        <f t="shared" si="507"/>
        <v>691045.9776032305</v>
      </c>
      <c r="AN858" s="123">
        <f t="shared" si="507"/>
        <v>6034107.4470685925</v>
      </c>
      <c r="AO858" s="123">
        <f t="shared" si="507"/>
        <v>0</v>
      </c>
      <c r="AP858" s="123">
        <f t="shared" si="507"/>
        <v>0</v>
      </c>
      <c r="AQ858" s="123">
        <f t="shared" si="507"/>
        <v>0</v>
      </c>
      <c r="AR858" s="123">
        <f t="shared" si="507"/>
        <v>0</v>
      </c>
    </row>
    <row r="860" spans="31:44" ht="12">
      <c r="AE860" s="123">
        <f>AE858+1</f>
        <v>2</v>
      </c>
      <c r="AF860" s="123" t="s">
        <v>461</v>
      </c>
      <c r="AI860" s="123">
        <f aca="true" t="shared" si="508" ref="AI860:AR860">AI393</f>
        <v>112344668.69</v>
      </c>
      <c r="AJ860" s="123">
        <f t="shared" si="508"/>
        <v>69736011.38</v>
      </c>
      <c r="AK860" s="123">
        <f t="shared" si="508"/>
        <v>41401008.260000005</v>
      </c>
      <c r="AL860" s="123">
        <f t="shared" si="508"/>
        <v>227827.88</v>
      </c>
      <c r="AM860" s="123">
        <f t="shared" si="508"/>
        <v>0</v>
      </c>
      <c r="AN860" s="123">
        <f t="shared" si="508"/>
        <v>979821.17</v>
      </c>
      <c r="AO860" s="123">
        <f t="shared" si="508"/>
        <v>0</v>
      </c>
      <c r="AP860" s="123">
        <f t="shared" si="508"/>
        <v>0</v>
      </c>
      <c r="AQ860" s="123">
        <f t="shared" si="508"/>
        <v>0</v>
      </c>
      <c r="AR860" s="123">
        <f t="shared" si="508"/>
        <v>0</v>
      </c>
    </row>
    <row r="861" spans="31:44" ht="12">
      <c r="AE861" s="123">
        <f aca="true" t="shared" si="509" ref="AE861:AE866">AE860+1</f>
        <v>3</v>
      </c>
      <c r="AF861" s="123" t="s">
        <v>462</v>
      </c>
      <c r="AI861" s="123">
        <f aca="true" t="shared" si="510" ref="AI861:AR861">AI648</f>
        <v>27637623</v>
      </c>
      <c r="AJ861" s="123">
        <f t="shared" si="510"/>
        <v>17676549</v>
      </c>
      <c r="AK861" s="123">
        <f t="shared" si="510"/>
        <v>6142127</v>
      </c>
      <c r="AL861" s="123">
        <f t="shared" si="510"/>
        <v>14146</v>
      </c>
      <c r="AM861" s="123">
        <f t="shared" si="510"/>
        <v>25960</v>
      </c>
      <c r="AN861" s="123">
        <f t="shared" si="510"/>
        <v>3778837</v>
      </c>
      <c r="AO861" s="123">
        <f t="shared" si="510"/>
        <v>0</v>
      </c>
      <c r="AP861" s="123">
        <f t="shared" si="510"/>
        <v>0</v>
      </c>
      <c r="AQ861" s="123">
        <f t="shared" si="510"/>
        <v>0</v>
      </c>
      <c r="AR861" s="123">
        <f t="shared" si="510"/>
        <v>0</v>
      </c>
    </row>
    <row r="862" spans="31:44" ht="12">
      <c r="AE862" s="123">
        <f t="shared" si="509"/>
        <v>4</v>
      </c>
      <c r="AF862" s="123" t="s">
        <v>463</v>
      </c>
      <c r="AI862" s="123">
        <f aca="true" t="shared" si="511" ref="AI862:AR862">AI338</f>
        <v>7396789.9947</v>
      </c>
      <c r="AJ862" s="123">
        <f t="shared" si="511"/>
        <v>4483046</v>
      </c>
      <c r="AK862" s="123">
        <f t="shared" si="511"/>
        <v>1485745</v>
      </c>
      <c r="AL862" s="123">
        <f t="shared" si="511"/>
        <v>4588</v>
      </c>
      <c r="AM862" s="123">
        <f t="shared" si="511"/>
        <v>4805</v>
      </c>
      <c r="AN862" s="123">
        <f t="shared" si="511"/>
        <v>1418606</v>
      </c>
      <c r="AO862" s="123">
        <f t="shared" si="511"/>
        <v>0</v>
      </c>
      <c r="AP862" s="123">
        <f t="shared" si="511"/>
        <v>0</v>
      </c>
      <c r="AQ862" s="123">
        <f t="shared" si="511"/>
        <v>0</v>
      </c>
      <c r="AR862" s="123">
        <f t="shared" si="511"/>
        <v>0</v>
      </c>
    </row>
    <row r="863" spans="31:44" ht="12">
      <c r="AE863" s="123">
        <f t="shared" si="509"/>
        <v>5</v>
      </c>
      <c r="AF863" s="123" t="s">
        <v>464</v>
      </c>
      <c r="AI863" s="123">
        <f aca="true" t="shared" si="512" ref="AI863:AR863">AI797</f>
        <v>1032898.1872618892</v>
      </c>
      <c r="AJ863" s="123">
        <f t="shared" si="512"/>
        <v>-21505</v>
      </c>
      <c r="AK863" s="123">
        <f t="shared" si="512"/>
        <v>1469607</v>
      </c>
      <c r="AL863" s="123">
        <f t="shared" si="512"/>
        <v>-6009</v>
      </c>
      <c r="AM863" s="123">
        <f t="shared" si="512"/>
        <v>210554</v>
      </c>
      <c r="AN863" s="123">
        <f t="shared" si="512"/>
        <v>-619747</v>
      </c>
      <c r="AO863" s="123">
        <f t="shared" si="512"/>
        <v>0</v>
      </c>
      <c r="AP863" s="123">
        <f t="shared" si="512"/>
        <v>0</v>
      </c>
      <c r="AQ863" s="123">
        <f t="shared" si="512"/>
        <v>0</v>
      </c>
      <c r="AR863" s="123">
        <f t="shared" si="512"/>
        <v>0</v>
      </c>
    </row>
    <row r="864" spans="31:44" ht="12">
      <c r="AE864" s="123">
        <f t="shared" si="509"/>
        <v>6</v>
      </c>
      <c r="AF864" s="123" t="s">
        <v>465</v>
      </c>
      <c r="AI864" s="123">
        <f aca="true" t="shared" si="513" ref="AI864:AR864">AI726</f>
        <v>228692.0051180017</v>
      </c>
      <c r="AJ864" s="123">
        <f t="shared" si="513"/>
        <v>16266.528036281074</v>
      </c>
      <c r="AK864" s="123">
        <f t="shared" si="513"/>
        <v>281555.19228938455</v>
      </c>
      <c r="AL864" s="123">
        <f t="shared" si="513"/>
        <v>-1096.1903385415305</v>
      </c>
      <c r="AM864" s="123">
        <f t="shared" si="513"/>
        <v>39270.85518817754</v>
      </c>
      <c r="AN864" s="123">
        <f t="shared" si="513"/>
        <v>-107303.2611540546</v>
      </c>
      <c r="AO864" s="123">
        <f t="shared" si="513"/>
        <v>0</v>
      </c>
      <c r="AP864" s="123">
        <f t="shared" si="513"/>
        <v>0</v>
      </c>
      <c r="AQ864" s="123">
        <f t="shared" si="513"/>
        <v>0</v>
      </c>
      <c r="AR864" s="123">
        <f t="shared" si="513"/>
        <v>0</v>
      </c>
    </row>
    <row r="865" spans="31:44" ht="12">
      <c r="AE865" s="123">
        <f t="shared" si="509"/>
        <v>7</v>
      </c>
      <c r="AF865" s="123" t="s">
        <v>466</v>
      </c>
      <c r="AI865" s="141">
        <f aca="true" t="shared" si="514" ref="AI865:AR865">AI668</f>
        <v>2324860</v>
      </c>
      <c r="AJ865" s="141">
        <f t="shared" si="514"/>
        <v>1346222</v>
      </c>
      <c r="AK865" s="141">
        <f t="shared" si="514"/>
        <v>508798</v>
      </c>
      <c r="AL865" s="141">
        <f t="shared" si="514"/>
        <v>1417</v>
      </c>
      <c r="AM865" s="141">
        <f t="shared" si="514"/>
        <v>1237</v>
      </c>
      <c r="AN865" s="141">
        <f t="shared" si="514"/>
        <v>467187</v>
      </c>
      <c r="AO865" s="141">
        <f t="shared" si="514"/>
        <v>0</v>
      </c>
      <c r="AP865" s="141">
        <f t="shared" si="514"/>
        <v>0</v>
      </c>
      <c r="AQ865" s="141">
        <f t="shared" si="514"/>
        <v>0</v>
      </c>
      <c r="AR865" s="141">
        <f t="shared" si="514"/>
        <v>0</v>
      </c>
    </row>
    <row r="866" spans="31:44" ht="12">
      <c r="AE866" s="123">
        <f t="shared" si="509"/>
        <v>8</v>
      </c>
      <c r="AF866" s="123" t="s">
        <v>467</v>
      </c>
      <c r="AI866" s="123">
        <f aca="true" t="shared" si="515" ref="AI866:AR866">SUM(AI860:AI865)</f>
        <v>150965531.8770799</v>
      </c>
      <c r="AJ866" s="123">
        <f t="shared" si="515"/>
        <v>93236589.90803628</v>
      </c>
      <c r="AK866" s="123">
        <f t="shared" si="515"/>
        <v>51288840.45228939</v>
      </c>
      <c r="AL866" s="123">
        <f t="shared" si="515"/>
        <v>240873.68966145848</v>
      </c>
      <c r="AM866" s="123">
        <f t="shared" si="515"/>
        <v>281826.85518817755</v>
      </c>
      <c r="AN866" s="123">
        <f t="shared" si="515"/>
        <v>5917400.908845945</v>
      </c>
      <c r="AO866" s="123">
        <f t="shared" si="515"/>
        <v>0</v>
      </c>
      <c r="AP866" s="123">
        <f t="shared" si="515"/>
        <v>0</v>
      </c>
      <c r="AQ866" s="123">
        <f t="shared" si="515"/>
        <v>0</v>
      </c>
      <c r="AR866" s="123">
        <f t="shared" si="515"/>
        <v>0</v>
      </c>
    </row>
    <row r="868" spans="31:44" ht="12">
      <c r="AE868" s="123">
        <f>AE866+1</f>
        <v>9</v>
      </c>
      <c r="AF868" s="123" t="s">
        <v>64</v>
      </c>
      <c r="AI868" s="123">
        <f aca="true" t="shared" si="516" ref="AI868:AR868">AI858-AI866</f>
        <v>7311263.892920136</v>
      </c>
      <c r="AJ868" s="123">
        <f t="shared" si="516"/>
        <v>2482488.9719637334</v>
      </c>
      <c r="AK868" s="123">
        <f t="shared" si="516"/>
        <v>4309181.629860543</v>
      </c>
      <c r="AL868" s="123">
        <f t="shared" si="516"/>
        <v>-6332.306483207998</v>
      </c>
      <c r="AM868" s="123">
        <f t="shared" si="516"/>
        <v>409219.12241505296</v>
      </c>
      <c r="AN868" s="123">
        <f t="shared" si="516"/>
        <v>116706.53822264727</v>
      </c>
      <c r="AO868" s="123">
        <f t="shared" si="516"/>
        <v>0</v>
      </c>
      <c r="AP868" s="123">
        <f t="shared" si="516"/>
        <v>0</v>
      </c>
      <c r="AQ868" s="123">
        <f t="shared" si="516"/>
        <v>0</v>
      </c>
      <c r="AR868" s="123">
        <f t="shared" si="516"/>
        <v>0</v>
      </c>
    </row>
    <row r="870" spans="31:44" ht="12">
      <c r="AE870" s="123">
        <f>AE868+1</f>
        <v>10</v>
      </c>
      <c r="AF870" s="123" t="s">
        <v>468</v>
      </c>
      <c r="AI870" s="141">
        <f aca="true" t="shared" si="517" ref="AI870:AR870">AI755</f>
        <v>4663375</v>
      </c>
      <c r="AJ870" s="141">
        <f t="shared" si="517"/>
        <v>2490651</v>
      </c>
      <c r="AK870" s="141">
        <f t="shared" si="517"/>
        <v>1255640</v>
      </c>
      <c r="AL870" s="141">
        <f t="shared" si="517"/>
        <v>4626</v>
      </c>
      <c r="AM870" s="141">
        <f t="shared" si="517"/>
        <v>1742</v>
      </c>
      <c r="AN870" s="141">
        <f t="shared" si="517"/>
        <v>910716</v>
      </c>
      <c r="AO870" s="141">
        <f t="shared" si="517"/>
        <v>0</v>
      </c>
      <c r="AP870" s="141">
        <f t="shared" si="517"/>
        <v>0</v>
      </c>
      <c r="AQ870" s="141">
        <f t="shared" si="517"/>
        <v>0</v>
      </c>
      <c r="AR870" s="141">
        <f t="shared" si="517"/>
        <v>0</v>
      </c>
    </row>
    <row r="872" spans="31:44" ht="12">
      <c r="AE872" s="123">
        <f>AE870+1</f>
        <v>11</v>
      </c>
      <c r="AF872" s="123" t="s">
        <v>469</v>
      </c>
      <c r="AI872" s="123">
        <f aca="true" t="shared" si="518" ref="AI872:AR872">AI868-AI870</f>
        <v>2647888.8929201365</v>
      </c>
      <c r="AJ872" s="123">
        <f t="shared" si="518"/>
        <v>-8162.028036266565</v>
      </c>
      <c r="AK872" s="123">
        <f t="shared" si="518"/>
        <v>3053541.6298605427</v>
      </c>
      <c r="AL872" s="123">
        <f t="shared" si="518"/>
        <v>-10958.306483207998</v>
      </c>
      <c r="AM872" s="123">
        <f t="shared" si="518"/>
        <v>407477.12241505296</v>
      </c>
      <c r="AN872" s="123">
        <f t="shared" si="518"/>
        <v>-794009.4617773527</v>
      </c>
      <c r="AO872" s="123">
        <f t="shared" si="518"/>
        <v>0</v>
      </c>
      <c r="AP872" s="123">
        <f t="shared" si="518"/>
        <v>0</v>
      </c>
      <c r="AQ872" s="123">
        <f t="shared" si="518"/>
        <v>0</v>
      </c>
      <c r="AR872" s="123">
        <f t="shared" si="518"/>
        <v>0</v>
      </c>
    </row>
    <row r="874" spans="31:44" ht="12">
      <c r="AE874" s="123">
        <f>AE872+1</f>
        <v>12</v>
      </c>
      <c r="AF874" s="123" t="s">
        <v>470</v>
      </c>
      <c r="AI874" s="123">
        <f aca="true" t="shared" si="519" ref="AI874:AR874">AI844</f>
        <v>171447601.10000002</v>
      </c>
      <c r="AJ874" s="123">
        <f t="shared" si="519"/>
        <v>91568055</v>
      </c>
      <c r="AK874" s="123">
        <f t="shared" si="519"/>
        <v>46163247</v>
      </c>
      <c r="AL874" s="123">
        <f t="shared" si="519"/>
        <v>170065</v>
      </c>
      <c r="AM874" s="123">
        <f t="shared" si="519"/>
        <v>64039</v>
      </c>
      <c r="AN874" s="123">
        <f t="shared" si="519"/>
        <v>33482198</v>
      </c>
      <c r="AO874" s="123">
        <f t="shared" si="519"/>
        <v>0</v>
      </c>
      <c r="AP874" s="123">
        <f t="shared" si="519"/>
        <v>0</v>
      </c>
      <c r="AQ874" s="123">
        <f t="shared" si="519"/>
        <v>0</v>
      </c>
      <c r="AR874" s="123">
        <f t="shared" si="519"/>
        <v>0</v>
      </c>
    </row>
    <row r="875" spans="31:44" ht="12">
      <c r="AE875" s="123">
        <f>AE874+1</f>
        <v>13</v>
      </c>
      <c r="AF875" s="123" t="s">
        <v>471</v>
      </c>
      <c r="AI875" s="203">
        <f aca="true" t="shared" si="520" ref="AI875:AR875">1-$D$54</f>
        <v>0.5208999999999999</v>
      </c>
      <c r="AJ875" s="203">
        <f t="shared" si="520"/>
        <v>0.5208999999999999</v>
      </c>
      <c r="AK875" s="203">
        <f t="shared" si="520"/>
        <v>0.5208999999999999</v>
      </c>
      <c r="AL875" s="203">
        <f t="shared" si="520"/>
        <v>0.5208999999999999</v>
      </c>
      <c r="AM875" s="203">
        <f t="shared" si="520"/>
        <v>0.5208999999999999</v>
      </c>
      <c r="AN875" s="203">
        <f t="shared" si="520"/>
        <v>0.5208999999999999</v>
      </c>
      <c r="AO875" s="203">
        <f t="shared" si="520"/>
        <v>0.5208999999999999</v>
      </c>
      <c r="AP875" s="203">
        <f t="shared" si="520"/>
        <v>0.5208999999999999</v>
      </c>
      <c r="AQ875" s="203">
        <f t="shared" si="520"/>
        <v>0.5208999999999999</v>
      </c>
      <c r="AR875" s="203">
        <f t="shared" si="520"/>
        <v>0.5208999999999999</v>
      </c>
    </row>
    <row r="876" spans="31:44" ht="12">
      <c r="AE876" s="123">
        <f>AE875+1</f>
        <v>14</v>
      </c>
      <c r="AF876" s="123" t="s">
        <v>472</v>
      </c>
      <c r="AI876" s="123">
        <f aca="true" t="shared" si="521" ref="AI876:AR876">ROUND(AI874*AI875,0)</f>
        <v>89307055</v>
      </c>
      <c r="AJ876" s="123">
        <f t="shared" si="521"/>
        <v>47697800</v>
      </c>
      <c r="AK876" s="123">
        <f t="shared" si="521"/>
        <v>24046435</v>
      </c>
      <c r="AL876" s="123">
        <f t="shared" si="521"/>
        <v>88587</v>
      </c>
      <c r="AM876" s="123">
        <f t="shared" si="521"/>
        <v>33358</v>
      </c>
      <c r="AN876" s="123">
        <f t="shared" si="521"/>
        <v>17440877</v>
      </c>
      <c r="AO876" s="123">
        <f t="shared" si="521"/>
        <v>0</v>
      </c>
      <c r="AP876" s="123">
        <f t="shared" si="521"/>
        <v>0</v>
      </c>
      <c r="AQ876" s="123">
        <f t="shared" si="521"/>
        <v>0</v>
      </c>
      <c r="AR876" s="123">
        <f t="shared" si="521"/>
        <v>0</v>
      </c>
    </row>
    <row r="878" spans="31:44" ht="12">
      <c r="AE878" s="123">
        <f>AE876+1</f>
        <v>15</v>
      </c>
      <c r="AF878" s="123" t="s">
        <v>473</v>
      </c>
      <c r="AI878" s="204">
        <f aca="true" t="shared" si="522" ref="AI878:AP878">IF(AI874=0,0,ROUND(AI868/AI874,4))</f>
        <v>0.0426</v>
      </c>
      <c r="AJ878" s="204">
        <f t="shared" si="522"/>
        <v>0.0271</v>
      </c>
      <c r="AK878" s="204">
        <f t="shared" si="522"/>
        <v>0.0933</v>
      </c>
      <c r="AL878" s="204">
        <f t="shared" si="522"/>
        <v>-0.0372</v>
      </c>
      <c r="AM878" s="205" t="s">
        <v>793</v>
      </c>
      <c r="AN878" s="204">
        <f t="shared" si="522"/>
        <v>0.0035</v>
      </c>
      <c r="AO878" s="204">
        <f t="shared" si="522"/>
        <v>0</v>
      </c>
      <c r="AP878" s="204">
        <f t="shared" si="522"/>
        <v>0</v>
      </c>
      <c r="AQ878" s="204">
        <f>IF(AQ874=0,0,ROUND(AQ868/AQ874,4))</f>
        <v>0</v>
      </c>
      <c r="AR878" s="204">
        <f>IF(AR874=0,0,ROUND(AR868/AR874,4))</f>
        <v>0</v>
      </c>
    </row>
    <row r="879" spans="31:44" ht="12">
      <c r="AE879" s="123">
        <f>AE878+1</f>
        <v>16</v>
      </c>
      <c r="AF879" s="123" t="s">
        <v>474</v>
      </c>
      <c r="AI879" s="160">
        <f aca="true" t="shared" si="523" ref="AI879:AP879">IF(AI876=0,0,ROUND(AI872/AI876,4))</f>
        <v>0.0296</v>
      </c>
      <c r="AJ879" s="160">
        <f t="shared" si="523"/>
        <v>-0.0002</v>
      </c>
      <c r="AK879" s="160">
        <f t="shared" si="523"/>
        <v>0.127</v>
      </c>
      <c r="AL879" s="160">
        <f t="shared" si="523"/>
        <v>-0.1237</v>
      </c>
      <c r="AM879" s="160"/>
      <c r="AN879" s="160">
        <f t="shared" si="523"/>
        <v>-0.0455</v>
      </c>
      <c r="AO879" s="160">
        <f t="shared" si="523"/>
        <v>0</v>
      </c>
      <c r="AP879" s="160">
        <f t="shared" si="523"/>
        <v>0</v>
      </c>
      <c r="AQ879" s="160">
        <f>IF(AQ876=0,0,ROUND(AQ872/AQ876,4))</f>
        <v>0</v>
      </c>
      <c r="AR879" s="160">
        <f>IF(AR876=0,0,ROUND(AR872/AR876,4))</f>
        <v>0</v>
      </c>
    </row>
    <row r="880" spans="31:44" ht="12">
      <c r="AE880" s="123">
        <f>AE879+1</f>
        <v>17</v>
      </c>
      <c r="AF880" s="123" t="s">
        <v>475</v>
      </c>
      <c r="AI880" s="160">
        <f aca="true" t="shared" si="524" ref="AI880:AP880">$D$57</f>
        <v>0.115</v>
      </c>
      <c r="AJ880" s="160">
        <f t="shared" si="524"/>
        <v>0.115</v>
      </c>
      <c r="AK880" s="160">
        <f t="shared" si="524"/>
        <v>0.115</v>
      </c>
      <c r="AL880" s="160">
        <f t="shared" si="524"/>
        <v>0.115</v>
      </c>
      <c r="AM880" s="160"/>
      <c r="AN880" s="160">
        <f t="shared" si="524"/>
        <v>0.115</v>
      </c>
      <c r="AO880" s="160">
        <f t="shared" si="524"/>
        <v>0.115</v>
      </c>
      <c r="AP880" s="160">
        <f t="shared" si="524"/>
        <v>0.115</v>
      </c>
      <c r="AQ880" s="160">
        <f>$D$57</f>
        <v>0.115</v>
      </c>
      <c r="AR880" s="160">
        <f>$D$57</f>
        <v>0.115</v>
      </c>
    </row>
    <row r="881" spans="31:44" ht="12">
      <c r="AE881" s="123">
        <f>AE880+1</f>
        <v>18</v>
      </c>
      <c r="AF881" s="123" t="s">
        <v>476</v>
      </c>
      <c r="AI881" s="139">
        <v>1</v>
      </c>
      <c r="AJ881" s="139">
        <f aca="true" t="shared" si="525" ref="AJ881:AP881">ROUND(AJ878/$AI$878,2)</f>
        <v>0.64</v>
      </c>
      <c r="AK881" s="139">
        <f t="shared" si="525"/>
        <v>2.19</v>
      </c>
      <c r="AL881" s="139">
        <f t="shared" si="525"/>
        <v>-0.87</v>
      </c>
      <c r="AM881" s="139"/>
      <c r="AN881" s="139">
        <f t="shared" si="525"/>
        <v>0.08</v>
      </c>
      <c r="AO881" s="139">
        <f t="shared" si="525"/>
        <v>0</v>
      </c>
      <c r="AP881" s="139">
        <f t="shared" si="525"/>
        <v>0</v>
      </c>
      <c r="AQ881" s="139">
        <f>ROUND(AQ878/$AI$878,2)</f>
        <v>0</v>
      </c>
      <c r="AR881" s="139">
        <f>ROUND(AR878/$AI$878,2)</f>
        <v>0</v>
      </c>
    </row>
    <row r="883" ht="12">
      <c r="AE883" s="123" t="s">
        <v>477</v>
      </c>
    </row>
    <row r="884" ht="12">
      <c r="AG884" s="123" t="s">
        <v>774</v>
      </c>
    </row>
    <row r="885" spans="33:35" ht="12">
      <c r="AG885" s="124"/>
      <c r="AI885" s="126"/>
    </row>
    <row r="889" spans="37:43" ht="12">
      <c r="AK889" s="125" t="str">
        <f>""&amp;+$B$24</f>
        <v>COLUMBIA GAS OF KENTUCKY, INC.</v>
      </c>
      <c r="AQ889" s="123" t="str">
        <f>$B$25</f>
        <v>D/C STUDY</v>
      </c>
    </row>
    <row r="890" spans="31:43" ht="12">
      <c r="AE890" s="123" t="str">
        <f>$B$30</f>
        <v>DEMAND-COMMODITY</v>
      </c>
      <c r="AK890" s="125" t="s">
        <v>770</v>
      </c>
      <c r="AQ890" s="123" t="str">
        <f>"PAGE 1 OF "&amp;FIXED($B$31,0,TRUE)</f>
        <v>PAGE 1 OF 28</v>
      </c>
    </row>
    <row r="891" spans="31:44" ht="12">
      <c r="AE891" s="128" t="str">
        <f>$B$29</f>
        <v>HISTORIC PERIOD - ORIGINAL FILING</v>
      </c>
      <c r="AF891" s="128"/>
      <c r="AG891" s="128"/>
      <c r="AH891" s="129"/>
      <c r="AI891" s="128"/>
      <c r="AJ891" s="129"/>
      <c r="AK891" s="130" t="str">
        <f>"FOR THE TWELVE MONTHS ENDED "&amp;$B$27</f>
        <v>FOR THE TWELVE MONTHS ENDED 09/30/2006</v>
      </c>
      <c r="AL891" s="128"/>
      <c r="AM891" s="128"/>
      <c r="AN891" s="128"/>
      <c r="AO891" s="128"/>
      <c r="AP891" s="128"/>
      <c r="AQ891" s="128" t="str">
        <f>"WITNESS: "&amp;$B$28</f>
        <v>WITNESS: R. GIBBONS</v>
      </c>
      <c r="AR891" s="131"/>
    </row>
    <row r="892" spans="31:35" ht="12">
      <c r="AE892" s="125" t="s">
        <v>9</v>
      </c>
      <c r="AF892" s="123" t="s">
        <v>10</v>
      </c>
      <c r="AH892" s="125" t="s">
        <v>11</v>
      </c>
      <c r="AI892" s="125" t="s">
        <v>12</v>
      </c>
    </row>
    <row r="893" spans="31:44" ht="12">
      <c r="AE893" s="133" t="s">
        <v>13</v>
      </c>
      <c r="AF893" s="133" t="s">
        <v>13</v>
      </c>
      <c r="AG893" s="133" t="str">
        <f>"                        ACCOUNT TITLE                "</f>
        <v>                        ACCOUNT TITLE                </v>
      </c>
      <c r="AH893" s="133" t="s">
        <v>14</v>
      </c>
      <c r="AI893" s="133" t="s">
        <v>15</v>
      </c>
      <c r="AJ893" s="133" t="str">
        <f>"  "&amp;+$C$35</f>
        <v>  GS-RES.</v>
      </c>
      <c r="AK893" s="133" t="str">
        <f>$C$36</f>
        <v>GS-OTHER</v>
      </c>
      <c r="AL893" s="133" t="str">
        <f>$C$37</f>
        <v>IUS</v>
      </c>
      <c r="AM893" s="133" t="str">
        <f>$C$38</f>
        <v>DS-ML/SC</v>
      </c>
      <c r="AN893" s="133" t="str">
        <f>$C$39</f>
        <v>DS/IS/SS</v>
      </c>
      <c r="AO893" s="133" t="str">
        <f>$C$40</f>
        <v>NOT USED</v>
      </c>
      <c r="AP893" s="133" t="str">
        <f>$C$41</f>
        <v>NOT USED</v>
      </c>
      <c r="AQ893" s="133" t="str">
        <f>$C$42</f>
        <v>NOT USED</v>
      </c>
      <c r="AR893" s="133" t="str">
        <f>$C$43</f>
        <v>NOT USED</v>
      </c>
    </row>
    <row r="894" spans="32:44" ht="12">
      <c r="AF894" s="136" t="s">
        <v>17</v>
      </c>
      <c r="AG894" s="136" t="s">
        <v>18</v>
      </c>
      <c r="AH894" s="125" t="s">
        <v>19</v>
      </c>
      <c r="AI894" s="125" t="s">
        <v>20</v>
      </c>
      <c r="AJ894" s="125" t="s">
        <v>21</v>
      </c>
      <c r="AK894" s="125" t="s">
        <v>22</v>
      </c>
      <c r="AL894" s="125" t="s">
        <v>23</v>
      </c>
      <c r="AM894" s="125" t="s">
        <v>24</v>
      </c>
      <c r="AN894" s="125" t="s">
        <v>25</v>
      </c>
      <c r="AO894" s="125" t="s">
        <v>26</v>
      </c>
      <c r="AP894" s="125" t="s">
        <v>27</v>
      </c>
      <c r="AQ894" s="125" t="s">
        <v>28</v>
      </c>
      <c r="AR894" s="125" t="s">
        <v>29</v>
      </c>
    </row>
    <row r="895" spans="35:44" ht="12">
      <c r="AI895" s="125" t="s">
        <v>32</v>
      </c>
      <c r="AJ895" s="125" t="s">
        <v>32</v>
      </c>
      <c r="AK895" s="125" t="s">
        <v>32</v>
      </c>
      <c r="AL895" s="125" t="s">
        <v>32</v>
      </c>
      <c r="AM895" s="125" t="s">
        <v>32</v>
      </c>
      <c r="AN895" s="125" t="s">
        <v>32</v>
      </c>
      <c r="AO895" s="125" t="s">
        <v>32</v>
      </c>
      <c r="AP895" s="125" t="s">
        <v>32</v>
      </c>
      <c r="AQ895" s="125" t="s">
        <v>32</v>
      </c>
      <c r="AR895" s="125" t="s">
        <v>32</v>
      </c>
    </row>
    <row r="896" spans="31:44" ht="12">
      <c r="AE896" s="123">
        <v>1</v>
      </c>
      <c r="AF896" s="123" t="s">
        <v>478</v>
      </c>
      <c r="AI896" s="123">
        <f>SUM(AJ896:AR896)</f>
        <v>170922287.10999998</v>
      </c>
      <c r="AJ896" s="123">
        <f aca="true" t="shared" si="526" ref="AJ896:AO896">SUM(E539:E545)</f>
        <v>106448472.51999998</v>
      </c>
      <c r="AK896" s="123">
        <f t="shared" si="526"/>
        <v>56984307.72214993</v>
      </c>
      <c r="AL896" s="123">
        <f t="shared" si="526"/>
        <v>246943.25317825048</v>
      </c>
      <c r="AM896" s="123">
        <f t="shared" si="526"/>
        <v>738198.4476032306</v>
      </c>
      <c r="AN896" s="123">
        <f t="shared" si="526"/>
        <v>6504365.167068592</v>
      </c>
      <c r="AO896" s="123">
        <f t="shared" si="526"/>
        <v>0</v>
      </c>
      <c r="AP896" s="123">
        <f>SUM(K539:K544)</f>
        <v>0</v>
      </c>
      <c r="AQ896" s="123">
        <f>SUM(L539:L544)</f>
        <v>0</v>
      </c>
      <c r="AR896" s="123">
        <f>SUM(M539:M544)</f>
        <v>0</v>
      </c>
    </row>
    <row r="898" spans="31:44" ht="12">
      <c r="AE898" s="123">
        <f>AE895+1</f>
        <v>1</v>
      </c>
      <c r="AF898" s="123" t="s">
        <v>461</v>
      </c>
      <c r="AI898" s="123">
        <f aca="true" t="shared" si="527" ref="AI898:AR898">AI860+U11</f>
        <v>112344668.69</v>
      </c>
      <c r="AJ898" s="123">
        <f t="shared" si="527"/>
        <v>69736011.38</v>
      </c>
      <c r="AK898" s="123">
        <f t="shared" si="527"/>
        <v>41401008.260000005</v>
      </c>
      <c r="AL898" s="123">
        <f t="shared" si="527"/>
        <v>227827.88</v>
      </c>
      <c r="AM898" s="123">
        <f t="shared" si="527"/>
        <v>0</v>
      </c>
      <c r="AN898" s="123">
        <f t="shared" si="527"/>
        <v>979821.17</v>
      </c>
      <c r="AO898" s="123">
        <f t="shared" si="527"/>
        <v>0</v>
      </c>
      <c r="AP898" s="123">
        <f t="shared" si="527"/>
        <v>0</v>
      </c>
      <c r="AQ898" s="123">
        <f t="shared" si="527"/>
        <v>0</v>
      </c>
      <c r="AR898" s="123">
        <f t="shared" si="527"/>
        <v>0</v>
      </c>
    </row>
    <row r="899" spans="31:44" ht="12">
      <c r="AE899" s="123">
        <f>AE896+1</f>
        <v>2</v>
      </c>
      <c r="AF899" s="123" t="s">
        <v>479</v>
      </c>
      <c r="AI899" s="123">
        <f>SUM(AJ899:AR899)</f>
        <v>27808802</v>
      </c>
      <c r="AJ899" s="123">
        <f aca="true" t="shared" si="528" ref="AJ899:AR899">AJ861+V13+V15</f>
        <v>17821794</v>
      </c>
      <c r="AK899" s="123">
        <f t="shared" si="528"/>
        <v>6160893</v>
      </c>
      <c r="AL899" s="123">
        <f t="shared" si="528"/>
        <v>14314</v>
      </c>
      <c r="AM899" s="123">
        <f t="shared" si="528"/>
        <v>26598</v>
      </c>
      <c r="AN899" s="123">
        <f t="shared" si="528"/>
        <v>3785203</v>
      </c>
      <c r="AO899" s="123">
        <f t="shared" si="528"/>
        <v>0</v>
      </c>
      <c r="AP899" s="123">
        <f t="shared" si="528"/>
        <v>0</v>
      </c>
      <c r="AQ899" s="123">
        <f t="shared" si="528"/>
        <v>0</v>
      </c>
      <c r="AR899" s="123">
        <f t="shared" si="528"/>
        <v>0</v>
      </c>
    </row>
    <row r="900" spans="31:44" ht="12">
      <c r="AE900" s="123">
        <f>AE899+1</f>
        <v>3</v>
      </c>
      <c r="AF900" s="123" t="s">
        <v>480</v>
      </c>
      <c r="AI900" s="123">
        <f aca="true" t="shared" si="529" ref="AI900:AR900">AI862</f>
        <v>7396789.9947</v>
      </c>
      <c r="AJ900" s="123">
        <f t="shared" si="529"/>
        <v>4483046</v>
      </c>
      <c r="AK900" s="123">
        <f t="shared" si="529"/>
        <v>1485745</v>
      </c>
      <c r="AL900" s="123">
        <f t="shared" si="529"/>
        <v>4588</v>
      </c>
      <c r="AM900" s="123">
        <f t="shared" si="529"/>
        <v>4805</v>
      </c>
      <c r="AN900" s="123">
        <f t="shared" si="529"/>
        <v>1418606</v>
      </c>
      <c r="AO900" s="123">
        <f t="shared" si="529"/>
        <v>0</v>
      </c>
      <c r="AP900" s="123">
        <f t="shared" si="529"/>
        <v>0</v>
      </c>
      <c r="AQ900" s="123">
        <f t="shared" si="529"/>
        <v>0</v>
      </c>
      <c r="AR900" s="123">
        <f t="shared" si="529"/>
        <v>0</v>
      </c>
    </row>
    <row r="901" spans="31:44" ht="12">
      <c r="AE901" s="123">
        <f>AE900+1</f>
        <v>4</v>
      </c>
      <c r="AF901" s="123" t="s">
        <v>481</v>
      </c>
      <c r="AI901" s="123">
        <f>SUM(AJ901:AR901)</f>
        <v>5136947</v>
      </c>
      <c r="AJ901" s="123">
        <f aca="true" t="shared" si="530" ref="AJ901:AR901">AJ863+V23</f>
        <v>3460680</v>
      </c>
      <c r="AK901" s="123">
        <f t="shared" si="530"/>
        <v>1919521</v>
      </c>
      <c r="AL901" s="123">
        <f t="shared" si="530"/>
        <v>-1984</v>
      </c>
      <c r="AM901" s="123">
        <f t="shared" si="530"/>
        <v>225857</v>
      </c>
      <c r="AN901" s="123">
        <f t="shared" si="530"/>
        <v>-467127</v>
      </c>
      <c r="AO901" s="123">
        <f t="shared" si="530"/>
        <v>0</v>
      </c>
      <c r="AP901" s="123">
        <f t="shared" si="530"/>
        <v>0</v>
      </c>
      <c r="AQ901" s="123">
        <f t="shared" si="530"/>
        <v>0</v>
      </c>
      <c r="AR901" s="123">
        <f t="shared" si="530"/>
        <v>0</v>
      </c>
    </row>
    <row r="902" spans="31:44" ht="12">
      <c r="AE902" s="123">
        <f>AE901+1</f>
        <v>5</v>
      </c>
      <c r="AF902" s="123" t="s">
        <v>482</v>
      </c>
      <c r="AI902" s="123">
        <f>SUM(AJ902:AR902)</f>
        <v>977152.124021247</v>
      </c>
      <c r="AJ902" s="123">
        <f aca="true" t="shared" si="531" ref="AJ902:AR902">AJ864+V19</f>
        <v>651315.5280362811</v>
      </c>
      <c r="AK902" s="123">
        <f t="shared" si="531"/>
        <v>363606.19228938455</v>
      </c>
      <c r="AL902" s="123">
        <f t="shared" si="531"/>
        <v>-362.19033854153054</v>
      </c>
      <c r="AM902" s="123">
        <f t="shared" si="531"/>
        <v>42061.85518817754</v>
      </c>
      <c r="AN902" s="123">
        <f t="shared" si="531"/>
        <v>-79469.2611540546</v>
      </c>
      <c r="AO902" s="123">
        <f t="shared" si="531"/>
        <v>0</v>
      </c>
      <c r="AP902" s="123">
        <f t="shared" si="531"/>
        <v>0</v>
      </c>
      <c r="AQ902" s="123">
        <f t="shared" si="531"/>
        <v>0</v>
      </c>
      <c r="AR902" s="123">
        <f t="shared" si="531"/>
        <v>0</v>
      </c>
    </row>
    <row r="903" spans="31:44" ht="12">
      <c r="AE903" s="123">
        <f>AE902+1</f>
        <v>6</v>
      </c>
      <c r="AF903" s="123" t="s">
        <v>483</v>
      </c>
      <c r="AI903" s="141">
        <f>SUM(AJ903:AR903)</f>
        <v>2324861</v>
      </c>
      <c r="AJ903" s="141">
        <f aca="true" t="shared" si="532" ref="AJ903:AR903">AJ865</f>
        <v>1346222</v>
      </c>
      <c r="AK903" s="141">
        <f t="shared" si="532"/>
        <v>508798</v>
      </c>
      <c r="AL903" s="141">
        <f t="shared" si="532"/>
        <v>1417</v>
      </c>
      <c r="AM903" s="141">
        <f t="shared" si="532"/>
        <v>1237</v>
      </c>
      <c r="AN903" s="141">
        <f t="shared" si="532"/>
        <v>467187</v>
      </c>
      <c r="AO903" s="141">
        <f t="shared" si="532"/>
        <v>0</v>
      </c>
      <c r="AP903" s="141">
        <f t="shared" si="532"/>
        <v>0</v>
      </c>
      <c r="AQ903" s="141">
        <f t="shared" si="532"/>
        <v>0</v>
      </c>
      <c r="AR903" s="141">
        <f t="shared" si="532"/>
        <v>0</v>
      </c>
    </row>
    <row r="904" spans="31:44" ht="12">
      <c r="AE904" s="123">
        <f>AE903+1</f>
        <v>7</v>
      </c>
      <c r="AF904" s="123" t="s">
        <v>467</v>
      </c>
      <c r="AI904" s="123">
        <f aca="true" t="shared" si="533" ref="AI904:AR904">SUM(AI898:AI903)</f>
        <v>155989220.80872124</v>
      </c>
      <c r="AJ904" s="123">
        <f t="shared" si="533"/>
        <v>97499068.90803628</v>
      </c>
      <c r="AK904" s="123">
        <f t="shared" si="533"/>
        <v>51839571.45228939</v>
      </c>
      <c r="AL904" s="123">
        <f t="shared" si="533"/>
        <v>245800.68966145848</v>
      </c>
      <c r="AM904" s="123">
        <f t="shared" si="533"/>
        <v>300558.85518817755</v>
      </c>
      <c r="AN904" s="123">
        <f t="shared" si="533"/>
        <v>6104220.908845945</v>
      </c>
      <c r="AO904" s="123">
        <f t="shared" si="533"/>
        <v>0</v>
      </c>
      <c r="AP904" s="123">
        <f t="shared" si="533"/>
        <v>0</v>
      </c>
      <c r="AQ904" s="123">
        <f t="shared" si="533"/>
        <v>0</v>
      </c>
      <c r="AR904" s="123">
        <f t="shared" si="533"/>
        <v>0</v>
      </c>
    </row>
    <row r="906" spans="31:44" ht="12">
      <c r="AE906" s="123">
        <f>AE904+1</f>
        <v>8</v>
      </c>
      <c r="AF906" s="123" t="s">
        <v>64</v>
      </c>
      <c r="AI906" s="123">
        <f aca="true" t="shared" si="534" ref="AI906:AR906">AI896-AI904</f>
        <v>14933066.30127874</v>
      </c>
      <c r="AJ906" s="123">
        <f t="shared" si="534"/>
        <v>8949403.611963704</v>
      </c>
      <c r="AK906" s="123">
        <f t="shared" si="534"/>
        <v>5144736.269860543</v>
      </c>
      <c r="AL906" s="123">
        <f t="shared" si="534"/>
        <v>1142.5635167919972</v>
      </c>
      <c r="AM906" s="123">
        <f t="shared" si="534"/>
        <v>437639.59241505305</v>
      </c>
      <c r="AN906" s="123">
        <f t="shared" si="534"/>
        <v>400144.258222647</v>
      </c>
      <c r="AO906" s="123">
        <f t="shared" si="534"/>
        <v>0</v>
      </c>
      <c r="AP906" s="123">
        <f t="shared" si="534"/>
        <v>0</v>
      </c>
      <c r="AQ906" s="123">
        <f t="shared" si="534"/>
        <v>0</v>
      </c>
      <c r="AR906" s="123">
        <f t="shared" si="534"/>
        <v>0</v>
      </c>
    </row>
    <row r="908" spans="31:44" ht="12">
      <c r="AE908" s="123">
        <f>AE906+1</f>
        <v>9</v>
      </c>
      <c r="AF908" s="123" t="s">
        <v>484</v>
      </c>
      <c r="AI908" s="141">
        <f>SUM(AJ908:AR908)</f>
        <v>4663375</v>
      </c>
      <c r="AJ908" s="141">
        <f aca="true" t="shared" si="535" ref="AJ908:AR908">AJ870</f>
        <v>2490651</v>
      </c>
      <c r="AK908" s="141">
        <f t="shared" si="535"/>
        <v>1255640</v>
      </c>
      <c r="AL908" s="141">
        <f t="shared" si="535"/>
        <v>4626</v>
      </c>
      <c r="AM908" s="141">
        <f t="shared" si="535"/>
        <v>1742</v>
      </c>
      <c r="AN908" s="141">
        <f t="shared" si="535"/>
        <v>910716</v>
      </c>
      <c r="AO908" s="141">
        <f t="shared" si="535"/>
        <v>0</v>
      </c>
      <c r="AP908" s="141">
        <f t="shared" si="535"/>
        <v>0</v>
      </c>
      <c r="AQ908" s="141">
        <f t="shared" si="535"/>
        <v>0</v>
      </c>
      <c r="AR908" s="141">
        <f t="shared" si="535"/>
        <v>0</v>
      </c>
    </row>
    <row r="909" spans="31:44" ht="12">
      <c r="AE909" s="123">
        <f>AE908+1</f>
        <v>10</v>
      </c>
      <c r="AF909" s="123" t="s">
        <v>469</v>
      </c>
      <c r="AI909" s="123">
        <f aca="true" t="shared" si="536" ref="AI909:AR909">AI906-AI908</f>
        <v>10269691.30127874</v>
      </c>
      <c r="AJ909" s="123">
        <f t="shared" si="536"/>
        <v>6458752.611963704</v>
      </c>
      <c r="AK909" s="123">
        <f t="shared" si="536"/>
        <v>3889096.2698605433</v>
      </c>
      <c r="AL909" s="123">
        <f t="shared" si="536"/>
        <v>-3483.4364832080028</v>
      </c>
      <c r="AM909" s="123">
        <f t="shared" si="536"/>
        <v>435897.59241505305</v>
      </c>
      <c r="AN909" s="123">
        <f t="shared" si="536"/>
        <v>-510571.741777353</v>
      </c>
      <c r="AO909" s="123">
        <f t="shared" si="536"/>
        <v>0</v>
      </c>
      <c r="AP909" s="123">
        <f t="shared" si="536"/>
        <v>0</v>
      </c>
      <c r="AQ909" s="123">
        <f t="shared" si="536"/>
        <v>0</v>
      </c>
      <c r="AR909" s="123">
        <f t="shared" si="536"/>
        <v>0</v>
      </c>
    </row>
    <row r="911" spans="31:44" ht="12">
      <c r="AE911" s="123">
        <f>AE909+1</f>
        <v>11</v>
      </c>
      <c r="AF911" s="123" t="s">
        <v>485</v>
      </c>
      <c r="AI911" s="123">
        <f aca="true" t="shared" si="537" ref="AI911:AR911">AI874</f>
        <v>171447601.10000002</v>
      </c>
      <c r="AJ911" s="123">
        <f t="shared" si="537"/>
        <v>91568055</v>
      </c>
      <c r="AK911" s="123">
        <f t="shared" si="537"/>
        <v>46163247</v>
      </c>
      <c r="AL911" s="123">
        <f t="shared" si="537"/>
        <v>170065</v>
      </c>
      <c r="AM911" s="123">
        <f t="shared" si="537"/>
        <v>64039</v>
      </c>
      <c r="AN911" s="123">
        <f t="shared" si="537"/>
        <v>33482198</v>
      </c>
      <c r="AO911" s="123">
        <f t="shared" si="537"/>
        <v>0</v>
      </c>
      <c r="AP911" s="123">
        <f t="shared" si="537"/>
        <v>0</v>
      </c>
      <c r="AQ911" s="123">
        <f t="shared" si="537"/>
        <v>0</v>
      </c>
      <c r="AR911" s="123">
        <f t="shared" si="537"/>
        <v>0</v>
      </c>
    </row>
    <row r="912" spans="31:44" ht="12">
      <c r="AE912" s="123">
        <f>AE911+1</f>
        <v>12</v>
      </c>
      <c r="AF912" s="123" t="s">
        <v>471</v>
      </c>
      <c r="AI912" s="203">
        <f aca="true" t="shared" si="538" ref="AI912:AR912">1-$D$54</f>
        <v>0.5208999999999999</v>
      </c>
      <c r="AJ912" s="203">
        <f t="shared" si="538"/>
        <v>0.5208999999999999</v>
      </c>
      <c r="AK912" s="203">
        <f t="shared" si="538"/>
        <v>0.5208999999999999</v>
      </c>
      <c r="AL912" s="203">
        <f t="shared" si="538"/>
        <v>0.5208999999999999</v>
      </c>
      <c r="AM912" s="203">
        <f t="shared" si="538"/>
        <v>0.5208999999999999</v>
      </c>
      <c r="AN912" s="203">
        <f t="shared" si="538"/>
        <v>0.5208999999999999</v>
      </c>
      <c r="AO912" s="203">
        <f t="shared" si="538"/>
        <v>0.5208999999999999</v>
      </c>
      <c r="AP912" s="203">
        <f t="shared" si="538"/>
        <v>0.5208999999999999</v>
      </c>
      <c r="AQ912" s="203">
        <f t="shared" si="538"/>
        <v>0.5208999999999999</v>
      </c>
      <c r="AR912" s="203">
        <f t="shared" si="538"/>
        <v>0.5208999999999999</v>
      </c>
    </row>
    <row r="913" spans="31:44" ht="12">
      <c r="AE913" s="123">
        <f>AE912+1</f>
        <v>13</v>
      </c>
      <c r="AF913" s="123" t="s">
        <v>472</v>
      </c>
      <c r="AI913" s="123">
        <f aca="true" t="shared" si="539" ref="AI913:AR913">ROUND(AI911*AI912,0)</f>
        <v>89307055</v>
      </c>
      <c r="AJ913" s="123">
        <f t="shared" si="539"/>
        <v>47697800</v>
      </c>
      <c r="AK913" s="123">
        <f t="shared" si="539"/>
        <v>24046435</v>
      </c>
      <c r="AL913" s="123">
        <f t="shared" si="539"/>
        <v>88587</v>
      </c>
      <c r="AM913" s="123">
        <f t="shared" si="539"/>
        <v>33358</v>
      </c>
      <c r="AN913" s="123">
        <f t="shared" si="539"/>
        <v>17440877</v>
      </c>
      <c r="AO913" s="123">
        <f t="shared" si="539"/>
        <v>0</v>
      </c>
      <c r="AP913" s="123">
        <f t="shared" si="539"/>
        <v>0</v>
      </c>
      <c r="AQ913" s="123">
        <f t="shared" si="539"/>
        <v>0</v>
      </c>
      <c r="AR913" s="123">
        <f t="shared" si="539"/>
        <v>0</v>
      </c>
    </row>
    <row r="915" spans="31:45" ht="12">
      <c r="AE915" s="123">
        <f>AE913+1</f>
        <v>14</v>
      </c>
      <c r="AF915" s="123" t="s">
        <v>486</v>
      </c>
      <c r="AI915" s="204">
        <f aca="true" t="shared" si="540" ref="AI915:AP915">IF(AI911=0,0,ROUND(AI906/AI911,4))</f>
        <v>0.0871</v>
      </c>
      <c r="AJ915" s="204">
        <f t="shared" si="540"/>
        <v>0.0977</v>
      </c>
      <c r="AK915" s="204">
        <f t="shared" si="540"/>
        <v>0.1114</v>
      </c>
      <c r="AL915" s="204">
        <f t="shared" si="540"/>
        <v>0.0067</v>
      </c>
      <c r="AM915" s="205" t="s">
        <v>672</v>
      </c>
      <c r="AN915" s="204">
        <f t="shared" si="540"/>
        <v>0.012</v>
      </c>
      <c r="AO915" s="204">
        <f t="shared" si="540"/>
        <v>0</v>
      </c>
      <c r="AP915" s="204">
        <f t="shared" si="540"/>
        <v>0</v>
      </c>
      <c r="AQ915" s="204">
        <f>IF(AQ911=0,0,ROUND(AQ906/AQ911,4))</f>
        <v>0</v>
      </c>
      <c r="AR915" s="204">
        <f>IF(AR911=0,0,ROUND(AR906/AR911,4))</f>
        <v>0</v>
      </c>
      <c r="AS915" s="206"/>
    </row>
    <row r="916" spans="31:44" ht="12">
      <c r="AE916" s="123">
        <f>AE915+1</f>
        <v>15</v>
      </c>
      <c r="AF916" s="123" t="s">
        <v>474</v>
      </c>
      <c r="AI916" s="160">
        <f aca="true" t="shared" si="541" ref="AI916:AR916">IF(AI913=0,0,ROUND(AI909/AI913,4))</f>
        <v>0.115</v>
      </c>
      <c r="AJ916" s="160">
        <f t="shared" si="541"/>
        <v>0.1354</v>
      </c>
      <c r="AK916" s="160">
        <f t="shared" si="541"/>
        <v>0.1617</v>
      </c>
      <c r="AL916" s="160">
        <f t="shared" si="541"/>
        <v>-0.0393</v>
      </c>
      <c r="AM916" s="160"/>
      <c r="AN916" s="160">
        <f t="shared" si="541"/>
        <v>-0.0293</v>
      </c>
      <c r="AO916" s="160">
        <f t="shared" si="541"/>
        <v>0</v>
      </c>
      <c r="AP916" s="160">
        <f t="shared" si="541"/>
        <v>0</v>
      </c>
      <c r="AQ916" s="160">
        <f t="shared" si="541"/>
        <v>0</v>
      </c>
      <c r="AR916" s="160">
        <f t="shared" si="541"/>
        <v>0</v>
      </c>
    </row>
    <row r="917" spans="31:44" ht="12">
      <c r="AE917" s="123">
        <f>AE916+1</f>
        <v>16</v>
      </c>
      <c r="AF917" s="123" t="s">
        <v>475</v>
      </c>
      <c r="AI917" s="160">
        <f aca="true" t="shared" si="542" ref="AI917:AP917">$D$57</f>
        <v>0.115</v>
      </c>
      <c r="AJ917" s="160">
        <f t="shared" si="542"/>
        <v>0.115</v>
      </c>
      <c r="AK917" s="160">
        <f t="shared" si="542"/>
        <v>0.115</v>
      </c>
      <c r="AL917" s="160">
        <f t="shared" si="542"/>
        <v>0.115</v>
      </c>
      <c r="AM917" s="160"/>
      <c r="AN917" s="160">
        <f t="shared" si="542"/>
        <v>0.115</v>
      </c>
      <c r="AO917" s="160">
        <f t="shared" si="542"/>
        <v>0.115</v>
      </c>
      <c r="AP917" s="160">
        <f t="shared" si="542"/>
        <v>0.115</v>
      </c>
      <c r="AQ917" s="160">
        <f>$D$57</f>
        <v>0.115</v>
      </c>
      <c r="AR917" s="160">
        <f>$D$57</f>
        <v>0.115</v>
      </c>
    </row>
    <row r="918" spans="31:44" ht="12">
      <c r="AE918" s="123">
        <f>AE917+1</f>
        <v>17</v>
      </c>
      <c r="AF918" s="123" t="s">
        <v>476</v>
      </c>
      <c r="AI918" s="139">
        <v>1</v>
      </c>
      <c r="AJ918" s="139">
        <f>ROUND(AJ915/$AI$915,2)</f>
        <v>1.12</v>
      </c>
      <c r="AK918" s="139">
        <f>ROUND(AK915/$AI$915,2)</f>
        <v>1.28</v>
      </c>
      <c r="AL918" s="139">
        <f>ROUND(AL915/$AI$915,2)</f>
        <v>0.08</v>
      </c>
      <c r="AM918" s="139"/>
      <c r="AN918" s="139">
        <f>ROUND(AN915/$AI$915,2)</f>
        <v>0.14</v>
      </c>
      <c r="AO918" s="139">
        <f>ROUND(AO915/$AI$878,2)</f>
        <v>0</v>
      </c>
      <c r="AP918" s="139">
        <f>ROUND(AP915/$AI$878,2)</f>
        <v>0</v>
      </c>
      <c r="AQ918" s="139">
        <f>ROUND(AQ915/$AI$878,2)</f>
        <v>0</v>
      </c>
      <c r="AR918" s="139">
        <f>ROUND(AR915/$AI$878,2)</f>
        <v>0</v>
      </c>
    </row>
    <row r="919" spans="35:44" ht="12">
      <c r="AI919" s="139"/>
      <c r="AJ919" s="139"/>
      <c r="AK919" s="139"/>
      <c r="AL919" s="139"/>
      <c r="AM919" s="139"/>
      <c r="AN919" s="139"/>
      <c r="AO919" s="139"/>
      <c r="AP919" s="139"/>
      <c r="AQ919" s="139"/>
      <c r="AR919" s="139"/>
    </row>
    <row r="920" ht="12">
      <c r="AE920" s="123" t="s">
        <v>773</v>
      </c>
    </row>
    <row r="921" spans="33:43" ht="12">
      <c r="AG921" s="124"/>
      <c r="AI921" s="126"/>
      <c r="AK921" s="125" t="str">
        <f>""&amp;+$B$24</f>
        <v>COLUMBIA GAS OF KENTUCKY, INC.</v>
      </c>
      <c r="AQ921" s="123" t="str">
        <f>$B$25</f>
        <v>D/C STUDY</v>
      </c>
    </row>
    <row r="922" spans="31:43" ht="12">
      <c r="AE922" s="123" t="str">
        <f>$B$30</f>
        <v>DEMAND-COMMODITY</v>
      </c>
      <c r="AK922" s="125" t="s">
        <v>790</v>
      </c>
      <c r="AQ922" s="123" t="str">
        <f>"PAGE 27 OF "&amp;FIXED($B$31,0,TRUE)</f>
        <v>PAGE 27 OF 28</v>
      </c>
    </row>
    <row r="923" spans="31:44" ht="12">
      <c r="AE923" s="128" t="str">
        <f>$B$29</f>
        <v>HISTORIC PERIOD - ORIGINAL FILING</v>
      </c>
      <c r="AF923" s="128"/>
      <c r="AG923" s="128"/>
      <c r="AH923" s="129"/>
      <c r="AI923" s="128"/>
      <c r="AJ923" s="128"/>
      <c r="AK923" s="130" t="str">
        <f>"FOR THE TWELVE MONTHS ENDED "&amp;$B$27</f>
        <v>FOR THE TWELVE MONTHS ENDED 09/30/2006</v>
      </c>
      <c r="AL923" s="128"/>
      <c r="AM923" s="128"/>
      <c r="AN923" s="128"/>
      <c r="AO923" s="128"/>
      <c r="AP923" s="128"/>
      <c r="AQ923" s="128" t="str">
        <f>"WITNESS: "&amp;$B$28</f>
        <v>WITNESS: R. GIBBONS</v>
      </c>
      <c r="AR923" s="131"/>
    </row>
    <row r="924" spans="31:35" ht="12">
      <c r="AE924" s="125" t="s">
        <v>9</v>
      </c>
      <c r="AF924" s="123" t="s">
        <v>10</v>
      </c>
      <c r="AH924" s="125" t="s">
        <v>11</v>
      </c>
      <c r="AI924" s="125" t="s">
        <v>12</v>
      </c>
    </row>
    <row r="925" spans="31:44" ht="12">
      <c r="AE925" s="133" t="s">
        <v>13</v>
      </c>
      <c r="AF925" s="133" t="s">
        <v>13</v>
      </c>
      <c r="AG925" s="133" t="str">
        <f>"                          DESCRIPTION                  "</f>
        <v>                          DESCRIPTION                  </v>
      </c>
      <c r="AH925" s="133" t="s">
        <v>14</v>
      </c>
      <c r="AI925" s="133" t="s">
        <v>15</v>
      </c>
      <c r="AJ925" s="133" t="str">
        <f>"  "&amp;+$C$35</f>
        <v>  GS-RES.</v>
      </c>
      <c r="AK925" s="133" t="str">
        <f>$C$36</f>
        <v>GS-OTHER</v>
      </c>
      <c r="AL925" s="133" t="str">
        <f>$C$37</f>
        <v>IUS</v>
      </c>
      <c r="AM925" s="133" t="str">
        <f>$C$38</f>
        <v>DS-ML/SC</v>
      </c>
      <c r="AN925" s="133" t="str">
        <f>$C$39</f>
        <v>DS/IS/SS</v>
      </c>
      <c r="AO925" s="133" t="str">
        <f>$C$40</f>
        <v>NOT USED</v>
      </c>
      <c r="AP925" s="133" t="str">
        <f>$C$41</f>
        <v>NOT USED</v>
      </c>
      <c r="AQ925" s="133" t="str">
        <f>$C$42</f>
        <v>NOT USED</v>
      </c>
      <c r="AR925" s="133" t="str">
        <f>$C$43</f>
        <v>NOT USED</v>
      </c>
    </row>
    <row r="926" spans="32:44" ht="12">
      <c r="AF926" s="136" t="s">
        <v>17</v>
      </c>
      <c r="AG926" s="136" t="s">
        <v>18</v>
      </c>
      <c r="AH926" s="125" t="s">
        <v>19</v>
      </c>
      <c r="AI926" s="125" t="s">
        <v>20</v>
      </c>
      <c r="AJ926" s="125" t="s">
        <v>21</v>
      </c>
      <c r="AK926" s="125" t="s">
        <v>22</v>
      </c>
      <c r="AL926" s="125" t="s">
        <v>23</v>
      </c>
      <c r="AM926" s="125" t="s">
        <v>24</v>
      </c>
      <c r="AN926" s="125" t="s">
        <v>25</v>
      </c>
      <c r="AO926" s="125" t="s">
        <v>26</v>
      </c>
      <c r="AP926" s="125" t="s">
        <v>27</v>
      </c>
      <c r="AQ926" s="125" t="s">
        <v>28</v>
      </c>
      <c r="AR926" s="125" t="s">
        <v>29</v>
      </c>
    </row>
    <row r="927" spans="41:44" ht="12">
      <c r="AO927" s="125" t="s">
        <v>32</v>
      </c>
      <c r="AP927" s="125" t="s">
        <v>32</v>
      </c>
      <c r="AQ927" s="125" t="s">
        <v>32</v>
      </c>
      <c r="AR927" s="125" t="s">
        <v>32</v>
      </c>
    </row>
    <row r="928" spans="31:44" ht="12">
      <c r="AE928" s="125">
        <v>1</v>
      </c>
      <c r="AF928" s="138" t="str">
        <f>B661</f>
        <v>DESIGN DAY EXCL. DS-ML</v>
      </c>
      <c r="AH928" s="123">
        <f>A661</f>
        <v>1</v>
      </c>
      <c r="AI928" s="123">
        <f>L661</f>
        <v>364500</v>
      </c>
      <c r="AJ928" s="123">
        <f aca="true" t="shared" si="543" ref="AJ928:AR928">C661</f>
        <v>155900</v>
      </c>
      <c r="AK928" s="123">
        <f t="shared" si="543"/>
        <v>95200</v>
      </c>
      <c r="AL928" s="123">
        <f t="shared" si="543"/>
        <v>400</v>
      </c>
      <c r="AM928" s="123">
        <f t="shared" si="543"/>
        <v>0</v>
      </c>
      <c r="AN928" s="123">
        <f t="shared" si="543"/>
        <v>113000</v>
      </c>
      <c r="AO928" s="123">
        <f t="shared" si="543"/>
        <v>0</v>
      </c>
      <c r="AP928" s="123">
        <f t="shared" si="543"/>
        <v>0</v>
      </c>
      <c r="AQ928" s="123">
        <f t="shared" si="543"/>
        <v>0</v>
      </c>
      <c r="AR928" s="123">
        <f t="shared" si="543"/>
        <v>0</v>
      </c>
    </row>
    <row r="929" spans="31:44" ht="12">
      <c r="AE929" s="125">
        <f>AE928+1</f>
        <v>2</v>
      </c>
      <c r="AF929" s="123" t="s">
        <v>487</v>
      </c>
      <c r="AI929" s="197">
        <v>1</v>
      </c>
      <c r="AJ929" s="197">
        <f aca="true" t="shared" si="544" ref="AJ929:AR929">M661</f>
        <v>0.42771</v>
      </c>
      <c r="AK929" s="197">
        <f t="shared" si="544"/>
        <v>0.26118</v>
      </c>
      <c r="AL929" s="197">
        <f t="shared" si="544"/>
        <v>0.0011</v>
      </c>
      <c r="AM929" s="197">
        <f t="shared" si="544"/>
        <v>0</v>
      </c>
      <c r="AN929" s="197">
        <f t="shared" si="544"/>
        <v>0.31001</v>
      </c>
      <c r="AO929" s="197">
        <f t="shared" si="544"/>
        <v>0</v>
      </c>
      <c r="AP929" s="197">
        <f t="shared" si="544"/>
        <v>0</v>
      </c>
      <c r="AQ929" s="197">
        <f t="shared" si="544"/>
        <v>0</v>
      </c>
      <c r="AR929" s="197">
        <f t="shared" si="544"/>
        <v>0</v>
      </c>
    </row>
    <row r="930" ht="12">
      <c r="AE930" s="125"/>
    </row>
    <row r="931" spans="31:44" ht="12">
      <c r="AE931" s="125">
        <f>AE929+1</f>
        <v>3</v>
      </c>
      <c r="AF931" s="138" t="str">
        <f>B662</f>
        <v>DESIGN DAY EXCL. TRANS. (MCF)</v>
      </c>
      <c r="AH931" s="123">
        <f>A662</f>
        <v>2</v>
      </c>
      <c r="AI931" s="123">
        <f>L662</f>
        <v>254000</v>
      </c>
      <c r="AJ931" s="123">
        <f aca="true" t="shared" si="545" ref="AJ931:AR931">C662</f>
        <v>155900</v>
      </c>
      <c r="AK931" s="123">
        <f t="shared" si="545"/>
        <v>95200</v>
      </c>
      <c r="AL931" s="123">
        <f t="shared" si="545"/>
        <v>400</v>
      </c>
      <c r="AM931" s="123">
        <f t="shared" si="545"/>
        <v>0</v>
      </c>
      <c r="AN931" s="123">
        <f t="shared" si="545"/>
        <v>2500</v>
      </c>
      <c r="AO931" s="123">
        <f t="shared" si="545"/>
        <v>0</v>
      </c>
      <c r="AP931" s="123">
        <f t="shared" si="545"/>
        <v>0</v>
      </c>
      <c r="AQ931" s="123">
        <f t="shared" si="545"/>
        <v>0</v>
      </c>
      <c r="AR931" s="123">
        <f t="shared" si="545"/>
        <v>0</v>
      </c>
    </row>
    <row r="932" spans="31:44" ht="12">
      <c r="AE932" s="125">
        <f>AE931+1</f>
        <v>4</v>
      </c>
      <c r="AF932" s="123" t="s">
        <v>487</v>
      </c>
      <c r="AI932" s="197">
        <v>1</v>
      </c>
      <c r="AJ932" s="197">
        <f aca="true" t="shared" si="546" ref="AJ932:AR932">M662</f>
        <v>0.61379</v>
      </c>
      <c r="AK932" s="197">
        <f t="shared" si="546"/>
        <v>0.3748</v>
      </c>
      <c r="AL932" s="197">
        <f t="shared" si="546"/>
        <v>0.00157</v>
      </c>
      <c r="AM932" s="197">
        <f t="shared" si="546"/>
        <v>0</v>
      </c>
      <c r="AN932" s="197">
        <f t="shared" si="546"/>
        <v>0.00984</v>
      </c>
      <c r="AO932" s="197">
        <f t="shared" si="546"/>
        <v>0</v>
      </c>
      <c r="AP932" s="197">
        <f t="shared" si="546"/>
        <v>0</v>
      </c>
      <c r="AQ932" s="197">
        <f t="shared" si="546"/>
        <v>0</v>
      </c>
      <c r="AR932" s="197">
        <f t="shared" si="546"/>
        <v>0</v>
      </c>
    </row>
    <row r="933" ht="12">
      <c r="AE933" s="125"/>
    </row>
    <row r="934" spans="31:44" ht="12">
      <c r="AE934" s="125">
        <f>AE932+1</f>
        <v>5</v>
      </c>
      <c r="AF934" s="138" t="str">
        <f>B663</f>
        <v>MINIMUM SYSTEM MAINS</v>
      </c>
      <c r="AH934" s="123">
        <f>A663</f>
        <v>3</v>
      </c>
      <c r="AI934" s="207">
        <f>L663</f>
        <v>1</v>
      </c>
      <c r="AJ934" s="207">
        <f aca="true" t="shared" si="547" ref="AJ934:AR934">C663</f>
        <v>0.7241127885175112</v>
      </c>
      <c r="AK934" s="207">
        <f t="shared" si="547"/>
        <v>0.16185236629478034</v>
      </c>
      <c r="AL934" s="207">
        <f t="shared" si="547"/>
        <v>0.0004100039752196456</v>
      </c>
      <c r="AM934" s="207">
        <f t="shared" si="547"/>
        <v>0</v>
      </c>
      <c r="AN934" s="207">
        <f t="shared" si="547"/>
        <v>0.11362484121248886</v>
      </c>
      <c r="AO934" s="207">
        <f t="shared" si="547"/>
        <v>0</v>
      </c>
      <c r="AP934" s="207">
        <f t="shared" si="547"/>
        <v>0</v>
      </c>
      <c r="AQ934" s="207">
        <f t="shared" si="547"/>
        <v>0</v>
      </c>
      <c r="AR934" s="207">
        <f t="shared" si="547"/>
        <v>0</v>
      </c>
    </row>
    <row r="935" spans="31:44" ht="12">
      <c r="AE935" s="125">
        <f>AE934+1</f>
        <v>6</v>
      </c>
      <c r="AF935" s="123" t="s">
        <v>487</v>
      </c>
      <c r="AI935" s="197">
        <v>1</v>
      </c>
      <c r="AJ935" s="197">
        <f aca="true" t="shared" si="548" ref="AJ935:AR935">M663</f>
        <v>0.72412</v>
      </c>
      <c r="AK935" s="197">
        <f t="shared" si="548"/>
        <v>0.16185</v>
      </c>
      <c r="AL935" s="197">
        <f t="shared" si="548"/>
        <v>0.00041</v>
      </c>
      <c r="AM935" s="197">
        <f t="shared" si="548"/>
        <v>0</v>
      </c>
      <c r="AN935" s="197">
        <f t="shared" si="548"/>
        <v>0.11362</v>
      </c>
      <c r="AO935" s="197">
        <f t="shared" si="548"/>
        <v>0</v>
      </c>
      <c r="AP935" s="197">
        <f t="shared" si="548"/>
        <v>0</v>
      </c>
      <c r="AQ935" s="197">
        <f t="shared" si="548"/>
        <v>0</v>
      </c>
      <c r="AR935" s="197">
        <f t="shared" si="548"/>
        <v>0</v>
      </c>
    </row>
    <row r="936" spans="31:41" ht="12">
      <c r="AE936" s="125"/>
      <c r="AO936" s="208"/>
    </row>
    <row r="937" spans="31:44" ht="12">
      <c r="AE937" s="125">
        <f>AE935+1</f>
        <v>7</v>
      </c>
      <c r="AF937" s="138" t="str">
        <f>B664</f>
        <v>THROUGHPUT EXCL MLS</v>
      </c>
      <c r="AH937" s="123">
        <f>A664</f>
        <v>4</v>
      </c>
      <c r="AI937" s="123">
        <f>L664</f>
        <v>27786185.299999997</v>
      </c>
      <c r="AJ937" s="123">
        <f aca="true" t="shared" si="549" ref="AJ937:AR937">C664</f>
        <v>8799874.1</v>
      </c>
      <c r="AK937" s="123">
        <f t="shared" si="549"/>
        <v>5937231.7</v>
      </c>
      <c r="AL937" s="123">
        <f t="shared" si="549"/>
        <v>21904</v>
      </c>
      <c r="AM937" s="123">
        <f t="shared" si="549"/>
        <v>0</v>
      </c>
      <c r="AN937" s="123">
        <f t="shared" si="549"/>
        <v>13027175.499999998</v>
      </c>
      <c r="AO937" s="123">
        <f t="shared" si="549"/>
        <v>0</v>
      </c>
      <c r="AP937" s="123">
        <f t="shared" si="549"/>
        <v>0</v>
      </c>
      <c r="AQ937" s="123">
        <f t="shared" si="549"/>
        <v>0</v>
      </c>
      <c r="AR937" s="123">
        <f t="shared" si="549"/>
        <v>0</v>
      </c>
    </row>
    <row r="938" spans="31:44" ht="12">
      <c r="AE938" s="125">
        <f>AE937+1</f>
        <v>8</v>
      </c>
      <c r="AF938" s="123" t="s">
        <v>487</v>
      </c>
      <c r="AI938" s="197">
        <v>1</v>
      </c>
      <c r="AJ938" s="197">
        <f aca="true" t="shared" si="550" ref="AJ938:AR938">M664</f>
        <v>0.31669</v>
      </c>
      <c r="AK938" s="197">
        <f t="shared" si="550"/>
        <v>0.21368</v>
      </c>
      <c r="AL938" s="197">
        <f t="shared" si="550"/>
        <v>0.00079</v>
      </c>
      <c r="AM938" s="197">
        <f t="shared" si="550"/>
        <v>0</v>
      </c>
      <c r="AN938" s="197">
        <f t="shared" si="550"/>
        <v>0.46884</v>
      </c>
      <c r="AO938" s="197">
        <f t="shared" si="550"/>
        <v>0</v>
      </c>
      <c r="AP938" s="197">
        <f t="shared" si="550"/>
        <v>0</v>
      </c>
      <c r="AQ938" s="197">
        <f t="shared" si="550"/>
        <v>0</v>
      </c>
      <c r="AR938" s="197">
        <f t="shared" si="550"/>
        <v>0</v>
      </c>
    </row>
    <row r="939" ht="12">
      <c r="AE939" s="125"/>
    </row>
    <row r="940" spans="31:44" ht="12">
      <c r="AE940" s="125">
        <f>AE938+1</f>
        <v>9</v>
      </c>
      <c r="AF940" s="138" t="str">
        <f>B665</f>
        <v>COMPOSIT OF ALLOC #1 &amp; #4</v>
      </c>
      <c r="AH940" s="123">
        <f>A665</f>
        <v>5</v>
      </c>
      <c r="AI940" s="207">
        <f>L665</f>
        <v>1.00001</v>
      </c>
      <c r="AJ940" s="207">
        <f aca="true" t="shared" si="551" ref="AJ940:AR940">C665</f>
        <v>0.3722</v>
      </c>
      <c r="AK940" s="207">
        <f t="shared" si="551"/>
        <v>0.23743</v>
      </c>
      <c r="AL940" s="207">
        <f t="shared" si="551"/>
        <v>0.00095</v>
      </c>
      <c r="AM940" s="207">
        <f t="shared" si="551"/>
        <v>0</v>
      </c>
      <c r="AN940" s="207">
        <f t="shared" si="551"/>
        <v>0.38943</v>
      </c>
      <c r="AO940" s="207">
        <f t="shared" si="551"/>
        <v>0</v>
      </c>
      <c r="AP940" s="207">
        <f t="shared" si="551"/>
        <v>0</v>
      </c>
      <c r="AQ940" s="207">
        <f t="shared" si="551"/>
        <v>0</v>
      </c>
      <c r="AR940" s="207">
        <f t="shared" si="551"/>
        <v>0</v>
      </c>
    </row>
    <row r="941" spans="31:44" ht="12">
      <c r="AE941" s="125">
        <f>AE940+1</f>
        <v>10</v>
      </c>
      <c r="AF941" s="123" t="s">
        <v>487</v>
      </c>
      <c r="AI941" s="197">
        <v>1</v>
      </c>
      <c r="AJ941" s="197">
        <f aca="true" t="shared" si="552" ref="AJ941:AR941">M665</f>
        <v>0.37219</v>
      </c>
      <c r="AK941" s="197">
        <f t="shared" si="552"/>
        <v>0.23743</v>
      </c>
      <c r="AL941" s="197">
        <f t="shared" si="552"/>
        <v>0.00095</v>
      </c>
      <c r="AM941" s="197">
        <f t="shared" si="552"/>
        <v>0</v>
      </c>
      <c r="AN941" s="197">
        <f t="shared" si="552"/>
        <v>0.38943</v>
      </c>
      <c r="AO941" s="197">
        <f t="shared" si="552"/>
        <v>0</v>
      </c>
      <c r="AP941" s="197">
        <f t="shared" si="552"/>
        <v>0</v>
      </c>
      <c r="AQ941" s="197">
        <f t="shared" si="552"/>
        <v>0</v>
      </c>
      <c r="AR941" s="197">
        <f t="shared" si="552"/>
        <v>0</v>
      </c>
    </row>
    <row r="942" ht="12">
      <c r="AE942" s="125"/>
    </row>
    <row r="943" spans="31:44" ht="12">
      <c r="AE943" s="125">
        <f>AE941+1</f>
        <v>11</v>
      </c>
      <c r="AF943" s="138" t="str">
        <f>B666</f>
        <v>AVERAGE NO. OF CUSTOMERS</v>
      </c>
      <c r="AH943" s="123">
        <f>A666</f>
        <v>6</v>
      </c>
      <c r="AI943" s="123">
        <f>L666</f>
        <v>139102</v>
      </c>
      <c r="AJ943" s="123">
        <f aca="true" t="shared" si="553" ref="AJ943:AR943">C666</f>
        <v>124450.33333333333</v>
      </c>
      <c r="AK943" s="123">
        <f t="shared" si="553"/>
        <v>14561.25</v>
      </c>
      <c r="AL943" s="123">
        <f t="shared" si="553"/>
        <v>2</v>
      </c>
      <c r="AM943" s="123">
        <f t="shared" si="553"/>
        <v>5.833333333333333</v>
      </c>
      <c r="AN943" s="123">
        <f t="shared" si="553"/>
        <v>82.58333333333333</v>
      </c>
      <c r="AO943" s="123">
        <f t="shared" si="553"/>
        <v>0</v>
      </c>
      <c r="AP943" s="123">
        <f t="shared" si="553"/>
        <v>0</v>
      </c>
      <c r="AQ943" s="123">
        <f t="shared" si="553"/>
        <v>0</v>
      </c>
      <c r="AR943" s="123">
        <f t="shared" si="553"/>
        <v>0</v>
      </c>
    </row>
    <row r="944" spans="31:44" ht="12">
      <c r="AE944" s="125">
        <f>AE943+1</f>
        <v>12</v>
      </c>
      <c r="AF944" s="123" t="s">
        <v>487</v>
      </c>
      <c r="AI944" s="197">
        <v>1</v>
      </c>
      <c r="AJ944" s="197">
        <f aca="true" t="shared" si="554" ref="AJ944:AR944">M666</f>
        <v>0.89468</v>
      </c>
      <c r="AK944" s="197">
        <f t="shared" si="554"/>
        <v>0.10468</v>
      </c>
      <c r="AL944" s="197">
        <f t="shared" si="554"/>
        <v>1E-05</v>
      </c>
      <c r="AM944" s="197">
        <f t="shared" si="554"/>
        <v>4E-05</v>
      </c>
      <c r="AN944" s="197">
        <f t="shared" si="554"/>
        <v>0.00059</v>
      </c>
      <c r="AO944" s="197">
        <f t="shared" si="554"/>
        <v>0</v>
      </c>
      <c r="AP944" s="197">
        <f t="shared" si="554"/>
        <v>0</v>
      </c>
      <c r="AQ944" s="197">
        <f t="shared" si="554"/>
        <v>0</v>
      </c>
      <c r="AR944" s="197">
        <f t="shared" si="554"/>
        <v>0</v>
      </c>
    </row>
    <row r="945" ht="12">
      <c r="AE945" s="125"/>
    </row>
    <row r="946" spans="31:44" ht="12">
      <c r="AE946" s="125">
        <f>AE944+1</f>
        <v>13</v>
      </c>
      <c r="AF946" s="138" t="str">
        <f>B667</f>
        <v>DIST. PLANT EXCL. ACCTS 375.70,375.71,387</v>
      </c>
      <c r="AH946" s="123">
        <f>A667</f>
        <v>7</v>
      </c>
      <c r="AI946" s="123">
        <f>L667</f>
        <v>233002343</v>
      </c>
      <c r="AJ946" s="123">
        <f aca="true" t="shared" si="555" ref="AJ946:AR946">C667</f>
        <v>130782327</v>
      </c>
      <c r="AK946" s="123">
        <f t="shared" si="555"/>
        <v>48815827</v>
      </c>
      <c r="AL946" s="123">
        <f t="shared" si="555"/>
        <v>152886</v>
      </c>
      <c r="AM946" s="123">
        <f t="shared" si="555"/>
        <v>101535</v>
      </c>
      <c r="AN946" s="123">
        <f t="shared" si="555"/>
        <v>53149768</v>
      </c>
      <c r="AO946" s="123">
        <f t="shared" si="555"/>
        <v>0</v>
      </c>
      <c r="AP946" s="123">
        <f t="shared" si="555"/>
        <v>0</v>
      </c>
      <c r="AQ946" s="123">
        <f t="shared" si="555"/>
        <v>0</v>
      </c>
      <c r="AR946" s="123">
        <f t="shared" si="555"/>
        <v>0</v>
      </c>
    </row>
    <row r="947" spans="31:44" ht="12">
      <c r="AE947" s="125">
        <f>AE946+1</f>
        <v>14</v>
      </c>
      <c r="AF947" s="123" t="s">
        <v>487</v>
      </c>
      <c r="AI947" s="197">
        <v>1</v>
      </c>
      <c r="AJ947" s="197">
        <f aca="true" t="shared" si="556" ref="AJ947:AR947">M667</f>
        <v>0.56128</v>
      </c>
      <c r="AK947" s="197">
        <f t="shared" si="556"/>
        <v>0.20951</v>
      </c>
      <c r="AL947" s="197">
        <f t="shared" si="556"/>
        <v>0.00066</v>
      </c>
      <c r="AM947" s="197">
        <f t="shared" si="556"/>
        <v>0.00044</v>
      </c>
      <c r="AN947" s="197">
        <f t="shared" si="556"/>
        <v>0.22811</v>
      </c>
      <c r="AO947" s="197">
        <f t="shared" si="556"/>
        <v>0</v>
      </c>
      <c r="AP947" s="197">
        <f t="shared" si="556"/>
        <v>0</v>
      </c>
      <c r="AQ947" s="197">
        <f t="shared" si="556"/>
        <v>0</v>
      </c>
      <c r="AR947" s="197">
        <f t="shared" si="556"/>
        <v>0</v>
      </c>
    </row>
    <row r="948" ht="12">
      <c r="AE948" s="125"/>
    </row>
    <row r="949" spans="31:44" ht="12">
      <c r="AE949" s="125">
        <f>AE947+1</f>
        <v>15</v>
      </c>
      <c r="AF949" s="138" t="str">
        <f>B668</f>
        <v>TOTAL PLANT ACCOUNT 385</v>
      </c>
      <c r="AH949" s="123">
        <f>A668</f>
        <v>8</v>
      </c>
      <c r="AI949" s="123">
        <f>L668</f>
        <v>2582444</v>
      </c>
      <c r="AJ949" s="123">
        <f aca="true" t="shared" si="557" ref="AJ949:AR949">C668</f>
        <v>0</v>
      </c>
      <c r="AK949" s="123">
        <f t="shared" si="557"/>
        <v>1417813</v>
      </c>
      <c r="AL949" s="123">
        <f t="shared" si="557"/>
        <v>20247</v>
      </c>
      <c r="AM949" s="123">
        <f t="shared" si="557"/>
        <v>70888</v>
      </c>
      <c r="AN949" s="123">
        <f t="shared" si="557"/>
        <v>1073496</v>
      </c>
      <c r="AO949" s="123">
        <f t="shared" si="557"/>
        <v>0</v>
      </c>
      <c r="AP949" s="123">
        <f t="shared" si="557"/>
        <v>0</v>
      </c>
      <c r="AQ949" s="123">
        <f t="shared" si="557"/>
        <v>0</v>
      </c>
      <c r="AR949" s="123">
        <f t="shared" si="557"/>
        <v>0</v>
      </c>
    </row>
    <row r="950" spans="31:44" ht="12">
      <c r="AE950" s="125">
        <f>AE949+1</f>
        <v>16</v>
      </c>
      <c r="AF950" s="123" t="s">
        <v>487</v>
      </c>
      <c r="AI950" s="197">
        <v>1</v>
      </c>
      <c r="AJ950" s="197">
        <f aca="true" t="shared" si="558" ref="AJ950:AR950">M668</f>
        <v>0</v>
      </c>
      <c r="AK950" s="197">
        <f t="shared" si="558"/>
        <v>0.54902</v>
      </c>
      <c r="AL950" s="197">
        <f t="shared" si="558"/>
        <v>0.00784</v>
      </c>
      <c r="AM950" s="197">
        <f t="shared" si="558"/>
        <v>0.02745</v>
      </c>
      <c r="AN950" s="197">
        <f t="shared" si="558"/>
        <v>0.41569</v>
      </c>
      <c r="AO950" s="197">
        <f t="shared" si="558"/>
        <v>0</v>
      </c>
      <c r="AP950" s="197">
        <f t="shared" si="558"/>
        <v>0</v>
      </c>
      <c r="AQ950" s="197">
        <f t="shared" si="558"/>
        <v>0</v>
      </c>
      <c r="AR950" s="197">
        <f t="shared" si="558"/>
        <v>0</v>
      </c>
    </row>
    <row r="951" ht="12">
      <c r="AE951" s="125"/>
    </row>
    <row r="952" spans="31:44" ht="12">
      <c r="AE952" s="125">
        <f>AE950+1</f>
        <v>17</v>
      </c>
      <c r="AF952" s="138" t="str">
        <f>B669</f>
        <v>GAS PURCHASE EXPENSE EX OFF SYST</v>
      </c>
      <c r="AH952" s="123">
        <f>A669</f>
        <v>9</v>
      </c>
      <c r="AI952" s="123">
        <f>L669</f>
        <v>112344668.69</v>
      </c>
      <c r="AJ952" s="123">
        <f aca="true" t="shared" si="559" ref="AJ952:AR952">C669</f>
        <v>69736011.38</v>
      </c>
      <c r="AK952" s="123">
        <f t="shared" si="559"/>
        <v>41401008.260000005</v>
      </c>
      <c r="AL952" s="123">
        <f t="shared" si="559"/>
        <v>227827.88</v>
      </c>
      <c r="AM952" s="123">
        <f t="shared" si="559"/>
        <v>0</v>
      </c>
      <c r="AN952" s="123">
        <f t="shared" si="559"/>
        <v>979821.17</v>
      </c>
      <c r="AO952" s="123">
        <f t="shared" si="559"/>
        <v>0</v>
      </c>
      <c r="AP952" s="123">
        <f t="shared" si="559"/>
        <v>0</v>
      </c>
      <c r="AQ952" s="123">
        <f t="shared" si="559"/>
        <v>0</v>
      </c>
      <c r="AR952" s="123">
        <f t="shared" si="559"/>
        <v>0</v>
      </c>
    </row>
    <row r="953" spans="31:44" ht="12">
      <c r="AE953" s="125">
        <f>AE952+1</f>
        <v>18</v>
      </c>
      <c r="AF953" s="123" t="s">
        <v>487</v>
      </c>
      <c r="AI953" s="197">
        <v>1</v>
      </c>
      <c r="AJ953" s="197">
        <f aca="true" t="shared" si="560" ref="AJ953:AR953">M669</f>
        <v>0.62073</v>
      </c>
      <c r="AK953" s="197">
        <f t="shared" si="560"/>
        <v>0.36852</v>
      </c>
      <c r="AL953" s="197">
        <f t="shared" si="560"/>
        <v>0.00203</v>
      </c>
      <c r="AM953" s="197">
        <f t="shared" si="560"/>
        <v>0</v>
      </c>
      <c r="AN953" s="197">
        <f t="shared" si="560"/>
        <v>0.00872</v>
      </c>
      <c r="AO953" s="197">
        <f t="shared" si="560"/>
        <v>0</v>
      </c>
      <c r="AP953" s="197">
        <f t="shared" si="560"/>
        <v>0</v>
      </c>
      <c r="AQ953" s="197">
        <f t="shared" si="560"/>
        <v>0</v>
      </c>
      <c r="AR953" s="197">
        <f t="shared" si="560"/>
        <v>0</v>
      </c>
    </row>
    <row r="954" ht="12">
      <c r="AE954" s="125"/>
    </row>
    <row r="955" spans="31:44" ht="12">
      <c r="AE955" s="125">
        <f>AE953+1</f>
        <v>19</v>
      </c>
      <c r="AF955" s="138" t="str">
        <f>B670</f>
        <v>OTHER DIST. EXP - LABOR</v>
      </c>
      <c r="AH955" s="123">
        <f>A670</f>
        <v>10</v>
      </c>
      <c r="AI955" s="123">
        <f>L670</f>
        <v>3535504</v>
      </c>
      <c r="AJ955" s="123">
        <f aca="true" t="shared" si="561" ref="AJ955:AR955">C670</f>
        <v>2016410</v>
      </c>
      <c r="AK955" s="123">
        <f t="shared" si="561"/>
        <v>1020052</v>
      </c>
      <c r="AL955" s="123">
        <f t="shared" si="561"/>
        <v>1956</v>
      </c>
      <c r="AM955" s="123">
        <f t="shared" si="561"/>
        <v>3744</v>
      </c>
      <c r="AN955" s="123">
        <f t="shared" si="561"/>
        <v>493342</v>
      </c>
      <c r="AO955" s="123">
        <f t="shared" si="561"/>
        <v>0</v>
      </c>
      <c r="AP955" s="123">
        <f t="shared" si="561"/>
        <v>0</v>
      </c>
      <c r="AQ955" s="123">
        <f t="shared" si="561"/>
        <v>0</v>
      </c>
      <c r="AR955" s="123">
        <f t="shared" si="561"/>
        <v>0</v>
      </c>
    </row>
    <row r="956" spans="31:44" ht="12">
      <c r="AE956" s="125">
        <f>AE955+1</f>
        <v>20</v>
      </c>
      <c r="AF956" s="123" t="s">
        <v>487</v>
      </c>
      <c r="AI956" s="197">
        <v>1</v>
      </c>
      <c r="AJ956" s="197">
        <f aca="true" t="shared" si="562" ref="AJ956:AR956">M670</f>
        <v>0.57033</v>
      </c>
      <c r="AK956" s="197">
        <f t="shared" si="562"/>
        <v>0.28852</v>
      </c>
      <c r="AL956" s="197">
        <f t="shared" si="562"/>
        <v>0.00055</v>
      </c>
      <c r="AM956" s="197">
        <f t="shared" si="562"/>
        <v>0.00106</v>
      </c>
      <c r="AN956" s="197">
        <f t="shared" si="562"/>
        <v>0.13954</v>
      </c>
      <c r="AO956" s="197">
        <f t="shared" si="562"/>
        <v>0</v>
      </c>
      <c r="AP956" s="197">
        <f t="shared" si="562"/>
        <v>0</v>
      </c>
      <c r="AQ956" s="197">
        <f t="shared" si="562"/>
        <v>0</v>
      </c>
      <c r="AR956" s="197">
        <f t="shared" si="562"/>
        <v>0</v>
      </c>
    </row>
    <row r="957" ht="12">
      <c r="AK957" s="143" t="s">
        <v>2</v>
      </c>
    </row>
    <row r="958" spans="37:43" ht="12">
      <c r="AK958" s="125" t="str">
        <f>" "&amp;+$B$24</f>
        <v> COLUMBIA GAS OF KENTUCKY, INC.</v>
      </c>
      <c r="AQ958" s="123" t="str">
        <f>$B$25</f>
        <v>D/C STUDY</v>
      </c>
    </row>
    <row r="959" spans="31:43" ht="12">
      <c r="AE959" s="123" t="str">
        <f>$B$30</f>
        <v>DEMAND-COMMODITY</v>
      </c>
      <c r="AK959" s="125" t="s">
        <v>791</v>
      </c>
      <c r="AQ959" s="123" t="str">
        <f>"PAGE 28 OF "&amp;FIXED($B$31,0,TRUE)</f>
        <v>PAGE 28 OF 28</v>
      </c>
    </row>
    <row r="960" spans="31:44" ht="12">
      <c r="AE960" s="128" t="str">
        <f>$B$29</f>
        <v>HISTORIC PERIOD - ORIGINAL FILING</v>
      </c>
      <c r="AF960" s="128"/>
      <c r="AG960" s="128"/>
      <c r="AH960" s="129"/>
      <c r="AI960" s="128"/>
      <c r="AJ960" s="128"/>
      <c r="AK960" s="130" t="str">
        <f>"FOR THE TWELVE MONTHS ENDED "&amp;$B$27</f>
        <v>FOR THE TWELVE MONTHS ENDED 09/30/2006</v>
      </c>
      <c r="AL960" s="128"/>
      <c r="AM960" s="128"/>
      <c r="AN960" s="128"/>
      <c r="AO960" s="128"/>
      <c r="AP960" s="128"/>
      <c r="AQ960" s="128" t="str">
        <f>"WITNESS: "&amp;$B$28</f>
        <v>WITNESS: R. GIBBONS</v>
      </c>
      <c r="AR960" s="131"/>
    </row>
    <row r="961" spans="31:35" ht="12">
      <c r="AE961" s="125" t="s">
        <v>9</v>
      </c>
      <c r="AF961" s="123" t="s">
        <v>10</v>
      </c>
      <c r="AH961" s="125" t="s">
        <v>11</v>
      </c>
      <c r="AI961" s="125" t="s">
        <v>12</v>
      </c>
    </row>
    <row r="962" spans="31:44" ht="12">
      <c r="AE962" s="133" t="s">
        <v>13</v>
      </c>
      <c r="AF962" s="133" t="s">
        <v>13</v>
      </c>
      <c r="AG962" s="133" t="str">
        <f>"                          DESCRIPTION                  "</f>
        <v>                          DESCRIPTION                  </v>
      </c>
      <c r="AH962" s="133" t="s">
        <v>14</v>
      </c>
      <c r="AI962" s="133" t="s">
        <v>15</v>
      </c>
      <c r="AJ962" s="133" t="str">
        <f>"  "&amp;+$C$35</f>
        <v>  GS-RES.</v>
      </c>
      <c r="AK962" s="133" t="str">
        <f>$C$36</f>
        <v>GS-OTHER</v>
      </c>
      <c r="AL962" s="133" t="str">
        <f>$C$37</f>
        <v>IUS</v>
      </c>
      <c r="AM962" s="133" t="str">
        <f>$C$38</f>
        <v>DS-ML/SC</v>
      </c>
      <c r="AN962" s="133" t="str">
        <f>$C$39</f>
        <v>DS/IS/SS</v>
      </c>
      <c r="AO962" s="133" t="str">
        <f>$C$40</f>
        <v>NOT USED</v>
      </c>
      <c r="AP962" s="133" t="str">
        <f>$C$41</f>
        <v>NOT USED</v>
      </c>
      <c r="AQ962" s="133" t="str">
        <f>$C$42</f>
        <v>NOT USED</v>
      </c>
      <c r="AR962" s="133" t="str">
        <f>$C$43</f>
        <v>NOT USED</v>
      </c>
    </row>
    <row r="963" spans="32:44" ht="12">
      <c r="AF963" s="136" t="s">
        <v>17</v>
      </c>
      <c r="AG963" s="136" t="s">
        <v>18</v>
      </c>
      <c r="AH963" s="125" t="s">
        <v>19</v>
      </c>
      <c r="AI963" s="125" t="s">
        <v>20</v>
      </c>
      <c r="AJ963" s="125" t="s">
        <v>21</v>
      </c>
      <c r="AK963" s="125" t="s">
        <v>22</v>
      </c>
      <c r="AL963" s="125" t="s">
        <v>23</v>
      </c>
      <c r="AM963" s="125" t="s">
        <v>24</v>
      </c>
      <c r="AN963" s="125" t="s">
        <v>25</v>
      </c>
      <c r="AO963" s="125" t="s">
        <v>26</v>
      </c>
      <c r="AP963" s="125" t="s">
        <v>27</v>
      </c>
      <c r="AQ963" s="125" t="s">
        <v>28</v>
      </c>
      <c r="AR963" s="125" t="s">
        <v>29</v>
      </c>
    </row>
    <row r="964" spans="41:44" ht="12">
      <c r="AO964" s="125" t="s">
        <v>32</v>
      </c>
      <c r="AP964" s="125" t="s">
        <v>32</v>
      </c>
      <c r="AQ964" s="125" t="s">
        <v>32</v>
      </c>
      <c r="AR964" s="125" t="s">
        <v>32</v>
      </c>
    </row>
    <row r="965" spans="31:44" ht="12">
      <c r="AE965" s="123">
        <v>1</v>
      </c>
      <c r="AF965" s="138" t="str">
        <f>B671</f>
        <v>OTHER DIST. EXP EXCL - M &amp; E</v>
      </c>
      <c r="AH965" s="123">
        <f>A671</f>
        <v>11</v>
      </c>
      <c r="AI965" s="123">
        <f>L671</f>
        <v>2799179</v>
      </c>
      <c r="AJ965" s="123">
        <f aca="true" t="shared" si="563" ref="AJ965:AR965">C671</f>
        <v>1436542</v>
      </c>
      <c r="AK965" s="123">
        <f t="shared" si="563"/>
        <v>737142</v>
      </c>
      <c r="AL965" s="123">
        <f t="shared" si="563"/>
        <v>2368</v>
      </c>
      <c r="AM965" s="123">
        <f t="shared" si="563"/>
        <v>3743</v>
      </c>
      <c r="AN965" s="123">
        <f t="shared" si="563"/>
        <v>619384</v>
      </c>
      <c r="AO965" s="123">
        <f t="shared" si="563"/>
        <v>0</v>
      </c>
      <c r="AP965" s="123">
        <f t="shared" si="563"/>
        <v>0</v>
      </c>
      <c r="AQ965" s="123">
        <f t="shared" si="563"/>
        <v>0</v>
      </c>
      <c r="AR965" s="123">
        <f t="shared" si="563"/>
        <v>0</v>
      </c>
    </row>
    <row r="966" spans="31:44" ht="12">
      <c r="AE966" s="123">
        <f>AE965+1</f>
        <v>2</v>
      </c>
      <c r="AF966" s="123" t="s">
        <v>487</v>
      </c>
      <c r="AI966" s="197">
        <v>1</v>
      </c>
      <c r="AJ966" s="197">
        <f aca="true" t="shared" si="564" ref="AJ966:AR966">M671</f>
        <v>0.5132</v>
      </c>
      <c r="AK966" s="197">
        <f t="shared" si="564"/>
        <v>0.26334</v>
      </c>
      <c r="AL966" s="197">
        <f t="shared" si="564"/>
        <v>0.00085</v>
      </c>
      <c r="AM966" s="197">
        <f t="shared" si="564"/>
        <v>0.00134</v>
      </c>
      <c r="AN966" s="197">
        <f t="shared" si="564"/>
        <v>0.22127</v>
      </c>
      <c r="AO966" s="197">
        <f t="shared" si="564"/>
        <v>0</v>
      </c>
      <c r="AP966" s="197">
        <f t="shared" si="564"/>
        <v>0</v>
      </c>
      <c r="AQ966" s="197">
        <f t="shared" si="564"/>
        <v>0</v>
      </c>
      <c r="AR966" s="197">
        <f t="shared" si="564"/>
        <v>0</v>
      </c>
    </row>
    <row r="968" spans="31:44" ht="12">
      <c r="AE968" s="123">
        <f>AE966+1</f>
        <v>3</v>
      </c>
      <c r="AF968" s="138" t="str">
        <f>B672</f>
        <v>O &amp; M EXCL A &amp; G - LABOR</v>
      </c>
      <c r="AH968" s="123">
        <f>A672</f>
        <v>12</v>
      </c>
      <c r="AI968" s="123">
        <f>L672</f>
        <v>5860448</v>
      </c>
      <c r="AJ968" s="123">
        <f aca="true" t="shared" si="565" ref="AJ968:AR968">C672</f>
        <v>3742958</v>
      </c>
      <c r="AK968" s="123">
        <f t="shared" si="565"/>
        <v>1466239</v>
      </c>
      <c r="AL968" s="123">
        <f t="shared" si="565"/>
        <v>2602</v>
      </c>
      <c r="AM968" s="123">
        <f t="shared" si="565"/>
        <v>4926</v>
      </c>
      <c r="AN968" s="123">
        <f t="shared" si="565"/>
        <v>643723</v>
      </c>
      <c r="AO968" s="123">
        <f t="shared" si="565"/>
        <v>0</v>
      </c>
      <c r="AP968" s="123">
        <f t="shared" si="565"/>
        <v>0</v>
      </c>
      <c r="AQ968" s="123">
        <f t="shared" si="565"/>
        <v>0</v>
      </c>
      <c r="AR968" s="123">
        <f t="shared" si="565"/>
        <v>0</v>
      </c>
    </row>
    <row r="969" spans="31:44" ht="12">
      <c r="AE969" s="123">
        <f>AE968+1</f>
        <v>4</v>
      </c>
      <c r="AF969" s="123" t="s">
        <v>487</v>
      </c>
      <c r="AI969" s="197">
        <v>1</v>
      </c>
      <c r="AJ969" s="197">
        <f aca="true" t="shared" si="566" ref="AJ969:AR969">M672</f>
        <v>0.63869</v>
      </c>
      <c r="AK969" s="197">
        <f t="shared" si="566"/>
        <v>0.25019</v>
      </c>
      <c r="AL969" s="197">
        <f t="shared" si="566"/>
        <v>0.00044</v>
      </c>
      <c r="AM969" s="197">
        <f t="shared" si="566"/>
        <v>0.00084</v>
      </c>
      <c r="AN969" s="197">
        <f t="shared" si="566"/>
        <v>0.10984</v>
      </c>
      <c r="AO969" s="197">
        <f t="shared" si="566"/>
        <v>0</v>
      </c>
      <c r="AP969" s="197">
        <f t="shared" si="566"/>
        <v>0</v>
      </c>
      <c r="AQ969" s="197">
        <f t="shared" si="566"/>
        <v>0</v>
      </c>
      <c r="AR969" s="197">
        <f t="shared" si="566"/>
        <v>0</v>
      </c>
    </row>
    <row r="971" spans="31:44" ht="12">
      <c r="AE971" s="123">
        <f>AE969+1</f>
        <v>5</v>
      </c>
      <c r="AF971" s="138" t="str">
        <f>B673</f>
        <v>O &amp; M EXCL GAS PUR, UNCOL, AND A &amp; G - M&amp;E</v>
      </c>
      <c r="AH971" s="123">
        <f>A673</f>
        <v>13</v>
      </c>
      <c r="AI971" s="123">
        <f>L673</f>
        <v>5282564</v>
      </c>
      <c r="AJ971" s="123">
        <f aca="true" t="shared" si="567" ref="AJ971:AR971">C673</f>
        <v>3251964</v>
      </c>
      <c r="AK971" s="123">
        <f t="shared" si="567"/>
        <v>1143972</v>
      </c>
      <c r="AL971" s="123">
        <f t="shared" si="567"/>
        <v>3078</v>
      </c>
      <c r="AM971" s="123">
        <f t="shared" si="567"/>
        <v>5372</v>
      </c>
      <c r="AN971" s="123">
        <f t="shared" si="567"/>
        <v>878178</v>
      </c>
      <c r="AO971" s="123">
        <f t="shared" si="567"/>
        <v>0</v>
      </c>
      <c r="AP971" s="123">
        <f t="shared" si="567"/>
        <v>0</v>
      </c>
      <c r="AQ971" s="123">
        <f t="shared" si="567"/>
        <v>0</v>
      </c>
      <c r="AR971" s="123">
        <f t="shared" si="567"/>
        <v>0</v>
      </c>
    </row>
    <row r="972" spans="31:44" ht="12">
      <c r="AE972" s="123">
        <f>AE971+1</f>
        <v>6</v>
      </c>
      <c r="AF972" s="123" t="s">
        <v>487</v>
      </c>
      <c r="AI972" s="197">
        <v>1</v>
      </c>
      <c r="AJ972" s="197">
        <f aca="true" t="shared" si="568" ref="AJ972:AR972">M673</f>
        <v>0.6156</v>
      </c>
      <c r="AK972" s="197">
        <f t="shared" si="568"/>
        <v>0.21656</v>
      </c>
      <c r="AL972" s="197">
        <f t="shared" si="568"/>
        <v>0.00058</v>
      </c>
      <c r="AM972" s="197">
        <f t="shared" si="568"/>
        <v>0.00102</v>
      </c>
      <c r="AN972" s="197">
        <f t="shared" si="568"/>
        <v>0.16624</v>
      </c>
      <c r="AO972" s="197">
        <f t="shared" si="568"/>
        <v>0</v>
      </c>
      <c r="AP972" s="197">
        <f t="shared" si="568"/>
        <v>0</v>
      </c>
      <c r="AQ972" s="197">
        <f t="shared" si="568"/>
        <v>0</v>
      </c>
      <c r="AR972" s="197">
        <f t="shared" si="568"/>
        <v>0</v>
      </c>
    </row>
    <row r="974" spans="31:44" ht="12">
      <c r="AE974" s="123">
        <f>AE972+1</f>
        <v>7</v>
      </c>
      <c r="AF974" s="138" t="str">
        <f>B674</f>
        <v>ACCT 376/380 - MAINS/SERVICES</v>
      </c>
      <c r="AH974" s="123">
        <f>A674</f>
        <v>14</v>
      </c>
      <c r="AI974" s="123">
        <f>L674</f>
        <v>196918069</v>
      </c>
      <c r="AJ974" s="123">
        <f aca="true" t="shared" si="569" ref="AJ974:AR974">C674</f>
        <v>112370459</v>
      </c>
      <c r="AK974" s="123">
        <f t="shared" si="569"/>
        <v>36501319</v>
      </c>
      <c r="AL974" s="123">
        <f t="shared" si="569"/>
        <v>117188</v>
      </c>
      <c r="AM974" s="123">
        <f t="shared" si="569"/>
        <v>0</v>
      </c>
      <c r="AN974" s="123">
        <f t="shared" si="569"/>
        <v>47929103</v>
      </c>
      <c r="AO974" s="123">
        <f t="shared" si="569"/>
        <v>0</v>
      </c>
      <c r="AP974" s="123">
        <f t="shared" si="569"/>
        <v>0</v>
      </c>
      <c r="AQ974" s="123">
        <f t="shared" si="569"/>
        <v>0</v>
      </c>
      <c r="AR974" s="123">
        <f t="shared" si="569"/>
        <v>0</v>
      </c>
    </row>
    <row r="975" spans="31:44" ht="12">
      <c r="AE975" s="123">
        <f>AE974+1</f>
        <v>8</v>
      </c>
      <c r="AF975" s="123" t="s">
        <v>487</v>
      </c>
      <c r="AI975" s="197">
        <v>1</v>
      </c>
      <c r="AJ975" s="197">
        <f aca="true" t="shared" si="570" ref="AJ975:AR975">M674</f>
        <v>0.57064</v>
      </c>
      <c r="AK975" s="197">
        <f t="shared" si="570"/>
        <v>0.18536</v>
      </c>
      <c r="AL975" s="197">
        <f t="shared" si="570"/>
        <v>0.0006</v>
      </c>
      <c r="AM975" s="197">
        <f t="shared" si="570"/>
        <v>0</v>
      </c>
      <c r="AN975" s="197">
        <f t="shared" si="570"/>
        <v>0.2434</v>
      </c>
      <c r="AO975" s="197">
        <f t="shared" si="570"/>
        <v>0</v>
      </c>
      <c r="AP975" s="197">
        <f t="shared" si="570"/>
        <v>0</v>
      </c>
      <c r="AQ975" s="197">
        <f t="shared" si="570"/>
        <v>0</v>
      </c>
      <c r="AR975" s="197">
        <f t="shared" si="570"/>
        <v>0</v>
      </c>
    </row>
    <row r="977" spans="31:44" ht="12">
      <c r="AE977" s="123">
        <f>AE975+1</f>
        <v>9</v>
      </c>
      <c r="AF977" s="138" t="str">
        <f>B675</f>
        <v>DIRECT PLANT ACCT 380 </v>
      </c>
      <c r="AH977" s="123">
        <f>A675</f>
        <v>15</v>
      </c>
      <c r="AI977" s="207">
        <f>L675</f>
        <v>0.9999999999999999</v>
      </c>
      <c r="AJ977" s="207">
        <f aca="true" t="shared" si="571" ref="AJ977:AR977">C675</f>
        <v>0.897834990707549</v>
      </c>
      <c r="AK977" s="207">
        <f t="shared" si="571"/>
        <v>0.09952447567799333</v>
      </c>
      <c r="AL977" s="207">
        <f t="shared" si="571"/>
        <v>1.34228088764726E-05</v>
      </c>
      <c r="AM977" s="207">
        <f t="shared" si="571"/>
        <v>0</v>
      </c>
      <c r="AN977" s="207">
        <f t="shared" si="571"/>
        <v>0.0026271108055811437</v>
      </c>
      <c r="AO977" s="207">
        <f t="shared" si="571"/>
        <v>0</v>
      </c>
      <c r="AP977" s="207">
        <f t="shared" si="571"/>
        <v>0</v>
      </c>
      <c r="AQ977" s="207">
        <f t="shared" si="571"/>
        <v>0</v>
      </c>
      <c r="AR977" s="207">
        <f t="shared" si="571"/>
        <v>0</v>
      </c>
    </row>
    <row r="978" spans="31:44" ht="12">
      <c r="AE978" s="123">
        <f>AE977+1</f>
        <v>10</v>
      </c>
      <c r="AF978" s="123" t="s">
        <v>487</v>
      </c>
      <c r="AI978" s="197">
        <v>1</v>
      </c>
      <c r="AJ978" s="197">
        <f aca="true" t="shared" si="572" ref="AJ978:AR978">M675</f>
        <v>0.89784</v>
      </c>
      <c r="AK978" s="197">
        <f t="shared" si="572"/>
        <v>0.09952</v>
      </c>
      <c r="AL978" s="197">
        <f t="shared" si="572"/>
        <v>1E-05</v>
      </c>
      <c r="AM978" s="197">
        <f t="shared" si="572"/>
        <v>0</v>
      </c>
      <c r="AN978" s="197">
        <f t="shared" si="572"/>
        <v>0.00263</v>
      </c>
      <c r="AO978" s="197">
        <f t="shared" si="572"/>
        <v>0</v>
      </c>
      <c r="AP978" s="197">
        <f t="shared" si="572"/>
        <v>0</v>
      </c>
      <c r="AQ978" s="197">
        <f t="shared" si="572"/>
        <v>0</v>
      </c>
      <c r="AR978" s="197">
        <f t="shared" si="572"/>
        <v>0</v>
      </c>
    </row>
    <row r="980" spans="31:44" ht="12">
      <c r="AE980" s="123">
        <f>AE978+1</f>
        <v>11</v>
      </c>
      <c r="AF980" s="138" t="str">
        <f>B676</f>
        <v>DIRECT PLANT ACCTS 381 </v>
      </c>
      <c r="AH980" s="123">
        <f>A676</f>
        <v>16</v>
      </c>
      <c r="AI980" s="207">
        <f>L676</f>
        <v>1</v>
      </c>
      <c r="AJ980" s="207">
        <f aca="true" t="shared" si="573" ref="AJ980:AR980">C676</f>
        <v>0.6220120513543796</v>
      </c>
      <c r="AK980" s="207">
        <f t="shared" si="573"/>
        <v>0.3592877116793314</v>
      </c>
      <c r="AL980" s="207">
        <f t="shared" si="573"/>
        <v>0.00024017404679390158</v>
      </c>
      <c r="AM980" s="207">
        <f t="shared" si="573"/>
        <v>0.001182310631292647</v>
      </c>
      <c r="AN980" s="207">
        <f t="shared" si="573"/>
        <v>0.017277752288202483</v>
      </c>
      <c r="AO980" s="207">
        <f t="shared" si="573"/>
        <v>0</v>
      </c>
      <c r="AP980" s="207">
        <f t="shared" si="573"/>
        <v>0</v>
      </c>
      <c r="AQ980" s="207">
        <f t="shared" si="573"/>
        <v>0</v>
      </c>
      <c r="AR980" s="207">
        <f t="shared" si="573"/>
        <v>0</v>
      </c>
    </row>
    <row r="981" spans="31:44" ht="12">
      <c r="AE981" s="123">
        <f>AE980+1</f>
        <v>12</v>
      </c>
      <c r="AF981" s="123" t="s">
        <v>487</v>
      </c>
      <c r="AI981" s="197">
        <v>1</v>
      </c>
      <c r="AJ981" s="197">
        <f aca="true" t="shared" si="574" ref="AJ981:AR981">M676</f>
        <v>0.62201</v>
      </c>
      <c r="AK981" s="197">
        <f t="shared" si="574"/>
        <v>0.35929</v>
      </c>
      <c r="AL981" s="197">
        <f t="shared" si="574"/>
        <v>0.00024</v>
      </c>
      <c r="AM981" s="197">
        <f t="shared" si="574"/>
        <v>0.00118</v>
      </c>
      <c r="AN981" s="197">
        <f t="shared" si="574"/>
        <v>0.01728</v>
      </c>
      <c r="AO981" s="197">
        <f t="shared" si="574"/>
        <v>0</v>
      </c>
      <c r="AP981" s="197">
        <f t="shared" si="574"/>
        <v>0</v>
      </c>
      <c r="AQ981" s="197">
        <f t="shared" si="574"/>
        <v>0</v>
      </c>
      <c r="AR981" s="197">
        <f t="shared" si="574"/>
        <v>0</v>
      </c>
    </row>
    <row r="983" spans="31:44" ht="12">
      <c r="AE983" s="123">
        <f>AE981+1</f>
        <v>13</v>
      </c>
      <c r="AF983" s="138" t="str">
        <f>B677</f>
        <v>DIRECT PLANT ACCT 385 </v>
      </c>
      <c r="AH983" s="123">
        <f>A677</f>
        <v>17</v>
      </c>
      <c r="AI983" s="207">
        <f>L677</f>
        <v>1</v>
      </c>
      <c r="AJ983" s="207">
        <f aca="true" t="shared" si="575" ref="AJ983:AR983">C677</f>
        <v>0</v>
      </c>
      <c r="AK983" s="207">
        <f t="shared" si="575"/>
        <v>0.5490196950833574</v>
      </c>
      <c r="AL983" s="207">
        <f t="shared" si="575"/>
        <v>0.007843161755117059</v>
      </c>
      <c r="AM983" s="207">
        <f t="shared" si="575"/>
        <v>0.027450984754167865</v>
      </c>
      <c r="AN983" s="207">
        <f t="shared" si="575"/>
        <v>0.41568615840735773</v>
      </c>
      <c r="AO983" s="207">
        <f t="shared" si="575"/>
        <v>0</v>
      </c>
      <c r="AP983" s="207">
        <f t="shared" si="575"/>
        <v>0</v>
      </c>
      <c r="AQ983" s="207">
        <f t="shared" si="575"/>
        <v>0</v>
      </c>
      <c r="AR983" s="207">
        <f t="shared" si="575"/>
        <v>0</v>
      </c>
    </row>
    <row r="984" spans="31:44" ht="12">
      <c r="AE984" s="123">
        <f>AE983+1</f>
        <v>14</v>
      </c>
      <c r="AF984" s="123" t="s">
        <v>487</v>
      </c>
      <c r="AI984" s="197">
        <v>1</v>
      </c>
      <c r="AJ984" s="197">
        <f aca="true" t="shared" si="576" ref="AJ984:AR984">M677</f>
        <v>0</v>
      </c>
      <c r="AK984" s="197">
        <f t="shared" si="576"/>
        <v>0.54902</v>
      </c>
      <c r="AL984" s="197">
        <f t="shared" si="576"/>
        <v>0.00784</v>
      </c>
      <c r="AM984" s="197">
        <f t="shared" si="576"/>
        <v>0.02745</v>
      </c>
      <c r="AN984" s="197">
        <f t="shared" si="576"/>
        <v>0.41569</v>
      </c>
      <c r="AO984" s="197">
        <f t="shared" si="576"/>
        <v>0</v>
      </c>
      <c r="AP984" s="197">
        <f t="shared" si="576"/>
        <v>0</v>
      </c>
      <c r="AQ984" s="197">
        <f t="shared" si="576"/>
        <v>0</v>
      </c>
      <c r="AR984" s="197">
        <f t="shared" si="576"/>
        <v>0</v>
      </c>
    </row>
    <row r="986" spans="31:44" ht="12">
      <c r="AE986" s="123">
        <f>AE984+1</f>
        <v>15</v>
      </c>
      <c r="AF986" s="138" t="str">
        <f>B678</f>
        <v>ACCOUNT 376 MAINS - COMPOSITE/PLANT</v>
      </c>
      <c r="AH986" s="123">
        <f>A678</f>
        <v>18</v>
      </c>
      <c r="AI986" s="123">
        <f>L678</f>
        <v>122572927</v>
      </c>
      <c r="AJ986" s="123">
        <f aca="true" t="shared" si="577" ref="AJ986:AR986">C678</f>
        <v>45620418</v>
      </c>
      <c r="AK986" s="123">
        <f t="shared" si="577"/>
        <v>29102490</v>
      </c>
      <c r="AL986" s="123">
        <f t="shared" si="577"/>
        <v>116444</v>
      </c>
      <c r="AM986" s="123">
        <f t="shared" si="577"/>
        <v>0</v>
      </c>
      <c r="AN986" s="123">
        <f t="shared" si="577"/>
        <v>47733575</v>
      </c>
      <c r="AO986" s="123">
        <f t="shared" si="577"/>
        <v>0</v>
      </c>
      <c r="AP986" s="123">
        <f t="shared" si="577"/>
        <v>0</v>
      </c>
      <c r="AQ986" s="123">
        <f t="shared" si="577"/>
        <v>0</v>
      </c>
      <c r="AR986" s="123">
        <f t="shared" si="577"/>
        <v>0</v>
      </c>
    </row>
    <row r="987" spans="31:44" ht="12">
      <c r="AE987" s="123">
        <f>AE986+1</f>
        <v>16</v>
      </c>
      <c r="AF987" s="123" t="s">
        <v>487</v>
      </c>
      <c r="AI987" s="197">
        <v>1</v>
      </c>
      <c r="AJ987" s="197">
        <f aca="true" t="shared" si="578" ref="AJ987:AR987">M678</f>
        <v>0.37219</v>
      </c>
      <c r="AK987" s="197">
        <f t="shared" si="578"/>
        <v>0.23743</v>
      </c>
      <c r="AL987" s="197">
        <f t="shared" si="578"/>
        <v>0.00095</v>
      </c>
      <c r="AM987" s="197">
        <f t="shared" si="578"/>
        <v>0</v>
      </c>
      <c r="AN987" s="197">
        <f t="shared" si="578"/>
        <v>0.38943</v>
      </c>
      <c r="AO987" s="197">
        <f t="shared" si="578"/>
        <v>0</v>
      </c>
      <c r="AP987" s="197">
        <f t="shared" si="578"/>
        <v>0</v>
      </c>
      <c r="AQ987" s="197">
        <f t="shared" si="578"/>
        <v>0</v>
      </c>
      <c r="AR987" s="197">
        <f t="shared" si="578"/>
        <v>0</v>
      </c>
    </row>
    <row r="989" spans="31:44" ht="12">
      <c r="AE989" s="123">
        <f>AE987+1</f>
        <v>17</v>
      </c>
      <c r="AF989" s="138" t="str">
        <f>B679</f>
        <v>TOTAL PLANT</v>
      </c>
      <c r="AH989" s="123">
        <f>A679</f>
        <v>19</v>
      </c>
      <c r="AI989" s="123">
        <f>L679</f>
        <v>250010568</v>
      </c>
      <c r="AJ989" s="123">
        <f aca="true" t="shared" si="579" ref="AJ989:AR989">C679</f>
        <v>140329106</v>
      </c>
      <c r="AK989" s="123">
        <f t="shared" si="579"/>
        <v>52380489</v>
      </c>
      <c r="AL989" s="123">
        <f t="shared" si="579"/>
        <v>164117</v>
      </c>
      <c r="AM989" s="123">
        <f t="shared" si="579"/>
        <v>109018</v>
      </c>
      <c r="AN989" s="123">
        <f t="shared" si="579"/>
        <v>57027838</v>
      </c>
      <c r="AO989" s="123">
        <f t="shared" si="579"/>
        <v>0</v>
      </c>
      <c r="AP989" s="123">
        <f t="shared" si="579"/>
        <v>0</v>
      </c>
      <c r="AQ989" s="123">
        <f t="shared" si="579"/>
        <v>0</v>
      </c>
      <c r="AR989" s="123">
        <f t="shared" si="579"/>
        <v>0</v>
      </c>
    </row>
    <row r="990" spans="31:44" ht="12">
      <c r="AE990" s="123">
        <f>AE989+1</f>
        <v>18</v>
      </c>
      <c r="AF990" s="123" t="s">
        <v>487</v>
      </c>
      <c r="AI990" s="197">
        <v>1</v>
      </c>
      <c r="AJ990" s="197">
        <f aca="true" t="shared" si="580" ref="AJ990:AR990">M679</f>
        <v>0.56129</v>
      </c>
      <c r="AK990" s="197">
        <f t="shared" si="580"/>
        <v>0.20951</v>
      </c>
      <c r="AL990" s="197">
        <f t="shared" si="580"/>
        <v>0.00066</v>
      </c>
      <c r="AM990" s="197">
        <f t="shared" si="580"/>
        <v>0.00044</v>
      </c>
      <c r="AN990" s="197">
        <f t="shared" si="580"/>
        <v>0.2281</v>
      </c>
      <c r="AO990" s="197">
        <f t="shared" si="580"/>
        <v>0</v>
      </c>
      <c r="AP990" s="197">
        <f t="shared" si="580"/>
        <v>0</v>
      </c>
      <c r="AQ990" s="197">
        <f t="shared" si="580"/>
        <v>0</v>
      </c>
      <c r="AR990" s="197">
        <f t="shared" si="580"/>
        <v>0</v>
      </c>
    </row>
    <row r="991" ht="12">
      <c r="AO991" s="209"/>
    </row>
    <row r="992" spans="31:44" ht="12">
      <c r="AE992" s="123">
        <f>AE990+1</f>
        <v>19</v>
      </c>
      <c r="AF992" s="138" t="str">
        <f>B680</f>
        <v>AVG DEM/COM #5 &amp; CUS/DEM #3</v>
      </c>
      <c r="AH992" s="123">
        <f>A680</f>
        <v>20</v>
      </c>
      <c r="AI992" s="207">
        <f>L680</f>
        <v>1.00001</v>
      </c>
      <c r="AJ992" s="207">
        <f aca="true" t="shared" si="581" ref="AJ992:AQ992">C680</f>
        <v>0.54816</v>
      </c>
      <c r="AK992" s="207">
        <f t="shared" si="581"/>
        <v>0.19964</v>
      </c>
      <c r="AL992" s="207">
        <f t="shared" si="581"/>
        <v>0.00068</v>
      </c>
      <c r="AM992" s="207">
        <f t="shared" si="581"/>
        <v>0</v>
      </c>
      <c r="AN992" s="207">
        <f>G680</f>
        <v>0.25153</v>
      </c>
      <c r="AO992" s="207">
        <f t="shared" si="581"/>
        <v>0</v>
      </c>
      <c r="AP992" s="207">
        <f t="shared" si="581"/>
        <v>0</v>
      </c>
      <c r="AQ992" s="207">
        <f t="shared" si="581"/>
        <v>0</v>
      </c>
      <c r="AR992" s="207">
        <f>K680</f>
        <v>0</v>
      </c>
    </row>
    <row r="993" spans="31:44" ht="12">
      <c r="AE993" s="123">
        <f>AE992+1</f>
        <v>20</v>
      </c>
      <c r="AF993" s="123" t="s">
        <v>487</v>
      </c>
      <c r="AI993" s="197">
        <v>1</v>
      </c>
      <c r="AJ993" s="197">
        <f aca="true" t="shared" si="582" ref="AJ993:AR993">M680</f>
        <v>0.54815</v>
      </c>
      <c r="AK993" s="197">
        <f t="shared" si="582"/>
        <v>0.19964</v>
      </c>
      <c r="AL993" s="197">
        <f t="shared" si="582"/>
        <v>0.00068</v>
      </c>
      <c r="AM993" s="197">
        <f t="shared" si="582"/>
        <v>0</v>
      </c>
      <c r="AN993" s="197">
        <f t="shared" si="582"/>
        <v>0.25153</v>
      </c>
      <c r="AO993" s="197">
        <f t="shared" si="582"/>
        <v>0</v>
      </c>
      <c r="AP993" s="197">
        <f t="shared" si="582"/>
        <v>0</v>
      </c>
      <c r="AQ993" s="197">
        <f t="shared" si="582"/>
        <v>0</v>
      </c>
      <c r="AR993" s="197">
        <f t="shared" si="582"/>
        <v>0</v>
      </c>
    </row>
    <row r="994" spans="31:37" ht="12">
      <c r="AE994" s="123" t="s">
        <v>488</v>
      </c>
      <c r="AK994" s="123" t="str">
        <f>AK957</f>
        <v> </v>
      </c>
    </row>
    <row r="995" spans="34:41" ht="12">
      <c r="AH995" s="123" t="str">
        <f>"              "&amp;+$B$24</f>
        <v>              COLUMBIA GAS OF KENTUCKY, INC.</v>
      </c>
      <c r="AO995" s="166" t="str">
        <f>AO1075</f>
        <v>ATTACHMENT 1</v>
      </c>
    </row>
    <row r="996" spans="31:41" ht="12">
      <c r="AE996" s="123" t="str">
        <f>$B$30</f>
        <v>DEMAND-COMMODITY</v>
      </c>
      <c r="AI996" s="123" t="s">
        <v>489</v>
      </c>
      <c r="AO996" s="166" t="s">
        <v>490</v>
      </c>
    </row>
    <row r="997" spans="31:44" ht="12">
      <c r="AE997" s="128" t="str">
        <f>$B$29</f>
        <v>HISTORIC PERIOD - ORIGINAL FILING</v>
      </c>
      <c r="AF997" s="128"/>
      <c r="AG997" s="128"/>
      <c r="AH997" s="128" t="str">
        <f>"          FOR THE TWELVE MONTHS ENDED "&amp;$B$27</f>
        <v>          FOR THE TWELVE MONTHS ENDED 09/30/2006</v>
      </c>
      <c r="AI997" s="128"/>
      <c r="AJ997" s="128"/>
      <c r="AK997" s="128"/>
      <c r="AL997" s="128"/>
      <c r="AM997" s="128"/>
      <c r="AN997" s="128"/>
      <c r="AO997" s="128" t="str">
        <f>"WITNESS: "&amp;$B$28</f>
        <v>WITNESS: R. GIBBONS</v>
      </c>
      <c r="AP997" s="128"/>
      <c r="AQ997" s="128"/>
      <c r="AR997" s="128"/>
    </row>
    <row r="998" spans="31:35" ht="12">
      <c r="AE998" s="125" t="s">
        <v>9</v>
      </c>
      <c r="AF998" s="123" t="s">
        <v>10</v>
      </c>
      <c r="AH998" s="125" t="s">
        <v>11</v>
      </c>
      <c r="AI998" s="125" t="s">
        <v>12</v>
      </c>
    </row>
    <row r="999" spans="31:44" ht="12">
      <c r="AE999" s="133" t="s">
        <v>13</v>
      </c>
      <c r="AF999" s="133" t="s">
        <v>13</v>
      </c>
      <c r="AG999" s="133" t="str">
        <f>"                         ACCOUNT TITLE                "</f>
        <v>                         ACCOUNT TITLE                </v>
      </c>
      <c r="AH999" s="141" t="s">
        <v>14</v>
      </c>
      <c r="AI999" s="133" t="s">
        <v>15</v>
      </c>
      <c r="AJ999" s="141" t="str">
        <f>"  "&amp;+$C$35</f>
        <v>  GS-RES.</v>
      </c>
      <c r="AK999" s="141" t="str">
        <f>$C$36</f>
        <v>GS-OTHER</v>
      </c>
      <c r="AL999" s="133" t="str">
        <f>$C$37</f>
        <v>IUS</v>
      </c>
      <c r="AM999" s="133" t="str">
        <f>$C$38</f>
        <v>DS-ML/SC</v>
      </c>
      <c r="AN999" s="133" t="str">
        <f>$C$39</f>
        <v>DS/IS/SS</v>
      </c>
      <c r="AO999" s="133" t="str">
        <f>$C$40</f>
        <v>NOT USED</v>
      </c>
      <c r="AP999" s="133" t="str">
        <f>$C$41</f>
        <v>NOT USED</v>
      </c>
      <c r="AQ999" s="133" t="str">
        <f>$C$42</f>
        <v>NOT USED</v>
      </c>
      <c r="AR999" s="133" t="str">
        <f>$C$43</f>
        <v>NOT USED</v>
      </c>
    </row>
    <row r="1000" spans="32:44" ht="12">
      <c r="AF1000" s="136" t="s">
        <v>17</v>
      </c>
      <c r="AG1000" s="136" t="s">
        <v>18</v>
      </c>
      <c r="AH1000" s="125" t="s">
        <v>19</v>
      </c>
      <c r="AI1000" s="125" t="s">
        <v>20</v>
      </c>
      <c r="AJ1000" s="125" t="s">
        <v>21</v>
      </c>
      <c r="AK1000" s="125" t="s">
        <v>22</v>
      </c>
      <c r="AL1000" s="125" t="s">
        <v>23</v>
      </c>
      <c r="AM1000" s="125" t="s">
        <v>24</v>
      </c>
      <c r="AN1000" s="125" t="s">
        <v>25</v>
      </c>
      <c r="AO1000" s="125" t="s">
        <v>26</v>
      </c>
      <c r="AP1000" s="125" t="s">
        <v>27</v>
      </c>
      <c r="AQ1000" s="125" t="s">
        <v>28</v>
      </c>
      <c r="AR1000" s="125" t="s">
        <v>29</v>
      </c>
    </row>
    <row r="1001" spans="35:44" ht="12">
      <c r="AI1001" s="125" t="s">
        <v>32</v>
      </c>
      <c r="AJ1001" s="125" t="s">
        <v>32</v>
      </c>
      <c r="AK1001" s="125" t="s">
        <v>32</v>
      </c>
      <c r="AL1001" s="125" t="s">
        <v>32</v>
      </c>
      <c r="AM1001" s="125" t="s">
        <v>32</v>
      </c>
      <c r="AN1001" s="125" t="s">
        <v>32</v>
      </c>
      <c r="AO1001" s="125" t="s">
        <v>32</v>
      </c>
      <c r="AP1001" s="125" t="s">
        <v>32</v>
      </c>
      <c r="AQ1001" s="125" t="s">
        <v>32</v>
      </c>
      <c r="AR1001" s="125" t="s">
        <v>32</v>
      </c>
    </row>
    <row r="1002" spans="31:44" ht="12">
      <c r="AE1002" s="123">
        <v>1</v>
      </c>
      <c r="AF1002" s="123" t="str">
        <f>AF412</f>
        <v>874</v>
      </c>
      <c r="AG1002" s="123" t="str">
        <f>AG412&amp;+" [1]"</f>
        <v>MAINS &amp; SERVICES [1]</v>
      </c>
      <c r="AH1002" s="123">
        <f>AH412</f>
        <v>14</v>
      </c>
      <c r="AI1002" s="123">
        <f aca="true" t="shared" si="583" ref="AI1002:AR1002">ROUND($D$557*(AI412+AI520),0)</f>
        <v>1028034</v>
      </c>
      <c r="AJ1002" s="123">
        <f t="shared" si="583"/>
        <v>586637</v>
      </c>
      <c r="AK1002" s="123">
        <f t="shared" si="583"/>
        <v>190556</v>
      </c>
      <c r="AL1002" s="123">
        <f t="shared" si="583"/>
        <v>617</v>
      </c>
      <c r="AM1002" s="123">
        <f t="shared" si="583"/>
        <v>0</v>
      </c>
      <c r="AN1002" s="123">
        <f t="shared" si="583"/>
        <v>250223</v>
      </c>
      <c r="AO1002" s="123">
        <f t="shared" si="583"/>
        <v>0</v>
      </c>
      <c r="AP1002" s="123">
        <f t="shared" si="583"/>
        <v>0</v>
      </c>
      <c r="AQ1002" s="123">
        <f t="shared" si="583"/>
        <v>0</v>
      </c>
      <c r="AR1002" s="123">
        <f t="shared" si="583"/>
        <v>0</v>
      </c>
    </row>
    <row r="1004" spans="31:44" ht="12">
      <c r="AE1004" s="123">
        <f>AE1002+1</f>
        <v>2</v>
      </c>
      <c r="AF1004" s="123" t="str">
        <f>AF425</f>
        <v>887</v>
      </c>
      <c r="AG1004" s="123" t="str">
        <f>AG425&amp;+" [1]"</f>
        <v>MAINS [1]</v>
      </c>
      <c r="AH1004" s="123">
        <f>AH425</f>
        <v>18</v>
      </c>
      <c r="AI1004" s="123">
        <f aca="true" t="shared" si="584" ref="AI1004:AR1004">ROUND($D$557*(AI425+AI533),0)</f>
        <v>704368</v>
      </c>
      <c r="AJ1004" s="123">
        <f t="shared" si="584"/>
        <v>262159</v>
      </c>
      <c r="AK1004" s="123">
        <f t="shared" si="584"/>
        <v>167238</v>
      </c>
      <c r="AL1004" s="123">
        <f t="shared" si="584"/>
        <v>669</v>
      </c>
      <c r="AM1004" s="123">
        <f t="shared" si="584"/>
        <v>0</v>
      </c>
      <c r="AN1004" s="123">
        <f t="shared" si="584"/>
        <v>274302</v>
      </c>
      <c r="AO1004" s="123">
        <f t="shared" si="584"/>
        <v>0</v>
      </c>
      <c r="AP1004" s="123">
        <f t="shared" si="584"/>
        <v>0</v>
      </c>
      <c r="AQ1004" s="123">
        <f t="shared" si="584"/>
        <v>0</v>
      </c>
      <c r="AR1004" s="123">
        <f t="shared" si="584"/>
        <v>0</v>
      </c>
    </row>
    <row r="1006" spans="31:44" ht="12">
      <c r="AE1006" s="123">
        <f>AE1004+1</f>
        <v>3</v>
      </c>
      <c r="AF1006" s="123" t="str">
        <f>AF428</f>
        <v>892</v>
      </c>
      <c r="AG1006" s="123" t="str">
        <f>AG428&amp;+" [2]"</f>
        <v>SERVICES [2]</v>
      </c>
      <c r="AH1006" s="123">
        <f>AH428</f>
        <v>15</v>
      </c>
      <c r="AI1006" s="123">
        <f aca="true" t="shared" si="585" ref="AI1006:AR1006">ROUND($D558*(AI428+AI536),0)</f>
        <v>295191</v>
      </c>
      <c r="AJ1006" s="123">
        <f t="shared" si="585"/>
        <v>265034</v>
      </c>
      <c r="AK1006" s="123">
        <f t="shared" si="585"/>
        <v>29377</v>
      </c>
      <c r="AL1006" s="123">
        <f t="shared" si="585"/>
        <v>3</v>
      </c>
      <c r="AM1006" s="123">
        <f t="shared" si="585"/>
        <v>0</v>
      </c>
      <c r="AN1006" s="123">
        <f t="shared" si="585"/>
        <v>777</v>
      </c>
      <c r="AO1006" s="123">
        <f t="shared" si="585"/>
        <v>0</v>
      </c>
      <c r="AP1006" s="123">
        <f t="shared" si="585"/>
        <v>0</v>
      </c>
      <c r="AQ1006" s="123">
        <f t="shared" si="585"/>
        <v>0</v>
      </c>
      <c r="AR1006" s="123">
        <f t="shared" si="585"/>
        <v>0</v>
      </c>
    </row>
    <row r="1008" spans="31:44" ht="12">
      <c r="AE1008" s="123">
        <f>AE1006+1</f>
        <v>4</v>
      </c>
      <c r="AF1008" s="123" t="str">
        <f>AF415</f>
        <v>878</v>
      </c>
      <c r="AG1008" s="123" t="str">
        <f>AG415</f>
        <v>METERS &amp; HOUSE REGULATORS</v>
      </c>
      <c r="AH1008" s="123">
        <f>AH415</f>
        <v>16</v>
      </c>
      <c r="AI1008" s="123">
        <f aca="true" t="shared" si="586" ref="AI1008:AR1008">AI415+AI523</f>
        <v>1516785</v>
      </c>
      <c r="AJ1008" s="123">
        <f t="shared" si="586"/>
        <v>943455</v>
      </c>
      <c r="AK1008" s="123">
        <f t="shared" si="586"/>
        <v>544966</v>
      </c>
      <c r="AL1008" s="123">
        <f t="shared" si="586"/>
        <v>364</v>
      </c>
      <c r="AM1008" s="123">
        <f t="shared" si="586"/>
        <v>1790</v>
      </c>
      <c r="AN1008" s="123">
        <f t="shared" si="586"/>
        <v>26210</v>
      </c>
      <c r="AO1008" s="123">
        <f t="shared" si="586"/>
        <v>0</v>
      </c>
      <c r="AP1008" s="123">
        <f t="shared" si="586"/>
        <v>0</v>
      </c>
      <c r="AQ1008" s="123">
        <f t="shared" si="586"/>
        <v>0</v>
      </c>
      <c r="AR1008" s="123">
        <f t="shared" si="586"/>
        <v>0</v>
      </c>
    </row>
    <row r="1010" spans="31:44" ht="12">
      <c r="AE1010" s="123">
        <f>AE1008+1</f>
        <v>5</v>
      </c>
      <c r="AF1010" s="123" t="str">
        <f>AF429</f>
        <v>893</v>
      </c>
      <c r="AG1010" s="123" t="str">
        <f>AG429</f>
        <v>METERS &amp; HOUSE REGULATORS</v>
      </c>
      <c r="AH1010" s="123">
        <f>AH429</f>
        <v>16</v>
      </c>
      <c r="AI1010" s="123">
        <f aca="true" t="shared" si="587" ref="AI1010:AR1010">AI429+AI537</f>
        <v>148060</v>
      </c>
      <c r="AJ1010" s="123">
        <f t="shared" si="587"/>
        <v>92095</v>
      </c>
      <c r="AK1010" s="123">
        <f t="shared" si="587"/>
        <v>53196</v>
      </c>
      <c r="AL1010" s="123">
        <f t="shared" si="587"/>
        <v>36</v>
      </c>
      <c r="AM1010" s="123">
        <f t="shared" si="587"/>
        <v>175</v>
      </c>
      <c r="AN1010" s="123">
        <f t="shared" si="587"/>
        <v>2558</v>
      </c>
      <c r="AO1010" s="123">
        <f t="shared" si="587"/>
        <v>0</v>
      </c>
      <c r="AP1010" s="123">
        <f t="shared" si="587"/>
        <v>0</v>
      </c>
      <c r="AQ1010" s="123">
        <f t="shared" si="587"/>
        <v>0</v>
      </c>
      <c r="AR1010" s="123">
        <f t="shared" si="587"/>
        <v>0</v>
      </c>
    </row>
    <row r="1012" spans="31:44" ht="12">
      <c r="AE1012" s="123">
        <f>AE1010+1</f>
        <v>6</v>
      </c>
      <c r="AF1012" s="123" t="str">
        <f>AF414</f>
        <v>876</v>
      </c>
      <c r="AG1012" s="123" t="str">
        <f>AG414</f>
        <v>M &amp; R - INDUSTRIAL</v>
      </c>
      <c r="AH1012" s="123">
        <f>AH414</f>
        <v>8</v>
      </c>
      <c r="AI1012" s="123">
        <f aca="true" t="shared" si="588" ref="AI1012:AR1012">AI414+AI522</f>
        <v>36303</v>
      </c>
      <c r="AJ1012" s="123">
        <f t="shared" si="588"/>
        <v>0</v>
      </c>
      <c r="AK1012" s="123">
        <f t="shared" si="588"/>
        <v>19932</v>
      </c>
      <c r="AL1012" s="123">
        <f t="shared" si="588"/>
        <v>284</v>
      </c>
      <c r="AM1012" s="123">
        <f t="shared" si="588"/>
        <v>996</v>
      </c>
      <c r="AN1012" s="123">
        <f t="shared" si="588"/>
        <v>15091</v>
      </c>
      <c r="AO1012" s="123">
        <f t="shared" si="588"/>
        <v>0</v>
      </c>
      <c r="AP1012" s="123">
        <f t="shared" si="588"/>
        <v>0</v>
      </c>
      <c r="AQ1012" s="123">
        <f t="shared" si="588"/>
        <v>0</v>
      </c>
      <c r="AR1012" s="123">
        <f t="shared" si="588"/>
        <v>0</v>
      </c>
    </row>
    <row r="1014" spans="31:44" ht="12">
      <c r="AE1014" s="123">
        <f>AE1012+1</f>
        <v>7</v>
      </c>
      <c r="AF1014" s="123" t="str">
        <f>AF427</f>
        <v>890</v>
      </c>
      <c r="AG1014" s="123" t="str">
        <f>AG427</f>
        <v>M &amp; R - INDUSTRIAL</v>
      </c>
      <c r="AH1014" s="123">
        <f>AH427</f>
        <v>8</v>
      </c>
      <c r="AI1014" s="123">
        <f aca="true" t="shared" si="589" ref="AI1014:AR1014">AI427+AI535</f>
        <v>120000</v>
      </c>
      <c r="AJ1014" s="123">
        <f t="shared" si="589"/>
        <v>0</v>
      </c>
      <c r="AK1014" s="123">
        <f t="shared" si="589"/>
        <v>65883</v>
      </c>
      <c r="AL1014" s="123">
        <f t="shared" si="589"/>
        <v>941</v>
      </c>
      <c r="AM1014" s="123">
        <f t="shared" si="589"/>
        <v>3294</v>
      </c>
      <c r="AN1014" s="123">
        <f t="shared" si="589"/>
        <v>49883</v>
      </c>
      <c r="AO1014" s="123">
        <f t="shared" si="589"/>
        <v>0</v>
      </c>
      <c r="AP1014" s="123">
        <f t="shared" si="589"/>
        <v>0</v>
      </c>
      <c r="AQ1014" s="123">
        <f t="shared" si="589"/>
        <v>0</v>
      </c>
      <c r="AR1014" s="123">
        <f t="shared" si="589"/>
        <v>0</v>
      </c>
    </row>
    <row r="1016" spans="31:44" ht="12">
      <c r="AE1016" s="123">
        <f>AE1014+1</f>
        <v>8</v>
      </c>
      <c r="AF1016" s="123" t="str">
        <f>AF416</f>
        <v>879</v>
      </c>
      <c r="AG1016" s="123" t="str">
        <f>AG416</f>
        <v>CUSTOMER INSTALLATION </v>
      </c>
      <c r="AH1016" s="123">
        <f>AH416</f>
        <v>16</v>
      </c>
      <c r="AI1016" s="141">
        <f aca="true" t="shared" si="590" ref="AI1016:AR1016">AI416+AI524</f>
        <v>1044203</v>
      </c>
      <c r="AJ1016" s="141">
        <f t="shared" si="590"/>
        <v>649505</v>
      </c>
      <c r="AK1016" s="141">
        <f t="shared" si="590"/>
        <v>375171</v>
      </c>
      <c r="AL1016" s="141">
        <f t="shared" si="590"/>
        <v>251</v>
      </c>
      <c r="AM1016" s="141">
        <f t="shared" si="590"/>
        <v>1232</v>
      </c>
      <c r="AN1016" s="141">
        <f t="shared" si="590"/>
        <v>18044</v>
      </c>
      <c r="AO1016" s="141">
        <f t="shared" si="590"/>
        <v>0</v>
      </c>
      <c r="AP1016" s="141">
        <f t="shared" si="590"/>
        <v>0</v>
      </c>
      <c r="AQ1016" s="141">
        <f t="shared" si="590"/>
        <v>0</v>
      </c>
      <c r="AR1016" s="141">
        <f t="shared" si="590"/>
        <v>0</v>
      </c>
    </row>
    <row r="1018" spans="31:44" ht="12">
      <c r="AE1018" s="123">
        <f>AE1016+1</f>
        <v>9</v>
      </c>
      <c r="AG1018" s="123" t="s">
        <v>491</v>
      </c>
      <c r="AI1018" s="123">
        <f aca="true" t="shared" si="591" ref="AI1018:AR1018">SUM(AI1002:AI1016)</f>
        <v>4892944</v>
      </c>
      <c r="AJ1018" s="123">
        <f t="shared" si="591"/>
        <v>2798885</v>
      </c>
      <c r="AK1018" s="123">
        <f t="shared" si="591"/>
        <v>1446319</v>
      </c>
      <c r="AL1018" s="123">
        <f t="shared" si="591"/>
        <v>3165</v>
      </c>
      <c r="AM1018" s="123">
        <f t="shared" si="591"/>
        <v>7487</v>
      </c>
      <c r="AN1018" s="123">
        <f t="shared" si="591"/>
        <v>637088</v>
      </c>
      <c r="AO1018" s="123">
        <f t="shared" si="591"/>
        <v>0</v>
      </c>
      <c r="AP1018" s="123">
        <f t="shared" si="591"/>
        <v>0</v>
      </c>
      <c r="AQ1018" s="123">
        <f t="shared" si="591"/>
        <v>0</v>
      </c>
      <c r="AR1018" s="123">
        <f t="shared" si="591"/>
        <v>0</v>
      </c>
    </row>
    <row r="1020" spans="31:44" ht="12">
      <c r="AE1020" s="123">
        <f>AE1018+1</f>
        <v>10</v>
      </c>
      <c r="AF1020" s="123" t="str">
        <f>AF443</f>
        <v>901</v>
      </c>
      <c r="AG1020" s="123" t="str">
        <f>AG443</f>
        <v>SUPERVISION</v>
      </c>
      <c r="AH1020" s="123">
        <f>AH443</f>
        <v>6</v>
      </c>
      <c r="AI1020" s="123">
        <f aca="true" t="shared" si="592" ref="AI1020:AR1020">AI443+AI552</f>
        <v>6706</v>
      </c>
      <c r="AJ1020" s="123">
        <f t="shared" si="592"/>
        <v>6000</v>
      </c>
      <c r="AK1020" s="123">
        <f t="shared" si="592"/>
        <v>702</v>
      </c>
      <c r="AL1020" s="123">
        <f t="shared" si="592"/>
        <v>0</v>
      </c>
      <c r="AM1020" s="123">
        <f t="shared" si="592"/>
        <v>0</v>
      </c>
      <c r="AN1020" s="123">
        <f t="shared" si="592"/>
        <v>4</v>
      </c>
      <c r="AO1020" s="123">
        <f t="shared" si="592"/>
        <v>0</v>
      </c>
      <c r="AP1020" s="123">
        <f t="shared" si="592"/>
        <v>0</v>
      </c>
      <c r="AQ1020" s="123">
        <f t="shared" si="592"/>
        <v>0</v>
      </c>
      <c r="AR1020" s="123">
        <f t="shared" si="592"/>
        <v>0</v>
      </c>
    </row>
    <row r="1022" spans="31:44" ht="12">
      <c r="AE1022" s="123">
        <f>AE1020+1</f>
        <v>11</v>
      </c>
      <c r="AF1022" s="123" t="str">
        <f>AF444</f>
        <v>902</v>
      </c>
      <c r="AG1022" s="123" t="str">
        <f>AG444</f>
        <v>METER READING</v>
      </c>
      <c r="AH1022" s="123">
        <f>AH444</f>
        <v>6</v>
      </c>
      <c r="AI1022" s="123">
        <f aca="true" t="shared" si="593" ref="AI1022:AR1022">AI444+AI553</f>
        <v>1105664</v>
      </c>
      <c r="AJ1022" s="123">
        <f t="shared" si="593"/>
        <v>989215</v>
      </c>
      <c r="AK1022" s="123">
        <f t="shared" si="593"/>
        <v>115741</v>
      </c>
      <c r="AL1022" s="123">
        <f t="shared" si="593"/>
        <v>11</v>
      </c>
      <c r="AM1022" s="123">
        <f t="shared" si="593"/>
        <v>44</v>
      </c>
      <c r="AN1022" s="123">
        <f t="shared" si="593"/>
        <v>652</v>
      </c>
      <c r="AO1022" s="123">
        <f t="shared" si="593"/>
        <v>0</v>
      </c>
      <c r="AP1022" s="123">
        <f t="shared" si="593"/>
        <v>0</v>
      </c>
      <c r="AQ1022" s="123">
        <f t="shared" si="593"/>
        <v>0</v>
      </c>
      <c r="AR1022" s="123">
        <f t="shared" si="593"/>
        <v>0</v>
      </c>
    </row>
    <row r="1024" spans="31:44" ht="12">
      <c r="AE1024" s="123">
        <f>AE1022+1</f>
        <v>12</v>
      </c>
      <c r="AF1024" s="123" t="str">
        <f>AF445</f>
        <v>903</v>
      </c>
      <c r="AG1024" s="123" t="str">
        <f>AG445</f>
        <v>CUSTOMER RECORDS &amp; COLLECTIONS</v>
      </c>
      <c r="AH1024" s="123">
        <f>AH445</f>
        <v>6</v>
      </c>
      <c r="AI1024" s="123">
        <f aca="true" t="shared" si="594" ref="AI1024:AR1024">AI445+AI554</f>
        <v>1427727</v>
      </c>
      <c r="AJ1024" s="123">
        <f t="shared" si="594"/>
        <v>1277358</v>
      </c>
      <c r="AK1024" s="123">
        <f t="shared" si="594"/>
        <v>149455</v>
      </c>
      <c r="AL1024" s="123">
        <f t="shared" si="594"/>
        <v>14</v>
      </c>
      <c r="AM1024" s="123">
        <f t="shared" si="594"/>
        <v>57</v>
      </c>
      <c r="AN1024" s="123">
        <f t="shared" si="594"/>
        <v>842</v>
      </c>
      <c r="AO1024" s="123">
        <f t="shared" si="594"/>
        <v>0</v>
      </c>
      <c r="AP1024" s="123">
        <f t="shared" si="594"/>
        <v>0</v>
      </c>
      <c r="AQ1024" s="123">
        <f t="shared" si="594"/>
        <v>0</v>
      </c>
      <c r="AR1024" s="123">
        <f t="shared" si="594"/>
        <v>0</v>
      </c>
    </row>
    <row r="1026" spans="31:44" ht="12">
      <c r="AE1026" s="123">
        <f>AE1024+1</f>
        <v>13</v>
      </c>
      <c r="AF1026" s="123" t="str">
        <f>AF446</f>
        <v>904</v>
      </c>
      <c r="AG1026" s="123" t="str">
        <f>AG446</f>
        <v>UNCOLLECTIBLE ACCOUNTS</v>
      </c>
      <c r="AI1026" s="123">
        <f aca="true" t="shared" si="595" ref="AI1026:AR1026">AI446+AI555</f>
        <v>1646995</v>
      </c>
      <c r="AJ1026" s="123">
        <f t="shared" si="595"/>
        <v>1473533</v>
      </c>
      <c r="AK1026" s="123">
        <f t="shared" si="595"/>
        <v>172407</v>
      </c>
      <c r="AL1026" s="123">
        <f t="shared" si="595"/>
        <v>16</v>
      </c>
      <c r="AM1026" s="123">
        <f t="shared" si="595"/>
        <v>66</v>
      </c>
      <c r="AN1026" s="123">
        <f t="shared" si="595"/>
        <v>972</v>
      </c>
      <c r="AO1026" s="123">
        <f t="shared" si="595"/>
        <v>0</v>
      </c>
      <c r="AP1026" s="123">
        <f t="shared" si="595"/>
        <v>0</v>
      </c>
      <c r="AQ1026" s="123">
        <f t="shared" si="595"/>
        <v>0</v>
      </c>
      <c r="AR1026" s="123">
        <f t="shared" si="595"/>
        <v>0</v>
      </c>
    </row>
    <row r="1028" spans="31:44" ht="12">
      <c r="AE1028" s="123">
        <f>AE1026+1</f>
        <v>14</v>
      </c>
      <c r="AF1028" s="123" t="str">
        <f>AF447</f>
        <v>905</v>
      </c>
      <c r="AG1028" s="123" t="str">
        <f>AG447</f>
        <v>MISC.</v>
      </c>
      <c r="AH1028" s="123">
        <f>AH447</f>
        <v>6</v>
      </c>
      <c r="AI1028" s="123">
        <f aca="true" t="shared" si="596" ref="AI1028:AR1028">AI447+AI556</f>
        <v>6561</v>
      </c>
      <c r="AJ1028" s="123">
        <f t="shared" si="596"/>
        <v>5870</v>
      </c>
      <c r="AK1028" s="123">
        <f t="shared" si="596"/>
        <v>687</v>
      </c>
      <c r="AL1028" s="123">
        <f t="shared" si="596"/>
        <v>0</v>
      </c>
      <c r="AM1028" s="123">
        <f t="shared" si="596"/>
        <v>0</v>
      </c>
      <c r="AN1028" s="123">
        <f t="shared" si="596"/>
        <v>4</v>
      </c>
      <c r="AO1028" s="123">
        <f t="shared" si="596"/>
        <v>0</v>
      </c>
      <c r="AP1028" s="123">
        <f t="shared" si="596"/>
        <v>0</v>
      </c>
      <c r="AQ1028" s="123">
        <f t="shared" si="596"/>
        <v>0</v>
      </c>
      <c r="AR1028" s="123">
        <f t="shared" si="596"/>
        <v>0</v>
      </c>
    </row>
    <row r="1030" spans="31:44" ht="12">
      <c r="AE1030" s="123">
        <f>AE1028+1</f>
        <v>15</v>
      </c>
      <c r="AF1030" s="123" t="str">
        <f>AF448</f>
        <v>920</v>
      </c>
      <c r="AG1030" s="123" t="str">
        <f>AG448</f>
        <v>SALARIES</v>
      </c>
      <c r="AH1030" s="123">
        <f>AH448</f>
        <v>6</v>
      </c>
      <c r="AI1030" s="123">
        <f aca="true" t="shared" si="597" ref="AI1030:AR1030">AI448+AI557</f>
        <v>0</v>
      </c>
      <c r="AJ1030" s="123">
        <f t="shared" si="597"/>
        <v>0</v>
      </c>
      <c r="AK1030" s="123">
        <f t="shared" si="597"/>
        <v>0</v>
      </c>
      <c r="AL1030" s="123">
        <f t="shared" si="597"/>
        <v>0</v>
      </c>
      <c r="AM1030" s="123">
        <f t="shared" si="597"/>
        <v>0</v>
      </c>
      <c r="AN1030" s="123">
        <f t="shared" si="597"/>
        <v>0</v>
      </c>
      <c r="AO1030" s="123">
        <f t="shared" si="597"/>
        <v>0</v>
      </c>
      <c r="AP1030" s="123">
        <f t="shared" si="597"/>
        <v>0</v>
      </c>
      <c r="AQ1030" s="123">
        <f t="shared" si="597"/>
        <v>0</v>
      </c>
      <c r="AR1030" s="123">
        <f t="shared" si="597"/>
        <v>0</v>
      </c>
    </row>
    <row r="1032" spans="31:44" ht="12">
      <c r="AE1032" s="123">
        <f>AE1030+1</f>
        <v>16</v>
      </c>
      <c r="AF1032" s="123" t="str">
        <f>AF449</f>
        <v>921</v>
      </c>
      <c r="AG1032" s="123" t="str">
        <f>AG449</f>
        <v>OFFICE SUPPLIES AND EXPENSE</v>
      </c>
      <c r="AH1032" s="123">
        <f>AH449</f>
        <v>6</v>
      </c>
      <c r="AI1032" s="123">
        <f aca="true" t="shared" si="598" ref="AI1032:AR1032">AI449+AI558</f>
        <v>521</v>
      </c>
      <c r="AJ1032" s="123">
        <f t="shared" si="598"/>
        <v>466</v>
      </c>
      <c r="AK1032" s="123">
        <f t="shared" si="598"/>
        <v>55</v>
      </c>
      <c r="AL1032" s="123">
        <f t="shared" si="598"/>
        <v>0</v>
      </c>
      <c r="AM1032" s="123">
        <f t="shared" si="598"/>
        <v>0</v>
      </c>
      <c r="AN1032" s="123">
        <f t="shared" si="598"/>
        <v>0</v>
      </c>
      <c r="AO1032" s="123">
        <f t="shared" si="598"/>
        <v>0</v>
      </c>
      <c r="AP1032" s="123">
        <f t="shared" si="598"/>
        <v>0</v>
      </c>
      <c r="AQ1032" s="123">
        <f t="shared" si="598"/>
        <v>0</v>
      </c>
      <c r="AR1032" s="123">
        <f t="shared" si="598"/>
        <v>0</v>
      </c>
    </row>
    <row r="1034" spans="31:44" ht="12">
      <c r="AE1034" s="123">
        <f>AE1032+1</f>
        <v>17</v>
      </c>
      <c r="AF1034" s="123" t="str">
        <f>AF450</f>
        <v>931</v>
      </c>
      <c r="AG1034" s="123" t="str">
        <f>AG450</f>
        <v>RENTS</v>
      </c>
      <c r="AH1034" s="123">
        <f>AH450</f>
        <v>6</v>
      </c>
      <c r="AI1034" s="141">
        <f aca="true" t="shared" si="599" ref="AI1034:AR1034">AI450+AI559</f>
        <v>0</v>
      </c>
      <c r="AJ1034" s="141">
        <f t="shared" si="599"/>
        <v>0</v>
      </c>
      <c r="AK1034" s="141">
        <f t="shared" si="599"/>
        <v>0</v>
      </c>
      <c r="AL1034" s="141">
        <f t="shared" si="599"/>
        <v>0</v>
      </c>
      <c r="AM1034" s="141">
        <f t="shared" si="599"/>
        <v>0</v>
      </c>
      <c r="AN1034" s="141">
        <f t="shared" si="599"/>
        <v>0</v>
      </c>
      <c r="AO1034" s="141">
        <f t="shared" si="599"/>
        <v>0</v>
      </c>
      <c r="AP1034" s="141">
        <f t="shared" si="599"/>
        <v>0</v>
      </c>
      <c r="AQ1034" s="141">
        <f t="shared" si="599"/>
        <v>0</v>
      </c>
      <c r="AR1034" s="141">
        <f t="shared" si="599"/>
        <v>0</v>
      </c>
    </row>
    <row r="1036" spans="31:44" ht="12">
      <c r="AE1036" s="123">
        <f>AE1034+1</f>
        <v>18</v>
      </c>
      <c r="AG1036" s="123" t="s">
        <v>492</v>
      </c>
      <c r="AI1036" s="123">
        <f aca="true" t="shared" si="600" ref="AI1036:AR1036">SUM(AI1020:AI1034)</f>
        <v>4194174</v>
      </c>
      <c r="AJ1036" s="123">
        <f t="shared" si="600"/>
        <v>3752442</v>
      </c>
      <c r="AK1036" s="123">
        <f t="shared" si="600"/>
        <v>439047</v>
      </c>
      <c r="AL1036" s="123">
        <f t="shared" si="600"/>
        <v>41</v>
      </c>
      <c r="AM1036" s="123">
        <f t="shared" si="600"/>
        <v>167</v>
      </c>
      <c r="AN1036" s="123">
        <f t="shared" si="600"/>
        <v>2474</v>
      </c>
      <c r="AO1036" s="123">
        <f t="shared" si="600"/>
        <v>0</v>
      </c>
      <c r="AP1036" s="123">
        <f t="shared" si="600"/>
        <v>0</v>
      </c>
      <c r="AQ1036" s="123">
        <f t="shared" si="600"/>
        <v>0</v>
      </c>
      <c r="AR1036" s="123">
        <f t="shared" si="600"/>
        <v>0</v>
      </c>
    </row>
    <row r="1038" ht="12">
      <c r="AF1038" s="123" t="s">
        <v>493</v>
      </c>
    </row>
    <row r="1040" spans="34:41" ht="12">
      <c r="AH1040" s="123" t="str">
        <f>"             "&amp;+$B$24</f>
        <v>             COLUMBIA GAS OF KENTUCKY, INC.</v>
      </c>
      <c r="AO1040" s="166" t="str">
        <f>AO1075</f>
        <v>ATTACHMENT 1</v>
      </c>
    </row>
    <row r="1041" spans="31:41" ht="12">
      <c r="AE1041" s="123" t="str">
        <f>$B$30</f>
        <v>DEMAND-COMMODITY</v>
      </c>
      <c r="AI1041" s="123" t="s">
        <v>489</v>
      </c>
      <c r="AO1041" s="166" t="s">
        <v>494</v>
      </c>
    </row>
    <row r="1042" spans="31:44" ht="12">
      <c r="AE1042" s="128" t="str">
        <f>$B$29</f>
        <v>HISTORIC PERIOD - ORIGINAL FILING</v>
      </c>
      <c r="AF1042" s="128"/>
      <c r="AG1042" s="128"/>
      <c r="AH1042" s="128" t="str">
        <f>"        FOR THE TWELVE MONTHS ENDED "&amp;$B$27</f>
        <v>        FOR THE TWELVE MONTHS ENDED 09/30/2006</v>
      </c>
      <c r="AI1042" s="128"/>
      <c r="AJ1042" s="128"/>
      <c r="AK1042" s="128"/>
      <c r="AL1042" s="128"/>
      <c r="AM1042" s="128"/>
      <c r="AN1042" s="128"/>
      <c r="AO1042" s="128" t="str">
        <f>"WITNESS: "&amp;$B$28</f>
        <v>WITNESS: R. GIBBONS</v>
      </c>
      <c r="AP1042" s="128"/>
      <c r="AQ1042" s="128"/>
      <c r="AR1042" s="128"/>
    </row>
    <row r="1043" spans="31:35" ht="12">
      <c r="AE1043" s="125" t="s">
        <v>9</v>
      </c>
      <c r="AF1043" s="123" t="s">
        <v>10</v>
      </c>
      <c r="AH1043" s="125" t="s">
        <v>11</v>
      </c>
      <c r="AI1043" s="125" t="s">
        <v>12</v>
      </c>
    </row>
    <row r="1044" spans="31:44" ht="12">
      <c r="AE1044" s="133" t="s">
        <v>13</v>
      </c>
      <c r="AF1044" s="133" t="s">
        <v>13</v>
      </c>
      <c r="AG1044" s="133" t="str">
        <f>"                         ACCOUNT TITLE                "</f>
        <v>                         ACCOUNT TITLE                </v>
      </c>
      <c r="AH1044" s="141" t="s">
        <v>14</v>
      </c>
      <c r="AI1044" s="133" t="s">
        <v>15</v>
      </c>
      <c r="AJ1044" s="141" t="str">
        <f>"  "&amp;+$C$35</f>
        <v>  GS-RES.</v>
      </c>
      <c r="AK1044" s="141" t="str">
        <f>$C$36</f>
        <v>GS-OTHER</v>
      </c>
      <c r="AL1044" s="133" t="str">
        <f>$C$37</f>
        <v>IUS</v>
      </c>
      <c r="AM1044" s="133" t="str">
        <f>$C$38</f>
        <v>DS-ML/SC</v>
      </c>
      <c r="AN1044" s="133" t="str">
        <f>$C$39</f>
        <v>DS/IS/SS</v>
      </c>
      <c r="AO1044" s="133" t="str">
        <f>$C$40</f>
        <v>NOT USED</v>
      </c>
      <c r="AP1044" s="133" t="str">
        <f>$C$41</f>
        <v>NOT USED</v>
      </c>
      <c r="AQ1044" s="133" t="str">
        <f>$C$42</f>
        <v>NOT USED</v>
      </c>
      <c r="AR1044" s="133" t="str">
        <f>$C$43</f>
        <v>NOT USED</v>
      </c>
    </row>
    <row r="1045" spans="32:44" ht="12">
      <c r="AF1045" s="136" t="s">
        <v>17</v>
      </c>
      <c r="AG1045" s="136" t="s">
        <v>18</v>
      </c>
      <c r="AH1045" s="125" t="s">
        <v>19</v>
      </c>
      <c r="AI1045" s="125" t="s">
        <v>20</v>
      </c>
      <c r="AJ1045" s="125" t="s">
        <v>21</v>
      </c>
      <c r="AK1045" s="125" t="s">
        <v>22</v>
      </c>
      <c r="AL1045" s="125" t="s">
        <v>23</v>
      </c>
      <c r="AM1045" s="125" t="s">
        <v>24</v>
      </c>
      <c r="AN1045" s="125" t="s">
        <v>25</v>
      </c>
      <c r="AO1045" s="125" t="s">
        <v>26</v>
      </c>
      <c r="AP1045" s="125" t="s">
        <v>27</v>
      </c>
      <c r="AQ1045" s="125" t="s">
        <v>28</v>
      </c>
      <c r="AR1045" s="125" t="s">
        <v>29</v>
      </c>
    </row>
    <row r="1046" spans="35:37" ht="12">
      <c r="AI1046" s="125" t="s">
        <v>32</v>
      </c>
      <c r="AJ1046" s="125" t="s">
        <v>32</v>
      </c>
      <c r="AK1046" s="125" t="s">
        <v>32</v>
      </c>
    </row>
    <row r="1047" spans="31:44" ht="12">
      <c r="AE1047" s="123">
        <v>1</v>
      </c>
      <c r="AF1047" s="123" t="str">
        <f>AF456</f>
        <v>907</v>
      </c>
      <c r="AG1047" s="123" t="str">
        <f>AG456</f>
        <v>SUPERVISION</v>
      </c>
      <c r="AH1047" s="123">
        <f>AH456</f>
        <v>6</v>
      </c>
      <c r="AI1047" s="123">
        <f>AI456+AI565</f>
        <v>30215</v>
      </c>
      <c r="AJ1047" s="123">
        <f>AJ456+AJ565</f>
        <v>27033</v>
      </c>
      <c r="AK1047" s="123">
        <f>AK456+AK565</f>
        <v>3163</v>
      </c>
      <c r="AL1047" s="123">
        <f aca="true" t="shared" si="601" ref="AL1047:AR1047">AL456+AL565</f>
        <v>0</v>
      </c>
      <c r="AM1047" s="123">
        <f t="shared" si="601"/>
        <v>1</v>
      </c>
      <c r="AN1047" s="123">
        <f t="shared" si="601"/>
        <v>18</v>
      </c>
      <c r="AO1047" s="123">
        <f t="shared" si="601"/>
        <v>0</v>
      </c>
      <c r="AP1047" s="123">
        <f t="shared" si="601"/>
        <v>0</v>
      </c>
      <c r="AQ1047" s="123">
        <f t="shared" si="601"/>
        <v>0</v>
      </c>
      <c r="AR1047" s="123">
        <f t="shared" si="601"/>
        <v>0</v>
      </c>
    </row>
    <row r="1049" spans="31:44" ht="12">
      <c r="AE1049" s="123">
        <f>AE1047+1</f>
        <v>2</v>
      </c>
      <c r="AF1049" s="123" t="str">
        <f>AF457</f>
        <v>908</v>
      </c>
      <c r="AG1049" s="123" t="str">
        <f>AG457</f>
        <v>CUSTOMER ASSISTANCE</v>
      </c>
      <c r="AH1049" s="123">
        <f>AH457</f>
        <v>6</v>
      </c>
      <c r="AI1049" s="123">
        <f>AI457+AI566</f>
        <v>105967</v>
      </c>
      <c r="AJ1049" s="123">
        <f>AJ457+AJ566</f>
        <v>94807</v>
      </c>
      <c r="AK1049" s="123">
        <f>AK457+AK566</f>
        <v>11093</v>
      </c>
      <c r="AL1049" s="123">
        <f aca="true" t="shared" si="602" ref="AL1049:AR1049">AL457+AL566</f>
        <v>1</v>
      </c>
      <c r="AM1049" s="123">
        <f t="shared" si="602"/>
        <v>4</v>
      </c>
      <c r="AN1049" s="123">
        <f t="shared" si="602"/>
        <v>63</v>
      </c>
      <c r="AO1049" s="123">
        <f t="shared" si="602"/>
        <v>0</v>
      </c>
      <c r="AP1049" s="123">
        <f t="shared" si="602"/>
        <v>0</v>
      </c>
      <c r="AQ1049" s="123">
        <f t="shared" si="602"/>
        <v>0</v>
      </c>
      <c r="AR1049" s="123">
        <f t="shared" si="602"/>
        <v>0</v>
      </c>
    </row>
    <row r="1051" spans="31:44" ht="12">
      <c r="AE1051" s="123">
        <f>AE1049+1</f>
        <v>3</v>
      </c>
      <c r="AF1051" s="123" t="str">
        <f>AF458</f>
        <v>909</v>
      </c>
      <c r="AG1051" s="123" t="str">
        <f>AG458</f>
        <v>ADVERTISING</v>
      </c>
      <c r="AH1051" s="123">
        <f>AH458</f>
        <v>6</v>
      </c>
      <c r="AI1051" s="123">
        <f>AI458+AI567</f>
        <v>0</v>
      </c>
      <c r="AJ1051" s="123">
        <f>AJ458+AJ567</f>
        <v>0</v>
      </c>
      <c r="AK1051" s="123">
        <f>AK458+AK567</f>
        <v>0</v>
      </c>
      <c r="AL1051" s="123">
        <f aca="true" t="shared" si="603" ref="AL1051:AR1051">AL458+AL567</f>
        <v>0</v>
      </c>
      <c r="AM1051" s="123">
        <f t="shared" si="603"/>
        <v>0</v>
      </c>
      <c r="AN1051" s="123">
        <f t="shared" si="603"/>
        <v>0</v>
      </c>
      <c r="AO1051" s="123">
        <f t="shared" si="603"/>
        <v>0</v>
      </c>
      <c r="AP1051" s="123">
        <f t="shared" si="603"/>
        <v>0</v>
      </c>
      <c r="AQ1051" s="123">
        <f t="shared" si="603"/>
        <v>0</v>
      </c>
      <c r="AR1051" s="123">
        <f t="shared" si="603"/>
        <v>0</v>
      </c>
    </row>
    <row r="1053" spans="31:44" ht="12">
      <c r="AE1053" s="123">
        <f>AE1051+1</f>
        <v>4</v>
      </c>
      <c r="AF1053" s="123" t="str">
        <f>AF459</f>
        <v>910</v>
      </c>
      <c r="AG1053" s="123" t="str">
        <f>AG459</f>
        <v>MISCELLANEOUS</v>
      </c>
      <c r="AH1053" s="123">
        <f>AH459</f>
        <v>6</v>
      </c>
      <c r="AI1053" s="123">
        <f>AI459+AI568</f>
        <v>165</v>
      </c>
      <c r="AJ1053" s="123">
        <f>AJ459+AJ568</f>
        <v>147</v>
      </c>
      <c r="AK1053" s="123">
        <f>AK459+AK568</f>
        <v>18</v>
      </c>
      <c r="AL1053" s="123">
        <f aca="true" t="shared" si="604" ref="AL1053:AR1053">AL459+AL568</f>
        <v>0</v>
      </c>
      <c r="AM1053" s="123">
        <f t="shared" si="604"/>
        <v>0</v>
      </c>
      <c r="AN1053" s="123">
        <f t="shared" si="604"/>
        <v>0</v>
      </c>
      <c r="AO1053" s="123">
        <f t="shared" si="604"/>
        <v>0</v>
      </c>
      <c r="AP1053" s="123">
        <f t="shared" si="604"/>
        <v>0</v>
      </c>
      <c r="AQ1053" s="123">
        <f t="shared" si="604"/>
        <v>0</v>
      </c>
      <c r="AR1053" s="123">
        <f t="shared" si="604"/>
        <v>0</v>
      </c>
    </row>
    <row r="1055" spans="31:44" ht="12">
      <c r="AE1055" s="123">
        <f>AE1053+1</f>
        <v>5</v>
      </c>
      <c r="AF1055" s="123" t="str">
        <f>AF460</f>
        <v>920</v>
      </c>
      <c r="AG1055" s="123" t="str">
        <f>AG460</f>
        <v>SALARIES</v>
      </c>
      <c r="AH1055" s="123">
        <f>AH460</f>
        <v>6</v>
      </c>
      <c r="AI1055" s="123">
        <f>AI460+AI569</f>
        <v>0</v>
      </c>
      <c r="AJ1055" s="123">
        <f>AJ460+AJ569</f>
        <v>0</v>
      </c>
      <c r="AK1055" s="123">
        <f>AK460+AK569</f>
        <v>0</v>
      </c>
      <c r="AL1055" s="123">
        <f aca="true" t="shared" si="605" ref="AL1055:AR1055">AL460+AL569</f>
        <v>0</v>
      </c>
      <c r="AM1055" s="123">
        <f t="shared" si="605"/>
        <v>0</v>
      </c>
      <c r="AN1055" s="123">
        <f t="shared" si="605"/>
        <v>0</v>
      </c>
      <c r="AO1055" s="123">
        <f t="shared" si="605"/>
        <v>0</v>
      </c>
      <c r="AP1055" s="123">
        <f t="shared" si="605"/>
        <v>0</v>
      </c>
      <c r="AQ1055" s="123">
        <f t="shared" si="605"/>
        <v>0</v>
      </c>
      <c r="AR1055" s="123">
        <f t="shared" si="605"/>
        <v>0</v>
      </c>
    </row>
    <row r="1057" spans="31:44" ht="12">
      <c r="AE1057" s="123">
        <f>AE1055+1</f>
        <v>6</v>
      </c>
      <c r="AF1057" s="123" t="str">
        <f>AF461</f>
        <v>921</v>
      </c>
      <c r="AG1057" s="123" t="str">
        <f>AG461</f>
        <v>OFFICE SUPPLIES AND EXPENSE</v>
      </c>
      <c r="AH1057" s="123">
        <f>AH461</f>
        <v>6</v>
      </c>
      <c r="AI1057" s="123">
        <f>AI461+AI570</f>
        <v>7172</v>
      </c>
      <c r="AJ1057" s="123">
        <f>AJ461+AJ570</f>
        <v>6417</v>
      </c>
      <c r="AK1057" s="123">
        <f>AK461+AK570</f>
        <v>751</v>
      </c>
      <c r="AL1057" s="123">
        <f aca="true" t="shared" si="606" ref="AL1057:AR1057">AL461+AL570</f>
        <v>0</v>
      </c>
      <c r="AM1057" s="123">
        <f t="shared" si="606"/>
        <v>0</v>
      </c>
      <c r="AN1057" s="123">
        <f t="shared" si="606"/>
        <v>4</v>
      </c>
      <c r="AO1057" s="123">
        <f t="shared" si="606"/>
        <v>0</v>
      </c>
      <c r="AP1057" s="123">
        <f t="shared" si="606"/>
        <v>0</v>
      </c>
      <c r="AQ1057" s="123">
        <f t="shared" si="606"/>
        <v>0</v>
      </c>
      <c r="AR1057" s="123">
        <f t="shared" si="606"/>
        <v>0</v>
      </c>
    </row>
    <row r="1059" spans="31:44" ht="12">
      <c r="AE1059" s="123">
        <f>AE1057+1</f>
        <v>7</v>
      </c>
      <c r="AF1059" s="123" t="str">
        <f>AF462</f>
        <v>931</v>
      </c>
      <c r="AG1059" s="123" t="str">
        <f>AG462</f>
        <v>RENTS</v>
      </c>
      <c r="AH1059" s="123">
        <f>AH462</f>
        <v>6</v>
      </c>
      <c r="AI1059" s="141">
        <f>AI462+AI571</f>
        <v>0</v>
      </c>
      <c r="AJ1059" s="141">
        <f>AJ462+AJ571</f>
        <v>0</v>
      </c>
      <c r="AK1059" s="141">
        <f>AK462+AK571</f>
        <v>0</v>
      </c>
      <c r="AL1059" s="141">
        <f aca="true" t="shared" si="607" ref="AL1059:AR1059">AL462+AL571</f>
        <v>0</v>
      </c>
      <c r="AM1059" s="141">
        <f t="shared" si="607"/>
        <v>0</v>
      </c>
      <c r="AN1059" s="141">
        <f t="shared" si="607"/>
        <v>0</v>
      </c>
      <c r="AO1059" s="141">
        <f t="shared" si="607"/>
        <v>0</v>
      </c>
      <c r="AP1059" s="141">
        <f t="shared" si="607"/>
        <v>0</v>
      </c>
      <c r="AQ1059" s="141">
        <f t="shared" si="607"/>
        <v>0</v>
      </c>
      <c r="AR1059" s="141">
        <f t="shared" si="607"/>
        <v>0</v>
      </c>
    </row>
    <row r="1061" spans="31:44" ht="12">
      <c r="AE1061" s="123">
        <f>AE1059+1</f>
        <v>8</v>
      </c>
      <c r="AG1061" s="123" t="s">
        <v>495</v>
      </c>
      <c r="AI1061" s="123">
        <f>SUM(AI1047:AI1059)</f>
        <v>143519</v>
      </c>
      <c r="AJ1061" s="123">
        <f>SUM(AJ1047:AJ1059)</f>
        <v>128404</v>
      </c>
      <c r="AK1061" s="123">
        <f>SUM(AK1047:AK1059)</f>
        <v>15025</v>
      </c>
      <c r="AL1061" s="123">
        <f aca="true" t="shared" si="608" ref="AL1061:AR1061">SUM(AL1047:AL1059)</f>
        <v>1</v>
      </c>
      <c r="AM1061" s="123">
        <f t="shared" si="608"/>
        <v>5</v>
      </c>
      <c r="AN1061" s="123">
        <f t="shared" si="608"/>
        <v>85</v>
      </c>
      <c r="AO1061" s="123">
        <f t="shared" si="608"/>
        <v>0</v>
      </c>
      <c r="AP1061" s="123">
        <f t="shared" si="608"/>
        <v>0</v>
      </c>
      <c r="AQ1061" s="123">
        <f t="shared" si="608"/>
        <v>0</v>
      </c>
      <c r="AR1061" s="123">
        <f t="shared" si="608"/>
        <v>0</v>
      </c>
    </row>
    <row r="1063" spans="31:44" ht="12">
      <c r="AE1063" s="123">
        <f>AE1061+1</f>
        <v>9</v>
      </c>
      <c r="AF1063" s="123" t="str">
        <f>AF479</f>
        <v>911</v>
      </c>
      <c r="AG1063" s="123" t="str">
        <f>AG479</f>
        <v>SUPERVISION</v>
      </c>
      <c r="AH1063" s="123">
        <f>AH479</f>
        <v>6</v>
      </c>
      <c r="AI1063" s="123">
        <f>AI479+AI588</f>
        <v>0</v>
      </c>
      <c r="AJ1063" s="123">
        <f>ROUND((VLOOKUP($AH1063,$A$661:$Y$709,15)*$AI1063),0)</f>
        <v>0</v>
      </c>
      <c r="AK1063" s="123">
        <f>ROUND((VLOOKUP($AH1063,$A$661:$Y$709,16)*$AI1063),0)</f>
        <v>0</v>
      </c>
      <c r="AL1063" s="123">
        <f>ROUND((VLOOKUP($AH1063,$A$661:$Y$709,17)*$AI1063),0)</f>
        <v>0</v>
      </c>
      <c r="AM1063" s="123">
        <f>ROUND((VLOOKUP($AH1063,$A$661:$Y$709,18)*$AI1063),0)</f>
        <v>0</v>
      </c>
      <c r="AN1063" s="123">
        <f>ROUND((VLOOKUP($AH1063,$A$661:$Y$709,19)*$AI1063),0)</f>
        <v>0</v>
      </c>
      <c r="AO1063" s="123">
        <f>ROUND((VLOOKUP($AH1063,$A$661:$Y$709,20)*$AI1063),0)</f>
        <v>0</v>
      </c>
      <c r="AP1063" s="123">
        <f>ROUND((VLOOKUP($AH1063,$A$661:$Y$709,21)*$AI1063),0)</f>
        <v>0</v>
      </c>
      <c r="AQ1063" s="123">
        <f>ROUND((VLOOKUP($AH1063,$A$661:$Y$709,22)*$AI1063),0)</f>
        <v>0</v>
      </c>
      <c r="AR1063" s="123">
        <f>ROUND((VLOOKUP($AH1063,$A$661:$Y$709,23)*$AI1063),0)</f>
        <v>0</v>
      </c>
    </row>
    <row r="1065" spans="31:44" ht="12">
      <c r="AE1065" s="123">
        <f>AE1063+1</f>
        <v>10</v>
      </c>
      <c r="AF1065" s="123" t="str">
        <f>AF480</f>
        <v>912</v>
      </c>
      <c r="AG1065" s="123" t="str">
        <f>AG480</f>
        <v>DEMONSTRATION &amp; SELLING</v>
      </c>
      <c r="AH1065" s="123">
        <f>AH480</f>
        <v>6</v>
      </c>
      <c r="AI1065" s="123">
        <f>AI480+AI589</f>
        <v>0</v>
      </c>
      <c r="AJ1065" s="123">
        <f>AJ480+AJ589</f>
        <v>0</v>
      </c>
      <c r="AK1065" s="123">
        <f>AK480+AK589</f>
        <v>0</v>
      </c>
      <c r="AL1065" s="123">
        <f aca="true" t="shared" si="609" ref="AL1065:AR1065">AL480+AL589</f>
        <v>0</v>
      </c>
      <c r="AM1065" s="123">
        <f t="shared" si="609"/>
        <v>0</v>
      </c>
      <c r="AN1065" s="123">
        <f t="shared" si="609"/>
        <v>0</v>
      </c>
      <c r="AO1065" s="123">
        <f t="shared" si="609"/>
        <v>0</v>
      </c>
      <c r="AP1065" s="123">
        <f t="shared" si="609"/>
        <v>0</v>
      </c>
      <c r="AQ1065" s="123">
        <f t="shared" si="609"/>
        <v>0</v>
      </c>
      <c r="AR1065" s="123">
        <f t="shared" si="609"/>
        <v>0</v>
      </c>
    </row>
    <row r="1067" spans="31:44" ht="12">
      <c r="AE1067" s="123">
        <f>AE1065+1</f>
        <v>11</v>
      </c>
      <c r="AF1067" s="123" t="str">
        <f>AF481</f>
        <v>913</v>
      </c>
      <c r="AG1067" s="123" t="str">
        <f>AG481</f>
        <v>ADVERTISING</v>
      </c>
      <c r="AH1067" s="123">
        <f>AH481</f>
        <v>6</v>
      </c>
      <c r="AI1067" s="123">
        <f>AI481+AI590</f>
        <v>0</v>
      </c>
      <c r="AJ1067" s="123">
        <f>AJ481+AJ590</f>
        <v>0</v>
      </c>
      <c r="AK1067" s="123">
        <f>AK481+AK590</f>
        <v>0</v>
      </c>
      <c r="AL1067" s="123">
        <f aca="true" t="shared" si="610" ref="AL1067:AR1067">AL481+AL590</f>
        <v>0</v>
      </c>
      <c r="AM1067" s="123">
        <f t="shared" si="610"/>
        <v>0</v>
      </c>
      <c r="AN1067" s="123">
        <f t="shared" si="610"/>
        <v>0</v>
      </c>
      <c r="AO1067" s="123">
        <f t="shared" si="610"/>
        <v>0</v>
      </c>
      <c r="AP1067" s="123">
        <f t="shared" si="610"/>
        <v>0</v>
      </c>
      <c r="AQ1067" s="123">
        <f t="shared" si="610"/>
        <v>0</v>
      </c>
      <c r="AR1067" s="123">
        <f t="shared" si="610"/>
        <v>0</v>
      </c>
    </row>
    <row r="1069" spans="31:44" ht="12">
      <c r="AE1069" s="123">
        <f>AE1067+1</f>
        <v>12</v>
      </c>
      <c r="AF1069" s="123" t="str">
        <f>AF482</f>
        <v>916</v>
      </c>
      <c r="AG1069" s="123" t="str">
        <f>AG482</f>
        <v>MISC.</v>
      </c>
      <c r="AH1069" s="123">
        <f>AH482</f>
        <v>6</v>
      </c>
      <c r="AI1069" s="141">
        <f>AI482+AI591</f>
        <v>0</v>
      </c>
      <c r="AJ1069" s="141">
        <f>AJ482+AJ591</f>
        <v>0</v>
      </c>
      <c r="AK1069" s="141">
        <f>AK482+AK591</f>
        <v>0</v>
      </c>
      <c r="AL1069" s="141">
        <f aca="true" t="shared" si="611" ref="AL1069:AR1069">AL482+AL591</f>
        <v>0</v>
      </c>
      <c r="AM1069" s="141">
        <f t="shared" si="611"/>
        <v>0</v>
      </c>
      <c r="AN1069" s="141">
        <f t="shared" si="611"/>
        <v>0</v>
      </c>
      <c r="AO1069" s="141">
        <f t="shared" si="611"/>
        <v>0</v>
      </c>
      <c r="AP1069" s="141">
        <f t="shared" si="611"/>
        <v>0</v>
      </c>
      <c r="AQ1069" s="141">
        <f t="shared" si="611"/>
        <v>0</v>
      </c>
      <c r="AR1069" s="141">
        <f t="shared" si="611"/>
        <v>0</v>
      </c>
    </row>
    <row r="1070" spans="35:44" ht="12">
      <c r="AI1070" s="141"/>
      <c r="AJ1070" s="141"/>
      <c r="AK1070" s="141"/>
      <c r="AL1070" s="141"/>
      <c r="AM1070" s="141"/>
      <c r="AN1070" s="141"/>
      <c r="AO1070" s="141"/>
      <c r="AP1070" s="141"/>
      <c r="AQ1070" s="141"/>
      <c r="AR1070" s="141"/>
    </row>
    <row r="1071" spans="31:44" ht="12">
      <c r="AE1071" s="123">
        <f>AE1069+1</f>
        <v>13</v>
      </c>
      <c r="AG1071" s="123" t="s">
        <v>495</v>
      </c>
      <c r="AI1071" s="141">
        <f>SUM(AI1063:AI1069)</f>
        <v>0</v>
      </c>
      <c r="AJ1071" s="141">
        <f>SUM(AJ1063:AJ1069)</f>
        <v>0</v>
      </c>
      <c r="AK1071" s="141">
        <f>SUM(AK1063:AK1069)</f>
        <v>0</v>
      </c>
      <c r="AL1071" s="141">
        <f aca="true" t="shared" si="612" ref="AL1071:AR1071">SUM(AL1063:AL1069)</f>
        <v>0</v>
      </c>
      <c r="AM1071" s="141">
        <f t="shared" si="612"/>
        <v>0</v>
      </c>
      <c r="AN1071" s="141">
        <f t="shared" si="612"/>
        <v>0</v>
      </c>
      <c r="AO1071" s="141">
        <f t="shared" si="612"/>
        <v>0</v>
      </c>
      <c r="AP1071" s="141">
        <f t="shared" si="612"/>
        <v>0</v>
      </c>
      <c r="AQ1071" s="141">
        <f t="shared" si="612"/>
        <v>0</v>
      </c>
      <c r="AR1071" s="141">
        <f t="shared" si="612"/>
        <v>0</v>
      </c>
    </row>
    <row r="1073" spans="31:44" ht="12">
      <c r="AE1073" s="123">
        <f>AE1071+1</f>
        <v>14</v>
      </c>
      <c r="AG1073" s="123" t="s">
        <v>496</v>
      </c>
      <c r="AI1073" s="123">
        <f>AI1018+AI1036+AI1061+AI1071</f>
        <v>9230637</v>
      </c>
      <c r="AJ1073" s="123">
        <f>AJ1018+AJ1036+AJ1061+AJ1071</f>
        <v>6679731</v>
      </c>
      <c r="AK1073" s="123">
        <f>AK1018+AK1036+AK1061+AK1071</f>
        <v>1900391</v>
      </c>
      <c r="AL1073" s="123">
        <f aca="true" t="shared" si="613" ref="AL1073:AR1073">AL1018+AL1036+AL1061+AL1071</f>
        <v>3207</v>
      </c>
      <c r="AM1073" s="123">
        <f t="shared" si="613"/>
        <v>7659</v>
      </c>
      <c r="AN1073" s="123">
        <f t="shared" si="613"/>
        <v>639647</v>
      </c>
      <c r="AO1073" s="123">
        <f t="shared" si="613"/>
        <v>0</v>
      </c>
      <c r="AP1073" s="123">
        <f t="shared" si="613"/>
        <v>0</v>
      </c>
      <c r="AQ1073" s="123">
        <f t="shared" si="613"/>
        <v>0</v>
      </c>
      <c r="AR1073" s="123">
        <f t="shared" si="613"/>
        <v>0</v>
      </c>
    </row>
    <row r="1075" spans="34:41" ht="12">
      <c r="AH1075" s="123" t="str">
        <f>"                  "&amp;+$B$24</f>
        <v>                  COLUMBIA GAS OF KENTUCKY, INC.</v>
      </c>
      <c r="AO1075" s="210" t="str">
        <f>$B$26</f>
        <v>ATTACHMENT 1</v>
      </c>
    </row>
    <row r="1076" spans="31:41" ht="12">
      <c r="AE1076" s="123" t="str">
        <f>$B$30</f>
        <v>DEMAND-COMMODITY</v>
      </c>
      <c r="AI1076" s="123" t="s">
        <v>497</v>
      </c>
      <c r="AO1076" s="166" t="s">
        <v>498</v>
      </c>
    </row>
    <row r="1077" spans="31:44" ht="12">
      <c r="AE1077" s="128" t="str">
        <f>$B$29</f>
        <v>HISTORIC PERIOD - ORIGINAL FILING</v>
      </c>
      <c r="AF1077" s="128"/>
      <c r="AG1077" s="128"/>
      <c r="AH1077" s="128" t="str">
        <f>"             FOR THE TWELVE MONTHS ENDED "&amp;$B$27</f>
        <v>             FOR THE TWELVE MONTHS ENDED 09/30/2006</v>
      </c>
      <c r="AI1077" s="128"/>
      <c r="AJ1077" s="128"/>
      <c r="AK1077" s="128"/>
      <c r="AL1077" s="128"/>
      <c r="AM1077" s="128"/>
      <c r="AN1077" s="128"/>
      <c r="AO1077" s="128" t="str">
        <f>"WITNESS: "&amp;$B$28</f>
        <v>WITNESS: R. GIBBONS</v>
      </c>
      <c r="AP1077" s="128"/>
      <c r="AQ1077" s="128"/>
      <c r="AR1077" s="128"/>
    </row>
    <row r="1078" spans="31:35" ht="12">
      <c r="AE1078" s="125" t="s">
        <v>9</v>
      </c>
      <c r="AF1078" s="123" t="s">
        <v>10</v>
      </c>
      <c r="AH1078" s="125" t="s">
        <v>11</v>
      </c>
      <c r="AI1078" s="125" t="s">
        <v>12</v>
      </c>
    </row>
    <row r="1079" spans="31:44" ht="12">
      <c r="AE1079" s="133" t="s">
        <v>13</v>
      </c>
      <c r="AF1079" s="133" t="s">
        <v>13</v>
      </c>
      <c r="AG1079" s="133" t="str">
        <f>"                         ACCOUNT TITLE                "</f>
        <v>                         ACCOUNT TITLE                </v>
      </c>
      <c r="AH1079" s="141" t="s">
        <v>14</v>
      </c>
      <c r="AI1079" s="133" t="s">
        <v>15</v>
      </c>
      <c r="AJ1079" s="141" t="str">
        <f>"  "&amp;+$C$35</f>
        <v>  GS-RES.</v>
      </c>
      <c r="AK1079" s="141" t="str">
        <f>$C$36</f>
        <v>GS-OTHER</v>
      </c>
      <c r="AL1079" s="133" t="str">
        <f>$C$37</f>
        <v>IUS</v>
      </c>
      <c r="AM1079" s="133" t="str">
        <f>$C$38</f>
        <v>DS-ML/SC</v>
      </c>
      <c r="AN1079" s="133" t="str">
        <f>$C$39</f>
        <v>DS/IS/SS</v>
      </c>
      <c r="AO1079" s="133" t="str">
        <f>$C$40</f>
        <v>NOT USED</v>
      </c>
      <c r="AP1079" s="133" t="str">
        <f>$C$41</f>
        <v>NOT USED</v>
      </c>
      <c r="AQ1079" s="133" t="str">
        <f>$C$42</f>
        <v>NOT USED</v>
      </c>
      <c r="AR1079" s="133" t="str">
        <f>$C$43</f>
        <v>NOT USED</v>
      </c>
    </row>
    <row r="1080" spans="32:44" ht="12">
      <c r="AF1080" s="136" t="s">
        <v>17</v>
      </c>
      <c r="AG1080" s="136" t="s">
        <v>18</v>
      </c>
      <c r="AH1080" s="125" t="s">
        <v>19</v>
      </c>
      <c r="AI1080" s="125" t="s">
        <v>20</v>
      </c>
      <c r="AJ1080" s="125" t="s">
        <v>21</v>
      </c>
      <c r="AK1080" s="125" t="s">
        <v>22</v>
      </c>
      <c r="AL1080" s="125" t="s">
        <v>23</v>
      </c>
      <c r="AM1080" s="125" t="s">
        <v>24</v>
      </c>
      <c r="AN1080" s="125" t="s">
        <v>25</v>
      </c>
      <c r="AO1080" s="125" t="s">
        <v>26</v>
      </c>
      <c r="AP1080" s="125" t="s">
        <v>27</v>
      </c>
      <c r="AQ1080" s="125" t="s">
        <v>28</v>
      </c>
      <c r="AR1080" s="125" t="s">
        <v>29</v>
      </c>
    </row>
    <row r="1081" spans="35:37" ht="12">
      <c r="AI1081" s="125" t="s">
        <v>32</v>
      </c>
      <c r="AJ1081" s="125" t="s">
        <v>32</v>
      </c>
      <c r="AK1081" s="125" t="s">
        <v>32</v>
      </c>
    </row>
    <row r="1082" spans="31:44" ht="12">
      <c r="AE1082" s="123">
        <v>1</v>
      </c>
      <c r="AF1082" s="123">
        <f>AF37</f>
        <v>376</v>
      </c>
      <c r="AG1082" s="123" t="str">
        <f>AG37&amp;+" [1]"</f>
        <v>MAINS [1]</v>
      </c>
      <c r="AH1082" s="123">
        <f>AH37</f>
        <v>5</v>
      </c>
      <c r="AI1082" s="123">
        <f>ROUND($D$557*(AI37+AI38),0)</f>
        <v>77749564</v>
      </c>
      <c r="AJ1082" s="123">
        <f>ROUND($D$557*(AJ37+AJ38),0)</f>
        <v>28937610</v>
      </c>
      <c r="AK1082" s="123">
        <f>ROUND($D$557*(AK37+AK38),0)</f>
        <v>18460079</v>
      </c>
      <c r="AL1082" s="123">
        <f aca="true" t="shared" si="614" ref="AL1082:AR1082">ROUND($D$557*(AL37+AL38),0)</f>
        <v>73862</v>
      </c>
      <c r="AM1082" s="123">
        <f t="shared" si="614"/>
        <v>0</v>
      </c>
      <c r="AN1082" s="123">
        <f t="shared" si="614"/>
        <v>30278013</v>
      </c>
      <c r="AO1082" s="123">
        <f t="shared" si="614"/>
        <v>0</v>
      </c>
      <c r="AP1082" s="123">
        <f t="shared" si="614"/>
        <v>0</v>
      </c>
      <c r="AQ1082" s="123">
        <f t="shared" si="614"/>
        <v>0</v>
      </c>
      <c r="AR1082" s="123">
        <f t="shared" si="614"/>
        <v>0</v>
      </c>
    </row>
    <row r="1083" spans="31:45" ht="12">
      <c r="AE1083" s="123">
        <f aca="true" t="shared" si="615" ref="AE1083:AE1089">AE1082+1</f>
        <v>2</v>
      </c>
      <c r="AF1083" s="123">
        <f>AF43</f>
        <v>380</v>
      </c>
      <c r="AG1083" s="123" t="str">
        <f>AG43&amp;+" [2]"</f>
        <v>SERVICES [2]</v>
      </c>
      <c r="AH1083" s="123">
        <f>AH43</f>
        <v>15</v>
      </c>
      <c r="AI1083" s="123">
        <f>ROUND($D$558*(AI43+AI53),0)</f>
        <v>73829465</v>
      </c>
      <c r="AJ1083" s="123">
        <f>ROUND($D$558*(AJ43+AJ53),0)</f>
        <v>66287046</v>
      </c>
      <c r="AK1083" s="123">
        <f>ROUND($D$558*(AK43+AK53),0)</f>
        <v>7347508</v>
      </c>
      <c r="AL1083" s="123">
        <f aca="true" t="shared" si="616" ref="AL1083:AR1083">ROUND($D$558*(AL43+AL53),0)</f>
        <v>739</v>
      </c>
      <c r="AM1083" s="123">
        <f t="shared" si="616"/>
        <v>0</v>
      </c>
      <c r="AN1083" s="123">
        <f t="shared" si="616"/>
        <v>194171</v>
      </c>
      <c r="AO1083" s="123">
        <f t="shared" si="616"/>
        <v>0</v>
      </c>
      <c r="AP1083" s="123">
        <f t="shared" si="616"/>
        <v>0</v>
      </c>
      <c r="AQ1083" s="123">
        <f t="shared" si="616"/>
        <v>0</v>
      </c>
      <c r="AR1083" s="123">
        <f t="shared" si="616"/>
        <v>0</v>
      </c>
      <c r="AS1083" s="207"/>
    </row>
    <row r="1084" spans="31:44" ht="12">
      <c r="AE1084" s="123">
        <f t="shared" si="615"/>
        <v>3</v>
      </c>
      <c r="AF1084" s="123">
        <f aca="true" t="shared" si="617" ref="AF1084:AH1088">AF54</f>
        <v>381</v>
      </c>
      <c r="AG1084" s="123" t="str">
        <f t="shared" si="617"/>
        <v>METERS</v>
      </c>
      <c r="AH1084" s="123">
        <f t="shared" si="617"/>
        <v>16</v>
      </c>
      <c r="AI1084" s="123">
        <f aca="true" t="shared" si="618" ref="AI1084:AK1088">AI54</f>
        <v>11091529.120000001</v>
      </c>
      <c r="AJ1084" s="123">
        <f t="shared" si="618"/>
        <v>6899042</v>
      </c>
      <c r="AK1084" s="123">
        <f t="shared" si="618"/>
        <v>3985075</v>
      </c>
      <c r="AL1084" s="123">
        <f aca="true" t="shared" si="619" ref="AL1084:AR1084">AL54</f>
        <v>2662</v>
      </c>
      <c r="AM1084" s="123">
        <f t="shared" si="619"/>
        <v>13088</v>
      </c>
      <c r="AN1084" s="123">
        <f t="shared" si="619"/>
        <v>191662</v>
      </c>
      <c r="AO1084" s="123">
        <f t="shared" si="619"/>
        <v>0</v>
      </c>
      <c r="AP1084" s="123">
        <f t="shared" si="619"/>
        <v>0</v>
      </c>
      <c r="AQ1084" s="123">
        <f t="shared" si="619"/>
        <v>0</v>
      </c>
      <c r="AR1084" s="123">
        <f t="shared" si="619"/>
        <v>0</v>
      </c>
    </row>
    <row r="1085" spans="31:44" ht="12">
      <c r="AE1085" s="123">
        <f t="shared" si="615"/>
        <v>4</v>
      </c>
      <c r="AF1085" s="123">
        <f t="shared" si="617"/>
        <v>382</v>
      </c>
      <c r="AG1085" s="123" t="str">
        <f t="shared" si="617"/>
        <v>METER INSTALLATIONS</v>
      </c>
      <c r="AH1085" s="123">
        <f t="shared" si="617"/>
        <v>16</v>
      </c>
      <c r="AI1085" s="123">
        <f t="shared" si="618"/>
        <v>7538570</v>
      </c>
      <c r="AJ1085" s="123">
        <f t="shared" si="618"/>
        <v>4689066</v>
      </c>
      <c r="AK1085" s="123">
        <f t="shared" si="618"/>
        <v>2708533</v>
      </c>
      <c r="AL1085" s="123">
        <f aca="true" t="shared" si="620" ref="AL1085:AR1085">AL55</f>
        <v>1809</v>
      </c>
      <c r="AM1085" s="123">
        <f t="shared" si="620"/>
        <v>8896</v>
      </c>
      <c r="AN1085" s="123">
        <f t="shared" si="620"/>
        <v>130266</v>
      </c>
      <c r="AO1085" s="123">
        <f t="shared" si="620"/>
        <v>0</v>
      </c>
      <c r="AP1085" s="123">
        <f t="shared" si="620"/>
        <v>0</v>
      </c>
      <c r="AQ1085" s="123">
        <f t="shared" si="620"/>
        <v>0</v>
      </c>
      <c r="AR1085" s="123">
        <f t="shared" si="620"/>
        <v>0</v>
      </c>
    </row>
    <row r="1086" spans="31:44" ht="12">
      <c r="AE1086" s="123">
        <f t="shared" si="615"/>
        <v>5</v>
      </c>
      <c r="AF1086" s="123">
        <f t="shared" si="617"/>
        <v>383</v>
      </c>
      <c r="AG1086" s="123" t="str">
        <f t="shared" si="617"/>
        <v>HOUSE REGULATORS</v>
      </c>
      <c r="AH1086" s="123">
        <f t="shared" si="617"/>
        <v>16</v>
      </c>
      <c r="AI1086" s="123">
        <f t="shared" si="618"/>
        <v>2782287</v>
      </c>
      <c r="AJ1086" s="123">
        <f t="shared" si="618"/>
        <v>1730610</v>
      </c>
      <c r="AK1086" s="123">
        <f t="shared" si="618"/>
        <v>999648</v>
      </c>
      <c r="AL1086" s="123">
        <f aca="true" t="shared" si="621" ref="AL1086:AR1086">AL56</f>
        <v>668</v>
      </c>
      <c r="AM1086" s="123">
        <f t="shared" si="621"/>
        <v>3283</v>
      </c>
      <c r="AN1086" s="123">
        <f t="shared" si="621"/>
        <v>48078</v>
      </c>
      <c r="AO1086" s="123">
        <f t="shared" si="621"/>
        <v>0</v>
      </c>
      <c r="AP1086" s="123">
        <f t="shared" si="621"/>
        <v>0</v>
      </c>
      <c r="AQ1086" s="123">
        <f t="shared" si="621"/>
        <v>0</v>
      </c>
      <c r="AR1086" s="123">
        <f t="shared" si="621"/>
        <v>0</v>
      </c>
    </row>
    <row r="1087" spans="31:44" ht="12">
      <c r="AE1087" s="123">
        <f t="shared" si="615"/>
        <v>6</v>
      </c>
      <c r="AF1087" s="123">
        <f t="shared" si="617"/>
        <v>384</v>
      </c>
      <c r="AG1087" s="123" t="str">
        <f t="shared" si="617"/>
        <v>HOUSE REG INSTALLATIONS</v>
      </c>
      <c r="AH1087" s="123">
        <f t="shared" si="617"/>
        <v>16</v>
      </c>
      <c r="AI1087" s="123">
        <f t="shared" si="618"/>
        <v>2364403.23</v>
      </c>
      <c r="AJ1087" s="123">
        <f t="shared" si="618"/>
        <v>1470682</v>
      </c>
      <c r="AK1087" s="123">
        <f t="shared" si="618"/>
        <v>849506</v>
      </c>
      <c r="AL1087" s="123">
        <f aca="true" t="shared" si="622" ref="AL1087:AR1087">AL57</f>
        <v>567</v>
      </c>
      <c r="AM1087" s="123">
        <f t="shared" si="622"/>
        <v>2790</v>
      </c>
      <c r="AN1087" s="123">
        <f t="shared" si="622"/>
        <v>40857</v>
      </c>
      <c r="AO1087" s="123">
        <f t="shared" si="622"/>
        <v>0</v>
      </c>
      <c r="AP1087" s="123">
        <f t="shared" si="622"/>
        <v>0</v>
      </c>
      <c r="AQ1087" s="123">
        <f t="shared" si="622"/>
        <v>0</v>
      </c>
      <c r="AR1087" s="123">
        <f t="shared" si="622"/>
        <v>0</v>
      </c>
    </row>
    <row r="1088" spans="31:44" ht="12">
      <c r="AE1088" s="123">
        <f t="shared" si="615"/>
        <v>7</v>
      </c>
      <c r="AF1088" s="123">
        <f t="shared" si="617"/>
        <v>385</v>
      </c>
      <c r="AG1088" s="123" t="str">
        <f t="shared" si="617"/>
        <v>IND M&amp;R EQUIPMENT</v>
      </c>
      <c r="AH1088" s="123">
        <f t="shared" si="617"/>
        <v>17</v>
      </c>
      <c r="AI1088" s="141">
        <f t="shared" si="618"/>
        <v>2580209.19</v>
      </c>
      <c r="AJ1088" s="141">
        <f t="shared" si="618"/>
        <v>0</v>
      </c>
      <c r="AK1088" s="141">
        <f t="shared" si="618"/>
        <v>1416586</v>
      </c>
      <c r="AL1088" s="141">
        <f aca="true" t="shared" si="623" ref="AL1088:AR1088">AL58</f>
        <v>20229</v>
      </c>
      <c r="AM1088" s="141">
        <f t="shared" si="623"/>
        <v>70827</v>
      </c>
      <c r="AN1088" s="141">
        <f t="shared" si="623"/>
        <v>1072567</v>
      </c>
      <c r="AO1088" s="141">
        <f t="shared" si="623"/>
        <v>0</v>
      </c>
      <c r="AP1088" s="141">
        <f t="shared" si="623"/>
        <v>0</v>
      </c>
      <c r="AQ1088" s="141">
        <f t="shared" si="623"/>
        <v>0</v>
      </c>
      <c r="AR1088" s="141">
        <f t="shared" si="623"/>
        <v>0</v>
      </c>
    </row>
    <row r="1089" spans="31:44" ht="12">
      <c r="AE1089" s="123">
        <f t="shared" si="615"/>
        <v>8</v>
      </c>
      <c r="AG1089" s="123" t="s">
        <v>499</v>
      </c>
      <c r="AI1089" s="123">
        <f>SUM(AI1082:AI1088)</f>
        <v>177936027.54</v>
      </c>
      <c r="AJ1089" s="123">
        <f>SUM(AJ1082:AJ1088)</f>
        <v>110014056</v>
      </c>
      <c r="AK1089" s="123">
        <f>SUM(AK1082:AK1088)</f>
        <v>35766935</v>
      </c>
      <c r="AL1089" s="123">
        <f aca="true" t="shared" si="624" ref="AL1089:AR1089">SUM(AL1082:AL1088)</f>
        <v>100536</v>
      </c>
      <c r="AM1089" s="123">
        <f t="shared" si="624"/>
        <v>98884</v>
      </c>
      <c r="AN1089" s="123">
        <f t="shared" si="624"/>
        <v>31955614</v>
      </c>
      <c r="AO1089" s="123">
        <f t="shared" si="624"/>
        <v>0</v>
      </c>
      <c r="AP1089" s="123">
        <f t="shared" si="624"/>
        <v>0</v>
      </c>
      <c r="AQ1089" s="123">
        <f t="shared" si="624"/>
        <v>0</v>
      </c>
      <c r="AR1089" s="123">
        <f t="shared" si="624"/>
        <v>0</v>
      </c>
    </row>
    <row r="1091" ht="12">
      <c r="AF1091" s="123" t="s">
        <v>450</v>
      </c>
    </row>
    <row r="1092" spans="31:44" ht="12">
      <c r="AE1092" s="123">
        <f>AE1089+1</f>
        <v>9</v>
      </c>
      <c r="AF1092" s="123">
        <f>AF203</f>
        <v>376</v>
      </c>
      <c r="AG1092" s="123" t="str">
        <f>AG203</f>
        <v>MAINS</v>
      </c>
      <c r="AH1092" s="123">
        <f>AH203</f>
        <v>5</v>
      </c>
      <c r="AI1092" s="123">
        <f>ROUND($D$557*(AI203+AI204),0)</f>
        <v>27519361</v>
      </c>
      <c r="AJ1092" s="123">
        <f>ROUND($D$557*(AJ203+AJ204),0)</f>
        <v>10242431</v>
      </c>
      <c r="AK1092" s="123">
        <f>ROUND($D$557*(AK203+AK204),0)</f>
        <v>6533922</v>
      </c>
      <c r="AL1092" s="123">
        <f aca="true" t="shared" si="625" ref="AL1092:AR1092">ROUND($D$557*(AL203+AL204),0)</f>
        <v>26143</v>
      </c>
      <c r="AM1092" s="123">
        <f t="shared" si="625"/>
        <v>0</v>
      </c>
      <c r="AN1092" s="123">
        <f t="shared" si="625"/>
        <v>10716864</v>
      </c>
      <c r="AO1092" s="123">
        <f t="shared" si="625"/>
        <v>0</v>
      </c>
      <c r="AP1092" s="123">
        <f t="shared" si="625"/>
        <v>0</v>
      </c>
      <c r="AQ1092" s="123">
        <f t="shared" si="625"/>
        <v>0</v>
      </c>
      <c r="AR1092" s="123">
        <f t="shared" si="625"/>
        <v>0</v>
      </c>
    </row>
    <row r="1093" spans="31:44" ht="12">
      <c r="AE1093" s="123">
        <f aca="true" t="shared" si="626" ref="AE1093:AE1099">AE1092+1</f>
        <v>10</v>
      </c>
      <c r="AF1093" s="123">
        <f>AF210</f>
        <v>380</v>
      </c>
      <c r="AG1093" s="123" t="str">
        <f>AG209</f>
        <v>SERVICES</v>
      </c>
      <c r="AH1093" s="123">
        <f>AH209</f>
        <v>15</v>
      </c>
      <c r="AI1093" s="123">
        <f>ROUND($D558*(AI210+AI209),0)</f>
        <v>48232016</v>
      </c>
      <c r="AJ1093" s="123">
        <f>ROUND($D558*(AJ210+AJ209),0)</f>
        <v>43304632</v>
      </c>
      <c r="AK1093" s="123">
        <f>ROUND($D558*(AK210+AK209),0)</f>
        <v>4800051</v>
      </c>
      <c r="AL1093" s="123">
        <f aca="true" t="shared" si="627" ref="AL1093:AR1093">ROUND($D558*(AL210+AL209),0)</f>
        <v>482</v>
      </c>
      <c r="AM1093" s="123">
        <f t="shared" si="627"/>
        <v>0</v>
      </c>
      <c r="AN1093" s="123">
        <f t="shared" si="627"/>
        <v>126850</v>
      </c>
      <c r="AO1093" s="123">
        <f t="shared" si="627"/>
        <v>0</v>
      </c>
      <c r="AP1093" s="123">
        <f t="shared" si="627"/>
        <v>0</v>
      </c>
      <c r="AQ1093" s="123">
        <f t="shared" si="627"/>
        <v>0</v>
      </c>
      <c r="AR1093" s="123">
        <f t="shared" si="627"/>
        <v>0</v>
      </c>
    </row>
    <row r="1094" spans="31:44" ht="12">
      <c r="AE1094" s="123">
        <f t="shared" si="626"/>
        <v>11</v>
      </c>
      <c r="AF1094" s="123">
        <f aca="true" t="shared" si="628" ref="AF1094:AH1098">AF219</f>
        <v>381</v>
      </c>
      <c r="AG1094" s="123" t="str">
        <f t="shared" si="628"/>
        <v>METERS</v>
      </c>
      <c r="AH1094" s="123">
        <f t="shared" si="628"/>
        <v>16</v>
      </c>
      <c r="AI1094" s="123">
        <f aca="true" t="shared" si="629" ref="AI1094:AK1098">AI219</f>
        <v>3709949</v>
      </c>
      <c r="AJ1094" s="123">
        <f t="shared" si="629"/>
        <v>2307625</v>
      </c>
      <c r="AK1094" s="123">
        <f t="shared" si="629"/>
        <v>1332948</v>
      </c>
      <c r="AL1094" s="123">
        <f aca="true" t="shared" si="630" ref="AL1094:AR1094">AL219</f>
        <v>890</v>
      </c>
      <c r="AM1094" s="123">
        <f t="shared" si="630"/>
        <v>4378</v>
      </c>
      <c r="AN1094" s="123">
        <f t="shared" si="630"/>
        <v>64108</v>
      </c>
      <c r="AO1094" s="123">
        <f t="shared" si="630"/>
        <v>0</v>
      </c>
      <c r="AP1094" s="123">
        <f t="shared" si="630"/>
        <v>0</v>
      </c>
      <c r="AQ1094" s="123">
        <f t="shared" si="630"/>
        <v>0</v>
      </c>
      <c r="AR1094" s="123">
        <f t="shared" si="630"/>
        <v>0</v>
      </c>
    </row>
    <row r="1095" spans="31:44" ht="12">
      <c r="AE1095" s="123">
        <f t="shared" si="626"/>
        <v>12</v>
      </c>
      <c r="AF1095" s="123">
        <f t="shared" si="628"/>
        <v>382</v>
      </c>
      <c r="AG1095" s="123" t="str">
        <f t="shared" si="628"/>
        <v>METER INSTALLATIONS</v>
      </c>
      <c r="AH1095" s="123">
        <f t="shared" si="628"/>
        <v>16</v>
      </c>
      <c r="AI1095" s="123">
        <f t="shared" si="629"/>
        <v>3068495</v>
      </c>
      <c r="AJ1095" s="123">
        <f t="shared" si="629"/>
        <v>1908635</v>
      </c>
      <c r="AK1095" s="123">
        <f t="shared" si="629"/>
        <v>1102480</v>
      </c>
      <c r="AL1095" s="123">
        <f aca="true" t="shared" si="631" ref="AL1095:AR1095">AL220</f>
        <v>736</v>
      </c>
      <c r="AM1095" s="123">
        <f t="shared" si="631"/>
        <v>3621</v>
      </c>
      <c r="AN1095" s="123">
        <f t="shared" si="631"/>
        <v>53024</v>
      </c>
      <c r="AO1095" s="123">
        <f t="shared" si="631"/>
        <v>0</v>
      </c>
      <c r="AP1095" s="123">
        <f t="shared" si="631"/>
        <v>0</v>
      </c>
      <c r="AQ1095" s="123">
        <f t="shared" si="631"/>
        <v>0</v>
      </c>
      <c r="AR1095" s="123">
        <f t="shared" si="631"/>
        <v>0</v>
      </c>
    </row>
    <row r="1096" spans="31:45" ht="12">
      <c r="AE1096" s="123">
        <f t="shared" si="626"/>
        <v>13</v>
      </c>
      <c r="AF1096" s="123">
        <f t="shared" si="628"/>
        <v>383</v>
      </c>
      <c r="AG1096" s="123" t="str">
        <f t="shared" si="628"/>
        <v>HOUSE REGULATORS</v>
      </c>
      <c r="AH1096" s="123">
        <f t="shared" si="628"/>
        <v>16</v>
      </c>
      <c r="AI1096" s="123">
        <f t="shared" si="629"/>
        <v>943205</v>
      </c>
      <c r="AJ1096" s="123">
        <f t="shared" si="629"/>
        <v>586683</v>
      </c>
      <c r="AK1096" s="123">
        <f t="shared" si="629"/>
        <v>338884</v>
      </c>
      <c r="AL1096" s="123">
        <f aca="true" t="shared" si="632" ref="AL1096:AR1096">AL221</f>
        <v>226</v>
      </c>
      <c r="AM1096" s="123">
        <f t="shared" si="632"/>
        <v>1113</v>
      </c>
      <c r="AN1096" s="123">
        <f t="shared" si="632"/>
        <v>16299</v>
      </c>
      <c r="AO1096" s="123">
        <f t="shared" si="632"/>
        <v>0</v>
      </c>
      <c r="AP1096" s="123">
        <f t="shared" si="632"/>
        <v>0</v>
      </c>
      <c r="AQ1096" s="123">
        <f t="shared" si="632"/>
        <v>0</v>
      </c>
      <c r="AR1096" s="123">
        <f t="shared" si="632"/>
        <v>0</v>
      </c>
      <c r="AS1096" s="207"/>
    </row>
    <row r="1097" spans="31:44" ht="12">
      <c r="AE1097" s="123">
        <f t="shared" si="626"/>
        <v>14</v>
      </c>
      <c r="AF1097" s="123">
        <f t="shared" si="628"/>
        <v>384</v>
      </c>
      <c r="AG1097" s="123" t="str">
        <f t="shared" si="628"/>
        <v>HOUSE REG INSTALLATIONS</v>
      </c>
      <c r="AH1097" s="123">
        <f t="shared" si="628"/>
        <v>16</v>
      </c>
      <c r="AI1097" s="123">
        <f t="shared" si="629"/>
        <v>1621811</v>
      </c>
      <c r="AJ1097" s="123">
        <f t="shared" si="629"/>
        <v>1008783</v>
      </c>
      <c r="AK1097" s="123">
        <f t="shared" si="629"/>
        <v>582700</v>
      </c>
      <c r="AL1097" s="123">
        <f aca="true" t="shared" si="633" ref="AL1097:AR1097">AL222</f>
        <v>389</v>
      </c>
      <c r="AM1097" s="123">
        <f t="shared" si="633"/>
        <v>1914</v>
      </c>
      <c r="AN1097" s="123">
        <f t="shared" si="633"/>
        <v>28025</v>
      </c>
      <c r="AO1097" s="123">
        <f t="shared" si="633"/>
        <v>0</v>
      </c>
      <c r="AP1097" s="123">
        <f t="shared" si="633"/>
        <v>0</v>
      </c>
      <c r="AQ1097" s="123">
        <f t="shared" si="633"/>
        <v>0</v>
      </c>
      <c r="AR1097" s="123">
        <f t="shared" si="633"/>
        <v>0</v>
      </c>
    </row>
    <row r="1098" spans="31:44" ht="12">
      <c r="AE1098" s="123">
        <f t="shared" si="626"/>
        <v>15</v>
      </c>
      <c r="AF1098" s="123">
        <f t="shared" si="628"/>
        <v>385</v>
      </c>
      <c r="AG1098" s="123" t="str">
        <f t="shared" si="628"/>
        <v>IND M&amp;R EQUIPMENT</v>
      </c>
      <c r="AH1098" s="123">
        <f t="shared" si="628"/>
        <v>17</v>
      </c>
      <c r="AI1098" s="141">
        <f t="shared" si="629"/>
        <v>941308</v>
      </c>
      <c r="AJ1098" s="141">
        <f t="shared" si="629"/>
        <v>0</v>
      </c>
      <c r="AK1098" s="141">
        <f t="shared" si="629"/>
        <v>516797</v>
      </c>
      <c r="AL1098" s="141">
        <f aca="true" t="shared" si="634" ref="AL1098:AR1098">AL223</f>
        <v>7380</v>
      </c>
      <c r="AM1098" s="141">
        <f t="shared" si="634"/>
        <v>25839</v>
      </c>
      <c r="AN1098" s="141">
        <f t="shared" si="634"/>
        <v>391292</v>
      </c>
      <c r="AO1098" s="141">
        <f t="shared" si="634"/>
        <v>0</v>
      </c>
      <c r="AP1098" s="141">
        <f t="shared" si="634"/>
        <v>0</v>
      </c>
      <c r="AQ1098" s="141">
        <f t="shared" si="634"/>
        <v>0</v>
      </c>
      <c r="AR1098" s="141">
        <f t="shared" si="634"/>
        <v>0</v>
      </c>
    </row>
    <row r="1099" spans="31:44" ht="12">
      <c r="AE1099" s="123">
        <f t="shared" si="626"/>
        <v>16</v>
      </c>
      <c r="AG1099" s="123" t="s">
        <v>500</v>
      </c>
      <c r="AI1099" s="123">
        <f>SUM(AI1092:AI1098)</f>
        <v>86036145</v>
      </c>
      <c r="AJ1099" s="123">
        <f>SUM(AJ1092:AJ1098)</f>
        <v>59358789</v>
      </c>
      <c r="AK1099" s="123">
        <f>SUM(AK1092:AK1098)</f>
        <v>15207782</v>
      </c>
      <c r="AL1099" s="123">
        <f aca="true" t="shared" si="635" ref="AL1099:AR1099">SUM(AL1092:AL1098)</f>
        <v>36246</v>
      </c>
      <c r="AM1099" s="123">
        <f t="shared" si="635"/>
        <v>36865</v>
      </c>
      <c r="AN1099" s="123">
        <f t="shared" si="635"/>
        <v>11396462</v>
      </c>
      <c r="AO1099" s="123">
        <f t="shared" si="635"/>
        <v>0</v>
      </c>
      <c r="AP1099" s="123">
        <f t="shared" si="635"/>
        <v>0</v>
      </c>
      <c r="AQ1099" s="123">
        <f t="shared" si="635"/>
        <v>0</v>
      </c>
      <c r="AR1099" s="123">
        <f t="shared" si="635"/>
        <v>0</v>
      </c>
    </row>
    <row r="1102" spans="31:44" ht="12">
      <c r="AE1102" s="123">
        <f>AE1099+1</f>
        <v>17</v>
      </c>
      <c r="AG1102" s="123" t="s">
        <v>501</v>
      </c>
      <c r="AI1102" s="123">
        <f>AI1089-AI1099</f>
        <v>91899882.53999999</v>
      </c>
      <c r="AJ1102" s="123">
        <f>AJ1089-AJ1099</f>
        <v>50655267</v>
      </c>
      <c r="AK1102" s="123">
        <f>AK1089-AK1099</f>
        <v>20559153</v>
      </c>
      <c r="AL1102" s="123">
        <f aca="true" t="shared" si="636" ref="AL1102:AR1102">AL1089-AL1099</f>
        <v>64290</v>
      </c>
      <c r="AM1102" s="123">
        <f t="shared" si="636"/>
        <v>62019</v>
      </c>
      <c r="AN1102" s="123">
        <f t="shared" si="636"/>
        <v>20559152</v>
      </c>
      <c r="AO1102" s="123">
        <f t="shared" si="636"/>
        <v>0</v>
      </c>
      <c r="AP1102" s="123">
        <f t="shared" si="636"/>
        <v>0</v>
      </c>
      <c r="AQ1102" s="123">
        <f t="shared" si="636"/>
        <v>0</v>
      </c>
      <c r="AR1102" s="123">
        <f t="shared" si="636"/>
        <v>0</v>
      </c>
    </row>
    <row r="1103" spans="31:44" ht="12">
      <c r="AE1103" s="123">
        <f>AE1102+1</f>
        <v>18</v>
      </c>
      <c r="AG1103" s="123" t="str">
        <f>"EQUITY CAPITAL @ "&amp;FIXED(ROUND((1-$D$54)*100,2),2,TRUE)&amp;"%"</f>
        <v>EQUITY CAPITAL @ 52.09%</v>
      </c>
      <c r="AI1103" s="123">
        <f>ROUND(AI1102*(1-$D$54),0)</f>
        <v>47870649</v>
      </c>
      <c r="AJ1103" s="123">
        <f>ROUND(AJ1102*(1-$D$54),0)</f>
        <v>26386329</v>
      </c>
      <c r="AK1103" s="123">
        <f>ROUND(AK1102*(1-$D$54),0)</f>
        <v>10709263</v>
      </c>
      <c r="AL1103" s="123">
        <f aca="true" t="shared" si="637" ref="AL1103:AR1103">ROUND(AL1102*(1-$D$54),0)</f>
        <v>33489</v>
      </c>
      <c r="AM1103" s="123">
        <f t="shared" si="637"/>
        <v>32306</v>
      </c>
      <c r="AN1103" s="123">
        <f t="shared" si="637"/>
        <v>10709262</v>
      </c>
      <c r="AO1103" s="123">
        <f t="shared" si="637"/>
        <v>0</v>
      </c>
      <c r="AP1103" s="123">
        <f t="shared" si="637"/>
        <v>0</v>
      </c>
      <c r="AQ1103" s="123">
        <f t="shared" si="637"/>
        <v>0</v>
      </c>
      <c r="AR1103" s="123">
        <f t="shared" si="637"/>
        <v>0</v>
      </c>
    </row>
    <row r="1104" spans="31:44" ht="12">
      <c r="AE1104" s="123">
        <f>AE1103+1</f>
        <v>19</v>
      </c>
      <c r="AG1104" s="123" t="str">
        <f>"RETURN ON RATE BASE @ "&amp;FIXED(ROUND($D$49*100,2),2,TRUE)&amp;"%"</f>
        <v>RETURN ON RATE BASE @ 10.53%</v>
      </c>
      <c r="AI1104" s="123">
        <f>ROUND(+AI1102*$D$49,0)</f>
        <v>9677058</v>
      </c>
      <c r="AJ1104" s="123">
        <f>ROUND(+AJ1102*$D$49,0)</f>
        <v>5334000</v>
      </c>
      <c r="AK1104" s="123">
        <f>ROUND(+AK1102*$D$49,0)</f>
        <v>2164879</v>
      </c>
      <c r="AL1104" s="123">
        <f aca="true" t="shared" si="638" ref="AL1104:AR1104">ROUND(+AL1102*$D$49,0)</f>
        <v>6770</v>
      </c>
      <c r="AM1104" s="123">
        <f t="shared" si="638"/>
        <v>6531</v>
      </c>
      <c r="AN1104" s="123">
        <f t="shared" si="638"/>
        <v>2164879</v>
      </c>
      <c r="AO1104" s="123">
        <f t="shared" si="638"/>
        <v>0</v>
      </c>
      <c r="AP1104" s="123">
        <f t="shared" si="638"/>
        <v>0</v>
      </c>
      <c r="AQ1104" s="123">
        <f t="shared" si="638"/>
        <v>0</v>
      </c>
      <c r="AR1104" s="123">
        <f t="shared" si="638"/>
        <v>0</v>
      </c>
    </row>
    <row r="1105" spans="31:44" ht="12">
      <c r="AE1105" s="123">
        <f>AE1104+1</f>
        <v>20</v>
      </c>
      <c r="AG1105" s="123" t="str">
        <f>"RETURN ON EQUITY @ "&amp;FIXED(ROUND(D57*100,2),2,TRUE)&amp;"%"</f>
        <v>RETURN ON EQUITY @ 11.50%</v>
      </c>
      <c r="AI1105" s="123">
        <f>ROUND((AI1103*$D$57),0)</f>
        <v>5505125</v>
      </c>
      <c r="AJ1105" s="123">
        <f>ROUND((AJ1103*$D$57),0)</f>
        <v>3034428</v>
      </c>
      <c r="AK1105" s="123">
        <f>ROUND((AK1103*$D$57),0)</f>
        <v>1231565</v>
      </c>
      <c r="AL1105" s="123">
        <f aca="true" t="shared" si="639" ref="AL1105:AR1105">ROUND((AL1103*$D$57),0)</f>
        <v>3851</v>
      </c>
      <c r="AM1105" s="123">
        <f t="shared" si="639"/>
        <v>3715</v>
      </c>
      <c r="AN1105" s="123">
        <f t="shared" si="639"/>
        <v>1231565</v>
      </c>
      <c r="AO1105" s="123">
        <f t="shared" si="639"/>
        <v>0</v>
      </c>
      <c r="AP1105" s="123">
        <f t="shared" si="639"/>
        <v>0</v>
      </c>
      <c r="AQ1105" s="123">
        <f t="shared" si="639"/>
        <v>0</v>
      </c>
      <c r="AR1105" s="123">
        <f t="shared" si="639"/>
        <v>0</v>
      </c>
    </row>
    <row r="1106" spans="31:33" ht="12">
      <c r="AE1106" s="123">
        <f>AE1105+1</f>
        <v>21</v>
      </c>
      <c r="AG1106" s="123" t="s">
        <v>502</v>
      </c>
    </row>
    <row r="1107" spans="31:44" ht="12">
      <c r="AE1107" s="123">
        <f>AE1106+1</f>
        <v>22</v>
      </c>
      <c r="AG1107" s="123" t="str">
        <f>"(LINE 20 x "&amp;FIXED(ROUND(1/(1-$D$52),8),8,TRUE)&amp;") x "&amp;FIXED($D$52*100,0,TRUE)&amp;"%"</f>
        <v>(LINE 20 x 1.53846154) x 35%</v>
      </c>
      <c r="AI1107" s="123">
        <f>ROUND(+AI1105/(1-$D$52)*$D$52,0)</f>
        <v>2964298</v>
      </c>
      <c r="AJ1107" s="123">
        <f>ROUND(+AJ1105/(1-$D$52)*$D$52,0)</f>
        <v>1633923</v>
      </c>
      <c r="AK1107" s="123">
        <f>ROUND(+AK1105/(1-$D$52)*$D$52,0)</f>
        <v>663150</v>
      </c>
      <c r="AL1107" s="123">
        <f aca="true" t="shared" si="640" ref="AL1107:AR1107">ROUND(+AL1105/(1-$D$52)*$D$52,0)</f>
        <v>2074</v>
      </c>
      <c r="AM1107" s="123">
        <f t="shared" si="640"/>
        <v>2000</v>
      </c>
      <c r="AN1107" s="123">
        <f t="shared" si="640"/>
        <v>663150</v>
      </c>
      <c r="AO1107" s="123">
        <f t="shared" si="640"/>
        <v>0</v>
      </c>
      <c r="AP1107" s="123">
        <f t="shared" si="640"/>
        <v>0</v>
      </c>
      <c r="AQ1107" s="123">
        <f t="shared" si="640"/>
        <v>0</v>
      </c>
      <c r="AR1107" s="123">
        <f t="shared" si="640"/>
        <v>0</v>
      </c>
    </row>
    <row r="1111" ht="12">
      <c r="AF1111" s="123" t="s">
        <v>493</v>
      </c>
    </row>
    <row r="1112" spans="34:41" ht="12">
      <c r="AH1112" s="123" t="str">
        <f>"                         "&amp;+$B$24</f>
        <v>                         COLUMBIA GAS OF KENTUCKY, INC.</v>
      </c>
      <c r="AO1112" s="166" t="str">
        <f>AO1075</f>
        <v>ATTACHMENT 1</v>
      </c>
    </row>
    <row r="1113" spans="31:41" ht="12">
      <c r="AE1113" s="123" t="str">
        <f>$B$30</f>
        <v>DEMAND-COMMODITY</v>
      </c>
      <c r="AI1113" s="123" t="s">
        <v>503</v>
      </c>
      <c r="AO1113" s="166" t="s">
        <v>504</v>
      </c>
    </row>
    <row r="1114" spans="31:44" ht="12">
      <c r="AE1114" s="128" t="str">
        <f>$B$29</f>
        <v>HISTORIC PERIOD - ORIGINAL FILING</v>
      </c>
      <c r="AF1114" s="128"/>
      <c r="AG1114" s="128"/>
      <c r="AH1114" s="128" t="str">
        <f>"                     FOR THE TWELVE MONTHS ENDED "&amp;$B$27</f>
        <v>                     FOR THE TWELVE MONTHS ENDED 09/30/2006</v>
      </c>
      <c r="AI1114" s="128"/>
      <c r="AJ1114" s="128"/>
      <c r="AK1114" s="128"/>
      <c r="AL1114" s="128"/>
      <c r="AM1114" s="128"/>
      <c r="AN1114" s="128"/>
      <c r="AO1114" s="128" t="str">
        <f>"WITNESS: "&amp;$B$28</f>
        <v>WITNESS: R. GIBBONS</v>
      </c>
      <c r="AP1114" s="128"/>
      <c r="AQ1114" s="128"/>
      <c r="AR1114" s="128"/>
    </row>
    <row r="1115" spans="31:35" ht="12">
      <c r="AE1115" s="125" t="s">
        <v>9</v>
      </c>
      <c r="AF1115" s="123" t="s">
        <v>10</v>
      </c>
      <c r="AH1115" s="125" t="s">
        <v>11</v>
      </c>
      <c r="AI1115" s="125" t="s">
        <v>12</v>
      </c>
    </row>
    <row r="1116" spans="31:44" ht="12">
      <c r="AE1116" s="133" t="s">
        <v>13</v>
      </c>
      <c r="AF1116" s="133" t="s">
        <v>13</v>
      </c>
      <c r="AG1116" s="133" t="str">
        <f>"                         ACCOUNT TITLE                "</f>
        <v>                         ACCOUNT TITLE                </v>
      </c>
      <c r="AH1116" s="141" t="s">
        <v>14</v>
      </c>
      <c r="AI1116" s="133" t="s">
        <v>15</v>
      </c>
      <c r="AJ1116" s="141" t="str">
        <f>"  "&amp;+$C$35</f>
        <v>  GS-RES.</v>
      </c>
      <c r="AK1116" s="141" t="str">
        <f>$C$36</f>
        <v>GS-OTHER</v>
      </c>
      <c r="AL1116" s="133" t="str">
        <f>$C$37</f>
        <v>IUS</v>
      </c>
      <c r="AM1116" s="133" t="str">
        <f>$C$38</f>
        <v>DS-ML/SC</v>
      </c>
      <c r="AN1116" s="133" t="str">
        <f>$C$39</f>
        <v>DS/IS/SS</v>
      </c>
      <c r="AO1116" s="133" t="str">
        <f>$C$40</f>
        <v>NOT USED</v>
      </c>
      <c r="AP1116" s="133" t="str">
        <f>$C$41</f>
        <v>NOT USED</v>
      </c>
      <c r="AQ1116" s="133" t="str">
        <f>$C$42</f>
        <v>NOT USED</v>
      </c>
      <c r="AR1116" s="133" t="str">
        <f>$C$43</f>
        <v>NOT USED</v>
      </c>
    </row>
    <row r="1117" spans="32:44" ht="12">
      <c r="AF1117" s="136" t="s">
        <v>17</v>
      </c>
      <c r="AG1117" s="136" t="s">
        <v>18</v>
      </c>
      <c r="AH1117" s="125" t="s">
        <v>19</v>
      </c>
      <c r="AI1117" s="125" t="s">
        <v>20</v>
      </c>
      <c r="AJ1117" s="125" t="s">
        <v>21</v>
      </c>
      <c r="AK1117" s="125" t="s">
        <v>22</v>
      </c>
      <c r="AL1117" s="125" t="s">
        <v>23</v>
      </c>
      <c r="AM1117" s="125" t="s">
        <v>24</v>
      </c>
      <c r="AN1117" s="125" t="s">
        <v>25</v>
      </c>
      <c r="AO1117" s="125" t="s">
        <v>26</v>
      </c>
      <c r="AP1117" s="125" t="s">
        <v>27</v>
      </c>
      <c r="AQ1117" s="125" t="s">
        <v>28</v>
      </c>
      <c r="AR1117" s="125" t="s">
        <v>29</v>
      </c>
    </row>
    <row r="1118" spans="35:37" ht="12">
      <c r="AI1118" s="125" t="s">
        <v>32</v>
      </c>
      <c r="AJ1118" s="125" t="s">
        <v>32</v>
      </c>
      <c r="AK1118" s="125" t="s">
        <v>32</v>
      </c>
    </row>
    <row r="1119" spans="31:44" ht="12">
      <c r="AE1119" s="123">
        <v>1</v>
      </c>
      <c r="AG1119" s="123" t="s">
        <v>505</v>
      </c>
      <c r="AI1119" s="123">
        <f>AI1073</f>
        <v>9230637</v>
      </c>
      <c r="AJ1119" s="123">
        <f>AJ1073</f>
        <v>6679731</v>
      </c>
      <c r="AK1119" s="123">
        <f>AK1073</f>
        <v>1900391</v>
      </c>
      <c r="AL1119" s="123">
        <f aca="true" t="shared" si="641" ref="AL1119:AR1119">AL1073</f>
        <v>3207</v>
      </c>
      <c r="AM1119" s="123">
        <f t="shared" si="641"/>
        <v>7659</v>
      </c>
      <c r="AN1119" s="123">
        <f t="shared" si="641"/>
        <v>639647</v>
      </c>
      <c r="AO1119" s="123">
        <f t="shared" si="641"/>
        <v>0</v>
      </c>
      <c r="AP1119" s="123">
        <f t="shared" si="641"/>
        <v>0</v>
      </c>
      <c r="AQ1119" s="123">
        <f t="shared" si="641"/>
        <v>0</v>
      </c>
      <c r="AR1119" s="123">
        <f t="shared" si="641"/>
        <v>0</v>
      </c>
    </row>
    <row r="1121" spans="31:44" ht="12">
      <c r="AE1121" s="123">
        <f>AE1119+1</f>
        <v>2</v>
      </c>
      <c r="AF1121" s="123">
        <f>AF290</f>
        <v>376</v>
      </c>
      <c r="AG1121" s="123" t="str">
        <f>AG290&amp;" [1]"</f>
        <v>MAINS [1]</v>
      </c>
      <c r="AH1121" s="123">
        <f>AH290</f>
        <v>5</v>
      </c>
      <c r="AI1121" s="123">
        <f>ROUND($D$557*(AI290+AI291),0)</f>
        <v>1731037</v>
      </c>
      <c r="AJ1121" s="123">
        <f>ROUND($D$557*(AJ290+AJ291),0)</f>
        <v>644274</v>
      </c>
      <c r="AK1121" s="123">
        <f>ROUND($D$557*(AK290+AK291),0)</f>
        <v>411000</v>
      </c>
      <c r="AL1121" s="123">
        <f aca="true" t="shared" si="642" ref="AL1121:AR1121">ROUND($D$557*(AL290+AL291),0)</f>
        <v>1645</v>
      </c>
      <c r="AM1121" s="123">
        <f t="shared" si="642"/>
        <v>0</v>
      </c>
      <c r="AN1121" s="123">
        <f t="shared" si="642"/>
        <v>674118</v>
      </c>
      <c r="AO1121" s="123">
        <f t="shared" si="642"/>
        <v>0</v>
      </c>
      <c r="AP1121" s="123">
        <f t="shared" si="642"/>
        <v>0</v>
      </c>
      <c r="AQ1121" s="123">
        <f t="shared" si="642"/>
        <v>0</v>
      </c>
      <c r="AR1121" s="123">
        <f t="shared" si="642"/>
        <v>0</v>
      </c>
    </row>
    <row r="1122" spans="31:44" ht="12">
      <c r="AE1122" s="123">
        <f aca="true" t="shared" si="643" ref="AE1122:AE1128">AE1121+1</f>
        <v>3</v>
      </c>
      <c r="AF1122" s="123">
        <f>AF296</f>
        <v>380</v>
      </c>
      <c r="AG1122" s="123" t="str">
        <f>AG296&amp;" [2]"</f>
        <v>SERVICES [2]</v>
      </c>
      <c r="AH1122" s="123">
        <f>AH296</f>
        <v>15</v>
      </c>
      <c r="AI1122" s="123">
        <f>ROUND($D$558*AI296,0)</f>
        <v>2706540</v>
      </c>
      <c r="AJ1122" s="123">
        <f>ROUND($D$558*AJ296,0)</f>
        <v>2430039</v>
      </c>
      <c r="AK1122" s="123">
        <f>ROUND($D$558*AK296,0)</f>
        <v>269355</v>
      </c>
      <c r="AL1122" s="123">
        <f aca="true" t="shared" si="644" ref="AL1122:AR1122">ROUND($D$558*AL296,0)</f>
        <v>27</v>
      </c>
      <c r="AM1122" s="123">
        <f t="shared" si="644"/>
        <v>0</v>
      </c>
      <c r="AN1122" s="123">
        <f t="shared" si="644"/>
        <v>7118</v>
      </c>
      <c r="AO1122" s="123">
        <f t="shared" si="644"/>
        <v>0</v>
      </c>
      <c r="AP1122" s="123">
        <f t="shared" si="644"/>
        <v>0</v>
      </c>
      <c r="AQ1122" s="123">
        <f t="shared" si="644"/>
        <v>0</v>
      </c>
      <c r="AR1122" s="123">
        <f t="shared" si="644"/>
        <v>0</v>
      </c>
    </row>
    <row r="1123" spans="31:44" ht="12">
      <c r="AE1123" s="123">
        <f t="shared" si="643"/>
        <v>4</v>
      </c>
      <c r="AF1123" s="123">
        <f aca="true" t="shared" si="645" ref="AF1123:AH1127">AF304</f>
        <v>381</v>
      </c>
      <c r="AG1123" s="123" t="str">
        <f t="shared" si="645"/>
        <v>METERS</v>
      </c>
      <c r="AH1123" s="123">
        <f t="shared" si="645"/>
        <v>16</v>
      </c>
      <c r="AI1123" s="123">
        <f aca="true" t="shared" si="646" ref="AI1123:AK1127">AI304</f>
        <v>383784.3346</v>
      </c>
      <c r="AJ1123" s="123">
        <f t="shared" si="646"/>
        <v>238718</v>
      </c>
      <c r="AK1123" s="123">
        <f t="shared" si="646"/>
        <v>137890</v>
      </c>
      <c r="AL1123" s="123">
        <f aca="true" t="shared" si="647" ref="AL1123:AR1123">AL304</f>
        <v>92</v>
      </c>
      <c r="AM1123" s="123">
        <f t="shared" si="647"/>
        <v>453</v>
      </c>
      <c r="AN1123" s="123">
        <f t="shared" si="647"/>
        <v>6632</v>
      </c>
      <c r="AO1123" s="123">
        <f t="shared" si="647"/>
        <v>0</v>
      </c>
      <c r="AP1123" s="123">
        <f t="shared" si="647"/>
        <v>0</v>
      </c>
      <c r="AQ1123" s="123">
        <f t="shared" si="647"/>
        <v>0</v>
      </c>
      <c r="AR1123" s="123">
        <f t="shared" si="647"/>
        <v>0</v>
      </c>
    </row>
    <row r="1124" spans="31:44" ht="12">
      <c r="AE1124" s="123">
        <f t="shared" si="643"/>
        <v>5</v>
      </c>
      <c r="AF1124" s="123">
        <f t="shared" si="645"/>
        <v>382</v>
      </c>
      <c r="AG1124" s="123" t="str">
        <f t="shared" si="645"/>
        <v>METER INSTALLATIONS</v>
      </c>
      <c r="AH1124" s="123">
        <f t="shared" si="645"/>
        <v>16</v>
      </c>
      <c r="AI1124" s="123">
        <f t="shared" si="646"/>
        <v>233564.2948</v>
      </c>
      <c r="AJ1124" s="123">
        <f t="shared" si="646"/>
        <v>145279</v>
      </c>
      <c r="AK1124" s="123">
        <f t="shared" si="646"/>
        <v>83917</v>
      </c>
      <c r="AL1124" s="123">
        <f aca="true" t="shared" si="648" ref="AL1124:AR1124">AL305</f>
        <v>56</v>
      </c>
      <c r="AM1124" s="123">
        <f t="shared" si="648"/>
        <v>276</v>
      </c>
      <c r="AN1124" s="123">
        <f t="shared" si="648"/>
        <v>4036</v>
      </c>
      <c r="AO1124" s="123">
        <f t="shared" si="648"/>
        <v>0</v>
      </c>
      <c r="AP1124" s="123">
        <f t="shared" si="648"/>
        <v>0</v>
      </c>
      <c r="AQ1124" s="123">
        <f t="shared" si="648"/>
        <v>0</v>
      </c>
      <c r="AR1124" s="123">
        <f t="shared" si="648"/>
        <v>0</v>
      </c>
    </row>
    <row r="1125" spans="31:44" ht="12">
      <c r="AE1125" s="123">
        <f t="shared" si="643"/>
        <v>6</v>
      </c>
      <c r="AF1125" s="123">
        <f t="shared" si="645"/>
        <v>383</v>
      </c>
      <c r="AG1125" s="123" t="str">
        <f t="shared" si="645"/>
        <v>HOUSE REGULATORS</v>
      </c>
      <c r="AH1125" s="123">
        <f t="shared" si="645"/>
        <v>16</v>
      </c>
      <c r="AI1125" s="123">
        <f t="shared" si="646"/>
        <v>78973.0678</v>
      </c>
      <c r="AJ1125" s="123">
        <f t="shared" si="646"/>
        <v>49122</v>
      </c>
      <c r="AK1125" s="123">
        <f t="shared" si="646"/>
        <v>28374</v>
      </c>
      <c r="AL1125" s="123">
        <f aca="true" t="shared" si="649" ref="AL1125:AR1125">AL306</f>
        <v>19</v>
      </c>
      <c r="AM1125" s="123">
        <f t="shared" si="649"/>
        <v>93</v>
      </c>
      <c r="AN1125" s="123">
        <f t="shared" si="649"/>
        <v>1365</v>
      </c>
      <c r="AO1125" s="123">
        <f t="shared" si="649"/>
        <v>0</v>
      </c>
      <c r="AP1125" s="123">
        <f t="shared" si="649"/>
        <v>0</v>
      </c>
      <c r="AQ1125" s="123">
        <f t="shared" si="649"/>
        <v>0</v>
      </c>
      <c r="AR1125" s="123">
        <f t="shared" si="649"/>
        <v>0</v>
      </c>
    </row>
    <row r="1126" spans="31:44" ht="12">
      <c r="AE1126" s="123">
        <f t="shared" si="643"/>
        <v>7</v>
      </c>
      <c r="AF1126" s="123">
        <f t="shared" si="645"/>
        <v>384</v>
      </c>
      <c r="AG1126" s="123" t="str">
        <f t="shared" si="645"/>
        <v>HOUSE REG INSTALLATIONS</v>
      </c>
      <c r="AH1126" s="123">
        <f t="shared" si="645"/>
        <v>16</v>
      </c>
      <c r="AI1126" s="123">
        <f t="shared" si="646"/>
        <v>33575</v>
      </c>
      <c r="AJ1126" s="123">
        <f t="shared" si="646"/>
        <v>20884</v>
      </c>
      <c r="AK1126" s="123">
        <f t="shared" si="646"/>
        <v>12063</v>
      </c>
      <c r="AL1126" s="123">
        <f aca="true" t="shared" si="650" ref="AL1126:AR1126">AL307</f>
        <v>8</v>
      </c>
      <c r="AM1126" s="123">
        <f t="shared" si="650"/>
        <v>40</v>
      </c>
      <c r="AN1126" s="123">
        <f t="shared" si="650"/>
        <v>580</v>
      </c>
      <c r="AO1126" s="123">
        <f t="shared" si="650"/>
        <v>0</v>
      </c>
      <c r="AP1126" s="123">
        <f t="shared" si="650"/>
        <v>0</v>
      </c>
      <c r="AQ1126" s="123">
        <f t="shared" si="650"/>
        <v>0</v>
      </c>
      <c r="AR1126" s="123">
        <f t="shared" si="650"/>
        <v>0</v>
      </c>
    </row>
    <row r="1127" spans="31:44" ht="12">
      <c r="AE1127" s="123">
        <f t="shared" si="643"/>
        <v>8</v>
      </c>
      <c r="AF1127" s="123">
        <f t="shared" si="645"/>
        <v>385</v>
      </c>
      <c r="AG1127" s="123" t="str">
        <f t="shared" si="645"/>
        <v>IND M&amp;R EQUIPMENT</v>
      </c>
      <c r="AH1127" s="123">
        <f t="shared" si="645"/>
        <v>17</v>
      </c>
      <c r="AI1127" s="123">
        <f t="shared" si="646"/>
        <v>127055.962</v>
      </c>
      <c r="AJ1127" s="123">
        <f t="shared" si="646"/>
        <v>0</v>
      </c>
      <c r="AK1127" s="123">
        <f t="shared" si="646"/>
        <v>69756</v>
      </c>
      <c r="AL1127" s="123">
        <f aca="true" t="shared" si="651" ref="AL1127:AR1127">AL308</f>
        <v>996</v>
      </c>
      <c r="AM1127" s="123">
        <f t="shared" si="651"/>
        <v>3488</v>
      </c>
      <c r="AN1127" s="123">
        <f t="shared" si="651"/>
        <v>52816</v>
      </c>
      <c r="AO1127" s="123">
        <f t="shared" si="651"/>
        <v>0</v>
      </c>
      <c r="AP1127" s="123">
        <f t="shared" si="651"/>
        <v>0</v>
      </c>
      <c r="AQ1127" s="123">
        <f t="shared" si="651"/>
        <v>0</v>
      </c>
      <c r="AR1127" s="123">
        <f t="shared" si="651"/>
        <v>0</v>
      </c>
    </row>
    <row r="1128" spans="31:44" ht="12">
      <c r="AE1128" s="123">
        <f t="shared" si="643"/>
        <v>9</v>
      </c>
      <c r="AG1128" s="123" t="s">
        <v>506</v>
      </c>
      <c r="AI1128" s="123">
        <f>SUM(AI1121:AI1127)</f>
        <v>5294529.659200001</v>
      </c>
      <c r="AJ1128" s="123">
        <f>SUM(AJ1121:AJ1127)</f>
        <v>3528316</v>
      </c>
      <c r="AK1128" s="123">
        <f>SUM(AK1121:AK1127)</f>
        <v>1012355</v>
      </c>
      <c r="AL1128" s="123">
        <f aca="true" t="shared" si="652" ref="AL1128:AR1128">SUM(AL1121:AL1127)</f>
        <v>2843</v>
      </c>
      <c r="AM1128" s="123">
        <f t="shared" si="652"/>
        <v>4350</v>
      </c>
      <c r="AN1128" s="123">
        <f t="shared" si="652"/>
        <v>746665</v>
      </c>
      <c r="AO1128" s="123">
        <f t="shared" si="652"/>
        <v>0</v>
      </c>
      <c r="AP1128" s="123">
        <f t="shared" si="652"/>
        <v>0</v>
      </c>
      <c r="AQ1128" s="123">
        <f t="shared" si="652"/>
        <v>0</v>
      </c>
      <c r="AR1128" s="123">
        <f t="shared" si="652"/>
        <v>0</v>
      </c>
    </row>
    <row r="1130" spans="31:44" ht="12">
      <c r="AE1130" s="123">
        <f>AE1128+1</f>
        <v>10</v>
      </c>
      <c r="AG1130" s="123" t="s">
        <v>507</v>
      </c>
      <c r="AI1130" s="123">
        <f aca="true" t="shared" si="653" ref="AI1130:AN1130">ROUND(((AI1089-AI1099)/(AI$166-AI$164-AI$252))*AI$666,0)</f>
        <v>2062</v>
      </c>
      <c r="AJ1130" s="123">
        <f t="shared" si="653"/>
        <v>1432</v>
      </c>
      <c r="AK1130" s="123">
        <f t="shared" si="653"/>
        <v>510</v>
      </c>
      <c r="AL1130" s="123">
        <f t="shared" si="653"/>
        <v>1</v>
      </c>
      <c r="AM1130" s="123">
        <f t="shared" si="653"/>
        <v>3</v>
      </c>
      <c r="AN1130" s="123">
        <f t="shared" si="653"/>
        <v>191</v>
      </c>
      <c r="AO1130" s="123">
        <f>IF(AO252=0,0,ROUND(((AO1089-AO1099)/(AO$166-AO$164-AO$252))*AO$666,0))</f>
        <v>0</v>
      </c>
      <c r="AP1130" s="123">
        <f>IF(AP252=0,0,ROUND(((AP1089-AP1099)/(AP$166-AP$164-AP$252))*AP$666,0))</f>
        <v>0</v>
      </c>
      <c r="AQ1130" s="123">
        <f>IF(AQ252=0,0,ROUND(((AQ1089-AQ1099)/(AQ$166-AQ$164-AQ$252))*AQ$666,0))</f>
        <v>0</v>
      </c>
      <c r="AR1130" s="123">
        <f>IF(AR252=0,0,ROUND(((AR1089-AR1099)/(AR$166-AR$164-AR$252))*AR$666,0))</f>
        <v>0</v>
      </c>
    </row>
    <row r="1131" spans="31:44" ht="12">
      <c r="AE1131" s="123">
        <f>AE1130+1</f>
        <v>11</v>
      </c>
      <c r="AG1131" s="123" t="s">
        <v>502</v>
      </c>
      <c r="AI1131" s="123">
        <f>AI1107</f>
        <v>2964298</v>
      </c>
      <c r="AJ1131" s="123">
        <f>AJ1107</f>
        <v>1633923</v>
      </c>
      <c r="AK1131" s="123">
        <f>AK1107</f>
        <v>663150</v>
      </c>
      <c r="AL1131" s="123">
        <f aca="true" t="shared" si="654" ref="AL1131:AR1131">AL1107</f>
        <v>2074</v>
      </c>
      <c r="AM1131" s="123">
        <f t="shared" si="654"/>
        <v>2000</v>
      </c>
      <c r="AN1131" s="123">
        <f t="shared" si="654"/>
        <v>663150</v>
      </c>
      <c r="AO1131" s="123">
        <f t="shared" si="654"/>
        <v>0</v>
      </c>
      <c r="AP1131" s="123">
        <f t="shared" si="654"/>
        <v>0</v>
      </c>
      <c r="AQ1131" s="123">
        <f t="shared" si="654"/>
        <v>0</v>
      </c>
      <c r="AR1131" s="123">
        <f t="shared" si="654"/>
        <v>0</v>
      </c>
    </row>
    <row r="1132" spans="31:44" ht="12">
      <c r="AE1132" s="123">
        <f>AE1131+1</f>
        <v>12</v>
      </c>
      <c r="AG1132" s="123" t="s">
        <v>508</v>
      </c>
      <c r="AI1132" s="123">
        <f>AI1104</f>
        <v>9677058</v>
      </c>
      <c r="AJ1132" s="123">
        <f>AJ1104</f>
        <v>5334000</v>
      </c>
      <c r="AK1132" s="123">
        <f>AK1104</f>
        <v>2164879</v>
      </c>
      <c r="AL1132" s="123">
        <f aca="true" t="shared" si="655" ref="AL1132:AR1132">AL1104</f>
        <v>6770</v>
      </c>
      <c r="AM1132" s="123">
        <f t="shared" si="655"/>
        <v>6531</v>
      </c>
      <c r="AN1132" s="123">
        <f t="shared" si="655"/>
        <v>2164879</v>
      </c>
      <c r="AO1132" s="123">
        <f t="shared" si="655"/>
        <v>0</v>
      </c>
      <c r="AP1132" s="123">
        <f t="shared" si="655"/>
        <v>0</v>
      </c>
      <c r="AQ1132" s="123">
        <f t="shared" si="655"/>
        <v>0</v>
      </c>
      <c r="AR1132" s="123">
        <f t="shared" si="655"/>
        <v>0</v>
      </c>
    </row>
    <row r="1133" spans="31:33" ht="12">
      <c r="AE1133" s="123">
        <f>AE1132+1</f>
        <v>13</v>
      </c>
      <c r="AG1133" s="123" t="s">
        <v>509</v>
      </c>
    </row>
    <row r="1134" spans="31:44" ht="12">
      <c r="AE1134" s="123">
        <f>AE1133+1</f>
        <v>14</v>
      </c>
      <c r="AG1134" s="123" t="str">
        <f>"(LINES 1,9,10,11,12 X "&amp;FIXED(D56,8,TRUE)&amp;")"</f>
        <v>(LINES 1,9,10,11,12 X 0.00189800)</v>
      </c>
      <c r="AH1134" s="143"/>
      <c r="AI1134" s="141">
        <f>ROUND((AI1119+SUM(AI1128:AI1132))*D56,0)</f>
        <v>51566</v>
      </c>
      <c r="AJ1134" s="141">
        <f>ROUND((AJ1119+SUM(AJ1128:AJ1132))*E56,0)</f>
        <v>0</v>
      </c>
      <c r="AK1134" s="141">
        <f>ROUND((AK1119+SUM(AK1128:AK1132))*F56,0)</f>
        <v>0</v>
      </c>
      <c r="AL1134" s="141">
        <f aca="true" t="shared" si="656" ref="AL1134:AR1134">ROUND((AL1119+SUM(AL1128:AL1132))*G56,0)</f>
        <v>0</v>
      </c>
      <c r="AM1134" s="141">
        <f t="shared" si="656"/>
        <v>0</v>
      </c>
      <c r="AN1134" s="141">
        <f t="shared" si="656"/>
        <v>0</v>
      </c>
      <c r="AO1134" s="141">
        <f t="shared" si="656"/>
        <v>0</v>
      </c>
      <c r="AP1134" s="141">
        <f t="shared" si="656"/>
        <v>0</v>
      </c>
      <c r="AQ1134" s="141">
        <f t="shared" si="656"/>
        <v>0</v>
      </c>
      <c r="AR1134" s="141">
        <f t="shared" si="656"/>
        <v>0</v>
      </c>
    </row>
    <row r="1135" spans="31:44" ht="12">
      <c r="AE1135" s="123">
        <f>AE1134+1</f>
        <v>15</v>
      </c>
      <c r="AG1135" s="123" t="s">
        <v>510</v>
      </c>
      <c r="AI1135" s="123">
        <f>AI1119+SUM(AI1128:AI1134)</f>
        <v>27220150.6592</v>
      </c>
      <c r="AJ1135" s="123">
        <f>AJ1119+SUM(AJ1128:AJ1134)</f>
        <v>17177402</v>
      </c>
      <c r="AK1135" s="123">
        <f>AK1119+SUM(AK1128:AK1134)</f>
        <v>5741285</v>
      </c>
      <c r="AL1135" s="123">
        <f aca="true" t="shared" si="657" ref="AL1135:AR1135">AL1119+SUM(AL1128:AL1134)</f>
        <v>14895</v>
      </c>
      <c r="AM1135" s="123">
        <f t="shared" si="657"/>
        <v>20543</v>
      </c>
      <c r="AN1135" s="123">
        <f t="shared" si="657"/>
        <v>4214532</v>
      </c>
      <c r="AO1135" s="123">
        <f t="shared" si="657"/>
        <v>0</v>
      </c>
      <c r="AP1135" s="123">
        <f t="shared" si="657"/>
        <v>0</v>
      </c>
      <c r="AQ1135" s="123">
        <f t="shared" si="657"/>
        <v>0</v>
      </c>
      <c r="AR1135" s="123">
        <f t="shared" si="657"/>
        <v>0</v>
      </c>
    </row>
    <row r="1137" spans="31:33" ht="12">
      <c r="AE1137" s="123">
        <f>AE1135+1</f>
        <v>16</v>
      </c>
      <c r="AG1137" s="123" t="s">
        <v>511</v>
      </c>
    </row>
    <row r="1138" spans="31:44" ht="12">
      <c r="AE1138" s="123">
        <f>AE1137+1</f>
        <v>17</v>
      </c>
      <c r="AG1138" s="123" t="s">
        <v>512</v>
      </c>
      <c r="AI1138" s="123">
        <f>ROUND(AI1135/12,0)</f>
        <v>2268346</v>
      </c>
      <c r="AJ1138" s="123">
        <f>ROUND(AJ1135/12,0)</f>
        <v>1431450</v>
      </c>
      <c r="AK1138" s="123">
        <f>ROUND(AK1135/12,0)</f>
        <v>478440</v>
      </c>
      <c r="AL1138" s="123">
        <f aca="true" t="shared" si="658" ref="AL1138:AR1138">ROUND(AL1135/12,0)</f>
        <v>1241</v>
      </c>
      <c r="AM1138" s="123">
        <f t="shared" si="658"/>
        <v>1712</v>
      </c>
      <c r="AN1138" s="123">
        <f t="shared" si="658"/>
        <v>351211</v>
      </c>
      <c r="AO1138" s="123">
        <f t="shared" si="658"/>
        <v>0</v>
      </c>
      <c r="AP1138" s="123">
        <f t="shared" si="658"/>
        <v>0</v>
      </c>
      <c r="AQ1138" s="123">
        <f t="shared" si="658"/>
        <v>0</v>
      </c>
      <c r="AR1138" s="123">
        <f t="shared" si="658"/>
        <v>0</v>
      </c>
    </row>
    <row r="1140" spans="31:44" ht="12">
      <c r="AE1140" s="123">
        <f>AE1138+1</f>
        <v>18</v>
      </c>
      <c r="AG1140" s="123" t="s">
        <v>513</v>
      </c>
      <c r="AI1140" s="123">
        <f>D77</f>
        <v>139102</v>
      </c>
      <c r="AJ1140" s="123">
        <f>E77</f>
        <v>124450.33333333333</v>
      </c>
      <c r="AK1140" s="123">
        <f>F77</f>
        <v>14561.25</v>
      </c>
      <c r="AL1140" s="123">
        <f aca="true" t="shared" si="659" ref="AL1140:AR1140">G77</f>
        <v>2</v>
      </c>
      <c r="AM1140" s="123">
        <f t="shared" si="659"/>
        <v>5.833333333333333</v>
      </c>
      <c r="AN1140" s="123">
        <f t="shared" si="659"/>
        <v>82.58333333333333</v>
      </c>
      <c r="AO1140" s="123">
        <f t="shared" si="659"/>
        <v>0</v>
      </c>
      <c r="AP1140" s="123">
        <f t="shared" si="659"/>
        <v>0</v>
      </c>
      <c r="AQ1140" s="123">
        <f t="shared" si="659"/>
        <v>0</v>
      </c>
      <c r="AR1140" s="123">
        <f t="shared" si="659"/>
        <v>0</v>
      </c>
    </row>
    <row r="1142" spans="31:44" ht="12">
      <c r="AE1142" s="123">
        <f>AE1140+1</f>
        <v>19</v>
      </c>
      <c r="AG1142" s="123" t="s">
        <v>514</v>
      </c>
      <c r="AI1142" s="139">
        <f>IF(AI1140=0,0,ROUND(AI1138/AI1140,2))</f>
        <v>16.31</v>
      </c>
      <c r="AJ1142" s="139">
        <f>IF(AJ1140=0,0,ROUND(AJ1138/AJ1140,2))</f>
        <v>11.5</v>
      </c>
      <c r="AK1142" s="139">
        <f>IF(AK1140=0,0,ROUND(AK1138/AK1140,2))</f>
        <v>32.86</v>
      </c>
      <c r="AL1142" s="139">
        <f aca="true" t="shared" si="660" ref="AL1142:AR1142">IF(AL1140=0,0,ROUND(AL1138/AL1140,2))</f>
        <v>620.5</v>
      </c>
      <c r="AM1142" s="139">
        <f t="shared" si="660"/>
        <v>293.49</v>
      </c>
      <c r="AN1142" s="139">
        <f t="shared" si="660"/>
        <v>4252.81</v>
      </c>
      <c r="AO1142" s="139">
        <f t="shared" si="660"/>
        <v>0</v>
      </c>
      <c r="AP1142" s="139">
        <f t="shared" si="660"/>
        <v>0</v>
      </c>
      <c r="AQ1142" s="139">
        <f t="shared" si="660"/>
        <v>0</v>
      </c>
      <c r="AR1142" s="139">
        <f t="shared" si="660"/>
        <v>0</v>
      </c>
    </row>
    <row r="1143" ht="12">
      <c r="AF1143" s="123" t="s">
        <v>515</v>
      </c>
    </row>
    <row r="1144" ht="12">
      <c r="AF1144" s="123" t="s">
        <v>516</v>
      </c>
    </row>
    <row r="1432" spans="32:33" ht="12">
      <c r="AF1432" s="140"/>
      <c r="AG1432" s="140"/>
    </row>
  </sheetData>
  <mergeCells count="5">
    <mergeCell ref="A602:K602"/>
    <mergeCell ref="A598:K598"/>
    <mergeCell ref="A599:K599"/>
    <mergeCell ref="A600:K600"/>
    <mergeCell ref="A601:K601"/>
  </mergeCells>
  <printOptions/>
  <pageMargins left="0" right="0" top="0.5" bottom="0.55" header="0.5" footer="0.5"/>
  <pageSetup fitToHeight="2" horizontalDpi="600" verticalDpi="600" orientation="landscape" scale="87" r:id="rId3"/>
  <headerFooter alignWithMargins="0">
    <oddHeader>&amp;R2007-00008 AG Set 1-114 Attachment   D/C_Study</oddHeader>
  </headerFooter>
  <rowBreaks count="29" manualBreakCount="29">
    <brk id="84" min="30" max="43" man="1"/>
    <brk id="127" min="30" max="43" man="1"/>
    <brk id="166" min="30" max="43" man="1"/>
    <brk id="210" min="30" max="43" man="1"/>
    <brk id="252" min="30" max="43" man="1"/>
    <brk id="296" min="30" max="43" man="1"/>
    <brk id="338" min="30" max="43" man="1"/>
    <brk id="362" min="30" max="43" man="1"/>
    <brk id="400" min="30" max="43" man="1"/>
    <brk id="433" min="30" max="43" man="1"/>
    <brk id="469" min="30" max="43" man="1"/>
    <brk id="508" min="30" max="43" man="1"/>
    <brk id="541" min="30" max="43" man="1"/>
    <brk id="578" min="30" max="43" man="1"/>
    <brk id="618" min="30" max="43" man="1"/>
    <brk id="652" min="30" max="43" man="1"/>
    <brk id="679" min="30" max="43" man="1"/>
    <brk id="710" min="30" max="43" man="1"/>
    <brk id="740" min="30" max="43" man="1"/>
    <brk id="777" min="30" max="43" man="1"/>
    <brk id="813" min="30" max="43" man="1"/>
    <brk id="850" min="30" max="43" man="1"/>
    <brk id="888" min="30" max="43" man="1"/>
    <brk id="920" min="30" max="43" man="1"/>
    <brk id="957" min="30" max="43" man="1"/>
    <brk id="994" min="30" max="43" man="1"/>
    <brk id="1039" min="30" max="43" man="1"/>
    <brk id="1074" min="30" max="43" man="1"/>
    <brk id="1111" min="30" max="4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A15" sqref="A15"/>
    </sheetView>
  </sheetViews>
  <sheetFormatPr defaultColWidth="9.140625" defaultRowHeight="12"/>
  <cols>
    <col min="1" max="1" width="18.8515625" style="0" customWidth="1"/>
    <col min="3" max="3" width="13.7109375" style="0" customWidth="1"/>
    <col min="4" max="4" width="13.140625" style="0" customWidth="1"/>
    <col min="5" max="5" width="12.00390625" style="0" customWidth="1"/>
    <col min="7" max="7" width="9.421875" style="0" customWidth="1"/>
  </cols>
  <sheetData>
    <row r="1" spans="2:5" ht="10.5">
      <c r="B1" s="10"/>
      <c r="E1" s="23" t="s">
        <v>795</v>
      </c>
    </row>
    <row r="2" spans="1:12" ht="10.5">
      <c r="A2" s="71"/>
      <c r="B2" s="71"/>
      <c r="C2" s="72"/>
      <c r="D2" s="73"/>
      <c r="E2" s="74" t="s">
        <v>796</v>
      </c>
      <c r="F2" s="73"/>
      <c r="G2" s="73"/>
      <c r="H2" s="73"/>
      <c r="I2" s="73"/>
      <c r="J2" s="73"/>
      <c r="K2" s="73"/>
      <c r="L2" s="73"/>
    </row>
    <row r="3" spans="1:12" ht="10.5">
      <c r="A3" s="71"/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</row>
    <row r="4" spans="1:12" ht="10.5">
      <c r="A4" s="71" t="s">
        <v>528</v>
      </c>
      <c r="B4" s="75" t="s">
        <v>797</v>
      </c>
      <c r="C4" s="72"/>
      <c r="D4" s="73"/>
      <c r="E4" s="73"/>
      <c r="F4" s="73"/>
      <c r="G4" s="73"/>
      <c r="H4" s="73"/>
      <c r="I4" s="73"/>
      <c r="J4" s="73"/>
      <c r="K4" s="73"/>
      <c r="L4" s="73"/>
    </row>
    <row r="5" spans="1:12" ht="10.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76" t="s">
        <v>532</v>
      </c>
      <c r="B6" s="76"/>
      <c r="C6" s="77"/>
      <c r="D6" s="77"/>
      <c r="E6" s="77"/>
      <c r="F6" s="77"/>
      <c r="G6" s="77"/>
      <c r="H6" s="63"/>
      <c r="I6" s="63"/>
      <c r="J6" s="63"/>
      <c r="K6" s="64"/>
      <c r="L6" s="64"/>
      <c r="M6" s="5"/>
    </row>
    <row r="7" spans="1:12" ht="12.75">
      <c r="A7" s="78" t="s">
        <v>529</v>
      </c>
      <c r="B7" s="78"/>
      <c r="C7" s="77" t="s">
        <v>16</v>
      </c>
      <c r="D7" s="79" t="str">
        <f>A!C35</f>
        <v>GS-RES.</v>
      </c>
      <c r="E7" s="79" t="str">
        <f>A!C36</f>
        <v>GS-OTHER</v>
      </c>
      <c r="F7" s="79" t="str">
        <f>A!C37</f>
        <v>IUS</v>
      </c>
      <c r="G7" s="79" t="str">
        <f>A!C38</f>
        <v>DS-ML/SC</v>
      </c>
      <c r="H7" s="79" t="str">
        <f>A!C39</f>
        <v>DS/IS/SS</v>
      </c>
      <c r="I7" s="79" t="str">
        <f>A!C40</f>
        <v>NOT USED</v>
      </c>
      <c r="J7" s="79" t="str">
        <f>A!C41</f>
        <v>NOT USED</v>
      </c>
      <c r="K7" s="79" t="str">
        <f>A!C42</f>
        <v>NOT USED</v>
      </c>
      <c r="L7" s="79" t="str">
        <f>A!C43</f>
        <v>NOT USED</v>
      </c>
    </row>
    <row r="8" spans="1:12" ht="12.75">
      <c r="A8" s="78"/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0.5">
      <c r="A9" s="78" t="s">
        <v>537</v>
      </c>
      <c r="B9" s="78"/>
      <c r="C9" s="68"/>
      <c r="D9" s="66"/>
      <c r="E9" s="66"/>
      <c r="F9" s="66"/>
      <c r="G9" s="66"/>
      <c r="H9" s="66"/>
      <c r="I9" s="68"/>
      <c r="J9" s="68"/>
      <c r="K9" s="68"/>
      <c r="L9" s="68"/>
    </row>
    <row r="10" spans="1:12" ht="10.5">
      <c r="A10" s="78" t="s">
        <v>530</v>
      </c>
      <c r="B10" s="78"/>
      <c r="C10" s="68">
        <f aca="true" t="shared" si="0" ref="C10:C30">SUM(D10:L10)</f>
        <v>1169374</v>
      </c>
      <c r="D10" s="66">
        <f>1198356-28982</f>
        <v>1169374</v>
      </c>
      <c r="E10" s="66"/>
      <c r="F10" s="66"/>
      <c r="G10" s="66"/>
      <c r="H10" s="66"/>
      <c r="I10" s="68"/>
      <c r="J10" s="68"/>
      <c r="K10" s="68"/>
      <c r="L10" s="68"/>
    </row>
    <row r="11" spans="1:12" ht="10.5">
      <c r="A11" s="78" t="s">
        <v>540</v>
      </c>
      <c r="B11" s="78"/>
      <c r="C11" s="68">
        <f t="shared" si="0"/>
        <v>52</v>
      </c>
      <c r="D11" s="66"/>
      <c r="E11" s="66">
        <f>54-2</f>
        <v>52</v>
      </c>
      <c r="F11" s="66"/>
      <c r="G11" s="66"/>
      <c r="H11" s="66"/>
      <c r="I11" s="68"/>
      <c r="J11" s="68"/>
      <c r="K11" s="68"/>
      <c r="L11" s="68"/>
    </row>
    <row r="12" spans="1:12" ht="10.5">
      <c r="A12" s="78" t="s">
        <v>531</v>
      </c>
      <c r="B12" s="78"/>
      <c r="C12" s="68">
        <f t="shared" si="0"/>
        <v>379</v>
      </c>
      <c r="D12" s="66">
        <f>401-22</f>
        <v>379</v>
      </c>
      <c r="E12" s="66"/>
      <c r="F12" s="66"/>
      <c r="G12" s="66"/>
      <c r="H12" s="66"/>
      <c r="I12" s="68"/>
      <c r="J12" s="68"/>
      <c r="K12" s="68"/>
      <c r="L12" s="68"/>
    </row>
    <row r="13" spans="1:12" ht="10.5">
      <c r="A13" s="78" t="s">
        <v>542</v>
      </c>
      <c r="B13" s="78"/>
      <c r="C13" s="68">
        <f t="shared" si="0"/>
        <v>132</v>
      </c>
      <c r="D13" s="66">
        <v>120</v>
      </c>
      <c r="E13" s="66">
        <v>12</v>
      </c>
      <c r="F13" s="66"/>
      <c r="G13" s="66"/>
      <c r="H13" s="66"/>
      <c r="I13" s="68"/>
      <c r="J13" s="68"/>
      <c r="K13" s="68"/>
      <c r="L13" s="68"/>
    </row>
    <row r="14" spans="1:12" ht="10.5">
      <c r="A14" s="78" t="s">
        <v>526</v>
      </c>
      <c r="B14" s="78"/>
      <c r="C14" s="68">
        <f t="shared" si="0"/>
        <v>12</v>
      </c>
      <c r="D14" s="66">
        <v>12</v>
      </c>
      <c r="E14" s="66"/>
      <c r="F14" s="66"/>
      <c r="G14" s="66"/>
      <c r="H14" s="66"/>
      <c r="I14" s="68"/>
      <c r="J14" s="68"/>
      <c r="K14" s="68"/>
      <c r="L14" s="68"/>
    </row>
    <row r="15" spans="1:12" ht="10.5">
      <c r="A15" s="78" t="s">
        <v>527</v>
      </c>
      <c r="B15" s="78"/>
      <c r="C15" s="68">
        <f t="shared" si="0"/>
        <v>60</v>
      </c>
      <c r="D15" s="66">
        <v>60</v>
      </c>
      <c r="E15" s="66"/>
      <c r="F15" s="66"/>
      <c r="G15" s="66"/>
      <c r="H15" s="66"/>
      <c r="I15" s="68"/>
      <c r="J15" s="68"/>
      <c r="K15" s="68"/>
      <c r="L15" s="68"/>
    </row>
    <row r="16" spans="1:12" ht="10.5">
      <c r="A16" s="78" t="s">
        <v>541</v>
      </c>
      <c r="B16" s="78"/>
      <c r="C16" s="68">
        <f t="shared" si="0"/>
        <v>24</v>
      </c>
      <c r="D16" s="66">
        <v>12</v>
      </c>
      <c r="E16" s="66">
        <v>12</v>
      </c>
      <c r="F16" s="66"/>
      <c r="G16" s="66"/>
      <c r="H16" s="66"/>
      <c r="I16" s="68"/>
      <c r="J16" s="68"/>
      <c r="K16" s="68"/>
      <c r="L16" s="68"/>
    </row>
    <row r="17" spans="1:12" ht="12.75">
      <c r="A17" s="78" t="s">
        <v>533</v>
      </c>
      <c r="B17" s="78"/>
      <c r="C17" s="68">
        <f t="shared" si="0"/>
        <v>12</v>
      </c>
      <c r="D17" s="67">
        <v>12</v>
      </c>
      <c r="E17" s="66"/>
      <c r="F17" s="66"/>
      <c r="G17" s="66"/>
      <c r="H17" s="66"/>
      <c r="I17" s="68"/>
      <c r="J17" s="68"/>
      <c r="K17" s="68"/>
      <c r="L17" s="68"/>
    </row>
    <row r="18" spans="1:12" ht="10.5">
      <c r="A18" s="78" t="s">
        <v>534</v>
      </c>
      <c r="B18" s="78"/>
      <c r="C18" s="68">
        <f t="shared" si="0"/>
        <v>12</v>
      </c>
      <c r="D18" s="66">
        <v>12</v>
      </c>
      <c r="E18" s="66"/>
      <c r="F18" s="66"/>
      <c r="G18" s="66"/>
      <c r="H18" s="66"/>
      <c r="I18" s="68"/>
      <c r="J18" s="68"/>
      <c r="K18" s="68"/>
      <c r="L18" s="68"/>
    </row>
    <row r="19" spans="1:12" ht="10.5">
      <c r="A19" s="78" t="s">
        <v>543</v>
      </c>
      <c r="B19" s="78"/>
      <c r="C19" s="68">
        <f t="shared" si="0"/>
        <v>131028</v>
      </c>
      <c r="D19" s="66"/>
      <c r="E19" s="66">
        <f>132972-1944</f>
        <v>131028</v>
      </c>
      <c r="F19" s="66"/>
      <c r="G19" s="66"/>
      <c r="H19" s="66"/>
      <c r="I19" s="68"/>
      <c r="J19" s="68"/>
      <c r="K19" s="68"/>
      <c r="L19" s="68"/>
    </row>
    <row r="20" spans="1:12" ht="10.5">
      <c r="A20" s="78" t="s">
        <v>544</v>
      </c>
      <c r="B20" s="78"/>
      <c r="C20" s="68">
        <f t="shared" si="0"/>
        <v>516</v>
      </c>
      <c r="D20" s="66"/>
      <c r="E20" s="66">
        <f>518-2</f>
        <v>516</v>
      </c>
      <c r="F20" s="66"/>
      <c r="G20" s="66"/>
      <c r="H20" s="66"/>
      <c r="I20" s="68"/>
      <c r="J20" s="68"/>
      <c r="K20" s="68"/>
      <c r="L20" s="68"/>
    </row>
    <row r="21" spans="1:12" ht="10.5">
      <c r="A21" s="78" t="s">
        <v>583</v>
      </c>
      <c r="B21" s="78">
        <v>-1</v>
      </c>
      <c r="C21" s="68">
        <f t="shared" si="0"/>
        <v>0</v>
      </c>
      <c r="D21" s="66"/>
      <c r="E21" s="66"/>
      <c r="F21" s="66"/>
      <c r="G21" s="66"/>
      <c r="H21" s="66"/>
      <c r="I21" s="68"/>
      <c r="J21" s="68"/>
      <c r="K21" s="68"/>
      <c r="L21" s="68"/>
    </row>
    <row r="22" spans="1:12" ht="10.5">
      <c r="A22" s="78" t="s">
        <v>583</v>
      </c>
      <c r="B22" s="78">
        <v>-1</v>
      </c>
      <c r="C22" s="68">
        <f t="shared" si="0"/>
        <v>0</v>
      </c>
      <c r="D22" s="66"/>
      <c r="E22" s="66"/>
      <c r="F22" s="66"/>
      <c r="G22" s="66"/>
      <c r="H22" s="66"/>
      <c r="I22" s="68"/>
      <c r="J22" s="68"/>
      <c r="K22" s="68"/>
      <c r="L22" s="68"/>
    </row>
    <row r="23" spans="1:12" ht="10.5">
      <c r="A23" s="78" t="s">
        <v>686</v>
      </c>
      <c r="B23" s="78">
        <v>-2</v>
      </c>
      <c r="C23" s="68">
        <f t="shared" si="0"/>
        <v>0</v>
      </c>
      <c r="D23" s="66"/>
      <c r="E23" s="66"/>
      <c r="F23" s="66"/>
      <c r="G23" s="66"/>
      <c r="H23" s="66"/>
      <c r="I23" s="68"/>
      <c r="J23" s="68"/>
      <c r="K23" s="68"/>
      <c r="L23" s="68"/>
    </row>
    <row r="24" spans="1:12" ht="10.5">
      <c r="A24" s="78" t="s">
        <v>687</v>
      </c>
      <c r="B24" s="78">
        <v>-2</v>
      </c>
      <c r="C24" s="68">
        <f t="shared" si="0"/>
        <v>0</v>
      </c>
      <c r="D24" s="66"/>
      <c r="E24" s="66"/>
      <c r="F24" s="66"/>
      <c r="G24" s="66"/>
      <c r="H24" s="66">
        <v>0</v>
      </c>
      <c r="I24" s="68"/>
      <c r="J24" s="68"/>
      <c r="K24" s="68"/>
      <c r="L24" s="68"/>
    </row>
    <row r="25" spans="1:12" ht="12.75">
      <c r="A25" s="78" t="s">
        <v>545</v>
      </c>
      <c r="B25" s="78"/>
      <c r="C25" s="68">
        <f t="shared" si="0"/>
        <v>0</v>
      </c>
      <c r="D25" s="67"/>
      <c r="E25" s="67"/>
      <c r="F25" s="67"/>
      <c r="G25" s="65"/>
      <c r="H25" s="67"/>
      <c r="I25" s="68"/>
      <c r="J25" s="68"/>
      <c r="K25" s="68"/>
      <c r="L25" s="68"/>
    </row>
    <row r="26" spans="1:12" ht="12.75">
      <c r="A26" s="78" t="s">
        <v>562</v>
      </c>
      <c r="B26" s="78"/>
      <c r="C26" s="69">
        <f t="shared" si="0"/>
        <v>24</v>
      </c>
      <c r="D26" s="67">
        <v>0</v>
      </c>
      <c r="E26" s="67">
        <v>0</v>
      </c>
      <c r="F26" s="66">
        <v>24</v>
      </c>
      <c r="G26" s="67">
        <v>0</v>
      </c>
      <c r="H26" s="65"/>
      <c r="I26" s="69">
        <v>0</v>
      </c>
      <c r="J26" s="69">
        <v>0</v>
      </c>
      <c r="K26" s="69">
        <v>0</v>
      </c>
      <c r="L26" s="69">
        <v>0</v>
      </c>
    </row>
    <row r="27" spans="1:12" ht="15">
      <c r="A27" s="78" t="s">
        <v>585</v>
      </c>
      <c r="B27" s="78">
        <v>-2</v>
      </c>
      <c r="C27" s="68">
        <f t="shared" si="0"/>
        <v>0</v>
      </c>
      <c r="D27" s="80"/>
      <c r="E27" s="80"/>
      <c r="F27" s="70"/>
      <c r="G27" s="80"/>
      <c r="H27" s="65"/>
      <c r="I27" s="81"/>
      <c r="J27" s="81"/>
      <c r="K27" s="81"/>
      <c r="L27" s="81"/>
    </row>
    <row r="28" spans="1:12" ht="15">
      <c r="A28" s="78" t="s">
        <v>588</v>
      </c>
      <c r="B28" s="78">
        <v>-2</v>
      </c>
      <c r="C28" s="68">
        <f t="shared" si="0"/>
        <v>0</v>
      </c>
      <c r="D28" s="80"/>
      <c r="E28" s="80"/>
      <c r="F28" s="70"/>
      <c r="G28" s="80"/>
      <c r="H28" s="65"/>
      <c r="I28" s="81"/>
      <c r="J28" s="81"/>
      <c r="K28" s="81"/>
      <c r="L28" s="81"/>
    </row>
    <row r="29" spans="1:12" ht="15">
      <c r="A29" s="78" t="s">
        <v>586</v>
      </c>
      <c r="B29" s="78">
        <v>-2</v>
      </c>
      <c r="C29" s="68">
        <f t="shared" si="0"/>
        <v>0</v>
      </c>
      <c r="D29" s="80"/>
      <c r="E29" s="80"/>
      <c r="F29" s="70"/>
      <c r="G29" s="80"/>
      <c r="H29" s="65"/>
      <c r="I29" s="81"/>
      <c r="J29" s="81"/>
      <c r="K29" s="81"/>
      <c r="L29" s="81"/>
    </row>
    <row r="30" spans="1:12" ht="15">
      <c r="A30" s="78" t="s">
        <v>587</v>
      </c>
      <c r="B30" s="78">
        <v>-2</v>
      </c>
      <c r="C30" s="81">
        <f t="shared" si="0"/>
        <v>0</v>
      </c>
      <c r="D30" s="80">
        <v>0</v>
      </c>
      <c r="E30" s="80">
        <v>0</v>
      </c>
      <c r="F30" s="70">
        <v>0</v>
      </c>
      <c r="G30" s="80">
        <v>0</v>
      </c>
      <c r="H30" s="70">
        <v>0</v>
      </c>
      <c r="I30" s="81">
        <v>0</v>
      </c>
      <c r="J30" s="81">
        <v>0</v>
      </c>
      <c r="K30" s="81">
        <v>0</v>
      </c>
      <c r="L30" s="81">
        <v>0</v>
      </c>
    </row>
    <row r="31" spans="1:12" ht="12.75">
      <c r="A31" s="82" t="s">
        <v>563</v>
      </c>
      <c r="B31" s="82"/>
      <c r="C31" s="83">
        <f aca="true" t="shared" si="1" ref="C31:L31">SUM(C10:C26)</f>
        <v>1301625</v>
      </c>
      <c r="D31" s="83">
        <f t="shared" si="1"/>
        <v>1169981</v>
      </c>
      <c r="E31" s="83">
        <f t="shared" si="1"/>
        <v>131620</v>
      </c>
      <c r="F31" s="84">
        <f t="shared" si="1"/>
        <v>24</v>
      </c>
      <c r="G31" s="83">
        <f t="shared" si="1"/>
        <v>0</v>
      </c>
      <c r="H31" s="84">
        <f t="shared" si="1"/>
        <v>0</v>
      </c>
      <c r="I31" s="84">
        <f t="shared" si="1"/>
        <v>0</v>
      </c>
      <c r="J31" s="84">
        <f t="shared" si="1"/>
        <v>0</v>
      </c>
      <c r="K31" s="84">
        <f t="shared" si="1"/>
        <v>0</v>
      </c>
      <c r="L31" s="84">
        <f t="shared" si="1"/>
        <v>0</v>
      </c>
    </row>
    <row r="32" spans="1:12" ht="10.5">
      <c r="A32" s="78" t="s">
        <v>538</v>
      </c>
      <c r="B32" s="78"/>
      <c r="C32" s="68">
        <f>SUM(D32:L32)</f>
        <v>323423</v>
      </c>
      <c r="D32" s="66">
        <f>325805-2382</f>
        <v>323423</v>
      </c>
      <c r="E32" s="66"/>
      <c r="F32" s="66"/>
      <c r="G32" s="66"/>
      <c r="H32" s="66"/>
      <c r="I32" s="68"/>
      <c r="J32" s="68"/>
      <c r="K32" s="68"/>
      <c r="L32" s="68"/>
    </row>
    <row r="33" spans="1:12" ht="10.5">
      <c r="A33" s="78" t="s">
        <v>546</v>
      </c>
      <c r="B33" s="78"/>
      <c r="C33" s="68">
        <f>SUM(D33:L33)</f>
        <v>42683</v>
      </c>
      <c r="D33" s="66"/>
      <c r="E33" s="66">
        <f>42961-278</f>
        <v>42683</v>
      </c>
      <c r="F33" s="66"/>
      <c r="G33" s="66"/>
      <c r="H33" s="66"/>
      <c r="I33" s="68"/>
      <c r="J33" s="68"/>
      <c r="K33" s="68"/>
      <c r="L33" s="68"/>
    </row>
    <row r="34" spans="1:12" ht="10.5">
      <c r="A34" s="78" t="s">
        <v>547</v>
      </c>
      <c r="B34" s="78"/>
      <c r="C34" s="68">
        <f>SUM(D34:L34)</f>
        <v>108</v>
      </c>
      <c r="D34" s="66"/>
      <c r="E34" s="66">
        <f>108</f>
        <v>108</v>
      </c>
      <c r="F34" s="66"/>
      <c r="G34" s="66"/>
      <c r="H34" s="66"/>
      <c r="I34" s="68"/>
      <c r="J34" s="68"/>
      <c r="K34" s="68"/>
      <c r="L34" s="68"/>
    </row>
    <row r="35" spans="1:12" ht="10.5">
      <c r="A35" s="78" t="s">
        <v>809</v>
      </c>
      <c r="B35" s="78"/>
      <c r="C35" s="68">
        <f>SUM(D35:L35)</f>
        <v>345</v>
      </c>
      <c r="D35" s="66"/>
      <c r="E35" s="66"/>
      <c r="F35" s="66"/>
      <c r="G35" s="65"/>
      <c r="H35" s="66">
        <f>347-2</f>
        <v>345</v>
      </c>
      <c r="I35" s="73"/>
      <c r="J35" s="68"/>
      <c r="K35" s="68"/>
      <c r="L35" s="68"/>
    </row>
    <row r="36" spans="1:12" ht="12.75">
      <c r="A36" s="78" t="s">
        <v>810</v>
      </c>
      <c r="B36" s="78"/>
      <c r="C36" s="68">
        <f>SUM(D36:L36)</f>
        <v>552</v>
      </c>
      <c r="D36" s="67"/>
      <c r="E36" s="67"/>
      <c r="F36" s="67"/>
      <c r="G36" s="65"/>
      <c r="H36" s="66">
        <f>554-2</f>
        <v>552</v>
      </c>
      <c r="I36" s="73"/>
      <c r="J36" s="68"/>
      <c r="K36" s="68"/>
      <c r="L36" s="68"/>
    </row>
    <row r="37" spans="1:12" ht="12.75">
      <c r="A37" s="78" t="s">
        <v>567</v>
      </c>
      <c r="B37" s="78"/>
      <c r="C37" s="68">
        <f>SUM(D37:K37)</f>
        <v>12</v>
      </c>
      <c r="D37" s="67"/>
      <c r="E37" s="67"/>
      <c r="F37" s="67"/>
      <c r="G37" s="67"/>
      <c r="H37" s="66">
        <v>12</v>
      </c>
      <c r="I37" s="73"/>
      <c r="J37" s="68"/>
      <c r="K37" s="68"/>
      <c r="L37" s="73"/>
    </row>
    <row r="38" spans="1:12" ht="12.75">
      <c r="A38" s="78" t="s">
        <v>811</v>
      </c>
      <c r="B38" s="78"/>
      <c r="C38" s="68">
        <f>SUM(D38:L38)</f>
        <v>216</v>
      </c>
      <c r="D38" s="67"/>
      <c r="E38" s="66">
        <v>216</v>
      </c>
      <c r="F38" s="67"/>
      <c r="G38" s="67"/>
      <c r="H38" s="66"/>
      <c r="I38" s="73"/>
      <c r="J38" s="68"/>
      <c r="K38" s="68"/>
      <c r="L38" s="68"/>
    </row>
    <row r="39" spans="1:12" ht="12.75">
      <c r="A39" s="78" t="s">
        <v>812</v>
      </c>
      <c r="B39" s="78"/>
      <c r="C39" s="68">
        <f aca="true" t="shared" si="2" ref="C39:C47">SUM(D39:K39)</f>
        <v>108</v>
      </c>
      <c r="D39" s="67"/>
      <c r="E39" s="66">
        <v>108</v>
      </c>
      <c r="F39" s="67"/>
      <c r="G39" s="67"/>
      <c r="H39" s="66"/>
      <c r="I39" s="73"/>
      <c r="J39" s="68"/>
      <c r="K39" s="68"/>
      <c r="L39" s="73"/>
    </row>
    <row r="40" spans="1:12" ht="12.75">
      <c r="A40" s="78" t="s">
        <v>568</v>
      </c>
      <c r="B40" s="78"/>
      <c r="C40" s="68">
        <f t="shared" si="2"/>
        <v>24</v>
      </c>
      <c r="D40" s="67"/>
      <c r="E40" s="67"/>
      <c r="F40" s="67"/>
      <c r="G40" s="66">
        <v>24</v>
      </c>
      <c r="H40" s="65"/>
      <c r="I40" s="68"/>
      <c r="J40" s="73"/>
      <c r="K40" s="68"/>
      <c r="L40" s="73"/>
    </row>
    <row r="41" spans="1:12" ht="12.75">
      <c r="A41" s="78" t="s">
        <v>569</v>
      </c>
      <c r="B41" s="78"/>
      <c r="C41" s="68">
        <f t="shared" si="2"/>
        <v>0</v>
      </c>
      <c r="D41" s="67"/>
      <c r="E41" s="66"/>
      <c r="F41" s="67"/>
      <c r="G41" s="67"/>
      <c r="H41" s="66"/>
      <c r="I41" s="68"/>
      <c r="J41" s="68"/>
      <c r="K41" s="68"/>
      <c r="L41" s="73"/>
    </row>
    <row r="42" spans="1:12" ht="12.75">
      <c r="A42" s="78" t="s">
        <v>554</v>
      </c>
      <c r="B42" s="78"/>
      <c r="C42" s="68">
        <f t="shared" si="2"/>
        <v>12</v>
      </c>
      <c r="D42" s="67"/>
      <c r="E42" s="67"/>
      <c r="F42" s="65"/>
      <c r="G42" s="66"/>
      <c r="H42" s="66">
        <v>12</v>
      </c>
      <c r="I42" s="73"/>
      <c r="J42" s="68"/>
      <c r="K42" s="68"/>
      <c r="L42" s="73"/>
    </row>
    <row r="43" spans="1:12" ht="12.75">
      <c r="A43" s="78" t="s">
        <v>552</v>
      </c>
      <c r="B43" s="78"/>
      <c r="C43" s="68">
        <f t="shared" si="2"/>
        <v>10</v>
      </c>
      <c r="D43" s="67"/>
      <c r="E43" s="67"/>
      <c r="F43" s="65"/>
      <c r="G43" s="66"/>
      <c r="H43" s="66">
        <v>10</v>
      </c>
      <c r="I43" s="73"/>
      <c r="J43" s="68"/>
      <c r="K43" s="68"/>
      <c r="L43" s="73"/>
    </row>
    <row r="44" spans="1:12" ht="12.75">
      <c r="A44" s="78" t="s">
        <v>553</v>
      </c>
      <c r="B44" s="78"/>
      <c r="C44" s="68">
        <f t="shared" si="2"/>
        <v>0</v>
      </c>
      <c r="D44" s="67"/>
      <c r="E44" s="67"/>
      <c r="F44" s="65"/>
      <c r="G44" s="66"/>
      <c r="H44" s="66">
        <v>0</v>
      </c>
      <c r="I44" s="73"/>
      <c r="J44" s="68"/>
      <c r="K44" s="68"/>
      <c r="L44" s="73"/>
    </row>
    <row r="45" spans="1:12" ht="12.75">
      <c r="A45" s="78" t="s">
        <v>555</v>
      </c>
      <c r="B45" s="78"/>
      <c r="C45" s="68">
        <f t="shared" si="2"/>
        <v>12</v>
      </c>
      <c r="D45" s="67"/>
      <c r="E45" s="67"/>
      <c r="F45" s="65"/>
      <c r="G45" s="66"/>
      <c r="H45" s="66">
        <v>12</v>
      </c>
      <c r="I45" s="73"/>
      <c r="J45" s="68"/>
      <c r="K45" s="68"/>
      <c r="L45" s="73"/>
    </row>
    <row r="46" spans="1:12" ht="12.75">
      <c r="A46" s="78" t="s">
        <v>556</v>
      </c>
      <c r="B46" s="78"/>
      <c r="C46" s="68">
        <f t="shared" si="2"/>
        <v>34</v>
      </c>
      <c r="D46" s="67"/>
      <c r="E46" s="67"/>
      <c r="F46" s="65"/>
      <c r="G46" s="66">
        <v>34</v>
      </c>
      <c r="H46" s="66"/>
      <c r="I46" s="73"/>
      <c r="J46" s="68"/>
      <c r="K46" s="68"/>
      <c r="L46" s="73"/>
    </row>
    <row r="47" spans="1:12" ht="12.75">
      <c r="A47" s="78" t="s">
        <v>557</v>
      </c>
      <c r="B47" s="78"/>
      <c r="C47" s="68">
        <f t="shared" si="2"/>
        <v>12</v>
      </c>
      <c r="D47" s="67"/>
      <c r="E47" s="65"/>
      <c r="F47" s="65"/>
      <c r="G47" s="66">
        <v>12</v>
      </c>
      <c r="H47" s="66"/>
      <c r="I47" s="73"/>
      <c r="J47" s="68"/>
      <c r="K47" s="68"/>
      <c r="L47" s="73"/>
    </row>
    <row r="48" spans="1:12" ht="12.75">
      <c r="A48" s="78" t="s">
        <v>813</v>
      </c>
      <c r="B48" s="78"/>
      <c r="C48" s="68">
        <f>SUM(D48:K48)</f>
        <v>12</v>
      </c>
      <c r="D48" s="67"/>
      <c r="E48" s="65"/>
      <c r="F48" s="65"/>
      <c r="G48" s="66"/>
      <c r="H48" s="66">
        <v>12</v>
      </c>
      <c r="I48" s="73"/>
      <c r="J48" s="68"/>
      <c r="K48" s="68"/>
      <c r="L48" s="73"/>
    </row>
    <row r="49" spans="1:12" ht="12.75">
      <c r="A49" s="78" t="s">
        <v>814</v>
      </c>
      <c r="B49" s="78"/>
      <c r="C49" s="68">
        <f>SUM(D49:K49)</f>
        <v>12</v>
      </c>
      <c r="D49" s="67"/>
      <c r="E49" s="67"/>
      <c r="F49" s="67"/>
      <c r="G49" s="67"/>
      <c r="H49" s="66">
        <v>12</v>
      </c>
      <c r="I49" s="73"/>
      <c r="J49" s="68"/>
      <c r="K49" s="68"/>
      <c r="L49" s="73"/>
    </row>
    <row r="50" spans="1:12" ht="12.75">
      <c r="A50" s="78" t="s">
        <v>558</v>
      </c>
      <c r="B50" s="78"/>
      <c r="C50" s="68">
        <f>SUM(D50:K50)</f>
        <v>12</v>
      </c>
      <c r="D50" s="67"/>
      <c r="E50" s="67"/>
      <c r="F50" s="67"/>
      <c r="G50" s="67"/>
      <c r="H50" s="66">
        <v>12</v>
      </c>
      <c r="I50" s="73"/>
      <c r="J50" s="68"/>
      <c r="K50" s="68"/>
      <c r="L50" s="73"/>
    </row>
    <row r="51" spans="1:12" ht="15">
      <c r="A51" s="78" t="s">
        <v>559</v>
      </c>
      <c r="B51" s="78"/>
      <c r="C51" s="81">
        <f>SUM(D51:K51)</f>
        <v>12</v>
      </c>
      <c r="D51" s="80">
        <v>0</v>
      </c>
      <c r="E51" s="80">
        <v>0</v>
      </c>
      <c r="F51" s="80">
        <v>0</v>
      </c>
      <c r="G51" s="80">
        <v>0</v>
      </c>
      <c r="H51" s="70">
        <v>12</v>
      </c>
      <c r="I51" s="81">
        <v>0</v>
      </c>
      <c r="J51" s="81">
        <v>0</v>
      </c>
      <c r="K51" s="81">
        <v>0</v>
      </c>
      <c r="L51" s="81">
        <v>0</v>
      </c>
    </row>
    <row r="52" spans="1:12" ht="12.75">
      <c r="A52" s="82" t="s">
        <v>564</v>
      </c>
      <c r="B52" s="82"/>
      <c r="C52" s="81">
        <f aca="true" t="shared" si="3" ref="C52:L52">SUM(C32:C51)</f>
        <v>367599</v>
      </c>
      <c r="D52" s="81">
        <f t="shared" si="3"/>
        <v>323423</v>
      </c>
      <c r="E52" s="81">
        <f t="shared" si="3"/>
        <v>43115</v>
      </c>
      <c r="F52" s="81">
        <f t="shared" si="3"/>
        <v>0</v>
      </c>
      <c r="G52" s="81">
        <f t="shared" si="3"/>
        <v>70</v>
      </c>
      <c r="H52" s="81">
        <f t="shared" si="3"/>
        <v>991</v>
      </c>
      <c r="I52" s="81">
        <f t="shared" si="3"/>
        <v>0</v>
      </c>
      <c r="J52" s="81">
        <f t="shared" si="3"/>
        <v>0</v>
      </c>
      <c r="K52" s="81">
        <f t="shared" si="3"/>
        <v>0</v>
      </c>
      <c r="L52" s="81">
        <f t="shared" si="3"/>
        <v>0</v>
      </c>
    </row>
    <row r="53" spans="1:12" ht="15">
      <c r="A53" s="16" t="s">
        <v>535</v>
      </c>
      <c r="B53" s="16"/>
      <c r="C53" s="15">
        <f aca="true" t="shared" si="4" ref="C53:L53">C31+C52</f>
        <v>1669224</v>
      </c>
      <c r="D53" s="15">
        <f t="shared" si="4"/>
        <v>1493404</v>
      </c>
      <c r="E53" s="15">
        <f t="shared" si="4"/>
        <v>174735</v>
      </c>
      <c r="F53" s="15">
        <f t="shared" si="4"/>
        <v>24</v>
      </c>
      <c r="G53" s="15">
        <f t="shared" si="4"/>
        <v>70</v>
      </c>
      <c r="H53" s="15">
        <f t="shared" si="4"/>
        <v>991</v>
      </c>
      <c r="I53" s="15">
        <f t="shared" si="4"/>
        <v>0</v>
      </c>
      <c r="J53" s="15">
        <f t="shared" si="4"/>
        <v>0</v>
      </c>
      <c r="K53" s="15">
        <f t="shared" si="4"/>
        <v>0</v>
      </c>
      <c r="L53" s="15">
        <f t="shared" si="4"/>
        <v>0</v>
      </c>
    </row>
    <row r="54" spans="1:12" ht="12.75">
      <c r="A54" s="1" t="s">
        <v>536</v>
      </c>
      <c r="B54" s="1"/>
      <c r="C54" s="13">
        <f aca="true" t="shared" si="5" ref="C54:L54">C53/12</f>
        <v>139102</v>
      </c>
      <c r="D54" s="13">
        <f t="shared" si="5"/>
        <v>124450.33333333333</v>
      </c>
      <c r="E54" s="13">
        <f t="shared" si="5"/>
        <v>14561.25</v>
      </c>
      <c r="F54" s="13">
        <f t="shared" si="5"/>
        <v>2</v>
      </c>
      <c r="G54" s="13">
        <f t="shared" si="5"/>
        <v>5.833333333333333</v>
      </c>
      <c r="H54" s="13">
        <f t="shared" si="5"/>
        <v>82.58333333333333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</row>
    <row r="55" spans="1:12" ht="12.75">
      <c r="A55" s="1"/>
      <c r="B55" s="1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"/>
      <c r="B56" s="1">
        <v>-1</v>
      </c>
      <c r="C56" s="21" t="s">
        <v>688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"/>
      <c r="B57" s="1">
        <v>-2</v>
      </c>
      <c r="C57" s="21" t="s">
        <v>689</v>
      </c>
      <c r="D57" s="13"/>
      <c r="E57" s="13"/>
      <c r="F57" s="13"/>
      <c r="G57" s="13"/>
      <c r="H57" s="13"/>
      <c r="I57" s="13"/>
      <c r="J57" s="13"/>
      <c r="K57" s="13"/>
      <c r="L57" s="13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06">
      <selection activeCell="C57" sqref="C57"/>
    </sheetView>
  </sheetViews>
  <sheetFormatPr defaultColWidth="9.140625" defaultRowHeight="12"/>
  <cols>
    <col min="1" max="1" width="21.7109375" style="85" customWidth="1"/>
    <col min="2" max="2" width="3.28125" style="85" customWidth="1"/>
    <col min="3" max="3" width="14.8515625" style="85" bestFit="1" customWidth="1"/>
    <col min="4" max="4" width="13.7109375" style="85" bestFit="1" customWidth="1"/>
    <col min="5" max="5" width="15.421875" style="85" customWidth="1"/>
    <col min="6" max="6" width="10.421875" style="85" bestFit="1" customWidth="1"/>
    <col min="7" max="7" width="11.00390625" style="85" bestFit="1" customWidth="1"/>
    <col min="8" max="8" width="12.28125" style="85" bestFit="1" customWidth="1"/>
    <col min="9" max="12" width="11.7109375" style="85" bestFit="1" customWidth="1"/>
    <col min="13" max="13" width="11.7109375" style="85" customWidth="1"/>
    <col min="14" max="16384" width="9.28125" style="85" customWidth="1"/>
  </cols>
  <sheetData>
    <row r="1" ht="10.5">
      <c r="E1" s="86" t="s">
        <v>798</v>
      </c>
    </row>
    <row r="2" ht="10.5">
      <c r="E2" s="86" t="s">
        <v>799</v>
      </c>
    </row>
    <row r="4" spans="1:2" ht="10.5">
      <c r="A4" s="87" t="s">
        <v>528</v>
      </c>
      <c r="B4" s="88" t="s">
        <v>797</v>
      </c>
    </row>
    <row r="6" spans="1:12" ht="10.5">
      <c r="A6" s="89" t="s">
        <v>565</v>
      </c>
      <c r="B6" s="89"/>
      <c r="C6" s="79"/>
      <c r="D6" s="79"/>
      <c r="E6" s="79"/>
      <c r="F6" s="79"/>
      <c r="G6" s="79"/>
      <c r="H6" s="90"/>
      <c r="I6" s="90"/>
      <c r="J6" s="90"/>
      <c r="K6" s="91"/>
      <c r="L6" s="91"/>
    </row>
    <row r="7" spans="1:12" ht="10.5">
      <c r="A7" s="92" t="s">
        <v>529</v>
      </c>
      <c r="B7" s="92"/>
      <c r="C7" s="79" t="s">
        <v>16</v>
      </c>
      <c r="D7" s="79" t="str">
        <f>Customers!D7</f>
        <v>GS-RES.</v>
      </c>
      <c r="E7" s="79" t="str">
        <f>Customers!E7</f>
        <v>GS-OTHER</v>
      </c>
      <c r="F7" s="79" t="str">
        <f>Customers!F7</f>
        <v>IUS</v>
      </c>
      <c r="G7" s="79" t="str">
        <f>Customers!G7</f>
        <v>DS-ML/SC</v>
      </c>
      <c r="H7" s="79" t="str">
        <f>Customers!H7</f>
        <v>DS/IS/SS</v>
      </c>
      <c r="I7" s="79" t="str">
        <f>Customers!I7</f>
        <v>NOT USED</v>
      </c>
      <c r="J7" s="79" t="str">
        <f>Customers!J7</f>
        <v>NOT USED</v>
      </c>
      <c r="K7" s="79" t="str">
        <f>Customers!K7</f>
        <v>NOT USED</v>
      </c>
      <c r="L7" s="79" t="str">
        <f>Customers!L7</f>
        <v>NOT USED</v>
      </c>
    </row>
    <row r="8" spans="3:12" ht="10.5"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0.5">
      <c r="A9" s="92" t="s">
        <v>530</v>
      </c>
      <c r="B9" s="92"/>
      <c r="C9" s="93">
        <f>SUM(D9:L9)</f>
        <v>6701739.9</v>
      </c>
      <c r="D9" s="94">
        <v>6701739.9</v>
      </c>
      <c r="E9" s="94"/>
      <c r="F9" s="94"/>
      <c r="G9" s="94"/>
      <c r="H9" s="94"/>
      <c r="I9" s="93"/>
      <c r="J9" s="93"/>
      <c r="K9" s="93"/>
      <c r="L9" s="93"/>
    </row>
    <row r="10" spans="1:12" ht="10.5">
      <c r="A10" s="92" t="s">
        <v>540</v>
      </c>
      <c r="B10" s="92"/>
      <c r="C10" s="93">
        <f aca="true" t="shared" si="0" ref="C10:C28">SUM(D10:L10)</f>
        <v>5956.1</v>
      </c>
      <c r="D10" s="94"/>
      <c r="E10" s="94">
        <v>5956.1</v>
      </c>
      <c r="F10" s="94"/>
      <c r="G10" s="94"/>
      <c r="H10" s="94"/>
      <c r="I10" s="93"/>
      <c r="J10" s="93"/>
      <c r="K10" s="93"/>
      <c r="L10" s="93"/>
    </row>
    <row r="11" spans="1:12" ht="10.5">
      <c r="A11" s="92" t="s">
        <v>531</v>
      </c>
      <c r="B11" s="92"/>
      <c r="C11" s="93">
        <f t="shared" si="0"/>
        <v>2872.2</v>
      </c>
      <c r="D11" s="94">
        <v>2872.2</v>
      </c>
      <c r="E11" s="94"/>
      <c r="F11" s="94"/>
      <c r="G11" s="94"/>
      <c r="H11" s="94"/>
      <c r="I11" s="93"/>
      <c r="J11" s="93"/>
      <c r="K11" s="93"/>
      <c r="L11" s="93"/>
    </row>
    <row r="12" spans="1:12" ht="10.5">
      <c r="A12" s="92" t="s">
        <v>542</v>
      </c>
      <c r="B12" s="92"/>
      <c r="C12" s="93">
        <f t="shared" si="0"/>
        <v>1513.6000000000001</v>
      </c>
      <c r="D12" s="94">
        <v>1436.7</v>
      </c>
      <c r="E12" s="94">
        <v>76.9</v>
      </c>
      <c r="F12" s="94"/>
      <c r="G12" s="94"/>
      <c r="H12" s="94"/>
      <c r="I12" s="93"/>
      <c r="J12" s="93"/>
      <c r="K12" s="93"/>
      <c r="L12" s="93"/>
    </row>
    <row r="13" spans="1:11" ht="10.5">
      <c r="A13" s="92" t="s">
        <v>526</v>
      </c>
      <c r="B13" s="92"/>
      <c r="C13" s="93">
        <f t="shared" si="0"/>
        <v>101.1</v>
      </c>
      <c r="D13" s="94">
        <v>101.1</v>
      </c>
      <c r="E13" s="94"/>
      <c r="F13" s="94"/>
      <c r="G13" s="94"/>
      <c r="H13" s="94"/>
      <c r="I13" s="93"/>
      <c r="J13" s="93"/>
      <c r="K13" s="93"/>
    </row>
    <row r="14" spans="1:11" ht="10.5">
      <c r="A14" s="92" t="s">
        <v>527</v>
      </c>
      <c r="B14" s="92"/>
      <c r="C14" s="93">
        <f t="shared" si="0"/>
        <v>675.4</v>
      </c>
      <c r="D14" s="94">
        <v>675.4</v>
      </c>
      <c r="E14" s="94"/>
      <c r="F14" s="94"/>
      <c r="G14" s="94"/>
      <c r="H14" s="94"/>
      <c r="I14" s="93"/>
      <c r="J14" s="93"/>
      <c r="K14" s="93"/>
    </row>
    <row r="15" spans="1:11" ht="10.5">
      <c r="A15" s="92" t="s">
        <v>541</v>
      </c>
      <c r="B15" s="92"/>
      <c r="C15" s="93">
        <f t="shared" si="0"/>
        <v>1514.6</v>
      </c>
      <c r="D15" s="94">
        <v>571.6</v>
      </c>
      <c r="E15" s="94">
        <v>943</v>
      </c>
      <c r="F15" s="94"/>
      <c r="G15" s="94"/>
      <c r="H15" s="94"/>
      <c r="I15" s="93"/>
      <c r="J15" s="93"/>
      <c r="K15" s="93"/>
    </row>
    <row r="16" spans="1:11" ht="10.5">
      <c r="A16" s="92" t="s">
        <v>533</v>
      </c>
      <c r="B16" s="92"/>
      <c r="C16" s="93">
        <f t="shared" si="0"/>
        <v>490.4</v>
      </c>
      <c r="D16" s="95">
        <v>490.4</v>
      </c>
      <c r="E16" s="94"/>
      <c r="F16" s="94"/>
      <c r="G16" s="94"/>
      <c r="H16" s="94"/>
      <c r="I16" s="93"/>
      <c r="J16" s="93"/>
      <c r="K16" s="93"/>
    </row>
    <row r="17" spans="1:12" ht="10.5">
      <c r="A17" s="92" t="s">
        <v>534</v>
      </c>
      <c r="B17" s="92"/>
      <c r="C17" s="93">
        <f t="shared" si="0"/>
        <v>275.1</v>
      </c>
      <c r="D17" s="94">
        <v>275.1</v>
      </c>
      <c r="E17" s="94"/>
      <c r="F17" s="94"/>
      <c r="G17" s="94"/>
      <c r="H17" s="94"/>
      <c r="I17" s="93"/>
      <c r="J17" s="93"/>
      <c r="K17" s="93"/>
      <c r="L17" s="93"/>
    </row>
    <row r="18" spans="1:12" ht="10.5">
      <c r="A18" s="92" t="s">
        <v>543</v>
      </c>
      <c r="B18" s="92"/>
      <c r="C18" s="93">
        <f t="shared" si="0"/>
        <v>3806825.2</v>
      </c>
      <c r="D18" s="94"/>
      <c r="E18" s="94">
        <v>3806825.2</v>
      </c>
      <c r="F18" s="94"/>
      <c r="G18" s="94"/>
      <c r="H18" s="94"/>
      <c r="J18" s="93"/>
      <c r="K18" s="93"/>
      <c r="L18" s="93"/>
    </row>
    <row r="19" spans="1:12" ht="10.5">
      <c r="A19" s="92" t="s">
        <v>544</v>
      </c>
      <c r="B19" s="92"/>
      <c r="C19" s="93">
        <f t="shared" si="0"/>
        <v>154246.6</v>
      </c>
      <c r="D19" s="94"/>
      <c r="E19" s="94">
        <v>154246.6</v>
      </c>
      <c r="F19" s="94"/>
      <c r="G19" s="94"/>
      <c r="H19" s="94"/>
      <c r="J19" s="93"/>
      <c r="K19" s="93"/>
      <c r="L19" s="93"/>
    </row>
    <row r="20" spans="1:12" ht="10.5">
      <c r="A20" s="92" t="s">
        <v>817</v>
      </c>
      <c r="B20" s="92"/>
      <c r="C20" s="93">
        <f t="shared" si="0"/>
        <v>3399.2</v>
      </c>
      <c r="D20" s="94"/>
      <c r="E20" s="94">
        <v>3399.2</v>
      </c>
      <c r="F20" s="94"/>
      <c r="G20" s="96"/>
      <c r="H20" s="94"/>
      <c r="I20" s="93"/>
      <c r="J20" s="93"/>
      <c r="K20" s="93"/>
      <c r="L20" s="93"/>
    </row>
    <row r="21" spans="1:12" ht="10.5">
      <c r="A21" s="92" t="s">
        <v>818</v>
      </c>
      <c r="B21" s="92"/>
      <c r="C21" s="93">
        <f t="shared" si="0"/>
        <v>1934</v>
      </c>
      <c r="D21" s="94"/>
      <c r="E21" s="94">
        <v>1934</v>
      </c>
      <c r="F21" s="94"/>
      <c r="G21" s="96"/>
      <c r="H21" s="94"/>
      <c r="I21" s="93"/>
      <c r="J21" s="93"/>
      <c r="K21" s="93"/>
      <c r="L21" s="93"/>
    </row>
    <row r="22" spans="1:12" ht="10.5">
      <c r="A22" s="92" t="s">
        <v>815</v>
      </c>
      <c r="B22" s="92"/>
      <c r="C22" s="93">
        <f t="shared" si="0"/>
        <v>2812.9</v>
      </c>
      <c r="D22" s="94"/>
      <c r="E22" s="94"/>
      <c r="F22" s="94"/>
      <c r="G22" s="94"/>
      <c r="H22" s="94">
        <v>2812.9</v>
      </c>
      <c r="I22" s="93"/>
      <c r="J22" s="93"/>
      <c r="K22" s="93"/>
      <c r="L22" s="93"/>
    </row>
    <row r="23" spans="1:12" ht="10.5">
      <c r="A23" s="92" t="s">
        <v>816</v>
      </c>
      <c r="B23" s="92"/>
      <c r="C23" s="93">
        <f t="shared" si="0"/>
        <v>33189</v>
      </c>
      <c r="D23" s="94"/>
      <c r="E23" s="94"/>
      <c r="F23" s="94"/>
      <c r="G23" s="94"/>
      <c r="H23" s="94">
        <v>33189</v>
      </c>
      <c r="I23" s="93"/>
      <c r="J23" s="93"/>
      <c r="K23" s="93"/>
      <c r="L23" s="93"/>
    </row>
    <row r="24" spans="1:12" ht="10.5">
      <c r="A24" s="92" t="s">
        <v>562</v>
      </c>
      <c r="B24" s="92"/>
      <c r="C24" s="93">
        <f t="shared" si="0"/>
        <v>21904</v>
      </c>
      <c r="D24" s="95">
        <v>0</v>
      </c>
      <c r="E24" s="95">
        <v>0</v>
      </c>
      <c r="F24" s="94">
        <v>21904</v>
      </c>
      <c r="G24" s="95"/>
      <c r="H24" s="96"/>
      <c r="I24" s="93">
        <v>0</v>
      </c>
      <c r="J24" s="93">
        <v>0</v>
      </c>
      <c r="K24" s="93">
        <v>0</v>
      </c>
      <c r="L24" s="93">
        <v>0</v>
      </c>
    </row>
    <row r="25" spans="1:12" ht="12.75">
      <c r="A25" s="92" t="s">
        <v>589</v>
      </c>
      <c r="B25" s="92"/>
      <c r="C25" s="93">
        <f t="shared" si="0"/>
        <v>4991.1</v>
      </c>
      <c r="D25" s="97"/>
      <c r="E25" s="96"/>
      <c r="F25" s="97"/>
      <c r="G25" s="97"/>
      <c r="H25" s="94">
        <v>4991.1</v>
      </c>
      <c r="I25" s="98"/>
      <c r="J25" s="98"/>
      <c r="K25" s="98"/>
      <c r="L25" s="98"/>
    </row>
    <row r="26" spans="1:12" ht="12.75">
      <c r="A26" s="92" t="s">
        <v>588</v>
      </c>
      <c r="B26" s="92"/>
      <c r="C26" s="93">
        <f t="shared" si="0"/>
        <v>2058.5</v>
      </c>
      <c r="D26" s="97"/>
      <c r="E26" s="96"/>
      <c r="F26" s="97"/>
      <c r="G26" s="97"/>
      <c r="H26" s="94">
        <v>2058.5</v>
      </c>
      <c r="I26" s="98"/>
      <c r="J26" s="98"/>
      <c r="K26" s="98"/>
      <c r="L26" s="98"/>
    </row>
    <row r="27" spans="1:12" ht="12.75">
      <c r="A27" s="92" t="s">
        <v>586</v>
      </c>
      <c r="B27" s="92"/>
      <c r="C27" s="93">
        <f t="shared" si="0"/>
        <v>22324</v>
      </c>
      <c r="D27" s="97"/>
      <c r="E27" s="96"/>
      <c r="F27" s="97"/>
      <c r="G27" s="97"/>
      <c r="H27" s="94">
        <v>22324</v>
      </c>
      <c r="I27" s="98"/>
      <c r="J27" s="98"/>
      <c r="K27" s="98"/>
      <c r="L27" s="98"/>
    </row>
    <row r="28" spans="1:12" ht="12.75">
      <c r="A28" s="92" t="s">
        <v>587</v>
      </c>
      <c r="B28" s="92"/>
      <c r="C28" s="98">
        <f t="shared" si="0"/>
        <v>7</v>
      </c>
      <c r="D28" s="97">
        <v>0</v>
      </c>
      <c r="E28" s="99">
        <v>0</v>
      </c>
      <c r="F28" s="97">
        <v>0</v>
      </c>
      <c r="G28" s="97">
        <v>0</v>
      </c>
      <c r="H28" s="100">
        <v>7</v>
      </c>
      <c r="I28" s="98"/>
      <c r="J28" s="98"/>
      <c r="K28" s="98"/>
      <c r="L28" s="98"/>
    </row>
    <row r="29" spans="1:12" ht="12.75">
      <c r="A29" s="101" t="s">
        <v>563</v>
      </c>
      <c r="B29" s="101"/>
      <c r="C29" s="102">
        <f aca="true" t="shared" si="1" ref="C29:H29">SUM(C9:C28)</f>
        <v>10768829.899999999</v>
      </c>
      <c r="D29" s="102">
        <f t="shared" si="1"/>
        <v>6708162.4</v>
      </c>
      <c r="E29" s="102">
        <f t="shared" si="1"/>
        <v>3973381.0000000005</v>
      </c>
      <c r="F29" s="103">
        <f t="shared" si="1"/>
        <v>21904</v>
      </c>
      <c r="G29" s="103">
        <f t="shared" si="1"/>
        <v>0</v>
      </c>
      <c r="H29" s="102">
        <f t="shared" si="1"/>
        <v>65382.5</v>
      </c>
      <c r="I29" s="103">
        <f>SUM(I9:I24)</f>
        <v>0</v>
      </c>
      <c r="J29" s="103">
        <f>SUM(J9:J24)</f>
        <v>0</v>
      </c>
      <c r="K29" s="103">
        <f>SUM(K9:K24)</f>
        <v>0</v>
      </c>
      <c r="L29" s="103">
        <f>SUM(L9:L24)</f>
        <v>0</v>
      </c>
    </row>
    <row r="30" spans="1:12" ht="10.5">
      <c r="A30" s="92" t="s">
        <v>538</v>
      </c>
      <c r="B30" s="92"/>
      <c r="C30" s="93">
        <f>SUM(D30:L30)</f>
        <v>2091711.7</v>
      </c>
      <c r="D30" s="94">
        <v>2091711.7</v>
      </c>
      <c r="E30" s="94"/>
      <c r="F30" s="94"/>
      <c r="G30" s="94"/>
      <c r="H30" s="94"/>
      <c r="I30" s="93"/>
      <c r="J30" s="93"/>
      <c r="K30" s="93"/>
      <c r="L30" s="93"/>
    </row>
    <row r="31" spans="1:12" ht="10.5">
      <c r="A31" s="92" t="s">
        <v>546</v>
      </c>
      <c r="B31" s="92"/>
      <c r="C31" s="93">
        <f>SUM(D31:L31)</f>
        <v>1543158.9</v>
      </c>
      <c r="D31" s="94"/>
      <c r="E31" s="94">
        <v>1543158.9</v>
      </c>
      <c r="F31" s="94"/>
      <c r="G31" s="94"/>
      <c r="H31" s="94"/>
      <c r="I31" s="93"/>
      <c r="J31" s="93"/>
      <c r="K31" s="93"/>
      <c r="L31" s="93"/>
    </row>
    <row r="32" spans="1:12" ht="10.5">
      <c r="A32" s="92" t="s">
        <v>547</v>
      </c>
      <c r="B32" s="92"/>
      <c r="C32" s="93">
        <f>SUM(D32:L32)</f>
        <v>52601.8</v>
      </c>
      <c r="D32" s="94"/>
      <c r="E32" s="94">
        <v>52601.8</v>
      </c>
      <c r="F32" s="94"/>
      <c r="G32" s="94"/>
      <c r="H32" s="94"/>
      <c r="I32" s="93"/>
      <c r="J32" s="93"/>
      <c r="K32" s="93"/>
      <c r="L32" s="93"/>
    </row>
    <row r="33" spans="1:12" ht="10.5">
      <c r="A33" s="92" t="s">
        <v>809</v>
      </c>
      <c r="B33" s="92"/>
      <c r="C33" s="93">
        <f>SUM(D33:L33)</f>
        <v>1441504.7</v>
      </c>
      <c r="D33" s="94"/>
      <c r="E33" s="94"/>
      <c r="F33" s="94"/>
      <c r="G33" s="94"/>
      <c r="H33" s="94">
        <v>1441504.7</v>
      </c>
      <c r="J33" s="93"/>
      <c r="K33" s="93"/>
      <c r="L33" s="93"/>
    </row>
    <row r="34" spans="1:12" ht="10.5">
      <c r="A34" s="92" t="s">
        <v>810</v>
      </c>
      <c r="B34" s="92"/>
      <c r="C34" s="93">
        <f>SUM(D34:L34)</f>
        <v>7528288</v>
      </c>
      <c r="D34" s="95"/>
      <c r="E34" s="95"/>
      <c r="F34" s="95"/>
      <c r="G34" s="95"/>
      <c r="H34" s="94">
        <v>7528288</v>
      </c>
      <c r="J34" s="93"/>
      <c r="K34" s="93"/>
      <c r="L34" s="93"/>
    </row>
    <row r="35" spans="1:11" ht="10.5">
      <c r="A35" s="92" t="s">
        <v>539</v>
      </c>
      <c r="B35" s="92"/>
      <c r="C35" s="93">
        <f>SUM(D35:K35)</f>
        <v>116733</v>
      </c>
      <c r="D35" s="95"/>
      <c r="E35" s="95"/>
      <c r="F35" s="95"/>
      <c r="G35" s="95"/>
      <c r="H35" s="94">
        <v>116733</v>
      </c>
      <c r="I35" s="93"/>
      <c r="J35" s="93"/>
      <c r="K35" s="93"/>
    </row>
    <row r="36" spans="1:12" ht="10.5">
      <c r="A36" s="92" t="s">
        <v>811</v>
      </c>
      <c r="B36" s="92"/>
      <c r="C36" s="93">
        <f>SUM(D36:L36)</f>
        <v>249840</v>
      </c>
      <c r="D36" s="95"/>
      <c r="E36" s="94">
        <v>249840</v>
      </c>
      <c r="F36" s="95"/>
      <c r="G36" s="95"/>
      <c r="H36" s="94"/>
      <c r="J36" s="93"/>
      <c r="K36" s="93"/>
      <c r="L36" s="93"/>
    </row>
    <row r="37" spans="1:12" ht="10.5">
      <c r="A37" s="92" t="s">
        <v>812</v>
      </c>
      <c r="B37" s="92"/>
      <c r="C37" s="93">
        <f>SUM(D37:L37)</f>
        <v>118250</v>
      </c>
      <c r="D37" s="95"/>
      <c r="E37" s="94">
        <v>118250</v>
      </c>
      <c r="F37" s="95"/>
      <c r="G37" s="95"/>
      <c r="H37" s="94"/>
      <c r="J37" s="93"/>
      <c r="K37" s="93"/>
      <c r="L37" s="93"/>
    </row>
    <row r="38" spans="1:12" ht="10.5">
      <c r="A38" s="92" t="s">
        <v>551</v>
      </c>
      <c r="B38" s="92"/>
      <c r="C38" s="93">
        <f>SUM(D38:L38)</f>
        <v>200189</v>
      </c>
      <c r="D38" s="95"/>
      <c r="E38" s="95"/>
      <c r="F38" s="95"/>
      <c r="G38" s="94">
        <v>200189</v>
      </c>
      <c r="H38" s="94"/>
      <c r="I38" s="93"/>
      <c r="K38" s="93"/>
      <c r="L38" s="93"/>
    </row>
    <row r="39" spans="1:11" ht="10.5">
      <c r="A39" s="92" t="s">
        <v>554</v>
      </c>
      <c r="B39" s="92"/>
      <c r="C39" s="93">
        <f aca="true" t="shared" si="2" ref="C39:C47">SUM(D39:K39)</f>
        <v>195837.7</v>
      </c>
      <c r="D39" s="95"/>
      <c r="E39" s="95"/>
      <c r="F39" s="94"/>
      <c r="G39" s="95"/>
      <c r="H39" s="96">
        <v>195837.7</v>
      </c>
      <c r="I39" s="93"/>
      <c r="J39" s="93"/>
      <c r="K39" s="93"/>
    </row>
    <row r="40" spans="1:11" ht="10.5">
      <c r="A40" s="92" t="s">
        <v>552</v>
      </c>
      <c r="B40" s="92"/>
      <c r="C40" s="93">
        <f t="shared" si="2"/>
        <v>11232</v>
      </c>
      <c r="D40" s="95"/>
      <c r="E40" s="95"/>
      <c r="F40" s="94"/>
      <c r="G40" s="95"/>
      <c r="H40" s="96">
        <v>11232</v>
      </c>
      <c r="I40" s="93"/>
      <c r="J40" s="93"/>
      <c r="K40" s="93"/>
    </row>
    <row r="41" spans="1:11" ht="10.5">
      <c r="A41" s="92" t="s">
        <v>555</v>
      </c>
      <c r="B41" s="92"/>
      <c r="C41" s="93">
        <f t="shared" si="2"/>
        <v>144672</v>
      </c>
      <c r="D41" s="95"/>
      <c r="E41" s="95"/>
      <c r="F41" s="94"/>
      <c r="G41" s="95"/>
      <c r="H41" s="96">
        <v>144672</v>
      </c>
      <c r="I41" s="93"/>
      <c r="J41" s="93"/>
      <c r="K41" s="93"/>
    </row>
    <row r="42" spans="1:11" ht="10.5">
      <c r="A42" s="92" t="s">
        <v>556</v>
      </c>
      <c r="B42" s="92"/>
      <c r="C42" s="93">
        <f t="shared" si="2"/>
        <v>5152027</v>
      </c>
      <c r="D42" s="95"/>
      <c r="E42" s="95"/>
      <c r="F42" s="94"/>
      <c r="G42" s="96">
        <v>5152027</v>
      </c>
      <c r="H42" s="94"/>
      <c r="I42" s="93"/>
      <c r="J42" s="93"/>
      <c r="K42" s="93"/>
    </row>
    <row r="43" spans="1:11" ht="10.5">
      <c r="A43" s="92" t="s">
        <v>557</v>
      </c>
      <c r="B43" s="92"/>
      <c r="C43" s="93">
        <f t="shared" si="2"/>
        <v>244692</v>
      </c>
      <c r="D43" s="95"/>
      <c r="E43" s="95"/>
      <c r="F43" s="94"/>
      <c r="G43" s="96">
        <v>244692</v>
      </c>
      <c r="H43" s="94"/>
      <c r="I43" s="93"/>
      <c r="J43" s="93"/>
      <c r="K43" s="93"/>
    </row>
    <row r="44" spans="1:11" ht="10.5">
      <c r="A44" s="92" t="s">
        <v>813</v>
      </c>
      <c r="B44" s="92"/>
      <c r="C44" s="93">
        <f>SUM(D44:K44)</f>
        <v>586958</v>
      </c>
      <c r="D44" s="95"/>
      <c r="E44" s="95"/>
      <c r="F44" s="94"/>
      <c r="G44" s="96">
        <v>586958</v>
      </c>
      <c r="H44" s="94"/>
      <c r="I44" s="93"/>
      <c r="J44" s="93"/>
      <c r="K44" s="93"/>
    </row>
    <row r="45" spans="1:11" ht="10.5">
      <c r="A45" s="92" t="s">
        <v>814</v>
      </c>
      <c r="B45" s="92"/>
      <c r="C45" s="93">
        <f t="shared" si="2"/>
        <v>49380.6</v>
      </c>
      <c r="D45" s="95"/>
      <c r="E45" s="95"/>
      <c r="F45" s="95"/>
      <c r="G45" s="96"/>
      <c r="H45" s="96">
        <v>49380.6</v>
      </c>
      <c r="I45" s="93"/>
      <c r="J45" s="93"/>
      <c r="K45" s="93"/>
    </row>
    <row r="46" spans="1:11" ht="10.5">
      <c r="A46" s="92" t="s">
        <v>558</v>
      </c>
      <c r="B46" s="92"/>
      <c r="C46" s="93">
        <f t="shared" si="2"/>
        <v>234904</v>
      </c>
      <c r="D46" s="95"/>
      <c r="E46" s="95"/>
      <c r="F46" s="95"/>
      <c r="G46" s="95"/>
      <c r="H46" s="94">
        <v>234904</v>
      </c>
      <c r="I46" s="93"/>
      <c r="J46" s="93"/>
      <c r="K46" s="93"/>
    </row>
    <row r="47" spans="1:11" ht="12.75">
      <c r="A47" s="92" t="s">
        <v>559</v>
      </c>
      <c r="B47" s="92"/>
      <c r="C47" s="98">
        <f t="shared" si="2"/>
        <v>3239241</v>
      </c>
      <c r="D47" s="97">
        <v>0</v>
      </c>
      <c r="E47" s="97">
        <v>0</v>
      </c>
      <c r="F47" s="97">
        <v>0</v>
      </c>
      <c r="G47" s="97">
        <v>0</v>
      </c>
      <c r="H47" s="100">
        <v>3239241</v>
      </c>
      <c r="I47" s="98">
        <v>0</v>
      </c>
      <c r="J47" s="98">
        <v>0</v>
      </c>
      <c r="K47" s="98">
        <v>0</v>
      </c>
    </row>
    <row r="48" spans="1:12" ht="12.75">
      <c r="A48" s="101" t="s">
        <v>564</v>
      </c>
      <c r="B48" s="101"/>
      <c r="C48" s="98">
        <f aca="true" t="shared" si="3" ref="C48:L48">SUM(C30:C47)</f>
        <v>23201221.4</v>
      </c>
      <c r="D48" s="98">
        <f t="shared" si="3"/>
        <v>2091711.7</v>
      </c>
      <c r="E48" s="98">
        <f t="shared" si="3"/>
        <v>1963850.7</v>
      </c>
      <c r="F48" s="98">
        <f t="shared" si="3"/>
        <v>0</v>
      </c>
      <c r="G48" s="98">
        <f t="shared" si="3"/>
        <v>6183866</v>
      </c>
      <c r="H48" s="98">
        <f t="shared" si="3"/>
        <v>12961792.999999998</v>
      </c>
      <c r="I48" s="98">
        <f t="shared" si="3"/>
        <v>0</v>
      </c>
      <c r="J48" s="98">
        <f t="shared" si="3"/>
        <v>0</v>
      </c>
      <c r="K48" s="98">
        <f t="shared" si="3"/>
        <v>0</v>
      </c>
      <c r="L48" s="98">
        <f t="shared" si="3"/>
        <v>0</v>
      </c>
    </row>
    <row r="49" spans="1:12" ht="15" customHeight="1">
      <c r="A49" s="101" t="s">
        <v>566</v>
      </c>
      <c r="B49" s="101"/>
      <c r="C49" s="104">
        <f aca="true" t="shared" si="4" ref="C49:H49">C29+C48</f>
        <v>33970051.3</v>
      </c>
      <c r="D49" s="104">
        <f t="shared" si="4"/>
        <v>8799874.1</v>
      </c>
      <c r="E49" s="104">
        <f t="shared" si="4"/>
        <v>5937231.7</v>
      </c>
      <c r="F49" s="104">
        <f t="shared" si="4"/>
        <v>21904</v>
      </c>
      <c r="G49" s="104">
        <f t="shared" si="4"/>
        <v>6183866</v>
      </c>
      <c r="H49" s="104">
        <f t="shared" si="4"/>
        <v>13027175.499999998</v>
      </c>
      <c r="I49" s="105">
        <v>0</v>
      </c>
      <c r="J49" s="105">
        <v>0</v>
      </c>
      <c r="K49" s="105">
        <f>K29+K48</f>
        <v>0</v>
      </c>
      <c r="L49" s="105">
        <f>L29+L48</f>
        <v>0</v>
      </c>
    </row>
    <row r="50" spans="1:12" ht="12.75" customHeight="1">
      <c r="A50" s="101" t="s">
        <v>693</v>
      </c>
      <c r="B50" s="101"/>
      <c r="C50" s="106">
        <f aca="true" t="shared" si="5" ref="C50:C57">SUM(D50:H50)</f>
        <v>6708162.4</v>
      </c>
      <c r="D50" s="106">
        <f>D29</f>
        <v>6708162.4</v>
      </c>
      <c r="E50" s="105"/>
      <c r="F50" s="105"/>
      <c r="G50" s="105"/>
      <c r="H50" s="105"/>
      <c r="I50" s="105"/>
      <c r="J50" s="105"/>
      <c r="K50" s="105"/>
      <c r="L50" s="105"/>
    </row>
    <row r="51" spans="1:12" ht="12.75" customHeight="1">
      <c r="A51" s="101" t="s">
        <v>694</v>
      </c>
      <c r="B51" s="101"/>
      <c r="C51" s="106">
        <f t="shared" si="5"/>
        <v>2091711.7</v>
      </c>
      <c r="D51" s="106">
        <f>D48</f>
        <v>2091711.7</v>
      </c>
      <c r="E51" s="105"/>
      <c r="F51" s="105"/>
      <c r="G51" s="105"/>
      <c r="H51" s="105"/>
      <c r="I51" s="105"/>
      <c r="J51" s="105"/>
      <c r="K51" s="105"/>
      <c r="L51" s="105"/>
    </row>
    <row r="52" spans="1:12" ht="12.75" customHeight="1">
      <c r="A52" s="101" t="s">
        <v>695</v>
      </c>
      <c r="B52" s="101"/>
      <c r="C52" s="106">
        <f t="shared" si="5"/>
        <v>3847328.4000000004</v>
      </c>
      <c r="D52" s="105"/>
      <c r="E52" s="106">
        <f>E10+E12+E15+E18+E20</f>
        <v>3817200.4000000004</v>
      </c>
      <c r="F52" s="105"/>
      <c r="H52" s="106">
        <f>H22+H25+H27</f>
        <v>30128</v>
      </c>
      <c r="I52" s="105"/>
      <c r="J52" s="105"/>
      <c r="K52" s="105"/>
      <c r="L52" s="105"/>
    </row>
    <row r="53" spans="1:12" ht="12.75" customHeight="1">
      <c r="A53" s="101" t="s">
        <v>696</v>
      </c>
      <c r="B53" s="101"/>
      <c r="C53" s="106">
        <f t="shared" si="5"/>
        <v>3430341.3</v>
      </c>
      <c r="D53" s="105"/>
      <c r="E53" s="106">
        <f>E31+E36</f>
        <v>1792998.9</v>
      </c>
      <c r="F53" s="105"/>
      <c r="H53" s="106">
        <f>H33+H39</f>
        <v>1637342.4</v>
      </c>
      <c r="I53" s="105"/>
      <c r="J53" s="105"/>
      <c r="K53" s="105"/>
      <c r="L53" s="105"/>
    </row>
    <row r="54" spans="1:12" ht="12.75" customHeight="1">
      <c r="A54" s="101" t="s">
        <v>697</v>
      </c>
      <c r="B54" s="101"/>
      <c r="C54" s="106">
        <f t="shared" si="5"/>
        <v>213339.1</v>
      </c>
      <c r="D54" s="105"/>
      <c r="E54" s="106">
        <f>E19+E21</f>
        <v>156180.6</v>
      </c>
      <c r="F54" s="106">
        <f>F49</f>
        <v>21904</v>
      </c>
      <c r="H54" s="106">
        <f>H23+H26+H28</f>
        <v>35254.5</v>
      </c>
      <c r="I54" s="105"/>
      <c r="J54" s="105"/>
      <c r="K54" s="105"/>
      <c r="L54" s="105"/>
    </row>
    <row r="55" spans="1:12" ht="12.75" customHeight="1">
      <c r="A55" s="101" t="s">
        <v>698</v>
      </c>
      <c r="B55" s="101"/>
      <c r="C55" s="106">
        <f t="shared" si="5"/>
        <v>17679168.4</v>
      </c>
      <c r="D55" s="105"/>
      <c r="E55" s="106">
        <f>E32+E37</f>
        <v>170851.8</v>
      </c>
      <c r="F55" s="105"/>
      <c r="G55" s="106">
        <f>G38+G42+G43+G44+G45</f>
        <v>6183866</v>
      </c>
      <c r="H55" s="106">
        <f>H34+H35+H40+H41+H45+H46+H47</f>
        <v>11324450.6</v>
      </c>
      <c r="I55" s="105"/>
      <c r="J55" s="105"/>
      <c r="K55" s="105"/>
      <c r="L55" s="105"/>
    </row>
    <row r="56" spans="1:12" ht="12.75" customHeight="1">
      <c r="A56" s="101" t="s">
        <v>692</v>
      </c>
      <c r="B56" s="101"/>
      <c r="C56" s="105">
        <f t="shared" si="5"/>
        <v>0</v>
      </c>
      <c r="D56" s="105">
        <v>0</v>
      </c>
      <c r="E56" s="105">
        <v>0</v>
      </c>
      <c r="F56" s="107">
        <v>0</v>
      </c>
      <c r="G56" s="105">
        <v>0</v>
      </c>
      <c r="H56" s="105">
        <v>0</v>
      </c>
      <c r="I56" s="105"/>
      <c r="J56" s="105"/>
      <c r="K56" s="105"/>
      <c r="L56" s="105"/>
    </row>
    <row r="57" spans="1:12" ht="12.75" customHeight="1">
      <c r="A57" s="86" t="s">
        <v>16</v>
      </c>
      <c r="B57" s="101"/>
      <c r="C57" s="104">
        <f t="shared" si="5"/>
        <v>33970051.3</v>
      </c>
      <c r="D57" s="104">
        <f>SUM(D50:D56)</f>
        <v>8799874.1</v>
      </c>
      <c r="E57" s="104">
        <f>SUM(E52:E56)</f>
        <v>5937231.7</v>
      </c>
      <c r="F57" s="104">
        <f>SUM(F52:F55)</f>
        <v>21904</v>
      </c>
      <c r="G57" s="104">
        <f>SUM(G52:G56)</f>
        <v>6183866</v>
      </c>
      <c r="H57" s="104">
        <f>SUM(H52:H56)</f>
        <v>13027175.5</v>
      </c>
      <c r="I57" s="105"/>
      <c r="J57" s="105"/>
      <c r="K57" s="105"/>
      <c r="L57" s="105"/>
    </row>
    <row r="58" spans="1:12" ht="12.75" customHeight="1">
      <c r="A58" s="86"/>
      <c r="B58" s="101"/>
      <c r="C58" s="104"/>
      <c r="D58" s="104"/>
      <c r="E58" s="104"/>
      <c r="F58" s="104"/>
      <c r="G58" s="108"/>
      <c r="H58" s="104"/>
      <c r="I58" s="105"/>
      <c r="J58" s="105"/>
      <c r="K58" s="105"/>
      <c r="L58" s="105"/>
    </row>
    <row r="59" spans="1:12" ht="12.75" customHeight="1">
      <c r="A59" s="86"/>
      <c r="B59" s="101"/>
      <c r="C59" s="104"/>
      <c r="D59" s="104"/>
      <c r="F59" s="104"/>
      <c r="G59" s="104"/>
      <c r="H59" s="104"/>
      <c r="I59" s="105"/>
      <c r="J59" s="105"/>
      <c r="K59" s="105"/>
      <c r="L59" s="105"/>
    </row>
    <row r="60" spans="1:12" ht="12.75" customHeight="1">
      <c r="A60" s="86"/>
      <c r="B60" s="101"/>
      <c r="C60" s="104"/>
      <c r="D60" s="104"/>
      <c r="E60" s="109" t="str">
        <f>E1</f>
        <v>Columbia Gas of Kentucky, Inc,</v>
      </c>
      <c r="F60" s="104"/>
      <c r="G60" s="104"/>
      <c r="H60" s="104"/>
      <c r="I60" s="105"/>
      <c r="J60" s="105"/>
      <c r="K60" s="105"/>
      <c r="L60" s="105"/>
    </row>
    <row r="61" spans="2:12" ht="12.75">
      <c r="B61" s="92"/>
      <c r="C61" s="93"/>
      <c r="D61" s="93"/>
      <c r="E61" s="114" t="s">
        <v>570</v>
      </c>
      <c r="F61" s="93"/>
      <c r="G61" s="93"/>
      <c r="H61" s="93"/>
      <c r="I61" s="93"/>
      <c r="J61" s="93"/>
      <c r="K61" s="93"/>
      <c r="L61" s="93"/>
    </row>
    <row r="62" spans="1:3" ht="10.5">
      <c r="A62" s="87" t="s">
        <v>528</v>
      </c>
      <c r="B62" s="87" t="str">
        <f>B4</f>
        <v>M-2.2 (Page 1 of 42)</v>
      </c>
      <c r="C62" s="110"/>
    </row>
    <row r="64" spans="1:12" ht="10.5">
      <c r="A64" s="89" t="s">
        <v>570</v>
      </c>
      <c r="B64" s="89"/>
      <c r="C64" s="79"/>
      <c r="D64" s="79"/>
      <c r="E64" s="79"/>
      <c r="F64" s="79"/>
      <c r="G64" s="79"/>
      <c r="H64" s="90"/>
      <c r="I64" s="90"/>
      <c r="J64" s="90"/>
      <c r="K64" s="91"/>
      <c r="L64" s="91"/>
    </row>
    <row r="65" spans="1:12" ht="10.5">
      <c r="A65" s="92" t="s">
        <v>529</v>
      </c>
      <c r="B65" s="92"/>
      <c r="C65" s="79" t="s">
        <v>16</v>
      </c>
      <c r="D65" s="79" t="str">
        <f>Customers!D7</f>
        <v>GS-RES.</v>
      </c>
      <c r="E65" s="79" t="str">
        <f>Customers!E7</f>
        <v>GS-OTHER</v>
      </c>
      <c r="F65" s="79" t="str">
        <f>Customers!F7</f>
        <v>IUS</v>
      </c>
      <c r="G65" s="79" t="str">
        <f>Customers!G7</f>
        <v>DS-ML/SC</v>
      </c>
      <c r="H65" s="79" t="str">
        <f>Customers!H7</f>
        <v>DS/IS/SS</v>
      </c>
      <c r="I65" s="79" t="str">
        <f>Customers!I7</f>
        <v>NOT USED</v>
      </c>
      <c r="J65" s="79" t="str">
        <f>Customers!J7</f>
        <v>NOT USED</v>
      </c>
      <c r="K65" s="79" t="str">
        <f>Customers!K7</f>
        <v>NOT USED</v>
      </c>
      <c r="L65" s="79" t="str">
        <f>Customers!L7</f>
        <v>NOT USED</v>
      </c>
    </row>
    <row r="66" spans="3:12" ht="10.5"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0.5">
      <c r="A67" s="92" t="s">
        <v>530</v>
      </c>
      <c r="B67" s="92"/>
      <c r="C67" s="93">
        <f>SUM(D67:L67)</f>
        <v>89306601.08</v>
      </c>
      <c r="D67" s="94">
        <v>89306601.08</v>
      </c>
      <c r="E67" s="94"/>
      <c r="F67" s="94"/>
      <c r="G67" s="94"/>
      <c r="H67" s="94"/>
      <c r="I67" s="93"/>
      <c r="J67" s="93"/>
      <c r="K67" s="93"/>
      <c r="L67" s="93"/>
    </row>
    <row r="68" spans="1:12" ht="10.5">
      <c r="A68" s="92" t="s">
        <v>540</v>
      </c>
      <c r="B68" s="92"/>
      <c r="C68" s="93">
        <f aca="true" t="shared" si="6" ref="C68:C81">SUM(D68:L68)</f>
        <v>71756.68</v>
      </c>
      <c r="D68" s="94"/>
      <c r="E68" s="94">
        <v>71756.68</v>
      </c>
      <c r="F68" s="94"/>
      <c r="G68" s="94"/>
      <c r="H68" s="94"/>
      <c r="I68" s="93"/>
      <c r="J68" s="93"/>
      <c r="K68" s="93"/>
      <c r="L68" s="93"/>
    </row>
    <row r="69" spans="1:12" ht="10.5">
      <c r="A69" s="92" t="s">
        <v>531</v>
      </c>
      <c r="B69" s="92"/>
      <c r="C69" s="93">
        <f t="shared" si="6"/>
        <v>37726.12</v>
      </c>
      <c r="D69" s="94">
        <v>37726.12</v>
      </c>
      <c r="E69" s="94"/>
      <c r="F69" s="94"/>
      <c r="G69" s="94"/>
      <c r="H69" s="94"/>
      <c r="I69" s="93"/>
      <c r="J69" s="93"/>
      <c r="K69" s="93"/>
      <c r="L69" s="93"/>
    </row>
    <row r="70" spans="1:12" ht="10.5">
      <c r="A70" s="92" t="s">
        <v>542</v>
      </c>
      <c r="B70" s="92"/>
      <c r="C70" s="93">
        <f t="shared" si="6"/>
        <v>605.4399999999999</v>
      </c>
      <c r="D70" s="94">
        <v>574.68</v>
      </c>
      <c r="E70" s="94">
        <v>30.76</v>
      </c>
      <c r="F70" s="94"/>
      <c r="G70" s="94"/>
      <c r="H70" s="94"/>
      <c r="I70" s="93"/>
      <c r="J70" s="93"/>
      <c r="K70" s="93"/>
      <c r="L70" s="93"/>
    </row>
    <row r="71" spans="1:11" ht="10.5">
      <c r="A71" s="92" t="s">
        <v>526</v>
      </c>
      <c r="B71" s="92"/>
      <c r="C71" s="93">
        <f t="shared" si="6"/>
        <v>55.61</v>
      </c>
      <c r="D71" s="94">
        <v>55.61</v>
      </c>
      <c r="E71" s="94"/>
      <c r="F71" s="94"/>
      <c r="G71" s="94"/>
      <c r="H71" s="94"/>
      <c r="I71" s="93"/>
      <c r="J71" s="93"/>
      <c r="K71" s="93"/>
    </row>
    <row r="72" spans="1:11" ht="10.5">
      <c r="A72" s="92" t="s">
        <v>527</v>
      </c>
      <c r="B72" s="92"/>
      <c r="C72" s="93">
        <f t="shared" si="6"/>
        <v>405.24</v>
      </c>
      <c r="D72" s="94">
        <v>405.24</v>
      </c>
      <c r="E72" s="94"/>
      <c r="F72" s="94"/>
      <c r="G72" s="94"/>
      <c r="H72" s="94"/>
      <c r="I72" s="93"/>
      <c r="J72" s="93"/>
      <c r="K72" s="93"/>
    </row>
    <row r="73" spans="1:11" ht="10.5">
      <c r="A73" s="92" t="s">
        <v>541</v>
      </c>
      <c r="B73" s="92"/>
      <c r="C73" s="93">
        <f t="shared" si="6"/>
        <v>530.11</v>
      </c>
      <c r="D73" s="94">
        <v>200.06</v>
      </c>
      <c r="E73" s="94">
        <v>330.05</v>
      </c>
      <c r="F73" s="94"/>
      <c r="G73" s="94"/>
      <c r="H73" s="94"/>
      <c r="I73" s="93"/>
      <c r="J73" s="93"/>
      <c r="K73" s="93"/>
    </row>
    <row r="74" spans="1:11" ht="10.5">
      <c r="A74" s="92" t="s">
        <v>533</v>
      </c>
      <c r="B74" s="92"/>
      <c r="C74" s="93">
        <f t="shared" si="6"/>
        <v>178.06</v>
      </c>
      <c r="D74" s="95">
        <v>178.06</v>
      </c>
      <c r="E74" s="94"/>
      <c r="F74" s="94"/>
      <c r="G74" s="94"/>
      <c r="H74" s="94"/>
      <c r="I74" s="93"/>
      <c r="J74" s="93"/>
      <c r="K74" s="93"/>
    </row>
    <row r="75" spans="1:12" ht="10.5">
      <c r="A75" s="92" t="s">
        <v>534</v>
      </c>
      <c r="B75" s="92"/>
      <c r="C75" s="93">
        <f t="shared" si="6"/>
        <v>110.04</v>
      </c>
      <c r="D75" s="94">
        <v>110.04</v>
      </c>
      <c r="E75" s="94"/>
      <c r="F75" s="94"/>
      <c r="G75" s="94"/>
      <c r="H75" s="94"/>
      <c r="I75" s="93"/>
      <c r="J75" s="93"/>
      <c r="K75" s="93"/>
      <c r="L75" s="93"/>
    </row>
    <row r="76" spans="1:12" ht="10.5">
      <c r="A76" s="92" t="s">
        <v>543</v>
      </c>
      <c r="B76" s="92"/>
      <c r="C76" s="93">
        <f t="shared" si="6"/>
        <v>48773084.45</v>
      </c>
      <c r="D76" s="94"/>
      <c r="E76" s="94">
        <v>48773084.45</v>
      </c>
      <c r="F76" s="94"/>
      <c r="G76" s="94"/>
      <c r="H76" s="94"/>
      <c r="J76" s="93"/>
      <c r="K76" s="93"/>
      <c r="L76" s="93"/>
    </row>
    <row r="77" spans="1:12" ht="10.5">
      <c r="A77" s="92" t="s">
        <v>544</v>
      </c>
      <c r="B77" s="92"/>
      <c r="C77" s="93">
        <f t="shared" si="6"/>
        <v>1882466.77</v>
      </c>
      <c r="D77" s="94"/>
      <c r="E77" s="94">
        <v>1882466.77</v>
      </c>
      <c r="F77" s="94"/>
      <c r="G77" s="94"/>
      <c r="H77" s="94"/>
      <c r="J77" s="93"/>
      <c r="K77" s="93"/>
      <c r="L77" s="93"/>
    </row>
    <row r="78" spans="1:12" ht="10.5">
      <c r="A78" s="92" t="s">
        <v>817</v>
      </c>
      <c r="B78" s="92"/>
      <c r="C78" s="93">
        <f t="shared" si="6"/>
        <v>101428.17</v>
      </c>
      <c r="D78" s="94"/>
      <c r="E78" s="94">
        <v>101428.17</v>
      </c>
      <c r="F78" s="94"/>
      <c r="G78" s="96"/>
      <c r="H78" s="94"/>
      <c r="I78" s="93"/>
      <c r="J78" s="93"/>
      <c r="K78" s="93"/>
      <c r="L78" s="93"/>
    </row>
    <row r="79" spans="1:12" ht="10.5">
      <c r="A79" s="92" t="s">
        <v>818</v>
      </c>
      <c r="B79" s="92"/>
      <c r="C79" s="93">
        <f t="shared" si="6"/>
        <v>53689.92</v>
      </c>
      <c r="D79" s="94"/>
      <c r="E79" s="94">
        <v>53689.92</v>
      </c>
      <c r="F79" s="94"/>
      <c r="G79" s="96"/>
      <c r="H79" s="94"/>
      <c r="I79" s="93"/>
      <c r="J79" s="93"/>
      <c r="K79" s="93"/>
      <c r="L79" s="93"/>
    </row>
    <row r="80" spans="1:12" ht="10.5">
      <c r="A80" s="92" t="s">
        <v>815</v>
      </c>
      <c r="B80" s="92"/>
      <c r="C80" s="93">
        <f t="shared" si="6"/>
        <v>47811.65</v>
      </c>
      <c r="D80" s="94"/>
      <c r="E80" s="94"/>
      <c r="F80" s="94"/>
      <c r="G80" s="94"/>
      <c r="H80" s="94">
        <v>47811.65</v>
      </c>
      <c r="I80" s="93"/>
      <c r="J80" s="93"/>
      <c r="K80" s="93"/>
      <c r="L80" s="93"/>
    </row>
    <row r="81" spans="1:12" ht="10.5">
      <c r="A81" s="92" t="s">
        <v>819</v>
      </c>
      <c r="B81" s="92"/>
      <c r="C81" s="93">
        <f t="shared" si="6"/>
        <v>425121.36</v>
      </c>
      <c r="D81" s="94"/>
      <c r="E81" s="94"/>
      <c r="F81" s="94"/>
      <c r="G81" s="94"/>
      <c r="H81" s="94">
        <v>425121.36</v>
      </c>
      <c r="I81" s="93"/>
      <c r="J81" s="93"/>
      <c r="K81" s="93"/>
      <c r="L81" s="93"/>
    </row>
    <row r="82" spans="1:12" ht="10.5">
      <c r="A82" s="92" t="s">
        <v>562</v>
      </c>
      <c r="B82" s="92"/>
      <c r="C82" s="93">
        <f>SUM(D82:L82)</f>
        <v>234482.32</v>
      </c>
      <c r="D82" s="95">
        <v>0</v>
      </c>
      <c r="E82" s="95">
        <v>0</v>
      </c>
      <c r="F82" s="94">
        <v>234482.32</v>
      </c>
      <c r="G82" s="95"/>
      <c r="H82" s="96"/>
      <c r="I82" s="93">
        <v>0</v>
      </c>
      <c r="J82" s="93">
        <v>0</v>
      </c>
      <c r="K82" s="93">
        <v>0</v>
      </c>
      <c r="L82" s="93">
        <v>0</v>
      </c>
    </row>
    <row r="83" spans="1:12" ht="10.5">
      <c r="A83" s="92" t="s">
        <v>589</v>
      </c>
      <c r="B83" s="92"/>
      <c r="C83" s="93">
        <f>SUM(D83:L83)</f>
        <v>233022.51</v>
      </c>
      <c r="D83" s="95"/>
      <c r="E83" s="96"/>
      <c r="F83" s="95"/>
      <c r="G83" s="95"/>
      <c r="H83" s="94">
        <v>233022.51</v>
      </c>
      <c r="J83" s="93"/>
      <c r="K83" s="93"/>
      <c r="L83" s="93"/>
    </row>
    <row r="84" spans="1:12" ht="10.5">
      <c r="A84" s="92" t="s">
        <v>588</v>
      </c>
      <c r="B84" s="92"/>
      <c r="C84" s="93">
        <f>SUM(D84:L84)</f>
        <v>409141.77</v>
      </c>
      <c r="D84" s="95"/>
      <c r="E84" s="96"/>
      <c r="F84" s="95"/>
      <c r="G84" s="95"/>
      <c r="H84" s="94">
        <v>409141.77</v>
      </c>
      <c r="J84" s="93"/>
      <c r="K84" s="93"/>
      <c r="L84" s="93"/>
    </row>
    <row r="85" spans="1:12" ht="10.5">
      <c r="A85" s="92" t="s">
        <v>586</v>
      </c>
      <c r="B85" s="92"/>
      <c r="C85" s="93">
        <f>SUM(D85:L85)</f>
        <v>22536.25</v>
      </c>
      <c r="D85" s="95"/>
      <c r="E85" s="96"/>
      <c r="F85" s="95"/>
      <c r="G85" s="95"/>
      <c r="H85" s="94">
        <v>22536.25</v>
      </c>
      <c r="J85" s="93"/>
      <c r="K85" s="93"/>
      <c r="L85" s="93"/>
    </row>
    <row r="86" spans="1:8" ht="12.75">
      <c r="A86" s="92" t="s">
        <v>587</v>
      </c>
      <c r="B86" s="92"/>
      <c r="C86" s="98">
        <f>SUM(D86:L86)</f>
        <v>76.64</v>
      </c>
      <c r="D86" s="100">
        <v>0</v>
      </c>
      <c r="E86" s="100">
        <v>0</v>
      </c>
      <c r="F86" s="100">
        <v>0</v>
      </c>
      <c r="G86" s="100">
        <v>0</v>
      </c>
      <c r="H86" s="100">
        <v>76.64</v>
      </c>
    </row>
    <row r="87" spans="1:12" ht="12.75">
      <c r="A87" s="101" t="s">
        <v>563</v>
      </c>
      <c r="B87" s="101"/>
      <c r="C87" s="102">
        <f aca="true" t="shared" si="7" ref="C87:H87">SUM(C67:C86)</f>
        <v>141600830.19</v>
      </c>
      <c r="D87" s="102">
        <f t="shared" si="7"/>
        <v>89345850.89000002</v>
      </c>
      <c r="E87" s="102">
        <f t="shared" si="7"/>
        <v>50882786.80000001</v>
      </c>
      <c r="F87" s="102">
        <f t="shared" si="7"/>
        <v>234482.32</v>
      </c>
      <c r="G87" s="103">
        <f t="shared" si="7"/>
        <v>0</v>
      </c>
      <c r="H87" s="102">
        <f t="shared" si="7"/>
        <v>1137710.18</v>
      </c>
      <c r="I87" s="103">
        <f>SUM(I67:I85)</f>
        <v>0</v>
      </c>
      <c r="J87" s="103">
        <f>SUM(J67:J85)</f>
        <v>0</v>
      </c>
      <c r="K87" s="103">
        <f>SUM(K67:K85)</f>
        <v>0</v>
      </c>
      <c r="L87" s="103">
        <f>SUM(L67:L85)</f>
        <v>0</v>
      </c>
    </row>
    <row r="88" spans="1:12" ht="10.5">
      <c r="A88" s="92" t="s">
        <v>538</v>
      </c>
      <c r="B88" s="92"/>
      <c r="C88" s="93">
        <f>SUM(D88:L88)</f>
        <v>5842043.99</v>
      </c>
      <c r="D88" s="94">
        <v>5842043.99</v>
      </c>
      <c r="E88" s="94"/>
      <c r="F88" s="94"/>
      <c r="G88" s="94"/>
      <c r="H88" s="94"/>
      <c r="I88" s="93"/>
      <c r="J88" s="93"/>
      <c r="K88" s="93"/>
      <c r="L88" s="93"/>
    </row>
    <row r="89" spans="1:12" ht="10.5">
      <c r="A89" s="92" t="s">
        <v>546</v>
      </c>
      <c r="B89" s="92"/>
      <c r="C89" s="93">
        <f>SUM(D89:L89)</f>
        <v>3524806.21</v>
      </c>
      <c r="D89" s="94"/>
      <c r="E89" s="94">
        <v>3524806.21</v>
      </c>
      <c r="F89" s="94"/>
      <c r="G89" s="94"/>
      <c r="H89" s="94"/>
      <c r="I89" s="93"/>
      <c r="J89" s="93"/>
      <c r="K89" s="93"/>
      <c r="L89" s="93"/>
    </row>
    <row r="90" spans="1:12" ht="10.5">
      <c r="A90" s="92" t="s">
        <v>547</v>
      </c>
      <c r="B90" s="92"/>
      <c r="C90" s="93">
        <f>SUM(D90:L90)</f>
        <v>93189.07</v>
      </c>
      <c r="D90" s="94"/>
      <c r="E90" s="94">
        <v>93189.07</v>
      </c>
      <c r="F90" s="94"/>
      <c r="G90" s="94"/>
      <c r="H90" s="94"/>
      <c r="I90" s="93"/>
      <c r="J90" s="93"/>
      <c r="K90" s="93"/>
      <c r="L90" s="93"/>
    </row>
    <row r="91" spans="1:12" ht="10.5">
      <c r="A91" s="92" t="s">
        <v>809</v>
      </c>
      <c r="B91" s="92"/>
      <c r="C91" s="93">
        <f>SUM(D91:L91)</f>
        <v>807467.92</v>
      </c>
      <c r="D91" s="94"/>
      <c r="E91" s="94"/>
      <c r="F91" s="94"/>
      <c r="G91" s="94"/>
      <c r="H91" s="94">
        <v>807467.92</v>
      </c>
      <c r="J91" s="93"/>
      <c r="K91" s="93"/>
      <c r="L91" s="93"/>
    </row>
    <row r="92" spans="1:12" ht="10.5">
      <c r="A92" s="92" t="s">
        <v>810</v>
      </c>
      <c r="B92" s="92"/>
      <c r="C92" s="93">
        <f>SUM(D92:L92)</f>
        <v>3455403.78</v>
      </c>
      <c r="D92" s="95"/>
      <c r="E92" s="95"/>
      <c r="F92" s="95"/>
      <c r="G92" s="95"/>
      <c r="H92" s="94">
        <v>3455403.78</v>
      </c>
      <c r="J92" s="93"/>
      <c r="K92" s="93"/>
      <c r="L92" s="93"/>
    </row>
    <row r="93" spans="1:11" ht="10.5">
      <c r="A93" s="92" t="s">
        <v>539</v>
      </c>
      <c r="B93" s="92"/>
      <c r="C93" s="93">
        <f>SUM(D93:K93)</f>
        <v>75115.57</v>
      </c>
      <c r="D93" s="95"/>
      <c r="E93" s="95"/>
      <c r="F93" s="95"/>
      <c r="G93" s="95"/>
      <c r="H93" s="94">
        <v>75115.57</v>
      </c>
      <c r="I93" s="93"/>
      <c r="J93" s="93"/>
      <c r="K93" s="93"/>
    </row>
    <row r="94" spans="1:12" ht="10.5">
      <c r="A94" s="92" t="s">
        <v>811</v>
      </c>
      <c r="B94" s="92"/>
      <c r="C94" s="93">
        <f>SUM(D94:L94)</f>
        <v>441432.66</v>
      </c>
      <c r="D94" s="95"/>
      <c r="E94" s="94">
        <v>441432.66</v>
      </c>
      <c r="F94" s="95"/>
      <c r="G94" s="95"/>
      <c r="H94" s="94"/>
      <c r="J94" s="93"/>
      <c r="K94" s="93"/>
      <c r="L94" s="93"/>
    </row>
    <row r="95" spans="1:12" ht="10.5">
      <c r="A95" s="92" t="s">
        <v>812</v>
      </c>
      <c r="B95" s="92"/>
      <c r="C95" s="93">
        <f>SUM(D95:L95)</f>
        <v>207324.24</v>
      </c>
      <c r="D95" s="95"/>
      <c r="E95" s="94">
        <v>207324.24</v>
      </c>
      <c r="F95" s="95"/>
      <c r="G95" s="95"/>
      <c r="H95" s="94"/>
      <c r="J95" s="93"/>
      <c r="K95" s="93"/>
      <c r="L95" s="93"/>
    </row>
    <row r="96" spans="1:12" ht="10.5">
      <c r="A96" s="92" t="s">
        <v>551</v>
      </c>
      <c r="B96" s="92"/>
      <c r="C96" s="93">
        <f>SUM(D96:L96)</f>
        <v>18517.82</v>
      </c>
      <c r="D96" s="95"/>
      <c r="E96" s="95"/>
      <c r="F96" s="95"/>
      <c r="G96" s="94">
        <v>18517.82</v>
      </c>
      <c r="H96" s="96"/>
      <c r="I96" s="93"/>
      <c r="K96" s="93"/>
      <c r="L96" s="93"/>
    </row>
    <row r="97" spans="1:11" ht="10.5">
      <c r="A97" s="92" t="s">
        <v>554</v>
      </c>
      <c r="B97" s="92"/>
      <c r="C97" s="93">
        <f aca="true" t="shared" si="8" ref="C97:C105">SUM(D97:K97)</f>
        <v>25259.71</v>
      </c>
      <c r="D97" s="95"/>
      <c r="E97" s="95"/>
      <c r="F97" s="94"/>
      <c r="G97" s="95"/>
      <c r="H97" s="96">
        <v>25259.71</v>
      </c>
      <c r="I97" s="93"/>
      <c r="J97" s="93"/>
      <c r="K97" s="93"/>
    </row>
    <row r="98" spans="1:11" ht="10.5">
      <c r="A98" s="92" t="s">
        <v>552</v>
      </c>
      <c r="B98" s="92"/>
      <c r="C98" s="93">
        <f t="shared" si="8"/>
        <v>2054</v>
      </c>
      <c r="D98" s="95"/>
      <c r="E98" s="95"/>
      <c r="F98" s="94"/>
      <c r="G98" s="95"/>
      <c r="H98" s="96">
        <v>2054</v>
      </c>
      <c r="I98" s="93"/>
      <c r="J98" s="93"/>
      <c r="K98" s="93"/>
    </row>
    <row r="99" spans="1:11" ht="10.5">
      <c r="A99" s="92" t="s">
        <v>555</v>
      </c>
      <c r="B99" s="92"/>
      <c r="C99" s="93">
        <f t="shared" si="8"/>
        <v>47689.2</v>
      </c>
      <c r="D99" s="95"/>
      <c r="E99" s="95"/>
      <c r="F99" s="94"/>
      <c r="G99" s="95"/>
      <c r="H99" s="96">
        <v>47689.2</v>
      </c>
      <c r="I99" s="93"/>
      <c r="J99" s="93"/>
      <c r="K99" s="93"/>
    </row>
    <row r="100" spans="1:11" ht="10.5">
      <c r="A100" s="92" t="s">
        <v>556</v>
      </c>
      <c r="B100" s="92"/>
      <c r="C100" s="93">
        <f t="shared" si="8"/>
        <v>443944.52</v>
      </c>
      <c r="D100" s="95"/>
      <c r="E100" s="95"/>
      <c r="F100" s="94"/>
      <c r="G100" s="96">
        <v>443944.52</v>
      </c>
      <c r="H100" s="94"/>
      <c r="I100" s="93"/>
      <c r="J100" s="93"/>
      <c r="K100" s="93"/>
    </row>
    <row r="101" spans="1:11" ht="10.5">
      <c r="A101" s="92" t="s">
        <v>557</v>
      </c>
      <c r="B101" s="92"/>
      <c r="C101" s="93">
        <f t="shared" si="8"/>
        <v>21665.37</v>
      </c>
      <c r="D101" s="95"/>
      <c r="E101" s="95"/>
      <c r="F101" s="94"/>
      <c r="G101" s="96">
        <v>21665.37</v>
      </c>
      <c r="H101" s="94"/>
      <c r="I101" s="93"/>
      <c r="J101" s="93"/>
      <c r="K101" s="93"/>
    </row>
    <row r="102" spans="1:11" ht="10.5">
      <c r="A102" s="92" t="s">
        <v>813</v>
      </c>
      <c r="B102" s="92"/>
      <c r="C102" s="93">
        <f>SUM(D102:K102)</f>
        <v>206739.5</v>
      </c>
      <c r="D102" s="95"/>
      <c r="E102" s="95"/>
      <c r="F102" s="94"/>
      <c r="G102" s="96">
        <v>206739.5</v>
      </c>
      <c r="H102" s="94"/>
      <c r="I102" s="93"/>
      <c r="J102" s="93"/>
      <c r="K102" s="93"/>
    </row>
    <row r="103" spans="1:11" ht="10.5">
      <c r="A103" s="92" t="s">
        <v>814</v>
      </c>
      <c r="B103" s="92"/>
      <c r="C103" s="93">
        <f>SUM(D103:K103)</f>
        <v>27667.17</v>
      </c>
      <c r="D103" s="95"/>
      <c r="E103" s="95"/>
      <c r="F103" s="94"/>
      <c r="G103" s="96"/>
      <c r="H103" s="96">
        <v>27667.17</v>
      </c>
      <c r="I103" s="93"/>
      <c r="J103" s="93"/>
      <c r="K103" s="93"/>
    </row>
    <row r="104" spans="1:11" ht="10.5">
      <c r="A104" s="92" t="s">
        <v>558</v>
      </c>
      <c r="B104" s="92"/>
      <c r="C104" s="93">
        <f t="shared" si="8"/>
        <v>31317.52</v>
      </c>
      <c r="D104" s="95"/>
      <c r="E104" s="95"/>
      <c r="F104" s="95"/>
      <c r="G104" s="95"/>
      <c r="H104" s="94">
        <v>31317.52</v>
      </c>
      <c r="I104" s="93"/>
      <c r="J104" s="93"/>
      <c r="K104" s="93"/>
    </row>
    <row r="105" spans="1:11" ht="12.75">
      <c r="A105" s="92" t="s">
        <v>559</v>
      </c>
      <c r="B105" s="92"/>
      <c r="C105" s="98">
        <f t="shared" si="8"/>
        <v>421881.33</v>
      </c>
      <c r="D105" s="97">
        <v>0</v>
      </c>
      <c r="E105" s="97">
        <v>0</v>
      </c>
      <c r="F105" s="97">
        <v>0</v>
      </c>
      <c r="G105" s="97">
        <v>0</v>
      </c>
      <c r="H105" s="100">
        <v>421881.33</v>
      </c>
      <c r="I105" s="98">
        <v>0</v>
      </c>
      <c r="J105" s="98">
        <v>0</v>
      </c>
      <c r="K105" s="98">
        <v>0</v>
      </c>
    </row>
    <row r="106" spans="1:12" ht="12.75">
      <c r="A106" s="101" t="s">
        <v>564</v>
      </c>
      <c r="B106" s="101"/>
      <c r="C106" s="98">
        <f aca="true" t="shared" si="9" ref="C106:L106">SUM(C88:C105)</f>
        <v>15693519.579999998</v>
      </c>
      <c r="D106" s="98">
        <f t="shared" si="9"/>
        <v>5842043.99</v>
      </c>
      <c r="E106" s="98">
        <f t="shared" si="9"/>
        <v>4266752.18</v>
      </c>
      <c r="F106" s="98">
        <f t="shared" si="9"/>
        <v>0</v>
      </c>
      <c r="G106" s="98">
        <f t="shared" si="9"/>
        <v>690867.21</v>
      </c>
      <c r="H106" s="98">
        <f t="shared" si="9"/>
        <v>4893856.2</v>
      </c>
      <c r="I106" s="98">
        <f t="shared" si="9"/>
        <v>0</v>
      </c>
      <c r="J106" s="98">
        <f t="shared" si="9"/>
        <v>0</v>
      </c>
      <c r="K106" s="98">
        <f t="shared" si="9"/>
        <v>0</v>
      </c>
      <c r="L106" s="98">
        <f t="shared" si="9"/>
        <v>0</v>
      </c>
    </row>
    <row r="107" spans="1:12" ht="12.75">
      <c r="A107" s="101" t="s">
        <v>575</v>
      </c>
      <c r="B107" s="101"/>
      <c r="C107" s="104">
        <f aca="true" t="shared" si="10" ref="C107:I107">C87+C106</f>
        <v>157294349.76999998</v>
      </c>
      <c r="D107" s="104">
        <f t="shared" si="10"/>
        <v>95187894.88000001</v>
      </c>
      <c r="E107" s="104">
        <f t="shared" si="10"/>
        <v>55149538.98000001</v>
      </c>
      <c r="F107" s="104">
        <f t="shared" si="10"/>
        <v>234482.32</v>
      </c>
      <c r="G107" s="104">
        <f t="shared" si="10"/>
        <v>690867.21</v>
      </c>
      <c r="H107" s="104">
        <f t="shared" si="10"/>
        <v>6031566.38</v>
      </c>
      <c r="I107" s="106">
        <f t="shared" si="10"/>
        <v>0</v>
      </c>
      <c r="J107" s="106">
        <v>0</v>
      </c>
      <c r="K107" s="106">
        <f>K87+K106</f>
        <v>0</v>
      </c>
      <c r="L107" s="106">
        <f>L87+L106</f>
        <v>0</v>
      </c>
    </row>
    <row r="108" spans="1:12" ht="12.75" customHeight="1">
      <c r="A108" s="101" t="s">
        <v>693</v>
      </c>
      <c r="B108" s="101"/>
      <c r="C108" s="106">
        <f aca="true" t="shared" si="11" ref="C108:C115">SUM(D108:H108)</f>
        <v>89345850.89000002</v>
      </c>
      <c r="D108" s="106">
        <f>D87</f>
        <v>89345850.89000002</v>
      </c>
      <c r="E108" s="105"/>
      <c r="F108" s="105"/>
      <c r="G108" s="105"/>
      <c r="H108" s="105"/>
      <c r="I108" s="105"/>
      <c r="J108" s="105"/>
      <c r="K108" s="105"/>
      <c r="L108" s="105"/>
    </row>
    <row r="109" spans="1:12" ht="12.75" customHeight="1">
      <c r="A109" s="101" t="s">
        <v>694</v>
      </c>
      <c r="B109" s="101"/>
      <c r="C109" s="106">
        <f t="shared" si="11"/>
        <v>5842043.99</v>
      </c>
      <c r="D109" s="106">
        <f>D106</f>
        <v>5842043.99</v>
      </c>
      <c r="E109" s="105"/>
      <c r="F109" s="105"/>
      <c r="G109" s="105"/>
      <c r="H109" s="105"/>
      <c r="I109" s="105"/>
      <c r="J109" s="105"/>
      <c r="K109" s="105"/>
      <c r="L109" s="105"/>
    </row>
    <row r="110" spans="1:12" ht="12.75" customHeight="1">
      <c r="A110" s="101" t="s">
        <v>695</v>
      </c>
      <c r="B110" s="101"/>
      <c r="C110" s="106">
        <f t="shared" si="11"/>
        <v>49250000.52</v>
      </c>
      <c r="D110" s="105"/>
      <c r="E110" s="106">
        <f>E68+E70+E73+E76+E78</f>
        <v>48946630.11000001</v>
      </c>
      <c r="F110" s="105"/>
      <c r="H110" s="106">
        <f>H80+H83+H85</f>
        <v>303370.41000000003</v>
      </c>
      <c r="I110" s="105"/>
      <c r="J110" s="105"/>
      <c r="K110" s="105"/>
      <c r="L110" s="105"/>
    </row>
    <row r="111" spans="1:12" ht="12.75" customHeight="1">
      <c r="A111" s="101" t="s">
        <v>696</v>
      </c>
      <c r="B111" s="101"/>
      <c r="C111" s="106">
        <f t="shared" si="11"/>
        <v>4798966.5</v>
      </c>
      <c r="D111" s="105"/>
      <c r="E111" s="106">
        <f>E89+E94</f>
        <v>3966238.87</v>
      </c>
      <c r="F111" s="105"/>
      <c r="H111" s="106">
        <f>H91+H97</f>
        <v>832727.63</v>
      </c>
      <c r="I111" s="105"/>
      <c r="J111" s="105"/>
      <c r="K111" s="105"/>
      <c r="L111" s="105"/>
    </row>
    <row r="112" spans="1:12" ht="12.75" customHeight="1">
      <c r="A112" s="101" t="s">
        <v>697</v>
      </c>
      <c r="B112" s="101"/>
      <c r="C112" s="106">
        <f t="shared" si="11"/>
        <v>3004978.78</v>
      </c>
      <c r="D112" s="105"/>
      <c r="E112" s="106">
        <f>E77+E79</f>
        <v>1936156.69</v>
      </c>
      <c r="F112" s="106">
        <f>F107</f>
        <v>234482.32</v>
      </c>
      <c r="G112" s="85">
        <f>G87</f>
        <v>0</v>
      </c>
      <c r="H112" s="106">
        <f>H81+H84+H86</f>
        <v>834339.77</v>
      </c>
      <c r="I112" s="105"/>
      <c r="J112" s="105"/>
      <c r="K112" s="105"/>
      <c r="L112" s="105"/>
    </row>
    <row r="113" spans="1:12" ht="12.75" customHeight="1">
      <c r="A113" s="101" t="s">
        <v>698</v>
      </c>
      <c r="B113" s="101"/>
      <c r="C113" s="106">
        <f t="shared" si="11"/>
        <v>5024841.92</v>
      </c>
      <c r="D113" s="105"/>
      <c r="E113" s="106">
        <f>E90+E95</f>
        <v>300513.31</v>
      </c>
      <c r="F113" s="105"/>
      <c r="G113" s="106">
        <f>G96+G100+G101+G102+G103</f>
        <v>690867.21</v>
      </c>
      <c r="H113" s="106">
        <f>H92+H93+H98+H99+H104+H105</f>
        <v>4033461.4</v>
      </c>
      <c r="I113" s="105"/>
      <c r="J113" s="105"/>
      <c r="K113" s="105"/>
      <c r="L113" s="105"/>
    </row>
    <row r="114" spans="1:12" ht="12.75" customHeight="1">
      <c r="A114" s="101" t="s">
        <v>692</v>
      </c>
      <c r="B114" s="101"/>
      <c r="C114" s="105">
        <f t="shared" si="11"/>
        <v>0</v>
      </c>
      <c r="D114" s="105">
        <v>0</v>
      </c>
      <c r="E114" s="105">
        <v>0</v>
      </c>
      <c r="F114" s="107">
        <v>0</v>
      </c>
      <c r="G114" s="105">
        <v>0</v>
      </c>
      <c r="H114" s="105">
        <v>0</v>
      </c>
      <c r="I114" s="105"/>
      <c r="J114" s="105"/>
      <c r="K114" s="105"/>
      <c r="L114" s="105"/>
    </row>
    <row r="115" spans="1:12" ht="12.75" customHeight="1">
      <c r="A115" s="86" t="s">
        <v>16</v>
      </c>
      <c r="B115" s="101"/>
      <c r="C115" s="104">
        <f t="shared" si="11"/>
        <v>157266682.60000002</v>
      </c>
      <c r="D115" s="104">
        <f>SUM(D108:D114)</f>
        <v>95187894.88000001</v>
      </c>
      <c r="E115" s="104">
        <f>SUM(E110:E114)</f>
        <v>55149538.980000004</v>
      </c>
      <c r="F115" s="104">
        <f>SUM(F110:F113)</f>
        <v>234482.32</v>
      </c>
      <c r="G115" s="104">
        <f>SUM(G110:G114)</f>
        <v>690867.21</v>
      </c>
      <c r="H115" s="104">
        <f>SUM(H110:H114)</f>
        <v>6003899.21</v>
      </c>
      <c r="I115" s="105"/>
      <c r="J115" s="105"/>
      <c r="K115" s="105"/>
      <c r="L115" s="105"/>
    </row>
    <row r="116" spans="1:12" ht="12.75" customHeight="1">
      <c r="A116" s="101"/>
      <c r="B116" s="101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8" spans="1:5" ht="10.5">
      <c r="A118" s="85" t="s">
        <v>571</v>
      </c>
      <c r="C118" s="94">
        <v>388732</v>
      </c>
      <c r="D118" s="96">
        <v>0</v>
      </c>
      <c r="E118" s="85">
        <f>SUM(C118:D118)</f>
        <v>388732</v>
      </c>
    </row>
    <row r="119" spans="1:5" ht="10.5">
      <c r="A119" s="85" t="s">
        <v>572</v>
      </c>
      <c r="C119" s="94">
        <v>118856</v>
      </c>
      <c r="D119" s="96"/>
      <c r="E119" s="85">
        <f>SUM(C119:D119)</f>
        <v>118856</v>
      </c>
    </row>
    <row r="120" spans="1:5" ht="12.75">
      <c r="A120" s="85" t="s">
        <v>573</v>
      </c>
      <c r="C120" s="100">
        <v>474858</v>
      </c>
      <c r="D120" s="99">
        <v>0</v>
      </c>
      <c r="E120" s="111">
        <f>SUM(C120:D120)</f>
        <v>474858</v>
      </c>
    </row>
    <row r="121" spans="1:5" ht="12.75">
      <c r="A121" s="85" t="s">
        <v>574</v>
      </c>
      <c r="C121" s="98">
        <f>SUM(C118:C120)</f>
        <v>982446</v>
      </c>
      <c r="D121" s="98">
        <f>SUM(D118:D120)</f>
        <v>0</v>
      </c>
      <c r="E121" s="111">
        <f>SUM(C121:D121)</f>
        <v>982446</v>
      </c>
    </row>
    <row r="122" spans="3:5" ht="10.5">
      <c r="C122" s="111"/>
      <c r="D122" s="111"/>
      <c r="E122" s="112"/>
    </row>
    <row r="123" spans="1:5" ht="12.75">
      <c r="A123" s="85" t="s">
        <v>575</v>
      </c>
      <c r="E123" s="113">
        <f>C107+E121</f>
        <v>158276795.76999998</v>
      </c>
    </row>
    <row r="125" ht="10.5">
      <c r="E125" s="86" t="str">
        <f>E60</f>
        <v>Columbia Gas of Kentucky, Inc,</v>
      </c>
    </row>
    <row r="126" ht="10.5">
      <c r="E126" s="87" t="s">
        <v>800</v>
      </c>
    </row>
    <row r="128" spans="1:3" ht="10.5">
      <c r="A128" s="87" t="s">
        <v>528</v>
      </c>
      <c r="B128" s="87" t="str">
        <f>B4</f>
        <v>M-2.2 (Page 1 of 42)</v>
      </c>
      <c r="C128" s="110"/>
    </row>
    <row r="130" spans="1:12" ht="10.5">
      <c r="A130" s="89" t="s">
        <v>576</v>
      </c>
      <c r="B130" s="89"/>
      <c r="C130" s="79"/>
      <c r="D130" s="79"/>
      <c r="E130" s="79"/>
      <c r="F130" s="79"/>
      <c r="G130" s="79"/>
      <c r="H130" s="90"/>
      <c r="I130" s="90"/>
      <c r="J130" s="90"/>
      <c r="K130" s="91"/>
      <c r="L130" s="91"/>
    </row>
    <row r="131" spans="1:12" ht="10.5">
      <c r="A131" s="92" t="s">
        <v>529</v>
      </c>
      <c r="B131" s="92"/>
      <c r="C131" s="79" t="s">
        <v>16</v>
      </c>
      <c r="D131" s="79" t="str">
        <f>Customers!D7</f>
        <v>GS-RES.</v>
      </c>
      <c r="E131" s="79" t="str">
        <f>Customers!E7</f>
        <v>GS-OTHER</v>
      </c>
      <c r="F131" s="79" t="str">
        <f>Customers!F7</f>
        <v>IUS</v>
      </c>
      <c r="G131" s="79" t="str">
        <f>Customers!G7</f>
        <v>DS-ML/SC</v>
      </c>
      <c r="H131" s="79" t="str">
        <f>Customers!H7</f>
        <v>DS/IS/SS</v>
      </c>
      <c r="I131" s="79" t="str">
        <f>Customers!I7</f>
        <v>NOT USED</v>
      </c>
      <c r="J131" s="79" t="str">
        <f>Customers!J7</f>
        <v>NOT USED</v>
      </c>
      <c r="K131" s="79" t="str">
        <f>Customers!K7</f>
        <v>NOT USED</v>
      </c>
      <c r="L131" s="79" t="str">
        <f>Customers!L7</f>
        <v>NOT USED</v>
      </c>
    </row>
    <row r="132" spans="3:12" ht="10.5"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1:12" ht="10.5">
      <c r="A133" s="92" t="s">
        <v>530</v>
      </c>
      <c r="B133" s="92"/>
      <c r="C133" s="93">
        <f>SUM(D133:L133)</f>
        <v>69706137.05</v>
      </c>
      <c r="D133" s="94">
        <v>69706137.05</v>
      </c>
      <c r="E133" s="94"/>
      <c r="F133" s="94"/>
      <c r="G133" s="94"/>
      <c r="H133" s="94"/>
      <c r="I133" s="93"/>
      <c r="J133" s="93"/>
      <c r="K133" s="93"/>
      <c r="L133" s="93"/>
    </row>
    <row r="134" spans="1:12" ht="10.5">
      <c r="A134" s="92" t="s">
        <v>540</v>
      </c>
      <c r="B134" s="92"/>
      <c r="C134" s="93">
        <f aca="true" t="shared" si="12" ref="C134:C146">SUM(D134:L134)</f>
        <v>61950.59</v>
      </c>
      <c r="D134" s="94"/>
      <c r="E134" s="94">
        <v>61950.59</v>
      </c>
      <c r="F134" s="94"/>
      <c r="G134" s="94"/>
      <c r="H134" s="94"/>
      <c r="I134" s="93"/>
      <c r="J134" s="93"/>
      <c r="K134" s="93"/>
      <c r="L134" s="93"/>
    </row>
    <row r="135" spans="1:12" ht="10.5">
      <c r="A135" s="92" t="s">
        <v>531</v>
      </c>
      <c r="B135" s="92"/>
      <c r="C135" s="93">
        <f t="shared" si="12"/>
        <v>29874.33</v>
      </c>
      <c r="D135" s="94">
        <v>29874.33</v>
      </c>
      <c r="E135" s="94"/>
      <c r="F135" s="94"/>
      <c r="G135" s="94"/>
      <c r="H135" s="94"/>
      <c r="I135" s="93"/>
      <c r="J135" s="93"/>
      <c r="K135" s="93"/>
      <c r="L135" s="93"/>
    </row>
    <row r="136" spans="1:11" ht="10.5">
      <c r="A136" s="92" t="s">
        <v>526</v>
      </c>
      <c r="B136" s="92"/>
      <c r="C136" s="93">
        <f t="shared" si="12"/>
        <v>0</v>
      </c>
      <c r="D136" s="94">
        <v>0</v>
      </c>
      <c r="E136" s="94"/>
      <c r="F136" s="94"/>
      <c r="G136" s="94"/>
      <c r="H136" s="94"/>
      <c r="I136" s="93"/>
      <c r="J136" s="93"/>
      <c r="K136" s="93"/>
    </row>
    <row r="137" spans="1:11" ht="10.5">
      <c r="A137" s="92" t="s">
        <v>527</v>
      </c>
      <c r="B137" s="92"/>
      <c r="C137" s="93">
        <f t="shared" si="12"/>
        <v>0</v>
      </c>
      <c r="D137" s="94">
        <v>0</v>
      </c>
      <c r="E137" s="94"/>
      <c r="F137" s="94"/>
      <c r="G137" s="94"/>
      <c r="H137" s="94"/>
      <c r="I137" s="93"/>
      <c r="J137" s="93"/>
      <c r="K137" s="93"/>
    </row>
    <row r="138" spans="1:11" ht="10.5">
      <c r="A138" s="92" t="s">
        <v>541</v>
      </c>
      <c r="B138" s="92"/>
      <c r="C138" s="93">
        <f t="shared" si="12"/>
        <v>0</v>
      </c>
      <c r="D138" s="94">
        <v>0</v>
      </c>
      <c r="E138" s="94">
        <v>0</v>
      </c>
      <c r="F138" s="94"/>
      <c r="G138" s="94"/>
      <c r="H138" s="94"/>
      <c r="I138" s="93"/>
      <c r="J138" s="93"/>
      <c r="K138" s="93"/>
    </row>
    <row r="139" spans="1:11" ht="10.5">
      <c r="A139" s="92" t="s">
        <v>533</v>
      </c>
      <c r="B139" s="92"/>
      <c r="C139" s="93">
        <f t="shared" si="12"/>
        <v>0</v>
      </c>
      <c r="D139" s="95">
        <v>0</v>
      </c>
      <c r="E139" s="94"/>
      <c r="F139" s="94"/>
      <c r="G139" s="94"/>
      <c r="H139" s="94"/>
      <c r="I139" s="93"/>
      <c r="J139" s="93"/>
      <c r="K139" s="93"/>
    </row>
    <row r="140" spans="1:12" ht="10.5">
      <c r="A140" s="92" t="s">
        <v>534</v>
      </c>
      <c r="B140" s="92"/>
      <c r="C140" s="93">
        <f t="shared" si="12"/>
        <v>0</v>
      </c>
      <c r="D140" s="94">
        <v>0</v>
      </c>
      <c r="E140" s="94"/>
      <c r="F140" s="94"/>
      <c r="G140" s="94"/>
      <c r="H140" s="94"/>
      <c r="I140" s="93"/>
      <c r="J140" s="93"/>
      <c r="K140" s="93"/>
      <c r="L140" s="93"/>
    </row>
    <row r="141" spans="1:12" ht="10.5">
      <c r="A141" s="92" t="s">
        <v>543</v>
      </c>
      <c r="B141" s="92"/>
      <c r="C141" s="93">
        <f t="shared" si="12"/>
        <v>39595550.28</v>
      </c>
      <c r="D141" s="94"/>
      <c r="E141" s="94">
        <v>39595550.28</v>
      </c>
      <c r="F141" s="94"/>
      <c r="G141" s="94"/>
      <c r="H141" s="94"/>
      <c r="J141" s="93"/>
      <c r="K141" s="93"/>
      <c r="L141" s="93"/>
    </row>
    <row r="142" spans="1:12" ht="10.5">
      <c r="A142" s="92" t="s">
        <v>544</v>
      </c>
      <c r="B142" s="92"/>
      <c r="C142" s="93">
        <f>SUM(D142:L142)</f>
        <v>1604349.72</v>
      </c>
      <c r="D142" s="94"/>
      <c r="E142" s="94">
        <v>1604349.72</v>
      </c>
      <c r="F142" s="94"/>
      <c r="G142" s="94"/>
      <c r="H142" s="94"/>
      <c r="J142" s="93"/>
      <c r="K142" s="93"/>
      <c r="L142" s="93"/>
    </row>
    <row r="143" spans="1:12" ht="10.5">
      <c r="A143" s="92" t="s">
        <v>817</v>
      </c>
      <c r="B143" s="92"/>
      <c r="C143" s="93">
        <f>SUM(D143:L143)</f>
        <v>91225</v>
      </c>
      <c r="D143" s="94"/>
      <c r="E143" s="94">
        <v>91225</v>
      </c>
      <c r="F143" s="94"/>
      <c r="G143" s="94"/>
      <c r="H143" s="94"/>
      <c r="I143" s="93"/>
      <c r="J143" s="93"/>
      <c r="K143" s="93"/>
      <c r="L143" s="93"/>
    </row>
    <row r="144" spans="1:12" ht="10.5">
      <c r="A144" s="92" t="s">
        <v>818</v>
      </c>
      <c r="B144" s="92"/>
      <c r="C144" s="93">
        <f>SUM(D144:L144)</f>
        <v>47932.67</v>
      </c>
      <c r="D144" s="94"/>
      <c r="E144" s="94">
        <v>47932.67</v>
      </c>
      <c r="F144" s="94"/>
      <c r="G144" s="94"/>
      <c r="H144" s="94"/>
      <c r="I144" s="93"/>
      <c r="J144" s="93"/>
      <c r="K144" s="93"/>
      <c r="L144" s="93"/>
    </row>
    <row r="145" spans="1:12" ht="10.5">
      <c r="A145" s="92" t="s">
        <v>590</v>
      </c>
      <c r="B145" s="92"/>
      <c r="C145" s="93">
        <f t="shared" si="12"/>
        <v>29257.54</v>
      </c>
      <c r="D145" s="94"/>
      <c r="E145" s="94"/>
      <c r="F145" s="94"/>
      <c r="G145" s="96"/>
      <c r="H145" s="94">
        <v>29257.54</v>
      </c>
      <c r="I145" s="93"/>
      <c r="J145" s="93"/>
      <c r="K145" s="93"/>
      <c r="L145" s="93"/>
    </row>
    <row r="146" spans="1:12" ht="10.5">
      <c r="A146" s="92" t="s">
        <v>584</v>
      </c>
      <c r="B146" s="92"/>
      <c r="C146" s="93">
        <f t="shared" si="12"/>
        <v>345205.43</v>
      </c>
      <c r="D146" s="94"/>
      <c r="E146" s="94"/>
      <c r="F146" s="94"/>
      <c r="G146" s="96"/>
      <c r="H146" s="94">
        <v>345205.43</v>
      </c>
      <c r="I146" s="93"/>
      <c r="J146" s="93"/>
      <c r="K146" s="93"/>
      <c r="L146" s="93"/>
    </row>
    <row r="147" spans="1:12" ht="10.5">
      <c r="A147" s="92" t="s">
        <v>562</v>
      </c>
      <c r="B147" s="92"/>
      <c r="C147" s="93">
        <f>SUM(D147:L147)</f>
        <v>227827.88</v>
      </c>
      <c r="D147" s="95">
        <v>0</v>
      </c>
      <c r="E147" s="95">
        <v>0</v>
      </c>
      <c r="F147" s="94">
        <v>227827.88</v>
      </c>
      <c r="G147" s="95"/>
      <c r="H147" s="96"/>
      <c r="I147" s="93">
        <v>0</v>
      </c>
      <c r="J147" s="93">
        <v>0</v>
      </c>
      <c r="K147" s="93">
        <v>0</v>
      </c>
      <c r="L147" s="93">
        <v>0</v>
      </c>
    </row>
    <row r="148" spans="1:12" ht="10.5">
      <c r="A148" s="92" t="s">
        <v>589</v>
      </c>
      <c r="B148" s="92"/>
      <c r="C148" s="93">
        <f>SUM(D148:L148)</f>
        <v>205119.08</v>
      </c>
      <c r="D148" s="95"/>
      <c r="E148" s="96"/>
      <c r="F148" s="95"/>
      <c r="G148" s="95"/>
      <c r="H148" s="94">
        <v>205119.08</v>
      </c>
      <c r="J148" s="93"/>
      <c r="K148" s="93"/>
      <c r="L148" s="93"/>
    </row>
    <row r="149" spans="1:12" ht="10.5">
      <c r="A149" s="92" t="s">
        <v>588</v>
      </c>
      <c r="B149" s="92"/>
      <c r="C149" s="93">
        <f>SUM(D149:L149)</f>
        <v>378755.44</v>
      </c>
      <c r="D149" s="95"/>
      <c r="E149" s="96"/>
      <c r="F149" s="95"/>
      <c r="G149" s="95"/>
      <c r="H149" s="94">
        <v>378755.44</v>
      </c>
      <c r="J149" s="93"/>
      <c r="K149" s="93"/>
      <c r="L149" s="93"/>
    </row>
    <row r="150" spans="1:12" ht="10.5">
      <c r="A150" s="92" t="s">
        <v>586</v>
      </c>
      <c r="B150" s="92"/>
      <c r="C150" s="93">
        <f>SUM(D150:L150)</f>
        <v>21410.87</v>
      </c>
      <c r="D150" s="95"/>
      <c r="E150" s="96"/>
      <c r="F150" s="95"/>
      <c r="G150" s="95"/>
      <c r="H150" s="94">
        <v>21410.87</v>
      </c>
      <c r="J150" s="93"/>
      <c r="K150" s="93"/>
      <c r="L150" s="93"/>
    </row>
    <row r="151" spans="1:9" ht="12.75">
      <c r="A151" s="92" t="s">
        <v>586</v>
      </c>
      <c r="B151" s="92"/>
      <c r="C151" s="98">
        <f>SUM(D151:L151)</f>
        <v>72.81</v>
      </c>
      <c r="D151" s="100">
        <v>0</v>
      </c>
      <c r="E151" s="99">
        <v>0</v>
      </c>
      <c r="F151" s="100">
        <v>0</v>
      </c>
      <c r="G151" s="100">
        <v>0</v>
      </c>
      <c r="H151" s="100">
        <v>72.81</v>
      </c>
      <c r="I151" s="85">
        <v>0</v>
      </c>
    </row>
    <row r="152" spans="1:12" ht="12.75">
      <c r="A152" s="101" t="s">
        <v>563</v>
      </c>
      <c r="B152" s="101"/>
      <c r="C152" s="102">
        <f>SUM(C133:C151)</f>
        <v>112344668.69000001</v>
      </c>
      <c r="D152" s="102">
        <f>SUM(D133:D151)</f>
        <v>69736011.38</v>
      </c>
      <c r="E152" s="102">
        <f>SUM(E133:E151)</f>
        <v>41401008.260000005</v>
      </c>
      <c r="F152" s="102">
        <f>SUM(F133:F151)</f>
        <v>227827.88</v>
      </c>
      <c r="G152" s="103">
        <v>0</v>
      </c>
      <c r="H152" s="102">
        <f>SUM(H133:H151)</f>
        <v>979821.17</v>
      </c>
      <c r="I152" s="102">
        <f>SUM(I133:I151)</f>
        <v>0</v>
      </c>
      <c r="J152" s="102">
        <f>SUM(J133:J151)</f>
        <v>0</v>
      </c>
      <c r="K152" s="102">
        <f>SUM(K133:K151)</f>
        <v>0</v>
      </c>
      <c r="L152" s="102">
        <f>SUM(L133:L151)</f>
        <v>0</v>
      </c>
    </row>
    <row r="153" spans="1:12" ht="10.5">
      <c r="A153" s="92" t="s">
        <v>538</v>
      </c>
      <c r="B153" s="92"/>
      <c r="C153" s="93">
        <f aca="true" t="shared" si="13" ref="C153:C170">SUM(D153:L153)</f>
        <v>0</v>
      </c>
      <c r="D153" s="94">
        <v>0</v>
      </c>
      <c r="E153" s="94"/>
      <c r="F153" s="94"/>
      <c r="G153" s="94"/>
      <c r="H153" s="94"/>
      <c r="I153" s="93"/>
      <c r="J153" s="93"/>
      <c r="K153" s="93"/>
      <c r="L153" s="93"/>
    </row>
    <row r="154" spans="1:12" ht="10.5">
      <c r="A154" s="92" t="s">
        <v>546</v>
      </c>
      <c r="B154" s="92"/>
      <c r="C154" s="93">
        <f t="shared" si="13"/>
        <v>0</v>
      </c>
      <c r="D154" s="94"/>
      <c r="E154" s="94">
        <v>0</v>
      </c>
      <c r="F154" s="94"/>
      <c r="G154" s="94"/>
      <c r="H154" s="94"/>
      <c r="I154" s="93"/>
      <c r="J154" s="93"/>
      <c r="K154" s="93"/>
      <c r="L154" s="93"/>
    </row>
    <row r="155" spans="1:12" ht="10.5">
      <c r="A155" s="92" t="s">
        <v>547</v>
      </c>
      <c r="B155" s="92"/>
      <c r="C155" s="93">
        <f t="shared" si="13"/>
        <v>0</v>
      </c>
      <c r="D155" s="94"/>
      <c r="E155" s="94">
        <v>0</v>
      </c>
      <c r="F155" s="94"/>
      <c r="G155" s="94"/>
      <c r="H155" s="94"/>
      <c r="I155" s="93"/>
      <c r="J155" s="93"/>
      <c r="K155" s="93"/>
      <c r="L155" s="93"/>
    </row>
    <row r="156" spans="1:12" ht="10.5">
      <c r="A156" s="92" t="s">
        <v>560</v>
      </c>
      <c r="B156" s="92"/>
      <c r="C156" s="93">
        <f t="shared" si="13"/>
        <v>0</v>
      </c>
      <c r="D156" s="94"/>
      <c r="E156" s="94"/>
      <c r="F156" s="94"/>
      <c r="G156" s="94"/>
      <c r="H156" s="94">
        <v>0</v>
      </c>
      <c r="J156" s="93"/>
      <c r="K156" s="93"/>
      <c r="L156" s="93"/>
    </row>
    <row r="157" spans="1:12" ht="10.5">
      <c r="A157" s="92" t="s">
        <v>561</v>
      </c>
      <c r="B157" s="92"/>
      <c r="C157" s="93">
        <f t="shared" si="13"/>
        <v>0</v>
      </c>
      <c r="D157" s="95"/>
      <c r="E157" s="95"/>
      <c r="F157" s="95"/>
      <c r="G157" s="95"/>
      <c r="H157" s="94">
        <v>0</v>
      </c>
      <c r="J157" s="93"/>
      <c r="K157" s="93"/>
      <c r="L157" s="93"/>
    </row>
    <row r="158" spans="1:12" ht="10.5">
      <c r="A158" s="92" t="s">
        <v>539</v>
      </c>
      <c r="B158" s="92"/>
      <c r="C158" s="93">
        <f t="shared" si="13"/>
        <v>0</v>
      </c>
      <c r="D158" s="95"/>
      <c r="E158" s="95"/>
      <c r="F158" s="95"/>
      <c r="G158" s="95"/>
      <c r="H158" s="94"/>
      <c r="I158" s="93"/>
      <c r="J158" s="93"/>
      <c r="K158" s="93"/>
      <c r="L158" s="93">
        <v>0</v>
      </c>
    </row>
    <row r="159" spans="1:12" ht="10.5">
      <c r="A159" s="92" t="s">
        <v>549</v>
      </c>
      <c r="B159" s="92"/>
      <c r="C159" s="93">
        <f t="shared" si="13"/>
        <v>0</v>
      </c>
      <c r="D159" s="95"/>
      <c r="E159" s="94">
        <v>0</v>
      </c>
      <c r="F159" s="95"/>
      <c r="G159" s="95"/>
      <c r="H159" s="94"/>
      <c r="J159" s="93"/>
      <c r="K159" s="93"/>
      <c r="L159" s="93"/>
    </row>
    <row r="160" spans="1:12" ht="10.5">
      <c r="A160" s="92" t="s">
        <v>550</v>
      </c>
      <c r="B160" s="92"/>
      <c r="C160" s="93">
        <f t="shared" si="13"/>
        <v>0</v>
      </c>
      <c r="D160" s="95"/>
      <c r="E160" s="94">
        <v>0</v>
      </c>
      <c r="F160" s="96"/>
      <c r="G160" s="95"/>
      <c r="H160" s="94"/>
      <c r="J160" s="93"/>
      <c r="K160" s="93"/>
      <c r="L160" s="93"/>
    </row>
    <row r="161" spans="1:12" ht="10.5">
      <c r="A161" s="92" t="s">
        <v>551</v>
      </c>
      <c r="B161" s="92"/>
      <c r="C161" s="93">
        <f t="shared" si="13"/>
        <v>0</v>
      </c>
      <c r="D161" s="95"/>
      <c r="E161" s="95"/>
      <c r="F161" s="95"/>
      <c r="G161" s="94">
        <v>0</v>
      </c>
      <c r="H161" s="94"/>
      <c r="I161" s="93"/>
      <c r="K161" s="93"/>
      <c r="L161" s="93"/>
    </row>
    <row r="162" spans="1:11" ht="10.5">
      <c r="A162" s="92" t="s">
        <v>554</v>
      </c>
      <c r="B162" s="92"/>
      <c r="C162" s="93">
        <f t="shared" si="13"/>
        <v>0</v>
      </c>
      <c r="D162" s="95"/>
      <c r="E162" s="94">
        <v>0</v>
      </c>
      <c r="F162" s="94"/>
      <c r="G162" s="95"/>
      <c r="H162" s="94">
        <v>0</v>
      </c>
      <c r="I162" s="93"/>
      <c r="J162" s="93"/>
      <c r="K162" s="93"/>
    </row>
    <row r="163" spans="1:11" ht="10.5">
      <c r="A163" s="92" t="s">
        <v>552</v>
      </c>
      <c r="B163" s="92"/>
      <c r="C163" s="93">
        <f t="shared" si="13"/>
        <v>0</v>
      </c>
      <c r="D163" s="95"/>
      <c r="E163" s="95"/>
      <c r="F163" s="94"/>
      <c r="G163" s="95"/>
      <c r="H163" s="94"/>
      <c r="I163" s="93"/>
      <c r="J163" s="93"/>
      <c r="K163" s="93"/>
    </row>
    <row r="164" spans="1:11" ht="10.5">
      <c r="A164" s="92" t="s">
        <v>553</v>
      </c>
      <c r="B164" s="92"/>
      <c r="C164" s="93">
        <f>SUM(D164:K164)</f>
        <v>0</v>
      </c>
      <c r="D164" s="95"/>
      <c r="E164" s="95"/>
      <c r="F164" s="94"/>
      <c r="G164" s="95"/>
      <c r="H164" s="96"/>
      <c r="I164" s="93"/>
      <c r="J164" s="93"/>
      <c r="K164" s="93"/>
    </row>
    <row r="165" spans="1:11" ht="10.5">
      <c r="A165" s="92" t="s">
        <v>555</v>
      </c>
      <c r="B165" s="92"/>
      <c r="C165" s="93">
        <f>SUM(D165:K165)</f>
        <v>0</v>
      </c>
      <c r="D165" s="95"/>
      <c r="E165" s="95"/>
      <c r="F165" s="94"/>
      <c r="G165" s="95"/>
      <c r="H165" s="96"/>
      <c r="I165" s="93"/>
      <c r="J165" s="93"/>
      <c r="K165" s="93"/>
    </row>
    <row r="166" spans="1:11" ht="10.5">
      <c r="A166" s="92" t="s">
        <v>556</v>
      </c>
      <c r="B166" s="92"/>
      <c r="C166" s="93">
        <f t="shared" si="13"/>
        <v>0</v>
      </c>
      <c r="D166" s="95"/>
      <c r="E166" s="95"/>
      <c r="F166" s="94"/>
      <c r="G166" s="95"/>
      <c r="H166" s="94"/>
      <c r="I166" s="93"/>
      <c r="J166" s="93"/>
      <c r="K166" s="93"/>
    </row>
    <row r="167" spans="1:11" ht="10.5">
      <c r="A167" s="92" t="s">
        <v>557</v>
      </c>
      <c r="B167" s="92"/>
      <c r="C167" s="93">
        <f t="shared" si="13"/>
        <v>0</v>
      </c>
      <c r="D167" s="95"/>
      <c r="E167" s="95"/>
      <c r="F167" s="94"/>
      <c r="G167" s="95"/>
      <c r="H167" s="94"/>
      <c r="I167" s="93"/>
      <c r="J167" s="93"/>
      <c r="K167" s="93"/>
    </row>
    <row r="168" spans="1:11" ht="10.5">
      <c r="A168" s="92" t="s">
        <v>813</v>
      </c>
      <c r="B168" s="92"/>
      <c r="C168" s="93">
        <f>SUM(D168:L168)</f>
        <v>0</v>
      </c>
      <c r="D168" s="95"/>
      <c r="E168" s="95"/>
      <c r="F168" s="94"/>
      <c r="G168" s="95"/>
      <c r="H168" s="94"/>
      <c r="I168" s="93"/>
      <c r="J168" s="93"/>
      <c r="K168" s="93"/>
    </row>
    <row r="169" spans="1:11" ht="10.5">
      <c r="A169" s="92" t="s">
        <v>814</v>
      </c>
      <c r="B169" s="92"/>
      <c r="C169" s="93">
        <f>SUM(D169:L169)</f>
        <v>0</v>
      </c>
      <c r="D169" s="95"/>
      <c r="E169" s="95"/>
      <c r="F169" s="94"/>
      <c r="G169" s="95"/>
      <c r="H169" s="94"/>
      <c r="I169" s="93"/>
      <c r="J169" s="93"/>
      <c r="K169" s="93"/>
    </row>
    <row r="170" spans="1:12" ht="10.5">
      <c r="A170" s="92" t="s">
        <v>558</v>
      </c>
      <c r="B170" s="92"/>
      <c r="C170" s="93">
        <f t="shared" si="13"/>
        <v>0</v>
      </c>
      <c r="D170" s="95"/>
      <c r="E170" s="95"/>
      <c r="F170" s="95"/>
      <c r="G170" s="95"/>
      <c r="H170" s="94"/>
      <c r="I170" s="93"/>
      <c r="J170" s="93"/>
      <c r="K170" s="93"/>
      <c r="L170" s="93">
        <v>0</v>
      </c>
    </row>
    <row r="171" spans="1:12" ht="12.75">
      <c r="A171" s="92" t="s">
        <v>559</v>
      </c>
      <c r="B171" s="92"/>
      <c r="C171" s="98">
        <v>0</v>
      </c>
      <c r="D171" s="97">
        <v>0</v>
      </c>
      <c r="E171" s="97">
        <v>0</v>
      </c>
      <c r="F171" s="97">
        <v>0</v>
      </c>
      <c r="G171" s="97">
        <v>0</v>
      </c>
      <c r="H171" s="100">
        <v>0</v>
      </c>
      <c r="I171" s="98">
        <v>0</v>
      </c>
      <c r="J171" s="98">
        <v>0</v>
      </c>
      <c r="K171" s="98">
        <v>0</v>
      </c>
      <c r="L171" s="98">
        <v>0</v>
      </c>
    </row>
    <row r="172" spans="1:12" ht="12.75">
      <c r="A172" s="101" t="s">
        <v>564</v>
      </c>
      <c r="B172" s="101"/>
      <c r="C172" s="98">
        <f aca="true" t="shared" si="14" ref="C172:L172">SUM(C153:C171)</f>
        <v>0</v>
      </c>
      <c r="D172" s="98">
        <f t="shared" si="14"/>
        <v>0</v>
      </c>
      <c r="E172" s="98">
        <f t="shared" si="14"/>
        <v>0</v>
      </c>
      <c r="F172" s="98">
        <f t="shared" si="14"/>
        <v>0</v>
      </c>
      <c r="G172" s="98">
        <f t="shared" si="14"/>
        <v>0</v>
      </c>
      <c r="H172" s="98">
        <f t="shared" si="14"/>
        <v>0</v>
      </c>
      <c r="I172" s="98">
        <f t="shared" si="14"/>
        <v>0</v>
      </c>
      <c r="J172" s="98">
        <f t="shared" si="14"/>
        <v>0</v>
      </c>
      <c r="K172" s="98">
        <f t="shared" si="14"/>
        <v>0</v>
      </c>
      <c r="L172" s="98">
        <f t="shared" si="14"/>
        <v>0</v>
      </c>
    </row>
    <row r="173" spans="1:12" ht="12.75">
      <c r="A173" s="101" t="s">
        <v>591</v>
      </c>
      <c r="B173" s="101"/>
      <c r="C173" s="104">
        <f aca="true" t="shared" si="15" ref="C173:I173">C152+C172</f>
        <v>112344668.69000001</v>
      </c>
      <c r="D173" s="104">
        <f t="shared" si="15"/>
        <v>69736011.38</v>
      </c>
      <c r="E173" s="104">
        <f t="shared" si="15"/>
        <v>41401008.260000005</v>
      </c>
      <c r="F173" s="104">
        <f t="shared" si="15"/>
        <v>227827.88</v>
      </c>
      <c r="G173" s="104">
        <f t="shared" si="15"/>
        <v>0</v>
      </c>
      <c r="H173" s="104">
        <f t="shared" si="15"/>
        <v>979821.17</v>
      </c>
      <c r="I173" s="105">
        <f t="shared" si="15"/>
        <v>0</v>
      </c>
      <c r="J173" s="105">
        <v>0</v>
      </c>
      <c r="K173" s="105">
        <f>K152+K172</f>
        <v>0</v>
      </c>
      <c r="L173" s="105">
        <f>L152+L172</f>
        <v>0</v>
      </c>
    </row>
    <row r="174" spans="1:12" ht="12.75" customHeight="1">
      <c r="A174" s="101" t="s">
        <v>693</v>
      </c>
      <c r="B174" s="101"/>
      <c r="C174" s="106">
        <f aca="true" t="shared" si="16" ref="C174:C181">SUM(D174:H174)</f>
        <v>69736011.38</v>
      </c>
      <c r="D174" s="106">
        <f>D152</f>
        <v>69736011.38</v>
      </c>
      <c r="E174" s="105"/>
      <c r="F174" s="105"/>
      <c r="G174" s="105"/>
      <c r="H174" s="105"/>
      <c r="I174" s="105"/>
      <c r="J174" s="105"/>
      <c r="K174" s="105"/>
      <c r="L174" s="105"/>
    </row>
    <row r="175" spans="1:12" ht="12.75" customHeight="1">
      <c r="A175" s="101" t="s">
        <v>694</v>
      </c>
      <c r="B175" s="101"/>
      <c r="C175" s="106">
        <f t="shared" si="16"/>
        <v>0</v>
      </c>
      <c r="D175" s="106">
        <f>D172</f>
        <v>0</v>
      </c>
      <c r="E175" s="105"/>
      <c r="F175" s="105"/>
      <c r="G175" s="105"/>
      <c r="H175" s="105"/>
      <c r="I175" s="105"/>
      <c r="J175" s="105"/>
      <c r="K175" s="105"/>
      <c r="L175" s="105"/>
    </row>
    <row r="176" spans="1:12" ht="12.75" customHeight="1">
      <c r="A176" s="101" t="s">
        <v>695</v>
      </c>
      <c r="B176" s="101"/>
      <c r="C176" s="106">
        <f t="shared" si="16"/>
        <v>40004513.36000001</v>
      </c>
      <c r="D176" s="105"/>
      <c r="E176" s="106">
        <f>E134+E138+E141+E143</f>
        <v>39748725.870000005</v>
      </c>
      <c r="F176" s="105"/>
      <c r="H176" s="106">
        <f>H145+H148+H150</f>
        <v>255787.49</v>
      </c>
      <c r="I176" s="105"/>
      <c r="J176" s="105"/>
      <c r="K176" s="105"/>
      <c r="L176" s="105"/>
    </row>
    <row r="177" spans="1:12" ht="12.75" customHeight="1">
      <c r="A177" s="101" t="s">
        <v>696</v>
      </c>
      <c r="B177" s="101"/>
      <c r="C177" s="106">
        <f t="shared" si="16"/>
        <v>0</v>
      </c>
      <c r="D177" s="105"/>
      <c r="E177" s="106">
        <f>E154+E159</f>
        <v>0</v>
      </c>
      <c r="F177" s="105"/>
      <c r="H177" s="106">
        <f>H156+H162+H164</f>
        <v>0</v>
      </c>
      <c r="I177" s="105"/>
      <c r="J177" s="105"/>
      <c r="K177" s="105"/>
      <c r="L177" s="105"/>
    </row>
    <row r="178" spans="1:12" ht="12.75" customHeight="1">
      <c r="A178" s="101" t="s">
        <v>697</v>
      </c>
      <c r="B178" s="101"/>
      <c r="C178" s="106">
        <f t="shared" si="16"/>
        <v>2604143.95</v>
      </c>
      <c r="D178" s="105"/>
      <c r="E178" s="106">
        <f>E142+E144</f>
        <v>1652282.39</v>
      </c>
      <c r="F178" s="106">
        <f>F173</f>
        <v>227827.88</v>
      </c>
      <c r="H178" s="106">
        <f>H146+H149+H151</f>
        <v>724033.68</v>
      </c>
      <c r="I178" s="105"/>
      <c r="J178" s="105"/>
      <c r="K178" s="105"/>
      <c r="L178" s="105"/>
    </row>
    <row r="179" spans="1:12" ht="12.75" customHeight="1">
      <c r="A179" s="101" t="s">
        <v>698</v>
      </c>
      <c r="B179" s="101"/>
      <c r="C179" s="106">
        <f t="shared" si="16"/>
        <v>0</v>
      </c>
      <c r="D179" s="105"/>
      <c r="E179" s="106">
        <f>E155+E160</f>
        <v>0</v>
      </c>
      <c r="F179" s="105"/>
      <c r="G179" s="106">
        <f>G161+G166+G167+G168+G169</f>
        <v>0</v>
      </c>
      <c r="H179" s="106">
        <f>H157+H158+H163+H165+H170+H171</f>
        <v>0</v>
      </c>
      <c r="I179" s="105"/>
      <c r="J179" s="105"/>
      <c r="K179" s="105"/>
      <c r="L179" s="105"/>
    </row>
    <row r="180" spans="1:12" ht="12.75" customHeight="1">
      <c r="A180" s="101" t="s">
        <v>692</v>
      </c>
      <c r="B180" s="101"/>
      <c r="C180" s="105">
        <f t="shared" si="16"/>
        <v>0</v>
      </c>
      <c r="D180" s="105">
        <v>0</v>
      </c>
      <c r="E180" s="105">
        <v>0</v>
      </c>
      <c r="F180" s="107">
        <v>0</v>
      </c>
      <c r="G180" s="105">
        <v>0</v>
      </c>
      <c r="H180" s="105">
        <v>0</v>
      </c>
      <c r="I180" s="105"/>
      <c r="J180" s="105"/>
      <c r="K180" s="105"/>
      <c r="L180" s="105"/>
    </row>
    <row r="181" spans="1:12" ht="12.75" customHeight="1">
      <c r="A181" s="86" t="s">
        <v>16</v>
      </c>
      <c r="B181" s="101"/>
      <c r="C181" s="104">
        <f t="shared" si="16"/>
        <v>112344668.69</v>
      </c>
      <c r="D181" s="104">
        <f>SUM(D174:D180)</f>
        <v>69736011.38</v>
      </c>
      <c r="E181" s="104">
        <f>SUM(E176:E180)</f>
        <v>41401008.260000005</v>
      </c>
      <c r="F181" s="104">
        <f>SUM(F176:F179)</f>
        <v>227827.88</v>
      </c>
      <c r="G181" s="104">
        <f>SUM(G176:G180)</f>
        <v>0</v>
      </c>
      <c r="H181" s="104">
        <f>SUM(H176:H180)</f>
        <v>979821.17</v>
      </c>
      <c r="I181" s="105"/>
      <c r="J181" s="105"/>
      <c r="K181" s="105"/>
      <c r="L181" s="105"/>
    </row>
  </sheetData>
  <printOptions/>
  <pageMargins left="0" right="0" top="1" bottom="1" header="0.5" footer="0.5"/>
  <pageSetup horizontalDpi="600" verticalDpi="600" orientation="landscape" r:id="rId1"/>
  <rowBreaks count="2" manualBreakCount="2">
    <brk id="59" max="11" man="1"/>
    <brk id="1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5">
      <selection activeCell="E23" sqref="E23"/>
    </sheetView>
  </sheetViews>
  <sheetFormatPr defaultColWidth="9.140625" defaultRowHeight="12"/>
  <cols>
    <col min="1" max="1" width="15.8515625" style="0" customWidth="1"/>
    <col min="3" max="3" width="16.28125" style="0" customWidth="1"/>
    <col min="4" max="5" width="14.00390625" style="0" customWidth="1"/>
    <col min="6" max="6" width="11.421875" style="0" customWidth="1"/>
    <col min="7" max="7" width="13.421875" style="0" customWidth="1"/>
    <col min="8" max="8" width="11.28125" style="0" customWidth="1"/>
    <col min="9" max="9" width="12.421875" style="0" customWidth="1"/>
  </cols>
  <sheetData>
    <row r="1" ht="10.5">
      <c r="E1" s="23" t="s">
        <v>795</v>
      </c>
    </row>
    <row r="2" ht="10.5">
      <c r="E2" s="23" t="s">
        <v>801</v>
      </c>
    </row>
    <row r="3" ht="10.5">
      <c r="E3" s="23"/>
    </row>
    <row r="4" spans="1:5" ht="10.5">
      <c r="A4" s="10" t="s">
        <v>528</v>
      </c>
      <c r="B4" t="s">
        <v>802</v>
      </c>
      <c r="E4" s="23"/>
    </row>
    <row r="6" spans="1:8" ht="12.75">
      <c r="A6" s="9" t="s">
        <v>570</v>
      </c>
      <c r="B6" s="9"/>
      <c r="C6" s="7"/>
      <c r="D6" s="7"/>
      <c r="E6" s="7"/>
      <c r="F6" s="7"/>
      <c r="G6" s="7"/>
      <c r="H6" s="2"/>
    </row>
    <row r="7" spans="1:9" ht="12.75">
      <c r="A7" s="1" t="s">
        <v>529</v>
      </c>
      <c r="B7" s="1"/>
      <c r="C7" s="7" t="s">
        <v>16</v>
      </c>
      <c r="D7" s="7" t="str">
        <f>A!C35</f>
        <v>GS-RES.</v>
      </c>
      <c r="E7" s="7" t="str">
        <f>A!C36</f>
        <v>GS-OTHER</v>
      </c>
      <c r="F7" s="7" t="str">
        <f>A!C37</f>
        <v>IUS</v>
      </c>
      <c r="G7" s="7" t="str">
        <f>A!C38</f>
        <v>DS-ML/SC</v>
      </c>
      <c r="H7" s="7" t="str">
        <f>A!C39</f>
        <v>DS/IS/SS</v>
      </c>
      <c r="I7" s="10" t="str">
        <f>A!C40</f>
        <v>NOT USED</v>
      </c>
    </row>
    <row r="8" spans="1:8" ht="10.5">
      <c r="A8" s="1" t="s">
        <v>530</v>
      </c>
      <c r="B8" s="1"/>
      <c r="C8" s="12">
        <f>SUM(D8:L8)</f>
        <v>27891713.49</v>
      </c>
      <c r="D8" s="59">
        <v>27891713.49</v>
      </c>
      <c r="E8" s="59"/>
      <c r="F8" s="59"/>
      <c r="G8" s="59"/>
      <c r="H8" s="59"/>
    </row>
    <row r="9" spans="1:8" ht="10.5">
      <c r="A9" s="1" t="s">
        <v>540</v>
      </c>
      <c r="B9" s="1"/>
      <c r="C9" s="12">
        <f aca="true" t="shared" si="0" ref="C9:C22">SUM(D9:L9)</f>
        <v>9806.09</v>
      </c>
      <c r="D9" s="59"/>
      <c r="E9" s="59">
        <v>9806.09</v>
      </c>
      <c r="F9" s="59"/>
      <c r="G9" s="59"/>
      <c r="H9" s="59"/>
    </row>
    <row r="10" spans="1:8" ht="10.5">
      <c r="A10" s="1" t="s">
        <v>531</v>
      </c>
      <c r="B10" s="1"/>
      <c r="C10" s="12">
        <f t="shared" si="0"/>
        <v>7851.79</v>
      </c>
      <c r="D10" s="59">
        <v>7851.79</v>
      </c>
      <c r="E10" s="59"/>
      <c r="F10" s="59"/>
      <c r="G10" s="59"/>
      <c r="H10" s="59"/>
    </row>
    <row r="11" spans="1:8" ht="10.5">
      <c r="A11" s="1" t="s">
        <v>542</v>
      </c>
      <c r="B11" s="1"/>
      <c r="C11" s="12">
        <f t="shared" si="0"/>
        <v>605.4399999999999</v>
      </c>
      <c r="D11" s="59">
        <v>574.68</v>
      </c>
      <c r="E11" s="59">
        <v>30.76</v>
      </c>
      <c r="F11" s="59"/>
      <c r="G11" s="59"/>
      <c r="H11" s="59"/>
    </row>
    <row r="12" spans="1:8" ht="10.5">
      <c r="A12" s="1" t="s">
        <v>526</v>
      </c>
      <c r="B12" s="1"/>
      <c r="C12" s="12">
        <f t="shared" si="0"/>
        <v>55.61</v>
      </c>
      <c r="D12" s="59">
        <v>55.61</v>
      </c>
      <c r="E12" s="59"/>
      <c r="F12" s="59"/>
      <c r="G12" s="59"/>
      <c r="H12" s="59"/>
    </row>
    <row r="13" spans="1:8" ht="10.5">
      <c r="A13" s="1" t="s">
        <v>527</v>
      </c>
      <c r="B13" s="1"/>
      <c r="C13" s="12">
        <f t="shared" si="0"/>
        <v>405.24</v>
      </c>
      <c r="D13" s="59">
        <v>405.24</v>
      </c>
      <c r="E13" s="59"/>
      <c r="F13" s="59"/>
      <c r="G13" s="59"/>
      <c r="H13" s="59"/>
    </row>
    <row r="14" spans="1:8" ht="10.5">
      <c r="A14" s="1" t="s">
        <v>541</v>
      </c>
      <c r="B14" s="1"/>
      <c r="C14" s="12">
        <f t="shared" si="0"/>
        <v>530.11</v>
      </c>
      <c r="D14" s="59">
        <v>200.06</v>
      </c>
      <c r="E14" s="59">
        <v>330.05</v>
      </c>
      <c r="F14" s="59"/>
      <c r="G14" s="59"/>
      <c r="H14" s="59"/>
    </row>
    <row r="15" spans="1:8" ht="12.75">
      <c r="A15" s="1" t="s">
        <v>533</v>
      </c>
      <c r="B15" s="1"/>
      <c r="C15" s="12">
        <f t="shared" si="0"/>
        <v>178.06</v>
      </c>
      <c r="D15" s="60">
        <v>178.06</v>
      </c>
      <c r="E15" s="59"/>
      <c r="F15" s="59"/>
      <c r="G15" s="59"/>
      <c r="H15" s="59"/>
    </row>
    <row r="16" spans="1:8" ht="10.5">
      <c r="A16" s="1" t="s">
        <v>534</v>
      </c>
      <c r="B16" s="1"/>
      <c r="C16" s="12">
        <f t="shared" si="0"/>
        <v>110.04</v>
      </c>
      <c r="D16" s="59">
        <v>110.04</v>
      </c>
      <c r="E16" s="59"/>
      <c r="F16" s="59"/>
      <c r="G16" s="59"/>
      <c r="H16" s="59"/>
    </row>
    <row r="17" spans="1:8" ht="10.5">
      <c r="A17" s="1" t="s">
        <v>543</v>
      </c>
      <c r="B17" s="1"/>
      <c r="C17" s="12">
        <f t="shared" si="0"/>
        <v>10262909.52</v>
      </c>
      <c r="D17" s="59"/>
      <c r="E17" s="59">
        <v>10262909.52</v>
      </c>
      <c r="F17" s="59"/>
      <c r="G17" s="59"/>
      <c r="H17" s="59"/>
    </row>
    <row r="18" spans="1:8" ht="10.5">
      <c r="A18" s="1" t="s">
        <v>544</v>
      </c>
      <c r="B18" s="1"/>
      <c r="C18" s="12">
        <f t="shared" si="0"/>
        <v>269002.81</v>
      </c>
      <c r="D18" s="59"/>
      <c r="E18" s="59">
        <v>269002.81</v>
      </c>
      <c r="F18" s="59"/>
      <c r="G18" s="59"/>
      <c r="H18" s="59"/>
    </row>
    <row r="19" spans="1:8" ht="10.5">
      <c r="A19" s="45" t="s">
        <v>817</v>
      </c>
      <c r="B19" s="1"/>
      <c r="C19" s="12">
        <f t="shared" si="0"/>
        <v>0</v>
      </c>
      <c r="D19" s="59"/>
      <c r="E19" s="59">
        <v>0</v>
      </c>
      <c r="F19" s="59"/>
      <c r="G19" s="58"/>
      <c r="H19" s="59"/>
    </row>
    <row r="20" spans="1:8" ht="10.5">
      <c r="A20" s="45" t="s">
        <v>818</v>
      </c>
      <c r="B20" s="1"/>
      <c r="C20" s="12">
        <f t="shared" si="0"/>
        <v>0</v>
      </c>
      <c r="D20" s="59"/>
      <c r="E20" s="59">
        <v>0</v>
      </c>
      <c r="F20" s="59"/>
      <c r="G20" s="58"/>
      <c r="H20" s="59"/>
    </row>
    <row r="21" spans="1:8" ht="10.5">
      <c r="A21" s="1" t="s">
        <v>815</v>
      </c>
      <c r="B21" s="1"/>
      <c r="C21" s="12">
        <f t="shared" si="0"/>
        <v>0</v>
      </c>
      <c r="D21" s="59"/>
      <c r="E21" s="59">
        <v>0</v>
      </c>
      <c r="F21" s="59"/>
      <c r="G21" s="59"/>
      <c r="H21" s="59">
        <v>0</v>
      </c>
    </row>
    <row r="22" spans="1:8" ht="10.5">
      <c r="A22" s="1" t="s">
        <v>819</v>
      </c>
      <c r="B22" s="1"/>
      <c r="C22" s="12">
        <f t="shared" si="0"/>
        <v>0</v>
      </c>
      <c r="D22" s="59"/>
      <c r="E22" s="59">
        <v>0</v>
      </c>
      <c r="F22" s="59"/>
      <c r="G22" s="59">
        <v>0</v>
      </c>
      <c r="H22" s="59">
        <v>0</v>
      </c>
    </row>
    <row r="23" spans="1:8" ht="12.75">
      <c r="A23" s="1" t="s">
        <v>545</v>
      </c>
      <c r="B23" s="1"/>
      <c r="C23" s="12">
        <f>SUM(D23:K23)</f>
        <v>0</v>
      </c>
      <c r="D23" s="60"/>
      <c r="E23" s="60"/>
      <c r="F23" s="60"/>
      <c r="G23" s="58"/>
      <c r="H23" s="59"/>
    </row>
    <row r="24" spans="1:8" ht="12.75">
      <c r="A24" s="1" t="s">
        <v>562</v>
      </c>
      <c r="B24" s="1"/>
      <c r="C24" s="12">
        <f>SUM(D24:L24)</f>
        <v>19054.31</v>
      </c>
      <c r="D24" s="60">
        <v>0</v>
      </c>
      <c r="E24" s="60">
        <v>0</v>
      </c>
      <c r="F24" s="59">
        <v>19054.31</v>
      </c>
      <c r="G24" s="60"/>
      <c r="H24" s="58"/>
    </row>
    <row r="25" spans="1:8" ht="12.75">
      <c r="A25" s="1" t="s">
        <v>589</v>
      </c>
      <c r="B25" s="1"/>
      <c r="C25" s="12">
        <f>SUM(D25:L25)</f>
        <v>0</v>
      </c>
      <c r="D25" s="60"/>
      <c r="E25" s="58"/>
      <c r="F25" s="60"/>
      <c r="G25" s="60"/>
      <c r="H25" s="59">
        <v>0</v>
      </c>
    </row>
    <row r="26" spans="1:8" ht="12.75">
      <c r="A26" s="1" t="s">
        <v>588</v>
      </c>
      <c r="B26" s="1"/>
      <c r="C26" s="12">
        <f>SUM(D26:L26)</f>
        <v>0</v>
      </c>
      <c r="D26" s="60"/>
      <c r="E26" s="58"/>
      <c r="F26" s="60"/>
      <c r="G26" s="60"/>
      <c r="H26" s="59">
        <v>0</v>
      </c>
    </row>
    <row r="27" spans="1:8" ht="12.75">
      <c r="A27" s="1" t="s">
        <v>586</v>
      </c>
      <c r="B27" s="1"/>
      <c r="C27" s="12">
        <f>SUM(D27:L27)</f>
        <v>0</v>
      </c>
      <c r="D27" s="60"/>
      <c r="E27" s="58"/>
      <c r="F27" s="60"/>
      <c r="G27" s="60"/>
      <c r="H27" s="59">
        <v>0</v>
      </c>
    </row>
    <row r="28" spans="1:8" ht="12.75">
      <c r="A28" s="1" t="s">
        <v>587</v>
      </c>
      <c r="B28" s="1"/>
      <c r="C28" s="14">
        <f>SUM(D28:L28)</f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</row>
    <row r="29" spans="1:8" ht="12.75">
      <c r="A29" s="16" t="s">
        <v>563</v>
      </c>
      <c r="B29" s="16"/>
      <c r="C29" s="17">
        <f aca="true" t="shared" si="1" ref="C29:H29">SUM(C8:C28)</f>
        <v>38462222.51</v>
      </c>
      <c r="D29" s="17">
        <f t="shared" si="1"/>
        <v>27901088.96999999</v>
      </c>
      <c r="E29" s="17">
        <f t="shared" si="1"/>
        <v>10542079.23</v>
      </c>
      <c r="F29" s="17">
        <f t="shared" si="1"/>
        <v>19054.31</v>
      </c>
      <c r="G29" s="18">
        <f t="shared" si="1"/>
        <v>0</v>
      </c>
      <c r="H29" s="17">
        <f t="shared" si="1"/>
        <v>0</v>
      </c>
    </row>
    <row r="30" spans="1:8" ht="10.5">
      <c r="A30" s="1" t="s">
        <v>538</v>
      </c>
      <c r="B30" s="1"/>
      <c r="C30" s="12">
        <f>SUM(D30:L30)</f>
        <v>8090615.17</v>
      </c>
      <c r="D30" s="59">
        <v>8090615.17</v>
      </c>
      <c r="E30" s="59"/>
      <c r="F30" s="59"/>
      <c r="G30" s="59"/>
      <c r="H30" s="59"/>
    </row>
    <row r="31" spans="1:8" ht="10.5">
      <c r="A31" s="1" t="s">
        <v>546</v>
      </c>
      <c r="B31" s="1"/>
      <c r="C31" s="12">
        <f>SUM(D31:L31)</f>
        <v>3850198.65</v>
      </c>
      <c r="D31" s="59"/>
      <c r="E31" s="59">
        <v>3850198.65</v>
      </c>
      <c r="F31" s="59"/>
      <c r="G31" s="59"/>
      <c r="H31" s="59"/>
    </row>
    <row r="32" spans="1:8" ht="10.5">
      <c r="A32" s="1" t="s">
        <v>547</v>
      </c>
      <c r="B32" s="1"/>
      <c r="C32" s="12">
        <f>SUM(D32:L32)</f>
        <v>89357.06</v>
      </c>
      <c r="D32" s="59"/>
      <c r="E32" s="59">
        <v>89357.06</v>
      </c>
      <c r="F32" s="59"/>
      <c r="G32" s="59"/>
      <c r="H32" s="59"/>
    </row>
    <row r="33" spans="1:8" ht="10.5">
      <c r="A33" s="1" t="s">
        <v>809</v>
      </c>
      <c r="B33" s="1"/>
      <c r="C33" s="12">
        <f>SUM(D33:L33)</f>
        <v>963536.31</v>
      </c>
      <c r="D33" s="59"/>
      <c r="E33" s="59"/>
      <c r="F33" s="59"/>
      <c r="G33" s="59"/>
      <c r="H33" s="59">
        <v>963536.31</v>
      </c>
    </row>
    <row r="34" spans="1:8" ht="12.75">
      <c r="A34" s="1" t="s">
        <v>810</v>
      </c>
      <c r="B34" s="1"/>
      <c r="C34" s="12">
        <f>SUM(D34:L34)</f>
        <v>3941171.73</v>
      </c>
      <c r="D34" s="60"/>
      <c r="E34" s="60"/>
      <c r="F34" s="60"/>
      <c r="G34" s="60"/>
      <c r="H34" s="59">
        <v>3941171.73</v>
      </c>
    </row>
    <row r="35" spans="1:8" ht="12.75">
      <c r="A35" s="1" t="s">
        <v>539</v>
      </c>
      <c r="B35" s="1"/>
      <c r="C35" s="12">
        <f>SUM(D35:K35)</f>
        <v>77708.85</v>
      </c>
      <c r="D35" s="60"/>
      <c r="E35" s="60"/>
      <c r="F35" s="60"/>
      <c r="G35" s="60"/>
      <c r="H35" s="59">
        <v>77708.85</v>
      </c>
    </row>
    <row r="36" spans="1:8" ht="12.75">
      <c r="A36" s="1" t="s">
        <v>811</v>
      </c>
      <c r="B36" s="1"/>
      <c r="C36" s="12">
        <f>SUM(D36:L36)</f>
        <v>428948.57</v>
      </c>
      <c r="D36" s="60"/>
      <c r="E36" s="59">
        <v>428948.57</v>
      </c>
      <c r="F36" s="60"/>
      <c r="G36" s="60"/>
      <c r="H36" s="59"/>
    </row>
    <row r="37" spans="1:8" ht="12.75">
      <c r="A37" s="1" t="s">
        <v>812</v>
      </c>
      <c r="B37" s="1"/>
      <c r="C37" s="12">
        <f>SUM(D37:L37)</f>
        <v>202051.85</v>
      </c>
      <c r="D37" s="60"/>
      <c r="E37" s="59">
        <v>202051.85</v>
      </c>
      <c r="F37" s="60"/>
      <c r="G37" s="60"/>
      <c r="H37" s="59"/>
    </row>
    <row r="38" spans="1:8" ht="12.75">
      <c r="A38" s="1" t="s">
        <v>551</v>
      </c>
      <c r="B38" s="1"/>
      <c r="C38" s="12">
        <f>SUM(D38:L38)</f>
        <v>23995.12</v>
      </c>
      <c r="D38" s="60"/>
      <c r="E38" s="60"/>
      <c r="F38" s="60"/>
      <c r="G38" s="59">
        <v>23995.12</v>
      </c>
      <c r="H38" s="58"/>
    </row>
    <row r="39" spans="1:8" ht="12.75">
      <c r="A39" s="1" t="s">
        <v>554</v>
      </c>
      <c r="B39" s="1"/>
      <c r="C39" s="12">
        <f aca="true" t="shared" si="2" ref="C39:C48">SUM(D39:K39)</f>
        <v>27550.51</v>
      </c>
      <c r="D39" s="60"/>
      <c r="E39" s="60"/>
      <c r="F39" s="59"/>
      <c r="G39" s="60"/>
      <c r="H39" s="58">
        <v>27550.51</v>
      </c>
    </row>
    <row r="40" spans="1:8" ht="12.75">
      <c r="A40" s="1" t="s">
        <v>552</v>
      </c>
      <c r="B40" s="1"/>
      <c r="C40" s="12">
        <f t="shared" si="2"/>
        <v>4040.88</v>
      </c>
      <c r="D40" s="60"/>
      <c r="E40" s="60"/>
      <c r="F40" s="59"/>
      <c r="G40" s="60"/>
      <c r="H40" s="58">
        <v>4040.88</v>
      </c>
    </row>
    <row r="41" spans="1:8" ht="12.75">
      <c r="A41" s="1" t="s">
        <v>553</v>
      </c>
      <c r="B41" s="1"/>
      <c r="C41" s="12">
        <f t="shared" si="2"/>
        <v>0</v>
      </c>
      <c r="D41" s="60"/>
      <c r="E41" s="60"/>
      <c r="F41" s="59"/>
      <c r="G41" s="60"/>
      <c r="H41" s="58"/>
    </row>
    <row r="42" spans="1:8" ht="12.75">
      <c r="A42" s="1" t="s">
        <v>555</v>
      </c>
      <c r="B42" s="1"/>
      <c r="C42" s="12">
        <f t="shared" si="2"/>
        <v>50089.2</v>
      </c>
      <c r="D42" s="60"/>
      <c r="E42" s="60"/>
      <c r="F42" s="59"/>
      <c r="G42" s="60"/>
      <c r="H42" s="58">
        <v>50089.2</v>
      </c>
    </row>
    <row r="43" spans="1:8" ht="12.75">
      <c r="A43" s="1" t="s">
        <v>556</v>
      </c>
      <c r="B43" s="1"/>
      <c r="C43" s="12">
        <f t="shared" si="2"/>
        <v>450744.52</v>
      </c>
      <c r="D43" s="60"/>
      <c r="E43" s="60"/>
      <c r="F43" s="59"/>
      <c r="G43" s="58">
        <v>450744.52</v>
      </c>
      <c r="H43" s="59"/>
    </row>
    <row r="44" spans="1:8" ht="12.75">
      <c r="A44" s="1" t="s">
        <v>557</v>
      </c>
      <c r="B44" s="1"/>
      <c r="C44" s="12">
        <f t="shared" si="2"/>
        <v>24065.37</v>
      </c>
      <c r="D44" s="60"/>
      <c r="E44" s="60"/>
      <c r="F44" s="59"/>
      <c r="G44" s="58">
        <v>24065.37</v>
      </c>
      <c r="H44" s="59"/>
    </row>
    <row r="45" spans="1:8" ht="12.75">
      <c r="A45" s="1" t="s">
        <v>813</v>
      </c>
      <c r="B45" s="1"/>
      <c r="C45" s="12">
        <f>SUM(D45:K45)</f>
        <v>209139.5</v>
      </c>
      <c r="D45" s="60"/>
      <c r="E45" s="60"/>
      <c r="F45" s="59"/>
      <c r="G45" s="58">
        <v>209139.5</v>
      </c>
      <c r="H45" s="59"/>
    </row>
    <row r="46" spans="1:8" ht="12.75">
      <c r="A46" s="1" t="s">
        <v>814</v>
      </c>
      <c r="B46" s="1"/>
      <c r="C46" s="12">
        <f>SUM(D46:K46)</f>
        <v>30067.17</v>
      </c>
      <c r="D46" s="60"/>
      <c r="E46" s="60"/>
      <c r="F46" s="59"/>
      <c r="G46" s="58">
        <v>30067.17</v>
      </c>
      <c r="H46" s="59"/>
    </row>
    <row r="47" spans="1:8" ht="12.75">
      <c r="A47" s="1" t="s">
        <v>558</v>
      </c>
      <c r="B47" s="1"/>
      <c r="C47" s="12">
        <f t="shared" si="2"/>
        <v>33608.32</v>
      </c>
      <c r="D47" s="60"/>
      <c r="E47" s="60"/>
      <c r="F47" s="60"/>
      <c r="G47" s="60"/>
      <c r="H47" s="59">
        <v>33608.32</v>
      </c>
    </row>
    <row r="48" spans="1:8" ht="15">
      <c r="A48" s="1" t="s">
        <v>559</v>
      </c>
      <c r="B48" s="1"/>
      <c r="C48" s="14">
        <f t="shared" si="2"/>
        <v>424172.13</v>
      </c>
      <c r="D48" s="61">
        <v>0</v>
      </c>
      <c r="E48" s="61">
        <v>0</v>
      </c>
      <c r="F48" s="61">
        <v>0</v>
      </c>
      <c r="G48" s="61">
        <v>0</v>
      </c>
      <c r="H48" s="62">
        <v>424172.13</v>
      </c>
    </row>
    <row r="49" spans="1:8" ht="12.75">
      <c r="A49" s="16" t="s">
        <v>564</v>
      </c>
      <c r="B49" s="16"/>
      <c r="C49" s="14">
        <f aca="true" t="shared" si="3" ref="C49:H49">SUM(C30:C48)</f>
        <v>18921060.910000008</v>
      </c>
      <c r="D49" s="14">
        <f t="shared" si="3"/>
        <v>8090615.17</v>
      </c>
      <c r="E49" s="14">
        <f t="shared" si="3"/>
        <v>4570556.13</v>
      </c>
      <c r="F49" s="14">
        <f t="shared" si="3"/>
        <v>0</v>
      </c>
      <c r="G49" s="14">
        <f t="shared" si="3"/>
        <v>738011.68</v>
      </c>
      <c r="H49" s="14">
        <f t="shared" si="3"/>
        <v>5521877.93</v>
      </c>
    </row>
    <row r="50" spans="1:8" ht="15">
      <c r="A50" s="16" t="s">
        <v>575</v>
      </c>
      <c r="B50" s="16"/>
      <c r="C50" s="55">
        <f aca="true" t="shared" si="4" ref="C50:H50">C29+C49</f>
        <v>57383283.42</v>
      </c>
      <c r="D50" s="55">
        <f t="shared" si="4"/>
        <v>35991704.13999999</v>
      </c>
      <c r="E50" s="55">
        <f t="shared" si="4"/>
        <v>15112635.36</v>
      </c>
      <c r="F50" s="55">
        <f t="shared" si="4"/>
        <v>19054.31</v>
      </c>
      <c r="G50" s="55">
        <f t="shared" si="4"/>
        <v>738011.68</v>
      </c>
      <c r="H50" s="55">
        <f t="shared" si="4"/>
        <v>5521877.93</v>
      </c>
    </row>
    <row r="52" spans="1:8" ht="10.5">
      <c r="A52" t="s">
        <v>803</v>
      </c>
      <c r="C52">
        <f>C50-'Sales-Rev'!C115+'Sales-Rev'!C181</f>
        <v>12461269.509999976</v>
      </c>
      <c r="D52">
        <f>D50-'Sales-Rev'!D115+'Sales-Rev'!D181</f>
        <v>10539820.639999978</v>
      </c>
      <c r="E52">
        <f>E50-'Sales-Rev'!E115+'Sales-Rev'!E181</f>
        <v>1364104.6400000006</v>
      </c>
      <c r="F52">
        <f>F50-'Sales-Rev'!F115+'Sales-Rev'!F181</f>
        <v>12399.869999999995</v>
      </c>
      <c r="G52">
        <f>G50-'Sales-Rev'!G115+'Sales-Rev'!G181</f>
        <v>47144.47000000009</v>
      </c>
      <c r="H52">
        <f>H50-'Sales-Rev'!H115+'Sales-Rev'!H181</f>
        <v>497799.8899999998</v>
      </c>
    </row>
    <row r="54" spans="1:3" ht="10.5">
      <c r="A54" t="s">
        <v>916</v>
      </c>
      <c r="C54">
        <v>211889</v>
      </c>
    </row>
    <row r="56" spans="1:3" ht="10.5">
      <c r="A56" t="s">
        <v>917</v>
      </c>
      <c r="C56">
        <f>C52+C54</f>
        <v>12673158.509999976</v>
      </c>
    </row>
  </sheetData>
  <printOptions gridLines="1" headings="1"/>
  <pageMargins left="0.75" right="0.75" top="1" bottom="1" header="0.5" footer="0.5"/>
  <pageSetup fitToHeight="2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D17" sqref="D17"/>
    </sheetView>
  </sheetViews>
  <sheetFormatPr defaultColWidth="9.140625" defaultRowHeight="12"/>
  <cols>
    <col min="1" max="1" width="25.421875" style="0" customWidth="1"/>
    <col min="2" max="2" width="10.28125" style="0" customWidth="1"/>
    <col min="3" max="3" width="10.7109375" style="0" customWidth="1"/>
    <col min="4" max="4" width="12.00390625" style="0" customWidth="1"/>
    <col min="5" max="5" width="10.28125" style="0" customWidth="1"/>
    <col min="6" max="6" width="12.00390625" style="0" customWidth="1"/>
    <col min="7" max="7" width="10.28125" style="0" customWidth="1"/>
  </cols>
  <sheetData>
    <row r="1" ht="10.5">
      <c r="D1" s="23" t="s">
        <v>60</v>
      </c>
    </row>
    <row r="2" ht="10.5">
      <c r="D2" s="23" t="s">
        <v>684</v>
      </c>
    </row>
    <row r="3" ht="10.5">
      <c r="D3" s="23" t="s">
        <v>685</v>
      </c>
    </row>
    <row r="9" ht="10.5">
      <c r="A9" s="9" t="s">
        <v>592</v>
      </c>
    </row>
    <row r="11" spans="1:7" ht="10.5">
      <c r="A11" t="s">
        <v>593</v>
      </c>
      <c r="B11" s="8" t="s">
        <v>16</v>
      </c>
      <c r="C11" s="8" t="str">
        <f>Customers!D7</f>
        <v>GS-RES.</v>
      </c>
      <c r="D11" s="8" t="str">
        <f>Customers!E7</f>
        <v>GS-OTHER</v>
      </c>
      <c r="E11" s="8" t="str">
        <f>Customers!F7</f>
        <v>IUS</v>
      </c>
      <c r="F11" s="8" t="str">
        <f>Customers!G7</f>
        <v>DS-ML/SC</v>
      </c>
      <c r="G11" s="8" t="str">
        <f>Customers!H7</f>
        <v>DS/IS/SS</v>
      </c>
    </row>
    <row r="13" spans="1:7" ht="10.5">
      <c r="A13" t="s">
        <v>525</v>
      </c>
      <c r="B13">
        <f aca="true" t="shared" si="0" ref="B13:B27">SUM(C13:G13)</f>
        <v>155900</v>
      </c>
      <c r="C13" s="65">
        <v>155900</v>
      </c>
      <c r="D13" s="65"/>
      <c r="E13" s="65"/>
      <c r="F13" s="65"/>
      <c r="G13" s="65"/>
    </row>
    <row r="14" spans="1:7" ht="10.5">
      <c r="A14" t="s">
        <v>594</v>
      </c>
      <c r="B14">
        <f t="shared" si="0"/>
        <v>71900</v>
      </c>
      <c r="C14" s="65"/>
      <c r="D14" s="65">
        <v>71900</v>
      </c>
      <c r="E14" s="65"/>
      <c r="F14" s="65"/>
      <c r="G14" s="65"/>
    </row>
    <row r="15" spans="1:7" ht="10.5">
      <c r="A15" t="s">
        <v>595</v>
      </c>
      <c r="B15">
        <f t="shared" si="0"/>
        <v>1500</v>
      </c>
      <c r="C15" s="65"/>
      <c r="D15" s="65">
        <v>1500</v>
      </c>
      <c r="E15" s="65"/>
      <c r="F15" s="65"/>
      <c r="G15" s="65"/>
    </row>
    <row r="16" spans="1:7" ht="10.5">
      <c r="A16" t="s">
        <v>580</v>
      </c>
      <c r="B16">
        <f>SUM(C16:G16)</f>
        <v>400</v>
      </c>
      <c r="C16" s="65"/>
      <c r="D16" s="65">
        <v>0</v>
      </c>
      <c r="E16" s="65">
        <v>400</v>
      </c>
      <c r="F16" s="65"/>
      <c r="G16" s="65"/>
    </row>
    <row r="17" spans="1:7" ht="10.5">
      <c r="A17" t="s">
        <v>822</v>
      </c>
      <c r="B17">
        <f>SUM(C17:G17)</f>
        <v>2100</v>
      </c>
      <c r="C17" s="65"/>
      <c r="D17" s="65"/>
      <c r="E17" s="65"/>
      <c r="F17" s="65"/>
      <c r="G17" s="65">
        <v>2100</v>
      </c>
    </row>
    <row r="18" spans="1:7" ht="10.5">
      <c r="A18" t="s">
        <v>823</v>
      </c>
      <c r="B18">
        <f>SUM(C18:G18)</f>
        <v>200</v>
      </c>
      <c r="C18" s="65"/>
      <c r="D18" s="65"/>
      <c r="E18" s="65"/>
      <c r="F18" s="65"/>
      <c r="G18" s="65">
        <v>200</v>
      </c>
    </row>
    <row r="19" spans="1:7" ht="10.5">
      <c r="A19" t="s">
        <v>824</v>
      </c>
      <c r="B19">
        <f>SUM(C19:G19)</f>
        <v>2800</v>
      </c>
      <c r="C19" s="65"/>
      <c r="D19" s="65"/>
      <c r="E19" s="65"/>
      <c r="F19" s="65"/>
      <c r="G19" s="65">
        <v>2800</v>
      </c>
    </row>
    <row r="20" spans="1:7" ht="10.5">
      <c r="A20" t="s">
        <v>825</v>
      </c>
      <c r="B20">
        <f>SUM(C20:G20)</f>
        <v>2800</v>
      </c>
      <c r="C20" s="65"/>
      <c r="D20" s="65"/>
      <c r="E20" s="65"/>
      <c r="F20" s="65"/>
      <c r="G20" s="65">
        <v>2800</v>
      </c>
    </row>
    <row r="21" spans="1:7" ht="10.5">
      <c r="A21" t="s">
        <v>596</v>
      </c>
      <c r="B21">
        <f t="shared" si="0"/>
        <v>18400</v>
      </c>
      <c r="C21" s="65"/>
      <c r="D21" s="65">
        <v>18400</v>
      </c>
      <c r="E21" s="65"/>
      <c r="F21" s="65"/>
      <c r="G21" s="65"/>
    </row>
    <row r="22" spans="1:7" ht="10.5">
      <c r="A22" t="s">
        <v>597</v>
      </c>
      <c r="B22">
        <f t="shared" si="0"/>
        <v>300</v>
      </c>
      <c r="C22" s="65"/>
      <c r="D22" s="65">
        <v>300</v>
      </c>
      <c r="E22" s="65"/>
      <c r="F22" s="65"/>
      <c r="G22" s="65"/>
    </row>
    <row r="23" spans="1:7" ht="10.5">
      <c r="A23" t="s">
        <v>598</v>
      </c>
      <c r="B23">
        <f t="shared" si="0"/>
        <v>2500</v>
      </c>
      <c r="C23" s="65"/>
      <c r="D23" s="65">
        <v>2500</v>
      </c>
      <c r="E23" s="65"/>
      <c r="F23" s="65"/>
      <c r="G23" s="65"/>
    </row>
    <row r="24" spans="1:7" ht="10.5">
      <c r="A24" t="s">
        <v>599</v>
      </c>
      <c r="B24">
        <f t="shared" si="0"/>
        <v>600</v>
      </c>
      <c r="C24" s="65"/>
      <c r="D24" s="65">
        <v>600</v>
      </c>
      <c r="E24" s="65"/>
      <c r="F24" s="65"/>
      <c r="G24" s="65"/>
    </row>
    <row r="25" spans="1:7" ht="10.5">
      <c r="A25" t="s">
        <v>600</v>
      </c>
      <c r="B25">
        <f t="shared" si="0"/>
        <v>700</v>
      </c>
      <c r="C25" s="65"/>
      <c r="D25" s="65"/>
      <c r="E25" s="65"/>
      <c r="F25" s="65">
        <v>700</v>
      </c>
      <c r="G25" s="65"/>
    </row>
    <row r="26" spans="1:7" ht="10.5">
      <c r="A26" t="s">
        <v>601</v>
      </c>
      <c r="B26">
        <f t="shared" si="0"/>
        <v>17600</v>
      </c>
      <c r="C26" s="65"/>
      <c r="D26" s="65"/>
      <c r="E26" s="65"/>
      <c r="F26" s="65"/>
      <c r="G26" s="65">
        <v>17600</v>
      </c>
    </row>
    <row r="27" spans="1:7" ht="10.5">
      <c r="A27" t="s">
        <v>602</v>
      </c>
      <c r="B27">
        <f t="shared" si="0"/>
        <v>87500</v>
      </c>
      <c r="C27" s="65"/>
      <c r="D27" s="65"/>
      <c r="E27" s="65"/>
      <c r="F27" s="65">
        <v>0</v>
      </c>
      <c r="G27" s="65">
        <v>87500</v>
      </c>
    </row>
    <row r="28" spans="3:7" ht="10.5">
      <c r="C28" s="6"/>
      <c r="D28" s="6"/>
      <c r="E28" s="6"/>
      <c r="F28" s="6"/>
      <c r="G28" s="6"/>
    </row>
    <row r="29" spans="1:7" ht="10.5">
      <c r="A29" s="10" t="s">
        <v>16</v>
      </c>
      <c r="B29">
        <f aca="true" t="shared" si="1" ref="B29:G29">SUM(B13:B28)</f>
        <v>365200</v>
      </c>
      <c r="C29" s="20">
        <f t="shared" si="1"/>
        <v>155900</v>
      </c>
      <c r="D29" s="20">
        <f t="shared" si="1"/>
        <v>95200</v>
      </c>
      <c r="E29" s="20">
        <f t="shared" si="1"/>
        <v>400</v>
      </c>
      <c r="F29" s="20">
        <f t="shared" si="1"/>
        <v>700</v>
      </c>
      <c r="G29" s="20">
        <f t="shared" si="1"/>
        <v>113000</v>
      </c>
    </row>
    <row r="31" spans="1:7" ht="12.75">
      <c r="A31" s="1" t="s">
        <v>618</v>
      </c>
      <c r="B31" s="26">
        <f>SUM(C31:G31)</f>
        <v>1</v>
      </c>
      <c r="C31" s="26">
        <f>C29/B29</f>
        <v>0.4268893756845564</v>
      </c>
      <c r="D31" s="26">
        <f>D29/B29</f>
        <v>0.2606790799561884</v>
      </c>
      <c r="E31" s="26">
        <f>E29/B29</f>
        <v>0.001095290251916758</v>
      </c>
      <c r="F31" s="26">
        <f>F29/B29</f>
        <v>0.0019167579408543264</v>
      </c>
      <c r="G31" s="26">
        <f>G29/B29</f>
        <v>0.3094194961664841</v>
      </c>
    </row>
    <row r="32" spans="2:7" ht="10.5">
      <c r="B32" s="22"/>
      <c r="C32" s="22"/>
      <c r="D32" s="22"/>
      <c r="E32" s="22"/>
      <c r="F32" s="22"/>
      <c r="G32" s="22"/>
    </row>
    <row r="33" spans="2:7" ht="10.5">
      <c r="B33" s="22"/>
      <c r="C33" s="22"/>
      <c r="D33" s="22"/>
      <c r="E33" s="22"/>
      <c r="F33" s="22"/>
      <c r="G33" s="22"/>
    </row>
    <row r="34" spans="1:7" ht="10.5">
      <c r="A34" s="10" t="s">
        <v>691</v>
      </c>
      <c r="B34" s="20">
        <f>SUM(C34:G34)</f>
        <v>364500</v>
      </c>
      <c r="C34" s="21">
        <f>C29</f>
        <v>155900</v>
      </c>
      <c r="D34" s="21">
        <f>D29</f>
        <v>95200</v>
      </c>
      <c r="E34" s="21">
        <f>E29</f>
        <v>400</v>
      </c>
      <c r="F34" s="47">
        <v>0</v>
      </c>
      <c r="G34" s="21">
        <f>G29</f>
        <v>113000</v>
      </c>
    </row>
    <row r="35" spans="2:7" ht="10.5">
      <c r="B35" s="22"/>
      <c r="C35" s="22"/>
      <c r="D35" s="22"/>
      <c r="E35" s="22"/>
      <c r="F35" s="22"/>
      <c r="G35" s="22"/>
    </row>
    <row r="36" spans="1:7" ht="12.75">
      <c r="A36" s="48" t="s">
        <v>618</v>
      </c>
      <c r="B36" s="26">
        <f>SUM(C36:G36)</f>
        <v>1</v>
      </c>
      <c r="C36" s="26">
        <f>C34/$B$34</f>
        <v>0.4277091906721536</v>
      </c>
      <c r="D36" s="26">
        <f>D34/$B$34</f>
        <v>0.26117969821673526</v>
      </c>
      <c r="E36" s="26">
        <f>E34/$B$34</f>
        <v>0.0010973936899862826</v>
      </c>
      <c r="F36" s="26">
        <f>F34/$B$34</f>
        <v>0</v>
      </c>
      <c r="G36" s="26">
        <f>G34/$B$34</f>
        <v>0.3100137174211248</v>
      </c>
    </row>
    <row r="37" spans="2:7" ht="10.5">
      <c r="B37" s="22"/>
      <c r="C37" s="22"/>
      <c r="D37" s="22"/>
      <c r="E37" s="22"/>
      <c r="F37" s="22"/>
      <c r="G37" s="22"/>
    </row>
    <row r="38" spans="2:7" ht="10.5">
      <c r="B38" s="22"/>
      <c r="C38" s="22"/>
      <c r="D38" s="22"/>
      <c r="E38" s="22"/>
      <c r="F38" s="22"/>
      <c r="G38" s="22"/>
    </row>
    <row r="39" spans="1:8" ht="10.5">
      <c r="A39" s="10" t="s">
        <v>728</v>
      </c>
      <c r="C39" s="12"/>
      <c r="D39" s="12"/>
      <c r="E39" s="12"/>
      <c r="F39" s="12"/>
      <c r="G39" s="12"/>
      <c r="H39" s="12"/>
    </row>
    <row r="40" spans="1:8" ht="10.5">
      <c r="A40" s="10" t="s">
        <v>729</v>
      </c>
      <c r="C40" s="12"/>
      <c r="D40" s="12"/>
      <c r="E40" s="12"/>
      <c r="F40" s="12"/>
      <c r="G40" s="12"/>
      <c r="H40" s="12"/>
    </row>
    <row r="41" spans="1:7" ht="10.5">
      <c r="A41" t="s">
        <v>820</v>
      </c>
      <c r="B41" s="12">
        <f aca="true" t="shared" si="2" ref="B41:B47">SUM(C41:G41)</f>
        <v>2100</v>
      </c>
      <c r="C41" s="56"/>
      <c r="D41" s="56"/>
      <c r="E41" s="56"/>
      <c r="F41" s="56"/>
      <c r="G41" s="66">
        <v>2100</v>
      </c>
    </row>
    <row r="42" spans="1:7" ht="10.5">
      <c r="A42" t="s">
        <v>821</v>
      </c>
      <c r="B42" s="12">
        <f t="shared" si="2"/>
        <v>200</v>
      </c>
      <c r="C42" s="56"/>
      <c r="D42" s="56"/>
      <c r="E42" s="56"/>
      <c r="F42" s="56"/>
      <c r="G42" s="66">
        <v>200</v>
      </c>
    </row>
    <row r="43" spans="1:7" ht="10.5">
      <c r="A43" t="s">
        <v>730</v>
      </c>
      <c r="B43" s="12">
        <f t="shared" si="2"/>
        <v>2500</v>
      </c>
      <c r="C43" s="56"/>
      <c r="D43" s="56"/>
      <c r="E43" s="56"/>
      <c r="F43" s="56"/>
      <c r="G43" s="66">
        <v>2500</v>
      </c>
    </row>
    <row r="44" spans="1:7" ht="10.5">
      <c r="A44" t="s">
        <v>731</v>
      </c>
      <c r="B44" s="12">
        <f t="shared" si="2"/>
        <v>600</v>
      </c>
      <c r="C44" s="56"/>
      <c r="D44" s="56"/>
      <c r="E44" s="56"/>
      <c r="F44" s="56"/>
      <c r="G44" s="66">
        <v>600</v>
      </c>
    </row>
    <row r="45" spans="1:7" ht="10.5">
      <c r="A45" t="s">
        <v>827</v>
      </c>
      <c r="B45" s="12">
        <f t="shared" si="2"/>
        <v>17600</v>
      </c>
      <c r="C45" s="56"/>
      <c r="D45" s="56"/>
      <c r="E45" s="56"/>
      <c r="F45" s="56"/>
      <c r="G45" s="66">
        <v>17600</v>
      </c>
    </row>
    <row r="46" spans="1:7" ht="12.75">
      <c r="A46" t="s">
        <v>828</v>
      </c>
      <c r="B46" s="14">
        <f t="shared" si="2"/>
        <v>87500</v>
      </c>
      <c r="C46" s="57"/>
      <c r="D46" s="57"/>
      <c r="E46" s="57"/>
      <c r="F46" s="57"/>
      <c r="G46" s="70">
        <v>87500</v>
      </c>
    </row>
    <row r="47" spans="1:7" ht="10.5">
      <c r="A47" s="50" t="s">
        <v>732</v>
      </c>
      <c r="B47" s="12">
        <f t="shared" si="2"/>
        <v>110500</v>
      </c>
      <c r="C47" s="21">
        <f>SUM(C41:C46)</f>
        <v>0</v>
      </c>
      <c r="D47" s="21">
        <f>SUM(D41:D46)</f>
        <v>0</v>
      </c>
      <c r="E47" s="21">
        <f>SUM(E41:E46)</f>
        <v>0</v>
      </c>
      <c r="F47" s="21">
        <f>SUM(F41:F46)</f>
        <v>0</v>
      </c>
      <c r="G47" s="21">
        <f>SUM(G41:G46)</f>
        <v>110500</v>
      </c>
    </row>
    <row r="48" spans="2:7" ht="10.5">
      <c r="B48" s="12"/>
      <c r="C48" s="56"/>
      <c r="D48" s="56"/>
      <c r="E48" s="56"/>
      <c r="F48" s="56"/>
      <c r="G48" s="56"/>
    </row>
    <row r="49" spans="1:7" ht="10.5">
      <c r="A49" s="10" t="s">
        <v>733</v>
      </c>
      <c r="B49" s="12">
        <f aca="true" t="shared" si="3" ref="B49:G49">B34-B47</f>
        <v>254000</v>
      </c>
      <c r="C49" s="21">
        <f t="shared" si="3"/>
        <v>155900</v>
      </c>
      <c r="D49" s="21">
        <f t="shared" si="3"/>
        <v>95200</v>
      </c>
      <c r="E49" s="21">
        <f t="shared" si="3"/>
        <v>400</v>
      </c>
      <c r="F49" s="21">
        <f t="shared" si="3"/>
        <v>0</v>
      </c>
      <c r="G49" s="21">
        <f t="shared" si="3"/>
        <v>2500</v>
      </c>
    </row>
    <row r="50" spans="2:7" ht="10.5">
      <c r="B50" s="12"/>
      <c r="C50" s="12"/>
      <c r="D50" s="12"/>
      <c r="E50" s="12"/>
      <c r="F50" s="12"/>
      <c r="G50" s="12"/>
    </row>
    <row r="52" spans="1:7" ht="15">
      <c r="A52" s="1" t="s">
        <v>618</v>
      </c>
      <c r="B52" s="51">
        <f>SUM(C52:G52)</f>
        <v>1</v>
      </c>
      <c r="C52" s="52">
        <f>C49/$B$49</f>
        <v>0.6137795275590551</v>
      </c>
      <c r="D52" s="52">
        <f>D49/$B$49</f>
        <v>0.37480314960629924</v>
      </c>
      <c r="E52" s="52">
        <f>E49/$B$49</f>
        <v>0.0015748031496062992</v>
      </c>
      <c r="F52" s="52">
        <f>F49/$B$49</f>
        <v>0</v>
      </c>
      <c r="G52" s="52">
        <f>G49/$B$49</f>
        <v>0.00984251968503937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D30" sqref="D30"/>
    </sheetView>
  </sheetViews>
  <sheetFormatPr defaultColWidth="9.140625" defaultRowHeight="12"/>
  <cols>
    <col min="1" max="1" width="22.7109375" style="1" customWidth="1"/>
    <col min="2" max="2" width="11.140625" style="0" customWidth="1"/>
    <col min="3" max="3" width="10.7109375" style="0" bestFit="1" customWidth="1"/>
    <col min="4" max="4" width="10.8515625" style="0" customWidth="1"/>
    <col min="6" max="6" width="11.421875" style="0" customWidth="1"/>
    <col min="7" max="7" width="10.140625" style="0" customWidth="1"/>
  </cols>
  <sheetData>
    <row r="1" ht="10.5">
      <c r="D1" s="23" t="s">
        <v>60</v>
      </c>
    </row>
    <row r="2" ht="10.5">
      <c r="D2" s="23" t="s">
        <v>623</v>
      </c>
    </row>
    <row r="3" ht="10.5">
      <c r="D3" s="23" t="s">
        <v>620</v>
      </c>
    </row>
    <row r="8" spans="1:7" ht="10.5">
      <c r="A8" s="3" t="s">
        <v>593</v>
      </c>
      <c r="B8" s="8" t="s">
        <v>16</v>
      </c>
      <c r="C8" s="8" t="str">
        <f>A!C35</f>
        <v>GS-RES.</v>
      </c>
      <c r="D8" s="8" t="str">
        <f>A!C36</f>
        <v>GS-OTHER</v>
      </c>
      <c r="E8" s="8" t="str">
        <f>A!C37</f>
        <v>IUS</v>
      </c>
      <c r="F8" s="8" t="str">
        <f>A!C38</f>
        <v>DS-ML/SC</v>
      </c>
      <c r="G8" s="8" t="str">
        <f>A!C39</f>
        <v>DS/IS/SS</v>
      </c>
    </row>
    <row r="9" spans="2:7" ht="10.5">
      <c r="B9" s="12"/>
      <c r="C9" s="12"/>
      <c r="D9" s="12"/>
      <c r="E9" s="12"/>
      <c r="F9" s="12"/>
      <c r="G9" s="12"/>
    </row>
    <row r="10" spans="1:7" ht="10.5">
      <c r="A10" s="1" t="s">
        <v>525</v>
      </c>
      <c r="B10" s="12">
        <f>SUM(C10:G10)</f>
        <v>5244484.98</v>
      </c>
      <c r="C10" s="65">
        <v>5244484.98</v>
      </c>
      <c r="D10" s="65"/>
      <c r="E10" s="66"/>
      <c r="F10" s="66"/>
      <c r="G10" s="66"/>
    </row>
    <row r="11" spans="1:7" ht="10.5">
      <c r="A11" s="1" t="s">
        <v>603</v>
      </c>
      <c r="B11" s="12">
        <f>SUM(C11:G11)</f>
        <v>2752319.38</v>
      </c>
      <c r="C11" s="66">
        <v>0</v>
      </c>
      <c r="D11" s="66">
        <v>2752319.38</v>
      </c>
      <c r="E11" s="66"/>
      <c r="F11" s="66"/>
      <c r="G11" s="66"/>
    </row>
    <row r="12" spans="1:7" ht="10.5">
      <c r="A12" s="1" t="s">
        <v>604</v>
      </c>
      <c r="B12" s="12">
        <f aca="true" t="shared" si="0" ref="B12:B41">SUM(C12:G12)</f>
        <v>4080.64</v>
      </c>
      <c r="C12" s="65"/>
      <c r="D12" s="66">
        <v>4080.64</v>
      </c>
      <c r="E12" s="66"/>
      <c r="F12" s="66"/>
      <c r="G12" s="66"/>
    </row>
    <row r="13" spans="1:7" ht="10.5">
      <c r="A13" s="1" t="s">
        <v>531</v>
      </c>
      <c r="B13" s="12">
        <f t="shared" si="0"/>
        <v>1526.22</v>
      </c>
      <c r="C13" s="66">
        <v>1526.22</v>
      </c>
      <c r="D13" s="66"/>
      <c r="E13" s="66"/>
      <c r="F13" s="66"/>
      <c r="G13" s="66"/>
    </row>
    <row r="14" spans="1:7" ht="10.5">
      <c r="A14" s="1" t="s">
        <v>605</v>
      </c>
      <c r="B14" s="12">
        <f t="shared" si="0"/>
        <v>0</v>
      </c>
      <c r="C14" s="66"/>
      <c r="D14" s="66"/>
      <c r="E14" s="66"/>
      <c r="F14" s="66"/>
      <c r="G14" s="66"/>
    </row>
    <row r="15" spans="1:7" ht="10.5">
      <c r="A15" s="1" t="s">
        <v>526</v>
      </c>
      <c r="B15" s="12">
        <f t="shared" si="0"/>
        <v>52.63</v>
      </c>
      <c r="C15" s="65">
        <v>52.63</v>
      </c>
      <c r="D15" s="66"/>
      <c r="E15" s="66"/>
      <c r="F15" s="66"/>
      <c r="G15" s="66"/>
    </row>
    <row r="16" spans="1:7" ht="10.5">
      <c r="A16" s="1" t="s">
        <v>527</v>
      </c>
      <c r="B16" s="12">
        <f t="shared" si="0"/>
        <v>263.14</v>
      </c>
      <c r="C16" s="66">
        <v>263.14</v>
      </c>
      <c r="D16" s="66"/>
      <c r="E16" s="66"/>
      <c r="F16" s="66"/>
      <c r="G16" s="66"/>
    </row>
    <row r="17" spans="1:7" ht="10.5">
      <c r="A17" s="1" t="s">
        <v>606</v>
      </c>
      <c r="B17" s="12">
        <f t="shared" si="0"/>
        <v>578.92</v>
      </c>
      <c r="C17" s="66">
        <v>526.29</v>
      </c>
      <c r="D17" s="66">
        <v>52.63</v>
      </c>
      <c r="E17" s="66"/>
      <c r="F17" s="66"/>
      <c r="G17" s="66"/>
    </row>
    <row r="18" spans="1:7" ht="10.5">
      <c r="A18" s="1" t="s">
        <v>580</v>
      </c>
      <c r="B18" s="12">
        <f t="shared" si="0"/>
        <v>2576.75</v>
      </c>
      <c r="C18" s="66"/>
      <c r="D18" s="66"/>
      <c r="E18" s="66">
        <v>2576.75</v>
      </c>
      <c r="F18" s="66"/>
      <c r="G18" s="66"/>
    </row>
    <row r="19" spans="1:7" ht="10.5">
      <c r="A19" s="1" t="s">
        <v>607</v>
      </c>
      <c r="B19" s="12">
        <f t="shared" si="0"/>
        <v>0</v>
      </c>
      <c r="C19" s="66"/>
      <c r="D19" s="66"/>
      <c r="E19" s="66"/>
      <c r="F19" s="66"/>
      <c r="G19" s="66"/>
    </row>
    <row r="20" spans="1:7" ht="10.5">
      <c r="A20" s="1" t="s">
        <v>608</v>
      </c>
      <c r="B20" s="12">
        <f t="shared" si="0"/>
        <v>456.46</v>
      </c>
      <c r="C20" s="66">
        <v>52.63</v>
      </c>
      <c r="D20" s="66">
        <v>403.83</v>
      </c>
      <c r="E20" s="66"/>
      <c r="F20" s="66"/>
      <c r="G20" s="66"/>
    </row>
    <row r="21" spans="1:7" ht="10.5">
      <c r="A21" s="1" t="s">
        <v>533</v>
      </c>
      <c r="B21" s="12">
        <f>SUM(C21:G21)</f>
        <v>403.83</v>
      </c>
      <c r="C21" s="66">
        <v>403.83</v>
      </c>
      <c r="D21" s="66"/>
      <c r="E21" s="66"/>
      <c r="F21" s="66"/>
      <c r="G21" s="66"/>
    </row>
    <row r="22" spans="1:7" ht="10.5">
      <c r="A22" s="1" t="s">
        <v>534</v>
      </c>
      <c r="B22" s="12">
        <f t="shared" si="0"/>
        <v>52.63</v>
      </c>
      <c r="C22" s="66">
        <v>52.63</v>
      </c>
      <c r="D22" s="66"/>
      <c r="E22" s="66"/>
      <c r="F22" s="66"/>
      <c r="G22" s="66"/>
    </row>
    <row r="23" spans="1:7" ht="10.5">
      <c r="A23" s="1" t="s">
        <v>609</v>
      </c>
      <c r="B23" s="12">
        <f>SUM(C23:G23)</f>
        <v>0</v>
      </c>
      <c r="C23" s="66"/>
      <c r="D23" s="65"/>
      <c r="E23" s="66"/>
      <c r="F23" s="66"/>
      <c r="G23" s="66"/>
    </row>
    <row r="24" spans="1:7" ht="10.5">
      <c r="A24" s="1" t="s">
        <v>610</v>
      </c>
      <c r="B24" s="12">
        <f t="shared" si="0"/>
        <v>1047677.77</v>
      </c>
      <c r="C24" s="66"/>
      <c r="D24" s="66">
        <v>1047677.77</v>
      </c>
      <c r="E24" s="66"/>
      <c r="F24" s="66"/>
      <c r="G24" s="66"/>
    </row>
    <row r="25" spans="1:7" ht="10.5">
      <c r="A25" s="1" t="s">
        <v>538</v>
      </c>
      <c r="B25" s="12">
        <f t="shared" si="0"/>
        <v>1426004.63</v>
      </c>
      <c r="C25" s="66">
        <v>1426004.63</v>
      </c>
      <c r="D25" s="66"/>
      <c r="E25" s="66"/>
      <c r="F25" s="66"/>
      <c r="G25" s="66"/>
    </row>
    <row r="26" spans="1:7" ht="10.5">
      <c r="A26" s="1" t="s">
        <v>613</v>
      </c>
      <c r="B26" s="12">
        <f t="shared" si="0"/>
        <v>4388.84</v>
      </c>
      <c r="C26" s="66"/>
      <c r="D26" s="66"/>
      <c r="E26" s="66"/>
      <c r="F26" s="66"/>
      <c r="G26" s="66">
        <v>4388.84</v>
      </c>
    </row>
    <row r="27" spans="1:7" ht="10.5">
      <c r="A27" s="1" t="s">
        <v>614</v>
      </c>
      <c r="B27" s="12">
        <f t="shared" si="0"/>
        <v>3624.18</v>
      </c>
      <c r="C27" s="66"/>
      <c r="D27" s="66"/>
      <c r="E27" s="66"/>
      <c r="F27" s="66"/>
      <c r="G27" s="66">
        <v>3624.18</v>
      </c>
    </row>
    <row r="28" spans="1:7" ht="10.5">
      <c r="A28" s="1" t="s">
        <v>615</v>
      </c>
      <c r="B28" s="12">
        <f>SUM(C28:G28)</f>
        <v>3624.18</v>
      </c>
      <c r="C28" s="66"/>
      <c r="D28" s="66"/>
      <c r="E28" s="66"/>
      <c r="F28" s="66">
        <v>3624.18</v>
      </c>
      <c r="G28" s="66"/>
    </row>
    <row r="29" spans="1:7" ht="10.5">
      <c r="A29" s="1" t="s">
        <v>539</v>
      </c>
      <c r="B29" s="12">
        <f t="shared" si="0"/>
        <v>1812.09</v>
      </c>
      <c r="C29" s="66"/>
      <c r="D29" s="66"/>
      <c r="E29" s="66"/>
      <c r="F29" s="66"/>
      <c r="G29" s="66">
        <v>1812.09</v>
      </c>
    </row>
    <row r="30" spans="1:7" ht="10.5">
      <c r="A30" s="1" t="s">
        <v>834</v>
      </c>
      <c r="B30" s="12">
        <f>SUM(C30:G30)</f>
        <v>1812.09</v>
      </c>
      <c r="C30" s="66"/>
      <c r="D30" s="66"/>
      <c r="E30" s="66"/>
      <c r="F30" s="66"/>
      <c r="G30" s="66">
        <v>1812.09</v>
      </c>
    </row>
    <row r="31" spans="1:7" ht="10.5">
      <c r="A31" s="1" t="s">
        <v>830</v>
      </c>
      <c r="B31" s="12">
        <f t="shared" si="0"/>
        <v>79731.81</v>
      </c>
      <c r="C31" s="66"/>
      <c r="D31" s="66"/>
      <c r="E31" s="66"/>
      <c r="F31" s="66"/>
      <c r="G31" s="66">
        <v>79731.81</v>
      </c>
    </row>
    <row r="32" spans="1:7" ht="10.5">
      <c r="A32" s="1" t="s">
        <v>832</v>
      </c>
      <c r="B32" s="12">
        <f>SUM(C32:G32)</f>
        <v>90374.25</v>
      </c>
      <c r="C32" s="66"/>
      <c r="D32" s="66"/>
      <c r="E32" s="66"/>
      <c r="F32" s="66"/>
      <c r="G32" s="66">
        <v>90374.25</v>
      </c>
    </row>
    <row r="33" spans="1:7" ht="10.5">
      <c r="A33" s="1" t="s">
        <v>616</v>
      </c>
      <c r="B33" s="12">
        <f t="shared" si="0"/>
        <v>3624.18</v>
      </c>
      <c r="C33" s="66"/>
      <c r="D33" s="66"/>
      <c r="E33" s="66"/>
      <c r="F33" s="66"/>
      <c r="G33" s="66">
        <v>3624.18</v>
      </c>
    </row>
    <row r="34" spans="1:7" ht="10.5">
      <c r="A34" s="1" t="s">
        <v>617</v>
      </c>
      <c r="B34" s="12">
        <f t="shared" si="0"/>
        <v>0</v>
      </c>
      <c r="C34" s="66"/>
      <c r="D34" s="66"/>
      <c r="E34" s="66"/>
      <c r="F34" s="66"/>
      <c r="G34" s="66"/>
    </row>
    <row r="35" spans="1:7" ht="10.5">
      <c r="A35" s="1" t="s">
        <v>612</v>
      </c>
      <c r="B35" s="12">
        <f>SUM(C35:G35)</f>
        <v>5436.27</v>
      </c>
      <c r="C35" s="66"/>
      <c r="D35" s="66"/>
      <c r="E35" s="66"/>
      <c r="F35" s="66">
        <v>5436.27</v>
      </c>
      <c r="G35" s="66"/>
    </row>
    <row r="36" spans="1:7" ht="10.5">
      <c r="A36" s="1" t="s">
        <v>611</v>
      </c>
      <c r="B36" s="12">
        <f>SUM(C36:G36)</f>
        <v>1812.09</v>
      </c>
      <c r="C36" s="66"/>
      <c r="D36" s="66"/>
      <c r="E36" s="66"/>
      <c r="F36" s="66">
        <v>1812.09</v>
      </c>
      <c r="G36" s="66"/>
    </row>
    <row r="37" spans="1:7" ht="10.5">
      <c r="A37" s="1" t="s">
        <v>833</v>
      </c>
      <c r="B37" s="12">
        <f>SUM(C37:G37)</f>
        <v>1812.09</v>
      </c>
      <c r="C37" s="66"/>
      <c r="D37" s="66"/>
      <c r="E37" s="66"/>
      <c r="F37" s="66">
        <v>1812.09</v>
      </c>
      <c r="G37" s="66"/>
    </row>
    <row r="38" spans="1:7" ht="10.5">
      <c r="A38" s="1" t="s">
        <v>829</v>
      </c>
      <c r="B38" s="12">
        <f t="shared" si="0"/>
        <v>18120.9</v>
      </c>
      <c r="C38" s="66"/>
      <c r="D38" s="66">
        <v>18120.9</v>
      </c>
      <c r="E38" s="66"/>
      <c r="F38" s="66"/>
      <c r="G38" s="66"/>
    </row>
    <row r="39" spans="1:7" ht="10.5">
      <c r="A39" s="1" t="s">
        <v>831</v>
      </c>
      <c r="B39" s="12">
        <f>SUM(C39:G39)</f>
        <v>32027</v>
      </c>
      <c r="C39" s="66"/>
      <c r="D39" s="66">
        <v>32027</v>
      </c>
      <c r="E39" s="66"/>
      <c r="F39" s="66"/>
      <c r="G39" s="66"/>
    </row>
    <row r="40" spans="2:7" ht="10.5">
      <c r="B40" s="12">
        <f t="shared" si="0"/>
        <v>0</v>
      </c>
      <c r="C40" s="66"/>
      <c r="D40" s="66"/>
      <c r="E40" s="66"/>
      <c r="F40" s="66"/>
      <c r="G40" s="66"/>
    </row>
    <row r="41" spans="2:7" ht="12.75">
      <c r="B41" s="14">
        <f t="shared" si="0"/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</row>
    <row r="42" spans="1:7" ht="12.75">
      <c r="A42" s="1" t="s">
        <v>16</v>
      </c>
      <c r="B42" s="13">
        <f aca="true" t="shared" si="1" ref="B42:G42">SUM(B10:B41)</f>
        <v>10728677.95</v>
      </c>
      <c r="C42" s="13">
        <f t="shared" si="1"/>
        <v>6673366.9799999995</v>
      </c>
      <c r="D42" s="13">
        <f t="shared" si="1"/>
        <v>3854682.15</v>
      </c>
      <c r="E42" s="13">
        <f t="shared" si="1"/>
        <v>2576.75</v>
      </c>
      <c r="F42" s="13">
        <f t="shared" si="1"/>
        <v>12684.630000000001</v>
      </c>
      <c r="G42" s="13">
        <f t="shared" si="1"/>
        <v>185367.44</v>
      </c>
    </row>
    <row r="43" spans="2:7" ht="10.5">
      <c r="B43" s="12"/>
      <c r="C43" s="12"/>
      <c r="D43" s="12"/>
      <c r="E43" s="12"/>
      <c r="F43" s="12"/>
      <c r="G43" s="12"/>
    </row>
    <row r="44" spans="1:7" ht="12.75">
      <c r="A44" s="1" t="s">
        <v>618</v>
      </c>
      <c r="B44" s="24">
        <f>SUM(C44:G44)</f>
        <v>1</v>
      </c>
      <c r="C44" s="24">
        <f>C42/$B$42</f>
        <v>0.6220120513543796</v>
      </c>
      <c r="D44" s="24">
        <f>D42/$B$42</f>
        <v>0.3592877116793314</v>
      </c>
      <c r="E44" s="24">
        <f>E42/$B$42</f>
        <v>0.00024017404679390158</v>
      </c>
      <c r="F44" s="24">
        <f>F42/$B$42</f>
        <v>0.001182310631292647</v>
      </c>
      <c r="G44" s="24">
        <f>G42/$B$42</f>
        <v>0.017277752288202483</v>
      </c>
    </row>
    <row r="46" spans="1:4" ht="10.5">
      <c r="A46" s="1" t="s">
        <v>619</v>
      </c>
      <c r="C46" s="22">
        <v>0.89</v>
      </c>
      <c r="D46" s="22">
        <v>0.1044</v>
      </c>
    </row>
    <row r="49" ht="10.5">
      <c r="B49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13" sqref="C13"/>
    </sheetView>
  </sheetViews>
  <sheetFormatPr defaultColWidth="9.140625" defaultRowHeight="12"/>
  <cols>
    <col min="1" max="1" width="22.7109375" style="1" customWidth="1"/>
    <col min="2" max="2" width="12.28125" style="0" customWidth="1"/>
    <col min="3" max="3" width="10.7109375" style="0" customWidth="1"/>
    <col min="4" max="4" width="12.140625" style="0" customWidth="1"/>
    <col min="6" max="6" width="11.421875" style="0" customWidth="1"/>
    <col min="7" max="7" width="12.7109375" style="0" customWidth="1"/>
  </cols>
  <sheetData>
    <row r="1" ht="10.5">
      <c r="D1" s="23" t="s">
        <v>60</v>
      </c>
    </row>
    <row r="2" ht="10.5">
      <c r="D2" s="23" t="s">
        <v>621</v>
      </c>
    </row>
    <row r="3" ht="10.5">
      <c r="D3" s="23" t="s">
        <v>622</v>
      </c>
    </row>
    <row r="8" spans="1:7" ht="10.5">
      <c r="A8" s="3" t="s">
        <v>593</v>
      </c>
      <c r="B8" s="8" t="s">
        <v>16</v>
      </c>
      <c r="C8" s="8" t="str">
        <f>A!C35</f>
        <v>GS-RES.</v>
      </c>
      <c r="D8" s="8" t="str">
        <f>A!C36</f>
        <v>GS-OTHER</v>
      </c>
      <c r="E8" s="8" t="str">
        <f>A!C37</f>
        <v>IUS</v>
      </c>
      <c r="F8" s="8" t="str">
        <f>A!C38</f>
        <v>DS-ML/SC</v>
      </c>
      <c r="G8" s="8" t="str">
        <f>A!C39</f>
        <v>DS/IS/SS</v>
      </c>
    </row>
    <row r="9" spans="2:7" ht="10.5">
      <c r="B9" s="12"/>
      <c r="C9" s="12"/>
      <c r="D9" s="12"/>
      <c r="E9" s="12"/>
      <c r="F9" s="12"/>
      <c r="G9" s="12"/>
    </row>
    <row r="10" spans="1:7" ht="10.5">
      <c r="A10" t="s">
        <v>615</v>
      </c>
      <c r="B10" s="12">
        <f aca="true" t="shared" si="0" ref="B10:B19">SUM(C10:G10)</f>
        <v>20236.94</v>
      </c>
      <c r="C10" s="66"/>
      <c r="D10" s="66"/>
      <c r="E10" s="66"/>
      <c r="F10" s="66">
        <v>20236.94</v>
      </c>
      <c r="G10" s="66"/>
    </row>
    <row r="11" spans="1:7" ht="10.5">
      <c r="A11" t="s">
        <v>829</v>
      </c>
      <c r="B11" s="12">
        <f t="shared" si="0"/>
        <v>111303.17</v>
      </c>
      <c r="C11" s="65"/>
      <c r="D11" s="66">
        <v>111303.17</v>
      </c>
      <c r="E11" s="66"/>
      <c r="F11" s="66"/>
      <c r="G11" s="66"/>
    </row>
    <row r="12" spans="1:7" ht="10.5">
      <c r="A12" t="s">
        <v>831</v>
      </c>
      <c r="B12" s="12">
        <f t="shared" si="0"/>
        <v>182132.46</v>
      </c>
      <c r="C12" s="66"/>
      <c r="D12" s="66">
        <v>182132.46</v>
      </c>
      <c r="E12" s="66"/>
      <c r="F12" s="66"/>
      <c r="G12" s="66"/>
    </row>
    <row r="13" spans="1:7" ht="10.5">
      <c r="A13" t="s">
        <v>830</v>
      </c>
      <c r="B13" s="12">
        <f t="shared" si="0"/>
        <v>465449.62</v>
      </c>
      <c r="C13" s="66"/>
      <c r="D13" s="66"/>
      <c r="E13" s="66"/>
      <c r="F13" s="66"/>
      <c r="G13" s="66">
        <v>465449.62</v>
      </c>
    </row>
    <row r="14" spans="1:7" ht="10.5">
      <c r="A14" t="s">
        <v>832</v>
      </c>
      <c r="B14" s="12">
        <f t="shared" si="0"/>
        <v>485686.56</v>
      </c>
      <c r="C14" s="65"/>
      <c r="D14" s="66"/>
      <c r="E14" s="66"/>
      <c r="F14" s="66"/>
      <c r="G14" s="66">
        <v>485686.56</v>
      </c>
    </row>
    <row r="15" spans="1:7" ht="10.5">
      <c r="A15" t="s">
        <v>836</v>
      </c>
      <c r="B15" s="12">
        <f t="shared" si="0"/>
        <v>10118.47</v>
      </c>
      <c r="C15" s="66"/>
      <c r="D15" s="66"/>
      <c r="E15" s="66"/>
      <c r="F15" s="66"/>
      <c r="G15" s="66">
        <v>10118.47</v>
      </c>
    </row>
    <row r="16" spans="1:7" ht="10.5">
      <c r="A16" t="s">
        <v>616</v>
      </c>
      <c r="B16" s="12">
        <f t="shared" si="0"/>
        <v>20236.94</v>
      </c>
      <c r="C16" s="66"/>
      <c r="D16" s="66"/>
      <c r="E16" s="66"/>
      <c r="F16" s="66"/>
      <c r="G16" s="66">
        <v>20236.94</v>
      </c>
    </row>
    <row r="17" spans="1:7" ht="10.5">
      <c r="A17" t="s">
        <v>617</v>
      </c>
      <c r="B17" s="12">
        <f t="shared" si="0"/>
        <v>10118.47</v>
      </c>
      <c r="C17" s="66"/>
      <c r="D17" s="66"/>
      <c r="E17" s="66"/>
      <c r="F17" s="66"/>
      <c r="G17" s="66">
        <v>10118.47</v>
      </c>
    </row>
    <row r="18" spans="1:7" ht="10.5">
      <c r="A18" t="s">
        <v>837</v>
      </c>
      <c r="B18" s="12">
        <f t="shared" si="0"/>
        <v>20236.94</v>
      </c>
      <c r="C18" s="66"/>
      <c r="D18" s="66"/>
      <c r="E18" s="66"/>
      <c r="F18" s="65"/>
      <c r="G18" s="66">
        <v>20236.94</v>
      </c>
    </row>
    <row r="19" spans="1:7" ht="10.5">
      <c r="A19" t="s">
        <v>612</v>
      </c>
      <c r="B19" s="12">
        <f t="shared" si="0"/>
        <v>30355.41</v>
      </c>
      <c r="C19" s="66"/>
      <c r="D19" s="65"/>
      <c r="E19" s="66"/>
      <c r="F19" s="65">
        <v>30355.41</v>
      </c>
      <c r="G19" s="66"/>
    </row>
    <row r="20" spans="1:7" ht="10.5">
      <c r="A20" t="s">
        <v>611</v>
      </c>
      <c r="B20" s="12">
        <f aca="true" t="shared" si="1" ref="B20:B27">SUM(C20:G20)</f>
        <v>10118.47</v>
      </c>
      <c r="C20" s="66"/>
      <c r="D20" s="65"/>
      <c r="E20" s="66"/>
      <c r="F20" s="65">
        <v>10118.47</v>
      </c>
      <c r="G20" s="66"/>
    </row>
    <row r="21" spans="1:7" ht="10.5">
      <c r="A21" t="s">
        <v>833</v>
      </c>
      <c r="B21" s="12">
        <f t="shared" si="1"/>
        <v>10118.47</v>
      </c>
      <c r="C21" s="66"/>
      <c r="D21" s="65"/>
      <c r="E21" s="66"/>
      <c r="F21" s="65">
        <v>10118.47</v>
      </c>
      <c r="G21" s="66"/>
    </row>
    <row r="22" spans="1:7" ht="10.5">
      <c r="A22" t="s">
        <v>834</v>
      </c>
      <c r="B22" s="12">
        <f t="shared" si="1"/>
        <v>10118</v>
      </c>
      <c r="C22" s="66"/>
      <c r="D22" s="65"/>
      <c r="E22" s="66"/>
      <c r="F22" s="66"/>
      <c r="G22" s="66">
        <v>10118</v>
      </c>
    </row>
    <row r="23" spans="1:7" ht="10.5">
      <c r="A23" t="s">
        <v>838</v>
      </c>
      <c r="B23" s="12">
        <f t="shared" si="1"/>
        <v>20236.94</v>
      </c>
      <c r="C23" s="66"/>
      <c r="D23" s="65"/>
      <c r="E23" s="66"/>
      <c r="F23" s="66"/>
      <c r="G23" s="65">
        <v>20236.94</v>
      </c>
    </row>
    <row r="24" spans="1:7" ht="10.5">
      <c r="A24" t="s">
        <v>839</v>
      </c>
      <c r="B24" s="12">
        <f t="shared" si="1"/>
        <v>30355.41</v>
      </c>
      <c r="C24" s="66"/>
      <c r="D24" s="65"/>
      <c r="E24" s="66"/>
      <c r="F24" s="66"/>
      <c r="G24" s="65">
        <v>30355.41</v>
      </c>
    </row>
    <row r="25" spans="1:7" ht="10.5">
      <c r="A25" t="s">
        <v>603</v>
      </c>
      <c r="B25" s="12">
        <f t="shared" si="1"/>
        <v>769003.72</v>
      </c>
      <c r="C25" s="66"/>
      <c r="D25" s="65">
        <v>769003.72</v>
      </c>
      <c r="E25" s="66"/>
      <c r="F25" s="66"/>
      <c r="G25" s="66"/>
    </row>
    <row r="26" spans="1:7" ht="10.5">
      <c r="A26" t="s">
        <v>610</v>
      </c>
      <c r="B26" s="12">
        <f t="shared" si="1"/>
        <v>354146.45</v>
      </c>
      <c r="C26" s="66"/>
      <c r="D26" s="65">
        <v>354146.45</v>
      </c>
      <c r="E26" s="66"/>
      <c r="F26" s="66"/>
      <c r="G26" s="66"/>
    </row>
    <row r="27" spans="1:7" ht="12.75">
      <c r="A27" t="s">
        <v>580</v>
      </c>
      <c r="B27" s="14">
        <f t="shared" si="1"/>
        <v>20237</v>
      </c>
      <c r="C27" s="70"/>
      <c r="D27" s="70"/>
      <c r="E27" s="70">
        <v>20237</v>
      </c>
      <c r="F27" s="70"/>
      <c r="G27" s="70"/>
    </row>
    <row r="28" spans="1:7" ht="12.75">
      <c r="A28" s="1" t="s">
        <v>16</v>
      </c>
      <c r="B28" s="25">
        <f aca="true" t="shared" si="2" ref="B28:G28">SUM(B10:B27)</f>
        <v>2580209.4399999995</v>
      </c>
      <c r="C28" s="25">
        <f t="shared" si="2"/>
        <v>0</v>
      </c>
      <c r="D28" s="25">
        <f t="shared" si="2"/>
        <v>1416585.8</v>
      </c>
      <c r="E28" s="25">
        <f t="shared" si="2"/>
        <v>20237</v>
      </c>
      <c r="F28" s="25">
        <f t="shared" si="2"/>
        <v>70829.29</v>
      </c>
      <c r="G28" s="25">
        <f t="shared" si="2"/>
        <v>1072557.3499999996</v>
      </c>
    </row>
    <row r="29" spans="2:7" ht="10.5">
      <c r="B29" s="19"/>
      <c r="C29" s="19"/>
      <c r="D29" s="19"/>
      <c r="E29" s="19"/>
      <c r="F29" s="19"/>
      <c r="G29" s="19"/>
    </row>
    <row r="30" spans="1:7" ht="12.75">
      <c r="A30" s="1" t="s">
        <v>618</v>
      </c>
      <c r="B30" s="26">
        <f>SUM(C30:G30)</f>
        <v>1</v>
      </c>
      <c r="C30" s="26">
        <f>C28/$B$28</f>
        <v>0</v>
      </c>
      <c r="D30" s="26">
        <f>D28/$B$28</f>
        <v>0.5490196950833574</v>
      </c>
      <c r="E30" s="26">
        <f>E28/$B$28</f>
        <v>0.007843161755117059</v>
      </c>
      <c r="F30" s="26">
        <f>F28/$B$28</f>
        <v>0.027450984754167865</v>
      </c>
      <c r="G30" s="26">
        <f>G28/$B$28</f>
        <v>0.41568615840735773</v>
      </c>
    </row>
    <row r="32" spans="3:7" ht="10.5">
      <c r="C32" s="22"/>
      <c r="D32" s="22"/>
      <c r="F32" s="22"/>
      <c r="G32" s="22"/>
    </row>
    <row r="36" ht="10.5">
      <c r="B36" s="6" t="s">
        <v>835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workbookViewId="0" topLeftCell="A1">
      <selection activeCell="A95" sqref="A95"/>
    </sheetView>
  </sheetViews>
  <sheetFormatPr defaultColWidth="9.140625" defaultRowHeight="12"/>
  <cols>
    <col min="1" max="1" width="14.7109375" style="0" customWidth="1"/>
    <col min="2" max="2" width="9.28125" style="1" customWidth="1"/>
    <col min="3" max="3" width="15.8515625" style="0" customWidth="1"/>
    <col min="5" max="5" width="11.00390625" style="0" customWidth="1"/>
    <col min="6" max="6" width="11.140625" style="0" bestFit="1" customWidth="1"/>
    <col min="7" max="7" width="11.7109375" style="0" bestFit="1" customWidth="1"/>
    <col min="9" max="9" width="2.8515625" style="0" customWidth="1"/>
    <col min="10" max="10" width="12.140625" style="0" customWidth="1"/>
    <col min="11" max="11" width="11.7109375" style="0" bestFit="1" customWidth="1"/>
    <col min="12" max="12" width="9.7109375" style="0" bestFit="1" customWidth="1"/>
    <col min="13" max="13" width="11.7109375" style="0" bestFit="1" customWidth="1"/>
    <col min="14" max="14" width="10.421875" style="0" customWidth="1"/>
    <col min="15" max="15" width="10.7109375" style="0" bestFit="1" customWidth="1"/>
    <col min="16" max="16" width="9.421875" style="0" bestFit="1" customWidth="1"/>
    <col min="17" max="17" width="10.8515625" style="0" bestFit="1" customWidth="1"/>
    <col min="19" max="20" width="9.421875" style="0" bestFit="1" customWidth="1"/>
    <col min="21" max="21" width="9.7109375" style="0" bestFit="1" customWidth="1"/>
    <col min="23" max="24" width="9.421875" style="0" bestFit="1" customWidth="1"/>
    <col min="25" max="25" width="9.7109375" style="0" bestFit="1" customWidth="1"/>
    <col min="27" max="29" width="9.421875" style="0" bestFit="1" customWidth="1"/>
    <col min="32" max="32" width="11.7109375" style="0" customWidth="1"/>
    <col min="33" max="33" width="9.28125" style="1" customWidth="1"/>
    <col min="34" max="34" width="11.7109375" style="0" bestFit="1" customWidth="1"/>
    <col min="35" max="35" width="11.28125" style="0" customWidth="1"/>
    <col min="37" max="37" width="11.00390625" style="0" customWidth="1"/>
    <col min="38" max="38" width="11.421875" style="0" customWidth="1"/>
  </cols>
  <sheetData>
    <row r="1" spans="5:18" ht="10.5">
      <c r="E1" s="23" t="s">
        <v>60</v>
      </c>
      <c r="Q1" s="23" t="s">
        <v>60</v>
      </c>
      <c r="R1" s="23"/>
    </row>
    <row r="2" spans="5:37" ht="10.5">
      <c r="E2" s="23" t="s">
        <v>624</v>
      </c>
      <c r="Q2" s="23" t="s">
        <v>624</v>
      </c>
      <c r="R2" s="23"/>
      <c r="AK2" s="23" t="s">
        <v>60</v>
      </c>
    </row>
    <row r="3" spans="5:37" ht="10.5">
      <c r="E3" s="23" t="s">
        <v>625</v>
      </c>
      <c r="Q3" s="23" t="s">
        <v>625</v>
      </c>
      <c r="R3" s="23"/>
      <c r="AK3" s="23" t="s">
        <v>624</v>
      </c>
    </row>
    <row r="4" ht="10.5">
      <c r="AK4" s="23" t="s">
        <v>625</v>
      </c>
    </row>
    <row r="6" spans="1:39" ht="10.5">
      <c r="A6" s="23"/>
      <c r="B6" s="23"/>
      <c r="C6" s="23"/>
      <c r="D6" s="23" t="s">
        <v>628</v>
      </c>
      <c r="E6" s="23"/>
      <c r="F6" s="23"/>
      <c r="G6" s="23" t="s">
        <v>631</v>
      </c>
      <c r="AF6" s="23"/>
      <c r="AG6" s="23" t="s">
        <v>656</v>
      </c>
      <c r="AH6" s="23" t="s">
        <v>734</v>
      </c>
      <c r="AI6" s="10" t="s">
        <v>737</v>
      </c>
      <c r="AJ6" s="23" t="s">
        <v>574</v>
      </c>
      <c r="AK6" s="23" t="s">
        <v>739</v>
      </c>
      <c r="AL6" s="10" t="s">
        <v>737</v>
      </c>
      <c r="AM6" s="23" t="s">
        <v>574</v>
      </c>
    </row>
    <row r="7" spans="1:40" ht="10.5">
      <c r="A7" s="23" t="s">
        <v>626</v>
      </c>
      <c r="B7" s="23" t="s">
        <v>627</v>
      </c>
      <c r="C7" s="23" t="s">
        <v>30</v>
      </c>
      <c r="D7" s="23" t="s">
        <v>629</v>
      </c>
      <c r="E7" s="23" t="s">
        <v>628</v>
      </c>
      <c r="F7" s="23" t="s">
        <v>630</v>
      </c>
      <c r="G7" s="23" t="s">
        <v>632</v>
      </c>
      <c r="AG7" s="8" t="s">
        <v>658</v>
      </c>
      <c r="AH7" s="8" t="s">
        <v>735</v>
      </c>
      <c r="AI7" s="53" t="s">
        <v>736</v>
      </c>
      <c r="AJ7" s="8" t="s">
        <v>635</v>
      </c>
      <c r="AK7" s="8" t="s">
        <v>738</v>
      </c>
      <c r="AL7" s="53" t="s">
        <v>736</v>
      </c>
      <c r="AM7" s="8" t="s">
        <v>637</v>
      </c>
      <c r="AN7" s="48" t="s">
        <v>16</v>
      </c>
    </row>
    <row r="8" spans="1:7" ht="10.5">
      <c r="A8" s="23"/>
      <c r="B8" s="23"/>
      <c r="C8" s="23"/>
      <c r="D8" s="23"/>
      <c r="E8" s="23"/>
      <c r="F8" s="23"/>
      <c r="G8" s="23"/>
    </row>
    <row r="9" spans="1:40" ht="10.5">
      <c r="A9" s="30" t="s">
        <v>635</v>
      </c>
      <c r="B9" s="23"/>
      <c r="C9" s="23"/>
      <c r="D9" s="23"/>
      <c r="E9" s="23"/>
      <c r="F9" s="23"/>
      <c r="G9" s="23"/>
      <c r="AF9" s="8" t="s">
        <v>752</v>
      </c>
      <c r="AG9" s="1" t="s">
        <v>653</v>
      </c>
      <c r="AH9" s="6">
        <f>1454+2-1</f>
        <v>1455</v>
      </c>
      <c r="AI9" s="6">
        <v>348</v>
      </c>
      <c r="AJ9" s="20">
        <f aca="true" t="shared" si="0" ref="AJ9:AJ19">AH9-AI9</f>
        <v>1107</v>
      </c>
      <c r="AK9" s="6">
        <v>1</v>
      </c>
      <c r="AL9" s="6"/>
      <c r="AM9">
        <f aca="true" t="shared" si="1" ref="AM9:AM19">AK9-AL9</f>
        <v>1</v>
      </c>
      <c r="AN9">
        <f aca="true" t="shared" si="2" ref="AN9:AN19">AJ9+AM9</f>
        <v>1108</v>
      </c>
    </row>
    <row r="10" spans="2:40" ht="10.5">
      <c r="B10" s="28"/>
      <c r="D10" s="1"/>
      <c r="E10" s="32"/>
      <c r="J10" s="23" t="s">
        <v>656</v>
      </c>
      <c r="K10" s="293" t="s">
        <v>648</v>
      </c>
      <c r="L10" s="293"/>
      <c r="M10" s="293"/>
      <c r="N10" s="23" t="s">
        <v>656</v>
      </c>
      <c r="O10" s="293" t="s">
        <v>650</v>
      </c>
      <c r="P10" s="293"/>
      <c r="Q10" s="293"/>
      <c r="R10" s="23" t="s">
        <v>659</v>
      </c>
      <c r="S10" s="293" t="s">
        <v>580</v>
      </c>
      <c r="T10" s="293"/>
      <c r="U10" s="293"/>
      <c r="V10" s="23" t="s">
        <v>659</v>
      </c>
      <c r="W10" s="293" t="s">
        <v>654</v>
      </c>
      <c r="X10" s="293"/>
      <c r="Y10" s="293"/>
      <c r="Z10" s="23" t="s">
        <v>659</v>
      </c>
      <c r="AA10" s="293" t="s">
        <v>582</v>
      </c>
      <c r="AB10" s="293"/>
      <c r="AC10" s="293"/>
      <c r="AG10" s="1" t="s">
        <v>525</v>
      </c>
      <c r="AH10" s="6">
        <f>110625-AK10</f>
        <v>110557</v>
      </c>
      <c r="AI10" s="6">
        <f>9837-AL10</f>
        <v>9803</v>
      </c>
      <c r="AJ10" s="20">
        <f t="shared" si="0"/>
        <v>100754</v>
      </c>
      <c r="AK10" s="6">
        <f>28+1+39</f>
        <v>68</v>
      </c>
      <c r="AL10" s="6">
        <v>34</v>
      </c>
      <c r="AM10">
        <f t="shared" si="1"/>
        <v>34</v>
      </c>
      <c r="AN10">
        <f t="shared" si="2"/>
        <v>100788</v>
      </c>
    </row>
    <row r="11" spans="2:40" ht="10.5">
      <c r="B11" s="28">
        <v>6551</v>
      </c>
      <c r="C11" t="s">
        <v>633</v>
      </c>
      <c r="D11" s="1">
        <v>15</v>
      </c>
      <c r="E11" s="29" t="s">
        <v>634</v>
      </c>
      <c r="F11" s="65">
        <v>2</v>
      </c>
      <c r="G11" s="65">
        <v>120.95</v>
      </c>
      <c r="H11" s="73"/>
      <c r="J11" s="8" t="s">
        <v>657</v>
      </c>
      <c r="K11" s="8" t="s">
        <v>635</v>
      </c>
      <c r="L11" s="8" t="s">
        <v>649</v>
      </c>
      <c r="M11" s="8" t="s">
        <v>16</v>
      </c>
      <c r="N11" s="8" t="s">
        <v>658</v>
      </c>
      <c r="O11" s="8" t="s">
        <v>635</v>
      </c>
      <c r="P11" s="8" t="s">
        <v>649</v>
      </c>
      <c r="Q11" s="8" t="s">
        <v>16</v>
      </c>
      <c r="R11" s="8" t="s">
        <v>658</v>
      </c>
      <c r="S11" s="8" t="s">
        <v>635</v>
      </c>
      <c r="T11" s="8" t="s">
        <v>649</v>
      </c>
      <c r="U11" s="8" t="s">
        <v>16</v>
      </c>
      <c r="V11" s="8" t="s">
        <v>658</v>
      </c>
      <c r="W11" s="8" t="s">
        <v>635</v>
      </c>
      <c r="X11" s="8" t="s">
        <v>649</v>
      </c>
      <c r="Y11" s="8" t="s">
        <v>16</v>
      </c>
      <c r="Z11" s="8" t="s">
        <v>658</v>
      </c>
      <c r="AA11" s="8" t="s">
        <v>635</v>
      </c>
      <c r="AB11" s="8" t="s">
        <v>649</v>
      </c>
      <c r="AC11" s="8" t="s">
        <v>16</v>
      </c>
      <c r="AG11" s="1" t="s">
        <v>538</v>
      </c>
      <c r="AH11" s="6">
        <f>32336-AK11</f>
        <v>32326</v>
      </c>
      <c r="AI11" s="6">
        <f>1202-AL11</f>
        <v>1197</v>
      </c>
      <c r="AJ11" s="20">
        <f t="shared" si="0"/>
        <v>31129</v>
      </c>
      <c r="AK11" s="6">
        <f>6+4</f>
        <v>10</v>
      </c>
      <c r="AL11" s="6">
        <f>2+3</f>
        <v>5</v>
      </c>
      <c r="AM11">
        <f t="shared" si="1"/>
        <v>5</v>
      </c>
      <c r="AN11">
        <f t="shared" si="2"/>
        <v>31134</v>
      </c>
    </row>
    <row r="12" spans="2:40" ht="10.5">
      <c r="B12" s="28">
        <v>6551</v>
      </c>
      <c r="C12" t="s">
        <v>633</v>
      </c>
      <c r="D12" s="1">
        <v>18</v>
      </c>
      <c r="E12" s="31" t="s">
        <v>636</v>
      </c>
      <c r="F12" s="65">
        <v>8</v>
      </c>
      <c r="G12" s="65">
        <v>1515.48</v>
      </c>
      <c r="K12" s="8"/>
      <c r="L12" s="8"/>
      <c r="M12" s="8"/>
      <c r="AG12" s="1" t="s">
        <v>651</v>
      </c>
      <c r="AH12" s="6">
        <v>36</v>
      </c>
      <c r="AI12" s="6">
        <v>7</v>
      </c>
      <c r="AJ12" s="20">
        <f t="shared" si="0"/>
        <v>29</v>
      </c>
      <c r="AK12" s="6"/>
      <c r="AL12" s="6"/>
      <c r="AM12">
        <f t="shared" si="1"/>
        <v>0</v>
      </c>
      <c r="AN12">
        <f t="shared" si="2"/>
        <v>29</v>
      </c>
    </row>
    <row r="13" spans="2:40" ht="10.5">
      <c r="B13" s="28"/>
      <c r="D13" s="1"/>
      <c r="E13" s="31"/>
      <c r="F13" s="65"/>
      <c r="G13" s="65"/>
      <c r="AG13" s="1" t="s">
        <v>606</v>
      </c>
      <c r="AH13" s="6">
        <v>13</v>
      </c>
      <c r="AI13" s="6"/>
      <c r="AJ13" s="20">
        <f t="shared" si="0"/>
        <v>13</v>
      </c>
      <c r="AK13" s="6"/>
      <c r="AL13" s="6"/>
      <c r="AM13">
        <f t="shared" si="1"/>
        <v>0</v>
      </c>
      <c r="AN13">
        <f t="shared" si="2"/>
        <v>13</v>
      </c>
    </row>
    <row r="14" spans="2:40" ht="12.75">
      <c r="B14" s="28">
        <v>6551</v>
      </c>
      <c r="C14" t="s">
        <v>633</v>
      </c>
      <c r="D14" s="1">
        <v>96</v>
      </c>
      <c r="E14" s="32" t="s">
        <v>647</v>
      </c>
      <c r="F14" s="65">
        <f>39592</f>
        <v>39592</v>
      </c>
      <c r="G14" s="65">
        <f>3401280.24</f>
        <v>3401280.24</v>
      </c>
      <c r="J14" s="1" t="s">
        <v>842</v>
      </c>
      <c r="K14" s="11">
        <f>AJ21</f>
        <v>133673</v>
      </c>
      <c r="L14" s="14">
        <f>AM21</f>
        <v>40</v>
      </c>
      <c r="M14" s="11">
        <f>SUM(K14:L14)</f>
        <v>133713</v>
      </c>
      <c r="O14" s="11">
        <f>AJ37</f>
        <v>13818</v>
      </c>
      <c r="P14" s="11">
        <f>AM37</f>
        <v>387</v>
      </c>
      <c r="Q14" s="11">
        <f>SUM(O14:P14)</f>
        <v>14205</v>
      </c>
      <c r="S14" s="11">
        <f>AJ39</f>
        <v>2</v>
      </c>
      <c r="T14" s="11">
        <f>AM39</f>
        <v>0</v>
      </c>
      <c r="U14" s="11">
        <f>SUM(S14:T14)</f>
        <v>2</v>
      </c>
      <c r="V14" s="11"/>
      <c r="W14" s="14">
        <f>AJ41</f>
        <v>0</v>
      </c>
      <c r="X14" s="11">
        <f>AM41</f>
        <v>0</v>
      </c>
      <c r="Y14" s="11">
        <f>SUM(W14:X14)</f>
        <v>0</v>
      </c>
      <c r="AA14" s="11">
        <f>AJ48</f>
        <v>57</v>
      </c>
      <c r="AB14" s="11">
        <f>AM48</f>
        <v>128</v>
      </c>
      <c r="AC14" s="11">
        <f>SUM(AA14:AB14)</f>
        <v>185</v>
      </c>
      <c r="AG14" s="1" t="s">
        <v>740</v>
      </c>
      <c r="AH14" s="6">
        <v>1</v>
      </c>
      <c r="AI14" s="6"/>
      <c r="AJ14" s="20">
        <f t="shared" si="0"/>
        <v>1</v>
      </c>
      <c r="AK14" s="6"/>
      <c r="AL14" s="6"/>
      <c r="AM14">
        <f t="shared" si="1"/>
        <v>0</v>
      </c>
      <c r="AN14">
        <f t="shared" si="2"/>
        <v>1</v>
      </c>
    </row>
    <row r="15" spans="2:40" ht="10.5">
      <c r="B15" s="28">
        <v>6552</v>
      </c>
      <c r="C15" t="s">
        <v>638</v>
      </c>
      <c r="D15" s="1">
        <v>96</v>
      </c>
      <c r="E15" s="32" t="s">
        <v>647</v>
      </c>
      <c r="F15" s="65">
        <v>78441</v>
      </c>
      <c r="G15" s="65">
        <v>34812351</v>
      </c>
      <c r="J15" s="1" t="s">
        <v>843</v>
      </c>
      <c r="AG15" s="1" t="s">
        <v>527</v>
      </c>
      <c r="AH15" s="6">
        <v>6</v>
      </c>
      <c r="AI15" s="6"/>
      <c r="AJ15" s="20">
        <f t="shared" si="0"/>
        <v>6</v>
      </c>
      <c r="AK15" s="6"/>
      <c r="AL15" s="6"/>
      <c r="AM15">
        <f t="shared" si="1"/>
        <v>0</v>
      </c>
      <c r="AN15">
        <f t="shared" si="2"/>
        <v>6</v>
      </c>
    </row>
    <row r="16" spans="2:40" ht="10.5">
      <c r="B16" s="28">
        <v>6554</v>
      </c>
      <c r="C16" t="s">
        <v>639</v>
      </c>
      <c r="D16" s="1">
        <v>96</v>
      </c>
      <c r="E16" s="32" t="s">
        <v>647</v>
      </c>
      <c r="F16" s="65">
        <v>55</v>
      </c>
      <c r="G16" s="65">
        <v>34950.91</v>
      </c>
      <c r="AG16" s="1" t="s">
        <v>608</v>
      </c>
      <c r="AH16" s="6">
        <v>2</v>
      </c>
      <c r="AI16" s="6"/>
      <c r="AJ16" s="20">
        <f t="shared" si="0"/>
        <v>2</v>
      </c>
      <c r="AK16" s="6"/>
      <c r="AL16" s="6"/>
      <c r="AM16">
        <f t="shared" si="1"/>
        <v>0</v>
      </c>
      <c r="AN16">
        <f t="shared" si="2"/>
        <v>2</v>
      </c>
    </row>
    <row r="17" spans="2:40" ht="10.5">
      <c r="B17" s="28">
        <v>6555</v>
      </c>
      <c r="C17" t="s">
        <v>639</v>
      </c>
      <c r="D17" s="1">
        <v>96</v>
      </c>
      <c r="E17" s="32" t="s">
        <v>647</v>
      </c>
      <c r="F17" s="65">
        <v>49810</v>
      </c>
      <c r="G17" s="65">
        <v>24702126.53</v>
      </c>
      <c r="J17" t="s">
        <v>844</v>
      </c>
      <c r="K17" s="27">
        <f>$H$25</f>
        <v>397.58138081710547</v>
      </c>
      <c r="L17" s="27">
        <f>$H$45</f>
        <v>1038.804977827051</v>
      </c>
      <c r="O17" s="27">
        <f>$H$25</f>
        <v>397.58138081710547</v>
      </c>
      <c r="P17" s="27">
        <f>$H$45</f>
        <v>1038.804977827051</v>
      </c>
      <c r="S17" s="27">
        <f>$H$25</f>
        <v>397.58138081710547</v>
      </c>
      <c r="T17" s="27">
        <f>$H$45</f>
        <v>1038.804977827051</v>
      </c>
      <c r="W17" s="27">
        <f>$H$25</f>
        <v>397.58138081710547</v>
      </c>
      <c r="X17" s="27">
        <f>$H$45</f>
        <v>1038.804977827051</v>
      </c>
      <c r="AA17" s="27">
        <f>$H$25</f>
        <v>397.58138081710547</v>
      </c>
      <c r="AB17" s="27">
        <f>$H$45</f>
        <v>1038.804977827051</v>
      </c>
      <c r="AG17" s="1" t="s">
        <v>533</v>
      </c>
      <c r="AH17" s="6">
        <v>2</v>
      </c>
      <c r="AI17" s="6"/>
      <c r="AJ17" s="20">
        <f t="shared" si="0"/>
        <v>2</v>
      </c>
      <c r="AK17" s="6"/>
      <c r="AL17" s="6"/>
      <c r="AM17">
        <f t="shared" si="1"/>
        <v>0</v>
      </c>
      <c r="AN17">
        <f t="shared" si="2"/>
        <v>2</v>
      </c>
    </row>
    <row r="18" spans="2:40" ht="10.5">
      <c r="B18" s="28">
        <v>6556</v>
      </c>
      <c r="C18" t="s">
        <v>639</v>
      </c>
      <c r="D18" s="1">
        <v>96</v>
      </c>
      <c r="E18" s="32" t="s">
        <v>647</v>
      </c>
      <c r="F18" s="65">
        <v>1</v>
      </c>
      <c r="G18" s="65">
        <v>616.6</v>
      </c>
      <c r="AG18" s="1" t="s">
        <v>534</v>
      </c>
      <c r="AH18" s="6">
        <v>1</v>
      </c>
      <c r="AI18" s="6"/>
      <c r="AJ18" s="20">
        <f t="shared" si="0"/>
        <v>1</v>
      </c>
      <c r="AK18" s="6"/>
      <c r="AL18" s="6"/>
      <c r="AM18">
        <f t="shared" si="1"/>
        <v>0</v>
      </c>
      <c r="AN18">
        <f t="shared" si="2"/>
        <v>1</v>
      </c>
    </row>
    <row r="19" spans="2:40" ht="10.5">
      <c r="B19" s="28">
        <v>6558</v>
      </c>
      <c r="C19" t="s">
        <v>633</v>
      </c>
      <c r="D19" s="1">
        <v>96</v>
      </c>
      <c r="E19" s="32" t="s">
        <v>647</v>
      </c>
      <c r="F19" s="65">
        <v>16472</v>
      </c>
      <c r="G19" s="65">
        <v>10336206.47</v>
      </c>
      <c r="J19" s="120">
        <f>M19+Q19+U19+Y19+AC19</f>
        <v>59239669.50225793</v>
      </c>
      <c r="K19" s="120">
        <f>K14*K17</f>
        <v>53145895.91796494</v>
      </c>
      <c r="L19" s="120">
        <f>L14*L17</f>
        <v>41552.19911308204</v>
      </c>
      <c r="M19" s="120">
        <f>SUM(K19:L19)</f>
        <v>53187448.11707802</v>
      </c>
      <c r="N19" s="120"/>
      <c r="O19" s="120">
        <f>O14*O17</f>
        <v>5493779.520130764</v>
      </c>
      <c r="P19" s="120">
        <f>P14*P17</f>
        <v>402017.52641906874</v>
      </c>
      <c r="Q19" s="120">
        <f>SUM(O19:P19)</f>
        <v>5895797.046549832</v>
      </c>
      <c r="R19" s="120"/>
      <c r="S19" s="120">
        <f>S14*S17</f>
        <v>795.1627616342109</v>
      </c>
      <c r="T19" s="120">
        <f>T14*T17</f>
        <v>0</v>
      </c>
      <c r="U19" s="120">
        <f>SUM(S19:T19)</f>
        <v>795.1627616342109</v>
      </c>
      <c r="V19" s="120"/>
      <c r="W19" s="120">
        <f>W14*W17</f>
        <v>0</v>
      </c>
      <c r="X19" s="120">
        <f>X14*X17</f>
        <v>0</v>
      </c>
      <c r="Y19" s="120">
        <f>SUM(W19:X19)</f>
        <v>0</v>
      </c>
      <c r="Z19" s="120"/>
      <c r="AA19" s="120">
        <f>AA14*AA17</f>
        <v>22662.138706575013</v>
      </c>
      <c r="AB19" s="120">
        <f>AB14*AB17</f>
        <v>132967.03716186254</v>
      </c>
      <c r="AC19" s="120">
        <f>SUM(AA19:AB19)</f>
        <v>155629.17586843754</v>
      </c>
      <c r="AG19" s="1" t="s">
        <v>652</v>
      </c>
      <c r="AH19" s="6">
        <f>820-AK19</f>
        <v>817</v>
      </c>
      <c r="AI19" s="6">
        <f>191-AL19</f>
        <v>188</v>
      </c>
      <c r="AJ19" s="20">
        <f t="shared" si="0"/>
        <v>629</v>
      </c>
      <c r="AK19" s="6">
        <f>1+2</f>
        <v>3</v>
      </c>
      <c r="AL19" s="6">
        <f>1+2</f>
        <v>3</v>
      </c>
      <c r="AM19">
        <f t="shared" si="1"/>
        <v>0</v>
      </c>
      <c r="AN19">
        <f t="shared" si="2"/>
        <v>629</v>
      </c>
    </row>
    <row r="20" spans="2:38" ht="10.5">
      <c r="B20" s="28">
        <v>6559</v>
      </c>
      <c r="C20" t="s">
        <v>633</v>
      </c>
      <c r="D20" s="1">
        <v>96</v>
      </c>
      <c r="E20" s="32" t="s">
        <v>647</v>
      </c>
      <c r="F20" s="65">
        <v>74</v>
      </c>
      <c r="G20" s="65">
        <v>46517.72</v>
      </c>
      <c r="AH20" s="6"/>
      <c r="AI20" s="6"/>
      <c r="AJ20" s="20"/>
      <c r="AK20" s="6"/>
      <c r="AL20" s="6"/>
    </row>
    <row r="21" spans="2:40" ht="10.5">
      <c r="B21" s="28">
        <v>6655</v>
      </c>
      <c r="C21" t="s">
        <v>633</v>
      </c>
      <c r="D21" s="1">
        <v>16</v>
      </c>
      <c r="E21" s="32" t="s">
        <v>647</v>
      </c>
      <c r="F21" s="65">
        <v>1</v>
      </c>
      <c r="G21" s="65">
        <v>585.28</v>
      </c>
      <c r="J21" s="23" t="s">
        <v>618</v>
      </c>
      <c r="K21" s="40">
        <f>SUM(M21:AC21)</f>
        <v>0.9999999999999999</v>
      </c>
      <c r="L21" s="10"/>
      <c r="M21" s="41">
        <f>M19/$J$19</f>
        <v>0.897834990707549</v>
      </c>
      <c r="N21" s="10"/>
      <c r="O21" s="10"/>
      <c r="P21" s="10"/>
      <c r="Q21" s="41">
        <f>Q19/$J$19</f>
        <v>0.09952447567799333</v>
      </c>
      <c r="R21" s="10"/>
      <c r="S21" s="10"/>
      <c r="T21" s="10"/>
      <c r="U21" s="41">
        <f>U19/$J$19</f>
        <v>1.34228088764726E-05</v>
      </c>
      <c r="V21" s="10"/>
      <c r="W21" s="10"/>
      <c r="X21" s="10"/>
      <c r="Y21" s="41">
        <f>Y19/$J$19</f>
        <v>0</v>
      </c>
      <c r="Z21" s="10"/>
      <c r="AA21" s="10"/>
      <c r="AB21" s="10"/>
      <c r="AC21" s="40">
        <f>AC19/$J$19</f>
        <v>0.0026271108055811437</v>
      </c>
      <c r="AG21" s="1" t="s">
        <v>16</v>
      </c>
      <c r="AH21" s="10">
        <f>SUM(AH9:AH19)</f>
        <v>145216</v>
      </c>
      <c r="AI21" s="10">
        <f aca="true" t="shared" si="3" ref="AI21:AN21">SUM(AI9:AI19)</f>
        <v>11543</v>
      </c>
      <c r="AJ21" s="10">
        <f t="shared" si="3"/>
        <v>133673</v>
      </c>
      <c r="AK21" s="10">
        <f t="shared" si="3"/>
        <v>82</v>
      </c>
      <c r="AL21" s="10">
        <f t="shared" si="3"/>
        <v>42</v>
      </c>
      <c r="AM21" s="10">
        <f t="shared" si="3"/>
        <v>40</v>
      </c>
      <c r="AN21" s="10">
        <f t="shared" si="3"/>
        <v>133713</v>
      </c>
    </row>
    <row r="22" spans="2:7" ht="12.75">
      <c r="B22" s="28"/>
      <c r="D22" s="1"/>
      <c r="E22" s="32"/>
      <c r="F22" s="14">
        <v>0</v>
      </c>
      <c r="G22" s="14">
        <v>0</v>
      </c>
    </row>
    <row r="23" spans="2:40" ht="12.75">
      <c r="B23" s="28"/>
      <c r="D23" s="1"/>
      <c r="E23" s="32"/>
      <c r="F23" s="14"/>
      <c r="G23" s="14"/>
      <c r="AF23" s="10" t="s">
        <v>666</v>
      </c>
      <c r="AG23" s="1" t="s">
        <v>741</v>
      </c>
      <c r="AH23" s="65">
        <f>93-AK23</f>
        <v>92</v>
      </c>
      <c r="AI23" s="65">
        <v>30</v>
      </c>
      <c r="AJ23" s="118">
        <f aca="true" t="shared" si="4" ref="AJ23:AJ35">AH23-AI23</f>
        <v>62</v>
      </c>
      <c r="AK23" s="65">
        <v>1</v>
      </c>
      <c r="AL23" s="65"/>
      <c r="AM23">
        <f aca="true" t="shared" si="5" ref="AM23:AM35">AK23-AL23</f>
        <v>1</v>
      </c>
      <c r="AN23">
        <f aca="true" t="shared" si="6" ref="AN23:AN35">AJ23+AM23</f>
        <v>63</v>
      </c>
    </row>
    <row r="24" spans="2:40" ht="13.5" thickBot="1">
      <c r="B24" s="28"/>
      <c r="D24" s="1"/>
      <c r="E24" s="32"/>
      <c r="F24" s="14"/>
      <c r="G24" s="14"/>
      <c r="AG24" s="1" t="s">
        <v>742</v>
      </c>
      <c r="AH24" s="65">
        <f>13022-AK24</f>
        <v>12711</v>
      </c>
      <c r="AI24" s="65">
        <f>2886-AL24</f>
        <v>2851</v>
      </c>
      <c r="AJ24" s="118">
        <f t="shared" si="4"/>
        <v>9860</v>
      </c>
      <c r="AK24" s="65">
        <f>194+110+7</f>
        <v>311</v>
      </c>
      <c r="AL24" s="65">
        <f>10+25</f>
        <v>35</v>
      </c>
      <c r="AM24">
        <f t="shared" si="5"/>
        <v>276</v>
      </c>
      <c r="AN24">
        <f t="shared" si="6"/>
        <v>10136</v>
      </c>
    </row>
    <row r="25" spans="1:40" ht="11.25" thickBot="1">
      <c r="A25" s="39" t="s">
        <v>644</v>
      </c>
      <c r="B25" s="28"/>
      <c r="D25" s="1"/>
      <c r="E25" s="32"/>
      <c r="F25" s="11">
        <f>SUM(F11:F22)</f>
        <v>184456</v>
      </c>
      <c r="G25" s="4">
        <f>SUM(G11:G22)</f>
        <v>73336271.18</v>
      </c>
      <c r="H25" s="37">
        <f>G25/F25</f>
        <v>397.58138081710547</v>
      </c>
      <c r="J25" t="s">
        <v>690</v>
      </c>
      <c r="AG25" s="1" t="s">
        <v>743</v>
      </c>
      <c r="AH25" s="65">
        <f>29-AK25</f>
        <v>13</v>
      </c>
      <c r="AI25" s="65"/>
      <c r="AJ25" s="118">
        <f t="shared" si="4"/>
        <v>13</v>
      </c>
      <c r="AK25" s="65">
        <f>10+6</f>
        <v>16</v>
      </c>
      <c r="AL25" s="65"/>
      <c r="AM25">
        <f t="shared" si="5"/>
        <v>16</v>
      </c>
      <c r="AN25">
        <f t="shared" si="6"/>
        <v>29</v>
      </c>
    </row>
    <row r="26" spans="2:40" ht="10.5">
      <c r="B26" s="28"/>
      <c r="D26" s="1"/>
      <c r="E26" s="32"/>
      <c r="AG26" s="1" t="s">
        <v>744</v>
      </c>
      <c r="AH26" s="65">
        <f>4554-AK26</f>
        <v>4468</v>
      </c>
      <c r="AI26" s="65">
        <f>743-AL26</f>
        <v>734</v>
      </c>
      <c r="AJ26" s="118">
        <f t="shared" si="4"/>
        <v>3734</v>
      </c>
      <c r="AK26" s="65">
        <f>82+1+3</f>
        <v>86</v>
      </c>
      <c r="AL26" s="65">
        <f>8+1</f>
        <v>9</v>
      </c>
      <c r="AM26">
        <f t="shared" si="5"/>
        <v>77</v>
      </c>
      <c r="AN26">
        <f t="shared" si="6"/>
        <v>3811</v>
      </c>
    </row>
    <row r="27" spans="1:40" ht="10.5">
      <c r="A27" s="9" t="s">
        <v>637</v>
      </c>
      <c r="B27" s="28"/>
      <c r="D27" s="1"/>
      <c r="E27" s="32"/>
      <c r="AG27" s="1" t="s">
        <v>745</v>
      </c>
      <c r="AH27" s="65">
        <v>4</v>
      </c>
      <c r="AI27" s="65"/>
      <c r="AJ27" s="118">
        <f t="shared" si="4"/>
        <v>4</v>
      </c>
      <c r="AK27" s="65"/>
      <c r="AL27" s="65"/>
      <c r="AM27">
        <f t="shared" si="5"/>
        <v>0</v>
      </c>
      <c r="AN27">
        <f t="shared" si="6"/>
        <v>4</v>
      </c>
    </row>
    <row r="28" spans="2:40" ht="10.5">
      <c r="B28" s="28">
        <v>6551</v>
      </c>
      <c r="C28" t="s">
        <v>633</v>
      </c>
      <c r="D28" s="1">
        <v>21</v>
      </c>
      <c r="E28" s="32">
        <v>3</v>
      </c>
      <c r="F28" s="65">
        <f>224</f>
        <v>224</v>
      </c>
      <c r="G28" s="65">
        <f>100873.12</f>
        <v>100873.12</v>
      </c>
      <c r="AG28" s="1" t="s">
        <v>746</v>
      </c>
      <c r="AH28" s="65">
        <v>2</v>
      </c>
      <c r="AI28" s="65"/>
      <c r="AJ28" s="118">
        <f t="shared" si="4"/>
        <v>2</v>
      </c>
      <c r="AK28" s="65"/>
      <c r="AL28" s="65"/>
      <c r="AM28">
        <f t="shared" si="5"/>
        <v>0</v>
      </c>
      <c r="AN28">
        <f t="shared" si="6"/>
        <v>2</v>
      </c>
    </row>
    <row r="29" spans="2:40" ht="10.5">
      <c r="B29" s="28">
        <v>6551</v>
      </c>
      <c r="C29" t="s">
        <v>633</v>
      </c>
      <c r="D29" s="1">
        <v>26</v>
      </c>
      <c r="E29" s="32">
        <v>4</v>
      </c>
      <c r="F29" s="65">
        <v>150</v>
      </c>
      <c r="G29" s="65">
        <v>65743.79</v>
      </c>
      <c r="J29" s="10" t="s">
        <v>761</v>
      </c>
      <c r="AG29" s="1" t="s">
        <v>747</v>
      </c>
      <c r="AH29" s="65">
        <v>2</v>
      </c>
      <c r="AI29" s="65"/>
      <c r="AJ29" s="118">
        <f t="shared" si="4"/>
        <v>2</v>
      </c>
      <c r="AK29" s="65"/>
      <c r="AL29" s="65"/>
      <c r="AM29">
        <f t="shared" si="5"/>
        <v>0</v>
      </c>
      <c r="AN29">
        <f t="shared" si="6"/>
        <v>2</v>
      </c>
    </row>
    <row r="30" spans="2:40" ht="10.5">
      <c r="B30" s="28">
        <v>6551</v>
      </c>
      <c r="C30" t="s">
        <v>633</v>
      </c>
      <c r="D30" s="1">
        <v>36</v>
      </c>
      <c r="E30" s="32">
        <v>6</v>
      </c>
      <c r="F30" s="65">
        <v>3</v>
      </c>
      <c r="G30" s="65">
        <v>5706.34</v>
      </c>
      <c r="AG30" s="1" t="s">
        <v>748</v>
      </c>
      <c r="AH30" s="65">
        <f>113</f>
        <v>113</v>
      </c>
      <c r="AI30" s="65">
        <f>42</f>
        <v>42</v>
      </c>
      <c r="AJ30" s="118">
        <f t="shared" si="4"/>
        <v>71</v>
      </c>
      <c r="AK30" s="65"/>
      <c r="AL30" s="65"/>
      <c r="AM30" s="73">
        <f t="shared" si="5"/>
        <v>0</v>
      </c>
      <c r="AN30">
        <f t="shared" si="6"/>
        <v>71</v>
      </c>
    </row>
    <row r="31" spans="2:40" ht="10.5">
      <c r="B31" s="28">
        <v>6551</v>
      </c>
      <c r="C31" t="s">
        <v>633</v>
      </c>
      <c r="D31" s="1">
        <v>40</v>
      </c>
      <c r="E31" s="32">
        <v>8</v>
      </c>
      <c r="F31" s="65">
        <v>1</v>
      </c>
      <c r="G31" s="65">
        <v>186.11</v>
      </c>
      <c r="K31" t="s">
        <v>762</v>
      </c>
      <c r="M31">
        <f>M14+Q14+U14+Y14+AC14</f>
        <v>148105</v>
      </c>
      <c r="AG31" s="1" t="s">
        <v>749</v>
      </c>
      <c r="AH31" s="65">
        <v>1</v>
      </c>
      <c r="AI31" s="65"/>
      <c r="AJ31" s="118">
        <f t="shared" si="4"/>
        <v>1</v>
      </c>
      <c r="AK31" s="65"/>
      <c r="AL31" s="65"/>
      <c r="AM31">
        <f t="shared" si="5"/>
        <v>0</v>
      </c>
      <c r="AN31">
        <f t="shared" si="6"/>
        <v>1</v>
      </c>
    </row>
    <row r="32" spans="2:40" ht="10.5">
      <c r="B32" s="28">
        <v>6551</v>
      </c>
      <c r="C32" t="s">
        <v>633</v>
      </c>
      <c r="D32" s="1">
        <v>50</v>
      </c>
      <c r="E32" s="32">
        <v>12</v>
      </c>
      <c r="F32" s="65">
        <v>1</v>
      </c>
      <c r="G32" s="65">
        <v>6627.73</v>
      </c>
      <c r="AG32" s="1" t="s">
        <v>750</v>
      </c>
      <c r="AH32" s="65">
        <f>58-AK32</f>
        <v>48</v>
      </c>
      <c r="AI32" s="65">
        <v>2</v>
      </c>
      <c r="AJ32" s="118">
        <f t="shared" si="4"/>
        <v>46</v>
      </c>
      <c r="AK32" s="65">
        <f>5+5</f>
        <v>10</v>
      </c>
      <c r="AL32" s="65"/>
      <c r="AM32">
        <f t="shared" si="5"/>
        <v>10</v>
      </c>
      <c r="AN32">
        <f t="shared" si="6"/>
        <v>56</v>
      </c>
    </row>
    <row r="33" spans="2:40" ht="10.5">
      <c r="B33" s="28">
        <v>6552</v>
      </c>
      <c r="C33" t="s">
        <v>638</v>
      </c>
      <c r="D33" s="1">
        <v>21</v>
      </c>
      <c r="E33" s="32">
        <v>3</v>
      </c>
      <c r="F33" s="65">
        <v>391</v>
      </c>
      <c r="G33" s="65">
        <v>335715.54</v>
      </c>
      <c r="K33" t="s">
        <v>763</v>
      </c>
      <c r="M33" s="54">
        <f>K17</f>
        <v>397.58138081710547</v>
      </c>
      <c r="AG33" s="1" t="s">
        <v>655</v>
      </c>
      <c r="AH33" s="65">
        <f>15</f>
        <v>15</v>
      </c>
      <c r="AI33" s="65"/>
      <c r="AJ33" s="118">
        <f t="shared" si="4"/>
        <v>15</v>
      </c>
      <c r="AK33" s="65">
        <v>3</v>
      </c>
      <c r="AL33" s="65"/>
      <c r="AM33">
        <f t="shared" si="5"/>
        <v>3</v>
      </c>
      <c r="AN33">
        <f t="shared" si="6"/>
        <v>18</v>
      </c>
    </row>
    <row r="34" spans="2:40" ht="10.5">
      <c r="B34" s="28">
        <v>6552</v>
      </c>
      <c r="C34" t="s">
        <v>638</v>
      </c>
      <c r="D34" s="1">
        <v>26</v>
      </c>
      <c r="E34" s="32">
        <v>4</v>
      </c>
      <c r="F34" s="65">
        <v>72</v>
      </c>
      <c r="G34" s="65">
        <v>241709.19</v>
      </c>
      <c r="AG34" s="1" t="s">
        <v>841</v>
      </c>
      <c r="AH34" s="65">
        <f>2-AK34</f>
        <v>0</v>
      </c>
      <c r="AI34" s="65"/>
      <c r="AJ34" s="118">
        <f t="shared" si="4"/>
        <v>0</v>
      </c>
      <c r="AK34" s="65">
        <v>2</v>
      </c>
      <c r="AL34" s="65"/>
      <c r="AM34">
        <f t="shared" si="5"/>
        <v>2</v>
      </c>
      <c r="AN34">
        <f t="shared" si="6"/>
        <v>2</v>
      </c>
    </row>
    <row r="35" spans="2:40" ht="10.5">
      <c r="B35" s="28">
        <v>6552</v>
      </c>
      <c r="C35" t="s">
        <v>638</v>
      </c>
      <c r="D35" s="1">
        <v>36</v>
      </c>
      <c r="E35" s="32">
        <v>6</v>
      </c>
      <c r="F35" s="65">
        <v>2</v>
      </c>
      <c r="G35" s="65">
        <v>12379.15</v>
      </c>
      <c r="K35" t="s">
        <v>764</v>
      </c>
      <c r="M35">
        <f>M31*M33</f>
        <v>58883790.405917406</v>
      </c>
      <c r="AG35" s="1" t="s">
        <v>751</v>
      </c>
      <c r="AH35" s="65">
        <f>12-AK35</f>
        <v>10</v>
      </c>
      <c r="AI35" s="65">
        <v>2</v>
      </c>
      <c r="AJ35" s="118">
        <f t="shared" si="4"/>
        <v>8</v>
      </c>
      <c r="AK35" s="65">
        <f>1+1</f>
        <v>2</v>
      </c>
      <c r="AL35" s="65"/>
      <c r="AM35" s="73">
        <f t="shared" si="5"/>
        <v>2</v>
      </c>
      <c r="AN35">
        <f t="shared" si="6"/>
        <v>10</v>
      </c>
    </row>
    <row r="36" spans="2:7" ht="10.5">
      <c r="B36" s="28">
        <v>6552</v>
      </c>
      <c r="C36" t="s">
        <v>638</v>
      </c>
      <c r="D36" s="1">
        <v>40</v>
      </c>
      <c r="E36" s="1">
        <v>8</v>
      </c>
      <c r="F36" s="65">
        <v>4</v>
      </c>
      <c r="G36" s="65">
        <v>25196.26</v>
      </c>
    </row>
    <row r="37" spans="2:40" ht="10.5">
      <c r="B37" s="28">
        <v>6554</v>
      </c>
      <c r="C37" t="s">
        <v>639</v>
      </c>
      <c r="D37" s="1">
        <v>21</v>
      </c>
      <c r="E37" s="1">
        <v>3</v>
      </c>
      <c r="F37" s="65">
        <v>2</v>
      </c>
      <c r="G37" s="65">
        <v>10250.33</v>
      </c>
      <c r="K37" t="s">
        <v>765</v>
      </c>
      <c r="M37">
        <f>J19</f>
        <v>59239669.50225793</v>
      </c>
      <c r="AH37" s="10">
        <f aca="true" t="shared" si="7" ref="AH37:AN37">SUM(AH23:AH35)</f>
        <v>17479</v>
      </c>
      <c r="AI37" s="10">
        <f t="shared" si="7"/>
        <v>3661</v>
      </c>
      <c r="AJ37" s="10">
        <f t="shared" si="7"/>
        <v>13818</v>
      </c>
      <c r="AK37" s="10">
        <f t="shared" si="7"/>
        <v>431</v>
      </c>
      <c r="AL37" s="10">
        <f t="shared" si="7"/>
        <v>44</v>
      </c>
      <c r="AM37" s="10">
        <f t="shared" si="7"/>
        <v>387</v>
      </c>
      <c r="AN37" s="10">
        <f t="shared" si="7"/>
        <v>14205</v>
      </c>
    </row>
    <row r="38" spans="2:7" ht="10.5">
      <c r="B38" s="28">
        <v>6554</v>
      </c>
      <c r="C38" t="s">
        <v>639</v>
      </c>
      <c r="D38" s="1">
        <v>26</v>
      </c>
      <c r="E38" s="1">
        <v>4</v>
      </c>
      <c r="F38" s="65">
        <v>3</v>
      </c>
      <c r="G38" s="65">
        <v>3216.74</v>
      </c>
    </row>
    <row r="39" spans="2:40" ht="10.5">
      <c r="B39" s="28">
        <v>6554</v>
      </c>
      <c r="C39" t="s">
        <v>639</v>
      </c>
      <c r="D39" s="1">
        <v>36</v>
      </c>
      <c r="E39" s="1">
        <v>6</v>
      </c>
      <c r="F39" s="65">
        <v>1</v>
      </c>
      <c r="G39" s="65">
        <v>7112.22</v>
      </c>
      <c r="K39" t="s">
        <v>766</v>
      </c>
      <c r="M39" s="46">
        <f>M35/M37</f>
        <v>0.9939925543249872</v>
      </c>
      <c r="AF39" s="10" t="s">
        <v>580</v>
      </c>
      <c r="AG39" s="1" t="s">
        <v>580</v>
      </c>
      <c r="AH39" s="119">
        <v>2</v>
      </c>
      <c r="AI39" s="119">
        <v>0</v>
      </c>
      <c r="AJ39" s="71">
        <f>AH39-AI39</f>
        <v>2</v>
      </c>
      <c r="AK39" s="119">
        <v>0</v>
      </c>
      <c r="AL39" s="119">
        <v>0</v>
      </c>
      <c r="AM39" s="71">
        <f>AK39-AL39</f>
        <v>0</v>
      </c>
      <c r="AN39" s="10">
        <f>AJ39+AM39</f>
        <v>2</v>
      </c>
    </row>
    <row r="40" spans="2:39" ht="10.5">
      <c r="B40" s="28">
        <v>6555</v>
      </c>
      <c r="C40" t="s">
        <v>639</v>
      </c>
      <c r="D40" s="1">
        <v>21</v>
      </c>
      <c r="E40" s="1">
        <v>3</v>
      </c>
      <c r="F40" s="65">
        <v>36</v>
      </c>
      <c r="G40" s="65">
        <v>74383.92</v>
      </c>
      <c r="AF40" s="10"/>
      <c r="AM40" s="118"/>
    </row>
    <row r="41" spans="2:40" ht="10.5">
      <c r="B41" s="28">
        <v>6555</v>
      </c>
      <c r="C41" t="s">
        <v>639</v>
      </c>
      <c r="D41" s="1">
        <v>26</v>
      </c>
      <c r="E41" s="1">
        <v>4</v>
      </c>
      <c r="F41" s="65">
        <v>9</v>
      </c>
      <c r="G41" s="65">
        <v>29691.41</v>
      </c>
      <c r="AF41" s="10" t="s">
        <v>753</v>
      </c>
      <c r="AG41" s="1" t="s">
        <v>612</v>
      </c>
      <c r="AH41" s="121">
        <v>0</v>
      </c>
      <c r="AI41" s="121">
        <v>0</v>
      </c>
      <c r="AJ41" s="71">
        <f>AH41-AI41</f>
        <v>0</v>
      </c>
      <c r="AK41" s="121">
        <v>0</v>
      </c>
      <c r="AL41" s="121">
        <v>0</v>
      </c>
      <c r="AM41" s="71">
        <f>AK41-AL41</f>
        <v>0</v>
      </c>
      <c r="AN41" s="10">
        <f>AJ41+AM41</f>
        <v>0</v>
      </c>
    </row>
    <row r="42" spans="2:39" ht="10.5">
      <c r="B42" s="28">
        <v>6558</v>
      </c>
      <c r="C42" t="s">
        <v>633</v>
      </c>
      <c r="D42" s="1">
        <v>21</v>
      </c>
      <c r="E42" s="1">
        <v>3</v>
      </c>
      <c r="F42" s="65">
        <v>1</v>
      </c>
      <c r="G42" s="65">
        <v>6573.66</v>
      </c>
      <c r="AF42" s="10"/>
      <c r="AM42" s="118"/>
    </row>
    <row r="43" spans="2:40" ht="10.5">
      <c r="B43" s="28">
        <v>6558</v>
      </c>
      <c r="C43" t="s">
        <v>633</v>
      </c>
      <c r="D43" s="1">
        <v>26</v>
      </c>
      <c r="E43" s="1">
        <v>4</v>
      </c>
      <c r="F43" s="65">
        <v>1</v>
      </c>
      <c r="G43" s="65">
        <v>4744.63</v>
      </c>
      <c r="AF43" s="10" t="s">
        <v>582</v>
      </c>
      <c r="AG43" s="1" t="s">
        <v>754</v>
      </c>
      <c r="AH43" s="65">
        <f>23-AK43</f>
        <v>9</v>
      </c>
      <c r="AI43" s="65">
        <v>0</v>
      </c>
      <c r="AJ43" s="118">
        <f>AH43-AI43</f>
        <v>9</v>
      </c>
      <c r="AK43" s="65">
        <f>7+3+2+2</f>
        <v>14</v>
      </c>
      <c r="AL43" s="65">
        <v>0</v>
      </c>
      <c r="AM43" s="118">
        <f>AK43-AL43</f>
        <v>14</v>
      </c>
      <c r="AN43">
        <f>AJ43+AM43</f>
        <v>23</v>
      </c>
    </row>
    <row r="44" spans="2:40" ht="11.25" thickBot="1">
      <c r="B44" s="28">
        <v>6559</v>
      </c>
      <c r="C44" t="s">
        <v>633</v>
      </c>
      <c r="D44" s="1">
        <v>21</v>
      </c>
      <c r="E44" s="1">
        <v>3</v>
      </c>
      <c r="F44" s="117">
        <v>1</v>
      </c>
      <c r="G44" s="117">
        <v>6891.95</v>
      </c>
      <c r="AG44" s="1" t="s">
        <v>755</v>
      </c>
      <c r="AH44" s="65">
        <f>50-AK44</f>
        <v>15</v>
      </c>
      <c r="AI44" s="65">
        <f>3-AL44</f>
        <v>1</v>
      </c>
      <c r="AJ44" s="118">
        <f>AH44-AI44</f>
        <v>14</v>
      </c>
      <c r="AK44" s="65">
        <f>3+23+9</f>
        <v>35</v>
      </c>
      <c r="AL44" s="65">
        <v>2</v>
      </c>
      <c r="AM44" s="118">
        <f>AK44-AL44</f>
        <v>33</v>
      </c>
      <c r="AN44">
        <f>AJ44+AM44</f>
        <v>47</v>
      </c>
    </row>
    <row r="45" spans="1:40" ht="11.25" thickBot="1">
      <c r="A45" s="39" t="s">
        <v>645</v>
      </c>
      <c r="B45" s="28"/>
      <c r="D45" s="1"/>
      <c r="E45" s="1"/>
      <c r="F45" s="11">
        <f>SUM(F28:F44)</f>
        <v>902</v>
      </c>
      <c r="G45" s="11">
        <f>SUM(G28:G44)</f>
        <v>937002.09</v>
      </c>
      <c r="H45" s="38">
        <f>G45/F45</f>
        <v>1038.804977827051</v>
      </c>
      <c r="AG45" s="1" t="s">
        <v>756</v>
      </c>
      <c r="AH45" s="65">
        <f>102-AK45</f>
        <v>31</v>
      </c>
      <c r="AI45" s="65">
        <f>4</f>
        <v>4</v>
      </c>
      <c r="AJ45" s="118">
        <f>AH45-AI45</f>
        <v>27</v>
      </c>
      <c r="AK45" s="65">
        <f>19+39+5+3+5</f>
        <v>71</v>
      </c>
      <c r="AL45" s="65">
        <v>3</v>
      </c>
      <c r="AM45" s="118">
        <f>AK45-AL45</f>
        <v>68</v>
      </c>
      <c r="AN45">
        <f>AJ45+AM45</f>
        <v>95</v>
      </c>
    </row>
    <row r="46" spans="2:40" ht="10.5">
      <c r="B46" s="28"/>
      <c r="D46" s="1"/>
      <c r="E46" s="1"/>
      <c r="F46" s="65"/>
      <c r="G46" s="65"/>
      <c r="AG46" s="1" t="s">
        <v>757</v>
      </c>
      <c r="AH46" s="65">
        <f>20-AK46</f>
        <v>7</v>
      </c>
      <c r="AI46" s="65">
        <v>0</v>
      </c>
      <c r="AJ46" s="118">
        <f>AH46-AI46</f>
        <v>7</v>
      </c>
      <c r="AK46" s="65">
        <f>6+5+2</f>
        <v>13</v>
      </c>
      <c r="AL46" s="65">
        <v>0</v>
      </c>
      <c r="AM46" s="118">
        <f>AK46-AL46</f>
        <v>13</v>
      </c>
      <c r="AN46">
        <f>AJ46+AM46</f>
        <v>20</v>
      </c>
    </row>
    <row r="47" spans="1:5" ht="10.5">
      <c r="A47" s="9" t="s">
        <v>646</v>
      </c>
      <c r="B47" s="28"/>
      <c r="D47" s="1"/>
      <c r="E47" s="1"/>
    </row>
    <row r="48" spans="2:40" ht="10.5">
      <c r="B48" s="28">
        <v>1224</v>
      </c>
      <c r="D48" s="33" t="s">
        <v>640</v>
      </c>
      <c r="F48" s="65">
        <v>289</v>
      </c>
      <c r="G48" s="65">
        <v>-144040.37</v>
      </c>
      <c r="I48" s="34"/>
      <c r="AH48" s="10">
        <f aca="true" t="shared" si="8" ref="AH48:AN48">SUM(AH43:AH46)</f>
        <v>62</v>
      </c>
      <c r="AI48" s="10">
        <f t="shared" si="8"/>
        <v>5</v>
      </c>
      <c r="AJ48" s="10">
        <f t="shared" si="8"/>
        <v>57</v>
      </c>
      <c r="AK48" s="10">
        <f t="shared" si="8"/>
        <v>133</v>
      </c>
      <c r="AL48" s="10">
        <f t="shared" si="8"/>
        <v>5</v>
      </c>
      <c r="AM48" s="10">
        <f t="shared" si="8"/>
        <v>128</v>
      </c>
      <c r="AN48" s="10">
        <f t="shared" si="8"/>
        <v>185</v>
      </c>
    </row>
    <row r="49" spans="2:7" ht="10.5">
      <c r="B49" s="28">
        <v>1224</v>
      </c>
      <c r="D49" s="33" t="s">
        <v>640</v>
      </c>
      <c r="F49" s="65"/>
      <c r="G49" s="65"/>
    </row>
    <row r="50" spans="2:7" ht="12.75">
      <c r="B50" s="28">
        <v>1224</v>
      </c>
      <c r="D50" s="33" t="s">
        <v>640</v>
      </c>
      <c r="F50" s="65"/>
      <c r="G50" s="70"/>
    </row>
    <row r="51" spans="1:7" ht="12.75">
      <c r="A51" s="39" t="s">
        <v>641</v>
      </c>
      <c r="D51" s="1"/>
      <c r="G51" s="14">
        <f>SUM(G48:G50)</f>
        <v>-144040.37</v>
      </c>
    </row>
    <row r="52" ht="10.5">
      <c r="D52" s="1"/>
    </row>
    <row r="53" spans="1:7" ht="12.75">
      <c r="A53" s="9" t="s">
        <v>642</v>
      </c>
      <c r="D53" s="1"/>
      <c r="F53" s="14"/>
      <c r="G53" s="35"/>
    </row>
    <row r="54" spans="2:7" ht="10.5">
      <c r="B54" s="28">
        <v>4645</v>
      </c>
      <c r="D54" s="1">
        <v>16</v>
      </c>
      <c r="E54" s="1">
        <v>2</v>
      </c>
      <c r="F54" s="66">
        <v>0</v>
      </c>
      <c r="G54" s="66">
        <v>123655.55</v>
      </c>
    </row>
    <row r="55" spans="2:7" ht="12.75">
      <c r="B55" s="28">
        <v>8921</v>
      </c>
      <c r="D55" s="1">
        <v>26</v>
      </c>
      <c r="E55" s="1">
        <v>4</v>
      </c>
      <c r="F55" s="70">
        <v>2</v>
      </c>
      <c r="G55" s="70">
        <v>4484.97</v>
      </c>
    </row>
    <row r="56" spans="1:7" ht="10.5">
      <c r="A56" s="39" t="s">
        <v>840</v>
      </c>
      <c r="F56">
        <f>F54+F55</f>
        <v>2</v>
      </c>
      <c r="G56">
        <f>G54+G55</f>
        <v>128140.52</v>
      </c>
    </row>
    <row r="58" spans="1:7" ht="12.75">
      <c r="A58" s="10" t="s">
        <v>643</v>
      </c>
      <c r="D58" s="1"/>
      <c r="F58" s="13">
        <f>F25+F45+F56</f>
        <v>185360</v>
      </c>
      <c r="G58" s="36">
        <f>G25+G45+G51+G56</f>
        <v>74257373.42</v>
      </c>
    </row>
    <row r="59" ht="10.5">
      <c r="AG59" s="49" t="s">
        <v>758</v>
      </c>
    </row>
    <row r="60" ht="10.5">
      <c r="AG60" s="49" t="s">
        <v>759</v>
      </c>
    </row>
    <row r="61" spans="4:33" ht="10.5">
      <c r="D61" s="1"/>
      <c r="AG61" s="49" t="s">
        <v>760</v>
      </c>
    </row>
    <row r="63" ht="10.5">
      <c r="D63" s="1"/>
    </row>
    <row r="64" ht="10.5">
      <c r="D64" s="1"/>
    </row>
    <row r="65" ht="10.5">
      <c r="D65" s="1"/>
    </row>
    <row r="66" ht="10.5">
      <c r="D66" s="1"/>
    </row>
    <row r="67" ht="10.5">
      <c r="D67" s="1"/>
    </row>
    <row r="68" ht="10.5">
      <c r="D68" s="1"/>
    </row>
  </sheetData>
  <mergeCells count="5">
    <mergeCell ref="AA10:AC10"/>
    <mergeCell ref="K10:M10"/>
    <mergeCell ref="O10:Q10"/>
    <mergeCell ref="S10:U10"/>
    <mergeCell ref="W10:Y10"/>
  </mergeCells>
  <printOptions/>
  <pageMargins left="0.75" right="0.75" top="0.5" bottom="0.5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D31" sqref="D31"/>
    </sheetView>
  </sheetViews>
  <sheetFormatPr defaultColWidth="9.140625" defaultRowHeight="12"/>
  <cols>
    <col min="1" max="1" width="24.421875" style="0" customWidth="1"/>
    <col min="2" max="2" width="20.8515625" style="0" customWidth="1"/>
    <col min="3" max="3" width="13.28125" style="0" bestFit="1" customWidth="1"/>
    <col min="4" max="4" width="17.7109375" style="0" bestFit="1" customWidth="1"/>
    <col min="5" max="5" width="4.140625" style="0" customWidth="1"/>
    <col min="6" max="6" width="19.140625" style="0" customWidth="1"/>
    <col min="9" max="9" width="10.8515625" style="0" customWidth="1"/>
    <col min="11" max="11" width="9.421875" style="0" customWidth="1"/>
  </cols>
  <sheetData>
    <row r="1" spans="1:4" ht="12.75">
      <c r="A1" s="276" t="s">
        <v>60</v>
      </c>
      <c r="B1" s="276"/>
      <c r="C1" s="277"/>
      <c r="D1" s="278"/>
    </row>
    <row r="2" spans="1:9" ht="12.75">
      <c r="A2" s="276" t="s">
        <v>903</v>
      </c>
      <c r="B2" s="276"/>
      <c r="C2" s="277"/>
      <c r="D2" s="278"/>
      <c r="I2" s="23" t="s">
        <v>60</v>
      </c>
    </row>
    <row r="3" spans="1:9" ht="12.75">
      <c r="A3" s="279" t="s">
        <v>826</v>
      </c>
      <c r="B3" s="276"/>
      <c r="C3" s="277"/>
      <c r="D3" s="278"/>
      <c r="I3" s="23" t="s">
        <v>664</v>
      </c>
    </row>
    <row r="4" spans="3:9" ht="11.25" thickBot="1">
      <c r="C4" s="12"/>
      <c r="D4" s="27"/>
      <c r="I4" s="115" t="s">
        <v>826</v>
      </c>
    </row>
    <row r="5" spans="1:4" ht="13.5" thickBot="1">
      <c r="A5" s="280" t="s">
        <v>660</v>
      </c>
      <c r="B5" s="223"/>
      <c r="C5" s="12"/>
      <c r="D5" s="27"/>
    </row>
    <row r="6" spans="3:4" ht="15">
      <c r="C6" s="281" t="s">
        <v>904</v>
      </c>
      <c r="D6" s="282" t="s">
        <v>905</v>
      </c>
    </row>
    <row r="7" spans="3:4" ht="10.5">
      <c r="C7" s="12"/>
      <c r="D7" s="27"/>
    </row>
    <row r="8" spans="1:14" ht="12.75">
      <c r="A8" t="s">
        <v>906</v>
      </c>
      <c r="C8" s="283">
        <v>4420440</v>
      </c>
      <c r="D8" s="284">
        <v>21985371</v>
      </c>
      <c r="N8" s="33"/>
    </row>
    <row r="9" spans="3:12" ht="12.75">
      <c r="C9" s="283"/>
      <c r="D9" s="284"/>
      <c r="F9" s="23"/>
      <c r="G9" s="23"/>
      <c r="H9" s="23"/>
      <c r="I9" s="23" t="s">
        <v>667</v>
      </c>
      <c r="J9" s="23" t="s">
        <v>677</v>
      </c>
      <c r="L9" s="23" t="s">
        <v>679</v>
      </c>
    </row>
    <row r="10" spans="3:12" ht="12.75">
      <c r="C10" s="283"/>
      <c r="D10" s="284"/>
      <c r="E10" s="10" t="s">
        <v>683</v>
      </c>
      <c r="F10" s="23"/>
      <c r="G10" s="23" t="s">
        <v>667</v>
      </c>
      <c r="H10" s="23"/>
      <c r="I10" s="23" t="s">
        <v>670</v>
      </c>
      <c r="J10" s="23" t="s">
        <v>678</v>
      </c>
      <c r="L10" s="23" t="s">
        <v>670</v>
      </c>
    </row>
    <row r="11" spans="3:13" ht="13.5" thickBot="1">
      <c r="C11" s="283"/>
      <c r="D11" s="284"/>
      <c r="E11" s="9" t="s">
        <v>663</v>
      </c>
      <c r="F11" s="8" t="s">
        <v>593</v>
      </c>
      <c r="G11" s="8" t="s">
        <v>668</v>
      </c>
      <c r="H11" s="8" t="s">
        <v>669</v>
      </c>
      <c r="I11" s="8" t="s">
        <v>671</v>
      </c>
      <c r="J11" s="8" t="s">
        <v>565</v>
      </c>
      <c r="K11" s="8" t="s">
        <v>669</v>
      </c>
      <c r="L11" s="8" t="s">
        <v>671</v>
      </c>
      <c r="M11" s="8" t="s">
        <v>16</v>
      </c>
    </row>
    <row r="12" spans="1:13" ht="13.5" thickBot="1">
      <c r="A12" s="280" t="s">
        <v>662</v>
      </c>
      <c r="B12" s="223"/>
      <c r="C12" s="283"/>
      <c r="D12" s="284"/>
      <c r="F12" s="33" t="s">
        <v>672</v>
      </c>
      <c r="G12" s="33" t="s">
        <v>673</v>
      </c>
      <c r="H12" s="33" t="s">
        <v>674</v>
      </c>
      <c r="I12" s="33" t="s">
        <v>676</v>
      </c>
      <c r="J12" s="33" t="s">
        <v>675</v>
      </c>
      <c r="K12" s="33" t="s">
        <v>680</v>
      </c>
      <c r="L12" s="33" t="s">
        <v>681</v>
      </c>
      <c r="M12" s="33" t="s">
        <v>682</v>
      </c>
    </row>
    <row r="13" spans="3:12" ht="12.75">
      <c r="C13" s="283"/>
      <c r="D13" s="284"/>
      <c r="I13" s="116">
        <f>C27</f>
        <v>0.6347</v>
      </c>
      <c r="J13" s="73"/>
      <c r="K13" s="73"/>
      <c r="L13" s="289">
        <f>1-I13</f>
        <v>0.36529999999999996</v>
      </c>
    </row>
    <row r="14" spans="3:10" ht="12.75">
      <c r="C14" s="283"/>
      <c r="D14" s="284"/>
      <c r="J14" s="73"/>
    </row>
    <row r="15" spans="1:13" ht="12.75">
      <c r="A15" t="s">
        <v>907</v>
      </c>
      <c r="C15" s="283">
        <v>13504250</v>
      </c>
      <c r="D15" s="284">
        <v>105816077.26</v>
      </c>
      <c r="E15">
        <v>1</v>
      </c>
      <c r="F15" t="s">
        <v>665</v>
      </c>
      <c r="G15">
        <f>Customers!D54</f>
        <v>124450.33333333333</v>
      </c>
      <c r="H15" s="44">
        <f>G15/$G$26</f>
        <v>0.8947071390656585</v>
      </c>
      <c r="I15" s="22">
        <f>H15*$I$13</f>
        <v>0.5678706211649734</v>
      </c>
      <c r="J15" s="65">
        <v>155900</v>
      </c>
      <c r="K15" s="22">
        <f>J15/$J$26</f>
        <v>0.4277091906721536</v>
      </c>
      <c r="L15" s="22">
        <f>K15*$L$13</f>
        <v>0.1562421673525377</v>
      </c>
      <c r="M15" s="40">
        <f>I15+L15</f>
        <v>0.7241127885175112</v>
      </c>
    </row>
    <row r="16" spans="3:13" ht="12.75">
      <c r="C16" s="283"/>
      <c r="D16" s="284"/>
      <c r="E16">
        <v>2</v>
      </c>
      <c r="J16" s="73"/>
      <c r="M16" s="10"/>
    </row>
    <row r="17" spans="3:13" ht="10.5">
      <c r="C17" s="12"/>
      <c r="D17" s="27"/>
      <c r="E17">
        <v>3</v>
      </c>
      <c r="F17" t="s">
        <v>666</v>
      </c>
      <c r="G17">
        <f>Customers!E54</f>
        <v>14561.25</v>
      </c>
      <c r="H17" s="44">
        <f>G17/$G$26</f>
        <v>0.1046847684515629</v>
      </c>
      <c r="I17" s="22">
        <f>H17*$I$13</f>
        <v>0.06644342253620697</v>
      </c>
      <c r="J17" s="65">
        <v>95200</v>
      </c>
      <c r="K17" s="22">
        <f>J17/$J$26</f>
        <v>0.26117969821673526</v>
      </c>
      <c r="L17" s="22">
        <f>K17*$L$13</f>
        <v>0.09540894375857338</v>
      </c>
      <c r="M17" s="40">
        <f>I17+L17</f>
        <v>0.16185236629478034</v>
      </c>
    </row>
    <row r="18" spans="1:13" ht="15">
      <c r="A18" t="s">
        <v>908</v>
      </c>
      <c r="C18" s="285">
        <f>D8</f>
        <v>21985371</v>
      </c>
      <c r="D18" s="27"/>
      <c r="E18">
        <v>4</v>
      </c>
      <c r="J18" s="73"/>
      <c r="M18" s="10"/>
    </row>
    <row r="19" spans="1:13" ht="10.5">
      <c r="A19" t="s">
        <v>909</v>
      </c>
      <c r="C19" s="12">
        <f>C8</f>
        <v>4420440</v>
      </c>
      <c r="D19" s="27"/>
      <c r="E19">
        <v>5</v>
      </c>
      <c r="F19" t="s">
        <v>580</v>
      </c>
      <c r="G19">
        <f>Customers!F54</f>
        <v>2</v>
      </c>
      <c r="H19" s="44">
        <f>G19/$G$26</f>
        <v>1.4378541464718055E-05</v>
      </c>
      <c r="I19" s="22">
        <f>H19*$I$13</f>
        <v>9.126060267656551E-06</v>
      </c>
      <c r="J19" s="65">
        <v>400</v>
      </c>
      <c r="K19" s="22">
        <f>J19/$J$26</f>
        <v>0.0010973936899862826</v>
      </c>
      <c r="L19" s="22">
        <f>K19*$L$13</f>
        <v>0.000400877914951989</v>
      </c>
      <c r="M19" s="40">
        <f>I19+L19</f>
        <v>0.0004100039752196456</v>
      </c>
    </row>
    <row r="20" spans="3:13" ht="10.5">
      <c r="C20" s="12"/>
      <c r="D20" s="27"/>
      <c r="E20">
        <v>6</v>
      </c>
      <c r="J20" s="73"/>
      <c r="M20" s="10"/>
    </row>
    <row r="21" spans="1:13" ht="12.75">
      <c r="A21" t="s">
        <v>910</v>
      </c>
      <c r="C21" s="286">
        <f>ROUND(C18/C19,4)</f>
        <v>4.9736</v>
      </c>
      <c r="D21" s="27"/>
      <c r="E21">
        <v>7</v>
      </c>
      <c r="F21" t="s">
        <v>581</v>
      </c>
      <c r="H21" s="44">
        <f>G21/$G$26</f>
        <v>0</v>
      </c>
      <c r="I21" s="22">
        <f>H21*$I$13</f>
        <v>0</v>
      </c>
      <c r="J21" s="65">
        <v>0</v>
      </c>
      <c r="K21" s="22">
        <f>J21/$J$26</f>
        <v>0</v>
      </c>
      <c r="L21" s="22">
        <f>K21*$L$13</f>
        <v>0</v>
      </c>
      <c r="M21" s="40">
        <f>I21+L21</f>
        <v>0</v>
      </c>
    </row>
    <row r="22" spans="1:13" ht="15">
      <c r="A22" t="s">
        <v>911</v>
      </c>
      <c r="B22" s="287" t="s">
        <v>912</v>
      </c>
      <c r="C22" s="285">
        <f>C15</f>
        <v>13504250</v>
      </c>
      <c r="D22" s="27"/>
      <c r="E22">
        <v>8</v>
      </c>
      <c r="J22" s="73"/>
      <c r="M22" s="10"/>
    </row>
    <row r="23" spans="3:13" ht="10.5">
      <c r="C23" s="12"/>
      <c r="D23" s="27"/>
      <c r="E23">
        <v>9</v>
      </c>
      <c r="F23" t="s">
        <v>582</v>
      </c>
      <c r="G23">
        <f>Customers!H$54</f>
        <v>82.58333333333333</v>
      </c>
      <c r="H23" s="44">
        <f>G23/$G$26</f>
        <v>0.000593713941313983</v>
      </c>
      <c r="I23" s="22">
        <f>H23*$I$13</f>
        <v>0.000376830238551985</v>
      </c>
      <c r="J23" s="65">
        <v>113000</v>
      </c>
      <c r="K23" s="22">
        <f>J23/$J$26</f>
        <v>0.3100137174211248</v>
      </c>
      <c r="L23" s="22">
        <f>K23*$L$13</f>
        <v>0.11324801097393689</v>
      </c>
      <c r="M23" s="40">
        <f>I23+L23</f>
        <v>0.11362484121248886</v>
      </c>
    </row>
    <row r="24" spans="1:13" ht="15">
      <c r="A24" t="s">
        <v>913</v>
      </c>
      <c r="C24" s="285">
        <f>ROUND(C22*C21,0)</f>
        <v>67164738</v>
      </c>
      <c r="D24" s="27"/>
      <c r="E24">
        <v>10</v>
      </c>
      <c r="J24" s="73"/>
      <c r="M24" s="10"/>
    </row>
    <row r="25" spans="1:13" ht="10.5">
      <c r="A25" t="s">
        <v>914</v>
      </c>
      <c r="C25" s="12">
        <f>D15</f>
        <v>105816077.26</v>
      </c>
      <c r="D25" s="27"/>
      <c r="E25">
        <v>11</v>
      </c>
      <c r="J25" s="73"/>
      <c r="M25" s="10"/>
    </row>
    <row r="26" spans="3:13" ht="11.25" thickBot="1">
      <c r="C26" s="12"/>
      <c r="D26" s="27"/>
      <c r="E26">
        <v>12</v>
      </c>
      <c r="F26" t="s">
        <v>16</v>
      </c>
      <c r="G26">
        <f>SUM(G15:G23)</f>
        <v>139096.16666666666</v>
      </c>
      <c r="H26" s="44">
        <f>G26/$G$26</f>
        <v>1</v>
      </c>
      <c r="I26" s="22">
        <f>H26*$I$13</f>
        <v>0.6347</v>
      </c>
      <c r="J26">
        <f>SUM(J15:J23)</f>
        <v>364500</v>
      </c>
      <c r="K26" s="22">
        <f>J26/$J$26</f>
        <v>1</v>
      </c>
      <c r="L26" s="22">
        <f>K26*$L$13</f>
        <v>0.36529999999999996</v>
      </c>
      <c r="M26" s="40">
        <f>I26+L26</f>
        <v>1</v>
      </c>
    </row>
    <row r="27" spans="1:4" ht="11.25" thickBot="1">
      <c r="A27" s="42" t="s">
        <v>761</v>
      </c>
      <c r="B27" s="43"/>
      <c r="C27" s="290">
        <f>ROUND(C24/C25,4)</f>
        <v>0.6347</v>
      </c>
      <c r="D27" s="27"/>
    </row>
    <row r="28" spans="1:4" ht="13.5" thickBot="1">
      <c r="A28" s="42" t="s">
        <v>915</v>
      </c>
      <c r="B28" s="43"/>
      <c r="C28" s="291">
        <f>SUM(C30-C27)</f>
        <v>0.36529999999999996</v>
      </c>
      <c r="D28" s="27"/>
    </row>
    <row r="29" spans="3:4" ht="10.5">
      <c r="C29" s="12"/>
      <c r="D29" s="27"/>
    </row>
    <row r="30" spans="3:4" ht="10.5">
      <c r="C30" s="288">
        <v>1</v>
      </c>
      <c r="D30" s="27"/>
    </row>
    <row r="31" spans="3:4" ht="10.5">
      <c r="C31" s="12"/>
      <c r="D31" s="27"/>
    </row>
    <row r="32" spans="2:4" ht="10.5">
      <c r="B32" s="34"/>
      <c r="C32" s="34"/>
      <c r="D32" s="34"/>
    </row>
    <row r="33" spans="2:4" ht="10.5">
      <c r="B33" s="275"/>
      <c r="C33" s="275"/>
      <c r="D33" s="34"/>
    </row>
    <row r="34" spans="2:4" ht="10.5">
      <c r="B34" s="34"/>
      <c r="C34" s="34"/>
      <c r="D34" s="34"/>
    </row>
    <row r="35" spans="2:4" ht="10.5">
      <c r="B35" s="34"/>
      <c r="C35" s="34"/>
      <c r="D35" s="34"/>
    </row>
    <row r="36" spans="2:4" ht="10.5">
      <c r="B36" s="34"/>
      <c r="C36" s="34"/>
      <c r="D36" s="34"/>
    </row>
    <row r="37" spans="2:4" ht="10.5">
      <c r="B37" s="34"/>
      <c r="C37" s="34"/>
      <c r="D37" s="34"/>
    </row>
    <row r="38" spans="2:4" ht="10.5">
      <c r="B38" s="34"/>
      <c r="C38" s="34"/>
      <c r="D38" s="34"/>
    </row>
    <row r="39" spans="2:4" ht="10.5">
      <c r="B39" s="34"/>
      <c r="C39" s="34"/>
      <c r="D39" s="34"/>
    </row>
    <row r="40" spans="2:4" ht="10.5">
      <c r="B40" s="34"/>
      <c r="C40" s="34"/>
      <c r="D40" s="34"/>
    </row>
    <row r="41" spans="2:4" ht="10.5">
      <c r="B41" s="34"/>
      <c r="C41" s="34"/>
      <c r="D41" s="34"/>
    </row>
    <row r="42" spans="2:4" ht="10.5">
      <c r="B42" s="34"/>
      <c r="C42" s="34"/>
      <c r="D42" s="34"/>
    </row>
    <row r="43" spans="2:4" ht="10.5">
      <c r="B43" s="34"/>
      <c r="C43" s="34"/>
      <c r="D43" s="34"/>
    </row>
    <row r="44" spans="2:4" ht="10.5">
      <c r="B44" s="34"/>
      <c r="C44" s="34"/>
      <c r="D44" s="34"/>
    </row>
    <row r="45" spans="2:4" ht="10.5">
      <c r="B45" s="34"/>
      <c r="C45" s="34"/>
      <c r="D45" s="34"/>
    </row>
    <row r="46" spans="2:5" ht="10.5">
      <c r="B46" s="34"/>
      <c r="C46" s="34"/>
      <c r="D46" s="34"/>
      <c r="E46" s="34"/>
    </row>
    <row r="47" spans="2:4" ht="10.5">
      <c r="B47" s="34"/>
      <c r="C47" s="34"/>
      <c r="D47" s="34"/>
    </row>
    <row r="48" spans="2:4" ht="10.5">
      <c r="B48" s="34"/>
      <c r="C48" s="34"/>
      <c r="D48" s="34"/>
    </row>
    <row r="49" spans="2:4" ht="10.5">
      <c r="B49" s="34"/>
      <c r="C49" s="34"/>
      <c r="D49" s="34"/>
    </row>
    <row r="50" spans="2:4" ht="10.5">
      <c r="B50" s="34"/>
      <c r="C50" s="34"/>
      <c r="D50" s="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Gas</dc:creator>
  <cp:keywords/>
  <dc:description/>
  <cp:lastModifiedBy> </cp:lastModifiedBy>
  <cp:lastPrinted>2007-04-16T12:52:17Z</cp:lastPrinted>
  <dcterms:created xsi:type="dcterms:W3CDTF">2002-01-23T18:08:44Z</dcterms:created>
  <dcterms:modified xsi:type="dcterms:W3CDTF">2007-04-24T13:40:55Z</dcterms:modified>
  <cp:category/>
  <cp:version/>
  <cp:contentType/>
  <cp:contentStatus/>
</cp:coreProperties>
</file>