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35" windowWidth="8955" windowHeight="4890" tabRatio="952" activeTab="0"/>
  </bookViews>
  <sheets>
    <sheet name="Page 1" sheetId="1" r:id="rId1"/>
    <sheet name="AGL Res" sheetId="2" r:id="rId2"/>
    <sheet name="Atmos" sheetId="3" r:id="rId3"/>
    <sheet name="Laclede" sheetId="4" r:id="rId4"/>
    <sheet name="NJ Res" sheetId="5" r:id="rId5"/>
    <sheet name="NICOR" sheetId="6" r:id="rId6"/>
    <sheet name="Northwest" sheetId="7" r:id="rId7"/>
    <sheet name="Piedmont" sheetId="8" r:id="rId8"/>
    <sheet name="SJ Inds" sheetId="9" r:id="rId9"/>
    <sheet name="WGL" sheetId="10" r:id="rId10"/>
  </sheets>
  <definedNames>
    <definedName name="_xlnm.Print_Area" localSheetId="0">'Page 1'!$A$1:$O$52</definedName>
  </definedNames>
  <calcPr fullCalcOnLoad="1"/>
</workbook>
</file>

<file path=xl/sharedStrings.xml><?xml version="1.0" encoding="utf-8"?>
<sst xmlns="http://schemas.openxmlformats.org/spreadsheetml/2006/main" count="1454" uniqueCount="103">
  <si>
    <t>Capitalization and Financial Statistics</t>
  </si>
  <si>
    <t>Amount of Capital Employed</t>
  </si>
  <si>
    <t>Capital Structure Ratios</t>
  </si>
  <si>
    <t>x</t>
  </si>
  <si>
    <t>See Page 2 for Notes.</t>
  </si>
  <si>
    <t>Short-Term Debt</t>
  </si>
  <si>
    <t>Permanent Capital</t>
  </si>
  <si>
    <t>Total Capital</t>
  </si>
  <si>
    <t>Market-Based Financial Ratios</t>
  </si>
  <si>
    <t>Dividend Yield</t>
  </si>
  <si>
    <t>Dividend Payout Ratio</t>
  </si>
  <si>
    <t>Based on Permanent Captial:</t>
  </si>
  <si>
    <t>Based on Total Capital:</t>
  </si>
  <si>
    <t>Pre-tax: All Interest Charges</t>
  </si>
  <si>
    <t>Overall Coverage: All Int. &amp; Pfd. Div.</t>
  </si>
  <si>
    <t>Quality of Earnings &amp; Cash Flow</t>
  </si>
  <si>
    <t>AFC/Income Avail. for Common Equity</t>
  </si>
  <si>
    <t>Effective Income Tax Rate</t>
  </si>
  <si>
    <t>(Millions of Dollars)</t>
  </si>
  <si>
    <t>Average</t>
  </si>
  <si>
    <t>Market/Book Ratio</t>
  </si>
  <si>
    <t>Post-tax: All Interest Charges</t>
  </si>
  <si>
    <t>I/S - Operating Revs-Total (MM$)</t>
  </si>
  <si>
    <t>I/S - Operating Inc Taxes-Total (MM$)</t>
  </si>
  <si>
    <t>I/S - Operating Exps-Total (MM$)</t>
  </si>
  <si>
    <t>I/S - Nonoperating Inc Taxes-Net (MM$)</t>
  </si>
  <si>
    <t>I/S - Gross Inc (Inc Bef Int) (MM$)</t>
  </si>
  <si>
    <t>I/S - Interest Charges-Total (MM$)</t>
  </si>
  <si>
    <t>I/S - Allow for Funds Used During Const-Total (MM$)</t>
  </si>
  <si>
    <t>I/S - Subsidiary Preferred Dividends (MM$)</t>
  </si>
  <si>
    <t>I/S - Pref. Dividend Requirements (MM$)</t>
  </si>
  <si>
    <t>I/S - Preference Div. Requirements (MM$)</t>
  </si>
  <si>
    <t>I/S - Available for Common After Adj. for Common SE (MM$)</t>
  </si>
  <si>
    <t>I/S - Earnings/Share (Primary) Excl. Extra. Items ($&amp;¢)</t>
  </si>
  <si>
    <t>B/S - Common Equity-Total (MM$)</t>
  </si>
  <si>
    <t>B/S - Subsidiary Preferred Stock at Carrying Value (MM$)</t>
  </si>
  <si>
    <t>B/S - Premium on Subsidiary Preferred Stock (MM$)</t>
  </si>
  <si>
    <t>B/S - Preferred Stock at Carrying Value (MM$)</t>
  </si>
  <si>
    <t>B/S - Premium on Preferred Stock (MM$)</t>
  </si>
  <si>
    <t>B/S - Preference Stock at Carrying Value (MM$)</t>
  </si>
  <si>
    <t>B/S - Premium on Preference Stock (MM$)</t>
  </si>
  <si>
    <t>B/S - Minority Interest (MM$)</t>
  </si>
  <si>
    <t>B/S - Long-Term Debt (Total) (MM$)</t>
  </si>
  <si>
    <t>B/S - Treasury Stock-Dollar Amount-Preferred (MM$)</t>
  </si>
  <si>
    <t>B/S - Capitalization (MM$)</t>
  </si>
  <si>
    <t>B/S - Debt (Long-Term Due Within One Year) (MM$)</t>
  </si>
  <si>
    <t>B/S - Short-Term Debt (Total) (MM$)</t>
  </si>
  <si>
    <t>B/S - Pref/Preference Stock Sinking Fund Requirement (MM$)</t>
  </si>
  <si>
    <t>C/F - Net Inc Bef Extra Items &amp; After MI (MM$)</t>
  </si>
  <si>
    <t>C/F - Depr. and Depl. (MM$)</t>
  </si>
  <si>
    <t>C/F - Amortization (MM$)</t>
  </si>
  <si>
    <t>C/F - Def. Inc Taxes-Net (MM$)</t>
  </si>
  <si>
    <t>C/F - Invest. Tax Credit-Net (MM$)</t>
  </si>
  <si>
    <t>C/F - Allow for Funds Used During Constr. (MM$)</t>
  </si>
  <si>
    <t>C/F - Util Plant-Gross Additions (MM$)</t>
  </si>
  <si>
    <t>C/F - Cash Div on Common Stock (MM$)</t>
  </si>
  <si>
    <t>C/F - Cash Div on Pref/Preference Stock (MM$)</t>
  </si>
  <si>
    <t>C/F - Interest Paid-Net (MM$)</t>
  </si>
  <si>
    <t>C/F - Inc Taxes Paid (MM$)</t>
  </si>
  <si>
    <t>Common Dividends (MM$)</t>
  </si>
  <si>
    <t>Common Div. Paid per Share by Ex-Date ($&amp;¢)</t>
  </si>
  <si>
    <t>Common Dividends Paid/Share by Payable Date ($&amp;¢)</t>
  </si>
  <si>
    <t>Price-High ($&amp;¢)</t>
  </si>
  <si>
    <t>Price-Low ($&amp;¢)</t>
  </si>
  <si>
    <t>Price-Close ($&amp;¢)</t>
  </si>
  <si>
    <t>Common Shares Outstanding (MM)</t>
  </si>
  <si>
    <t>Book Value per Share</t>
  </si>
  <si>
    <t>Adjustment Factor (Cumulative) by Ex-Date (RATIO)</t>
  </si>
  <si>
    <t>Adjustment Factor (Cumulative)-Payable Date (Ratio)</t>
  </si>
  <si>
    <t>C/F - Other Internal Sources-Net (MM$)</t>
  </si>
  <si>
    <t>Earnings/Share (Primary) Excl. Extra. Items ($&amp;¢)</t>
  </si>
  <si>
    <t>Per Share (or Shares) Adjusted for Splits/Stock Dividends</t>
  </si>
  <si>
    <t>Based on Permanent Capital:</t>
  </si>
  <si>
    <t>Price-Earnings Multiple</t>
  </si>
  <si>
    <t>Gas Group</t>
  </si>
  <si>
    <t>AGL RESOURCES INC</t>
  </si>
  <si>
    <t>ATMOS ENERGY CORP</t>
  </si>
  <si>
    <t>LACLEDE GROUP INC</t>
  </si>
  <si>
    <t>NEW JERSEY RESOURCES CORP</t>
  </si>
  <si>
    <t>NICOR INC</t>
  </si>
  <si>
    <t>PIEDMONT NATURAL GAS CO</t>
  </si>
  <si>
    <t>SOUTH JERSEY INDUSTRIES INC</t>
  </si>
  <si>
    <t>WGL HOLDINGS INC</t>
  </si>
  <si>
    <t>2001-2005, Inclusive</t>
  </si>
  <si>
    <t>Other Comprehensive Income</t>
  </si>
  <si>
    <t>Long-Term Debt</t>
  </si>
  <si>
    <t>Preferred Stock</t>
  </si>
  <si>
    <r>
      <t xml:space="preserve">Common Equity </t>
    </r>
    <r>
      <rPr>
        <vertAlign val="superscript"/>
        <sz val="12"/>
        <rFont val="Arial"/>
        <family val="2"/>
      </rPr>
      <t>(1)</t>
    </r>
  </si>
  <si>
    <t>Total Debt incl. Short Term</t>
  </si>
  <si>
    <r>
      <t xml:space="preserve">Rate of Return on Book Common Equity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</si>
  <si>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(2)</t>
    </r>
  </si>
  <si>
    <r>
      <t xml:space="preserve">Coverage incl. AFUDC </t>
    </r>
    <r>
      <rPr>
        <vertAlign val="superscript"/>
        <sz val="12"/>
        <rFont val="Arial"/>
        <family val="2"/>
      </rPr>
      <t>(3)</t>
    </r>
  </si>
  <si>
    <r>
      <t xml:space="preserve">Coverage excl. AFUDC </t>
    </r>
    <r>
      <rPr>
        <vertAlign val="superscript"/>
        <sz val="12"/>
        <rFont val="Arial"/>
        <family val="2"/>
      </rPr>
      <t>(4)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</si>
  <si>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(5)</t>
    </r>
  </si>
  <si>
    <r>
      <t xml:space="preserve">Gross Cash Flow/ Avg. Total Debt </t>
    </r>
    <r>
      <rPr>
        <vertAlign val="superscript"/>
        <sz val="12"/>
        <rFont val="Arial"/>
        <family val="2"/>
      </rPr>
      <t>(6)</t>
    </r>
  </si>
  <si>
    <r>
      <t xml:space="preserve">Gross Cash Flow Interest Coverage </t>
    </r>
    <r>
      <rPr>
        <vertAlign val="superscript"/>
        <sz val="12"/>
        <rFont val="Arial"/>
        <family val="2"/>
      </rPr>
      <t>(7)</t>
    </r>
  </si>
  <si>
    <r>
      <t xml:space="preserve">Common Dividend Coverage </t>
    </r>
    <r>
      <rPr>
        <vertAlign val="superscript"/>
        <sz val="12"/>
        <rFont val="Arial"/>
        <family val="2"/>
      </rPr>
      <t>(8)</t>
    </r>
  </si>
  <si>
    <r>
      <t xml:space="preserve">Common Equity </t>
    </r>
    <r>
      <rPr>
        <vertAlign val="superscript"/>
        <sz val="12"/>
        <rFont val="Arial"/>
        <family val="2"/>
      </rPr>
      <t>(2)</t>
    </r>
  </si>
  <si>
    <r>
      <t xml:space="preserve">Capitalization and Financial Statistics </t>
    </r>
    <r>
      <rPr>
        <vertAlign val="superscript"/>
        <sz val="12"/>
        <rFont val="Arial"/>
        <family val="2"/>
      </rPr>
      <t>(1)</t>
    </r>
  </si>
  <si>
    <r>
      <t xml:space="preserve">Operating Ratio </t>
    </r>
    <r>
      <rPr>
        <vertAlign val="superscript"/>
        <sz val="12"/>
        <rFont val="Arial"/>
        <family val="2"/>
      </rPr>
      <t>(3)</t>
    </r>
  </si>
  <si>
    <r>
      <t xml:space="preserve">Coverage incl. AFUDC </t>
    </r>
    <r>
      <rPr>
        <vertAlign val="superscript"/>
        <sz val="12"/>
        <rFont val="Arial"/>
        <family val="2"/>
      </rPr>
      <t>(4)</t>
    </r>
  </si>
  <si>
    <r>
      <t xml:space="preserve">Rate of Return on Book Common Equity </t>
    </r>
    <r>
      <rPr>
        <vertAlign val="superscript"/>
        <sz val="12"/>
        <rFont val="Arial"/>
        <family val="2"/>
      </rPr>
      <t>(2)</t>
    </r>
  </si>
  <si>
    <t>NORTHWEST NATURAL GAS CO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</si>
</sst>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_);_(@_)"/>
    <numFmt numFmtId="169" formatCode="0.000%"/>
    <numFmt numFmtId="170" formatCode="0.0000%"/>
    <numFmt numFmtId="171" formatCode="0.000"/>
    <numFmt numFmtId="172" formatCode="_(* #,##0.000_);_(* \(#,##0.000\);_(* &quot;-&quot;??_);_(@_)"/>
    <numFmt numFmtId="173" formatCode="0.0000"/>
    <numFmt numFmtId="174" formatCode="0.000000"/>
    <numFmt numFmtId="175" formatCode="0.0000000"/>
    <numFmt numFmtId="176" formatCode="0.00000"/>
    <numFmt numFmtId="177" formatCode="#,##0.0"/>
    <numFmt numFmtId="178" formatCode="#,##0.0_);\(#,##0.0\)"/>
  </numFmts>
  <fonts count="8">
    <font>
      <sz val="12"/>
      <name val="Arial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0" xfId="17" applyNumberFormat="1" applyAlignment="1">
      <alignment/>
    </xf>
    <xf numFmtId="164" fontId="0" fillId="0" borderId="1" xfId="17" applyNumberFormat="1" applyBorder="1" applyAlignment="1">
      <alignment/>
    </xf>
    <xf numFmtId="164" fontId="0" fillId="0" borderId="2" xfId="17" applyNumberFormat="1" applyBorder="1" applyAlignment="1">
      <alignment/>
    </xf>
    <xf numFmtId="166" fontId="0" fillId="0" borderId="0" xfId="21" applyNumberFormat="1" applyAlignment="1">
      <alignment/>
    </xf>
    <xf numFmtId="9" fontId="0" fillId="0" borderId="0" xfId="21" applyAlignment="1">
      <alignment/>
    </xf>
    <xf numFmtId="172" fontId="0" fillId="0" borderId="0" xfId="15" applyNumberFormat="1" applyAlignment="1">
      <alignment/>
    </xf>
    <xf numFmtId="44" fontId="0" fillId="0" borderId="0" xfId="17" applyAlignment="1">
      <alignment/>
    </xf>
    <xf numFmtId="172" fontId="0" fillId="0" borderId="0" xfId="15" applyNumberFormat="1" applyAlignment="1">
      <alignment/>
    </xf>
    <xf numFmtId="166" fontId="0" fillId="0" borderId="0" xfId="21" applyNumberFormat="1" applyAlignment="1">
      <alignment/>
    </xf>
    <xf numFmtId="9" fontId="0" fillId="0" borderId="0" xfId="2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4" fontId="0" fillId="0" borderId="0" xfId="15" applyNumberFormat="1" applyAlignment="1">
      <alignment/>
    </xf>
    <xf numFmtId="4" fontId="0" fillId="0" borderId="0" xfId="15" applyNumberFormat="1" applyAlignment="1">
      <alignment/>
    </xf>
    <xf numFmtId="1" fontId="0" fillId="0" borderId="0" xfId="21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164" fontId="0" fillId="0" borderId="0" xfId="17" applyNumberFormat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O52"/>
  <sheetViews>
    <sheetView tabSelected="1"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3" max="3" width="9.5546875" style="0" customWidth="1"/>
    <col min="4" max="4" width="10.77734375" style="0" customWidth="1"/>
    <col min="5" max="5" width="3.77734375" style="0" customWidth="1"/>
    <col min="6" max="6" width="10.99609375" style="0" customWidth="1"/>
    <col min="7" max="7" width="3.77734375" style="0" customWidth="1"/>
    <col min="8" max="8" width="10.10546875" style="0" customWidth="1"/>
    <col min="9" max="9" width="3.77734375" style="0" customWidth="1"/>
    <col min="10" max="10" width="10.99609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8">
      <c r="A2" s="42" t="s">
        <v>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4" t="s">
        <v>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4:12" s="1" customFormat="1" ht="15">
      <c r="D5" s="2">
        <f>WGL!D5</f>
        <v>2005</v>
      </c>
      <c r="E5" s="25"/>
      <c r="F5" s="2">
        <f>WGL!F5</f>
        <v>2004</v>
      </c>
      <c r="H5" s="2">
        <f>WGL!H5</f>
        <v>2003</v>
      </c>
      <c r="J5" s="2">
        <f>WGL!J5</f>
        <v>2002</v>
      </c>
      <c r="L5" s="2">
        <f>WGL!L5</f>
        <v>2001</v>
      </c>
    </row>
    <row r="6" spans="4:12" s="1" customFormat="1" ht="15">
      <c r="D6" s="40" t="s">
        <v>18</v>
      </c>
      <c r="E6" s="40"/>
      <c r="F6" s="40"/>
      <c r="G6" s="40"/>
      <c r="H6" s="40"/>
      <c r="I6" s="40"/>
      <c r="J6" s="40"/>
      <c r="K6" s="40"/>
      <c r="L6" s="40"/>
    </row>
    <row r="7" ht="15">
      <c r="A7" t="s">
        <v>1</v>
      </c>
    </row>
    <row r="8" spans="2:12" ht="15">
      <c r="B8" t="s">
        <v>6</v>
      </c>
      <c r="D8" s="11">
        <f>ROUND(AVERAGE('AGL Res:WGL'!D8),1)</f>
        <v>1652.2</v>
      </c>
      <c r="F8" s="11">
        <f>ROUND(AVERAGE('AGL Res:WGL'!F8),1)</f>
        <v>1414.6</v>
      </c>
      <c r="H8" s="11">
        <f>ROUND(AVERAGE('AGL Res:WGL'!H8),1)</f>
        <v>1166.5</v>
      </c>
      <c r="J8" s="11">
        <f>ROUND(AVERAGE('AGL Res:WGL'!J8),1)</f>
        <v>1085</v>
      </c>
      <c r="L8" s="11">
        <f>ROUND(AVERAGE('AGL Res:WGL'!L8),1)</f>
        <v>1053.3</v>
      </c>
    </row>
    <row r="9" spans="2:12" ht="15">
      <c r="B9" t="s">
        <v>5</v>
      </c>
      <c r="D9" s="11">
        <f>ROUND(AVERAGE('AGL Res:WGL'!D9),1)</f>
        <v>219</v>
      </c>
      <c r="F9" s="11">
        <f>ROUND(AVERAGE('AGL Res:WGL'!F9),1)</f>
        <v>172.8</v>
      </c>
      <c r="H9" s="11">
        <f>ROUND(AVERAGE('AGL Res:WGL'!H9),1)</f>
        <v>258.2</v>
      </c>
      <c r="J9" s="11">
        <f>ROUND(AVERAGE('AGL Res:WGL'!J9),1)</f>
        <v>160.5</v>
      </c>
      <c r="L9" s="11">
        <f>ROUND(AVERAGE('AGL Res:WGL'!L9),1)</f>
        <v>156.8</v>
      </c>
    </row>
    <row r="10" spans="2:12" ht="15.75" thickBot="1">
      <c r="B10" t="s">
        <v>7</v>
      </c>
      <c r="D10" s="13">
        <f>D8+D9</f>
        <v>1871.2</v>
      </c>
      <c r="F10" s="13">
        <f>F8+F9</f>
        <v>1587.3999999999999</v>
      </c>
      <c r="H10" s="13">
        <f>H8+H9</f>
        <v>1424.7</v>
      </c>
      <c r="J10" s="13">
        <f>J8+J9</f>
        <v>1245.5</v>
      </c>
      <c r="L10" s="13">
        <f>L8+L9</f>
        <v>1210.1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2">
        <f>ROUND(AVERAGE('AGL Res:WGL'!D13),0)</f>
        <v>16</v>
      </c>
      <c r="E13" s="27" t="s">
        <v>3</v>
      </c>
      <c r="F13" s="32">
        <f>ROUND(AVERAGE('AGL Res:WGL'!F13),0)</f>
        <v>16</v>
      </c>
      <c r="G13" s="27" t="s">
        <v>3</v>
      </c>
      <c r="H13" s="32">
        <f>ROUND(AVERAGE('AGL Res:WGL'!H13),0)</f>
        <v>14</v>
      </c>
      <c r="I13" s="27" t="s">
        <v>3</v>
      </c>
      <c r="J13" s="32">
        <f>ROUND(AVERAGE('AGL Res:WGL'!J13),0)</f>
        <v>16</v>
      </c>
      <c r="K13" s="27" t="s">
        <v>3</v>
      </c>
      <c r="L13" s="32">
        <f>ROUND(AVERAGE('AGL Res:WGL'!L13),0)</f>
        <v>14</v>
      </c>
      <c r="M13" s="27" t="s">
        <v>3</v>
      </c>
      <c r="N13" s="33">
        <f>AVERAGE(D13,F13,H13,J13,L13)</f>
        <v>15.2</v>
      </c>
      <c r="O13" s="27" t="s">
        <v>3</v>
      </c>
    </row>
    <row r="14" spans="2:14" ht="15">
      <c r="B14" t="s">
        <v>20</v>
      </c>
      <c r="D14" s="14">
        <f>ROUND(AVERAGE('AGL Res:WGL'!D14),3)</f>
        <v>1.988</v>
      </c>
      <c r="E14" s="3"/>
      <c r="F14" s="14">
        <f>ROUND(AVERAGE('AGL Res:WGL'!F14),3)</f>
        <v>1.89</v>
      </c>
      <c r="G14" s="3"/>
      <c r="H14" s="14">
        <f>ROUND(AVERAGE('AGL Res:WGL'!H14),3)</f>
        <v>1.802</v>
      </c>
      <c r="I14" s="3"/>
      <c r="J14" s="14">
        <f>ROUND(AVERAGE('AGL Res:WGL'!J14),3)</f>
        <v>1.713</v>
      </c>
      <c r="K14" s="3"/>
      <c r="L14" s="14">
        <f>ROUND(AVERAGE('AGL Res:WGL'!L14),3)</f>
        <v>1.838</v>
      </c>
      <c r="M14" s="3"/>
      <c r="N14" s="6">
        <f>AVERAGE(D14,F14,H14,J14,L14)</f>
        <v>1.8462</v>
      </c>
    </row>
    <row r="15" spans="2:14" ht="15">
      <c r="B15" t="s">
        <v>9</v>
      </c>
      <c r="D15" s="14">
        <f>ROUND(AVERAGE('AGL Res:WGL'!D15),3)</f>
        <v>0.039</v>
      </c>
      <c r="E15" s="3"/>
      <c r="F15" s="14">
        <f>ROUND(AVERAGE('AGL Res:WGL'!F15),3)</f>
        <v>0.042</v>
      </c>
      <c r="G15" s="3"/>
      <c r="H15" s="14">
        <f>ROUND(AVERAGE('AGL Res:WGL'!H15),3)</f>
        <v>0.047</v>
      </c>
      <c r="I15" s="3"/>
      <c r="J15" s="14">
        <f>ROUND(AVERAGE('AGL Res:WGL'!J15),3)</f>
        <v>0.051</v>
      </c>
      <c r="K15" s="3"/>
      <c r="L15" s="14">
        <f>ROUND(AVERAGE('AGL Res:WGL'!L15),3)</f>
        <v>0.048</v>
      </c>
      <c r="M15" s="3"/>
      <c r="N15" s="6">
        <f>AVERAGE(D15,F15,H15,J15,L15)</f>
        <v>0.045399999999999996</v>
      </c>
    </row>
    <row r="16" spans="2:14" ht="15">
      <c r="B16" t="s">
        <v>10</v>
      </c>
      <c r="D16" s="14">
        <f>ROUND(AVERAGE('AGL Res:WGL'!D16),3)</f>
        <v>0.611</v>
      </c>
      <c r="E16" s="3"/>
      <c r="F16" s="14">
        <f>ROUND(AVERAGE('AGL Res:WGL'!F16),3)</f>
        <v>0.683</v>
      </c>
      <c r="G16" s="3"/>
      <c r="H16" s="14">
        <f>ROUND(AVERAGE('AGL Res:WGL'!H16),3)</f>
        <v>0.643</v>
      </c>
      <c r="I16" s="3"/>
      <c r="J16" s="14">
        <f>ROUND(AVERAGE('AGL Res:WGL'!J16),3)</f>
        <v>0.837</v>
      </c>
      <c r="K16" s="3"/>
      <c r="L16" s="14">
        <f>ROUND(AVERAGE('AGL Res:WGL'!L16),3)</f>
        <v>0.698</v>
      </c>
      <c r="M16" s="3"/>
      <c r="N16" s="6">
        <f>AVERAGE(D16,F16,H16,J16,L16)</f>
        <v>0.6944</v>
      </c>
    </row>
    <row r="18" ht="15">
      <c r="A18" t="s">
        <v>2</v>
      </c>
    </row>
    <row r="19" ht="15">
      <c r="B19" t="s">
        <v>72</v>
      </c>
    </row>
    <row r="20" spans="2:14" ht="15">
      <c r="B20" s="36" t="s">
        <v>85</v>
      </c>
      <c r="D20" s="14">
        <f>ROUND(AVERAGE('AGL Res:WGL'!D20),4)</f>
        <v>0.4584</v>
      </c>
      <c r="E20" s="3"/>
      <c r="F20" s="14">
        <f>ROUND(AVERAGE('AGL Res:WGL'!F20),4)</f>
        <v>0.4584</v>
      </c>
      <c r="G20" s="3"/>
      <c r="H20" s="14">
        <f>ROUND(AVERAGE('AGL Res:WGL'!H20),4)</f>
        <v>0.463</v>
      </c>
      <c r="I20" s="3"/>
      <c r="J20" s="14">
        <f>ROUND(AVERAGE('AGL Res:WGL'!J20),4)</f>
        <v>0.4971</v>
      </c>
      <c r="K20" s="3"/>
      <c r="L20" s="14">
        <f>ROUND(AVERAGE('AGL Res:WGL'!L20),4)</f>
        <v>0.5004</v>
      </c>
      <c r="M20" s="3"/>
      <c r="N20" s="6">
        <f>AVERAGE(D20,F20,H20,J20,L20)</f>
        <v>0.47546</v>
      </c>
    </row>
    <row r="21" spans="2:14" ht="15">
      <c r="B21" s="36" t="s">
        <v>86</v>
      </c>
      <c r="D21" s="14">
        <f>ROUND(AVERAGE('AGL Res:WGL'!D21),4)</f>
        <v>0.0036</v>
      </c>
      <c r="E21" s="3"/>
      <c r="F21" s="14">
        <f>ROUND(AVERAGE('AGL Res:WGL'!F21),4)</f>
        <v>0.0038</v>
      </c>
      <c r="G21" s="3"/>
      <c r="H21" s="14">
        <f>ROUND(AVERAGE('AGL Res:WGL'!H21),4)</f>
        <v>0.0027</v>
      </c>
      <c r="I21" s="3"/>
      <c r="J21" s="14">
        <f>ROUND(AVERAGE('AGL Res:WGL'!J21),4)</f>
        <v>0.004</v>
      </c>
      <c r="K21" s="3"/>
      <c r="L21" s="14">
        <f>ROUND(AVERAGE('AGL Res:WGL'!L21),4)</f>
        <v>0.0074</v>
      </c>
      <c r="M21" s="3"/>
      <c r="N21" s="6">
        <f>AVERAGE(D21,F21,H21,J21,L21)</f>
        <v>0.0043</v>
      </c>
    </row>
    <row r="22" spans="2:14" ht="18">
      <c r="B22" s="37" t="s">
        <v>97</v>
      </c>
      <c r="D22" s="14">
        <f>ROUND(AVERAGE('AGL Res:WGL'!D22),4)</f>
        <v>0.5381</v>
      </c>
      <c r="E22" s="3"/>
      <c r="F22" s="14">
        <f>ROUND(AVERAGE('AGL Res:WGL'!F22),4)</f>
        <v>0.5378</v>
      </c>
      <c r="G22" s="3"/>
      <c r="H22" s="14">
        <f>ROUND(AVERAGE('AGL Res:WGL'!H22),4)</f>
        <v>0.5343</v>
      </c>
      <c r="I22" s="3"/>
      <c r="J22" s="14">
        <f>ROUND(AVERAGE('AGL Res:WGL'!J22),4)</f>
        <v>0.4988</v>
      </c>
      <c r="K22" s="3"/>
      <c r="L22" s="14">
        <f>ROUND(AVERAGE('AGL Res:WGL'!L22),4)</f>
        <v>0.492</v>
      </c>
      <c r="M22" s="3"/>
      <c r="N22" s="9">
        <f>AVERAGE(D22,F22,H22,J22,L22)</f>
        <v>0.5202</v>
      </c>
    </row>
    <row r="23" spans="4:14" ht="15.75" thickBot="1">
      <c r="D23" s="5">
        <f>SUM(D20:D22)</f>
        <v>1.0001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0.9999</v>
      </c>
      <c r="K23" s="3"/>
      <c r="L23" s="5">
        <f>SUM(L20:L22)</f>
        <v>0.9997999999999999</v>
      </c>
      <c r="M23" s="3"/>
      <c r="N23" s="10">
        <f>AVERAGE(D23,F23,H23,J23,L23)</f>
        <v>0.99996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14">
        <f>ROUND(AVERAGE('AGL Res:WGL'!D25),4)</f>
        <v>0.5284</v>
      </c>
      <c r="E25" s="3"/>
      <c r="F25" s="14">
        <f>ROUND(AVERAGE('AGL Res:WGL'!F25),4)</f>
        <v>0.5222</v>
      </c>
      <c r="G25" s="3"/>
      <c r="H25" s="14">
        <f>ROUND(AVERAGE('AGL Res:WGL'!H25),4)</f>
        <v>0.5647</v>
      </c>
      <c r="I25" s="3"/>
      <c r="J25" s="14">
        <f>ROUND(AVERAGE('AGL Res:WGL'!J25),4)</f>
        <v>0.5623</v>
      </c>
      <c r="K25" s="3"/>
      <c r="L25" s="14">
        <f>ROUND(AVERAGE('AGL Res:WGL'!L25),4)</f>
        <v>0.566</v>
      </c>
      <c r="M25" s="3"/>
      <c r="N25" s="6">
        <f>AVERAGE(D25,F25,H25,J25,L25)</f>
        <v>0.54872</v>
      </c>
    </row>
    <row r="26" spans="2:14" ht="15">
      <c r="B26" s="36" t="s">
        <v>86</v>
      </c>
      <c r="D26" s="14">
        <f>ROUND(AVERAGE('AGL Res:WGL'!D26),4)</f>
        <v>0.0032</v>
      </c>
      <c r="E26" s="3"/>
      <c r="F26" s="14">
        <f>ROUND(AVERAGE('AGL Res:WGL'!F26),4)</f>
        <v>0.0034</v>
      </c>
      <c r="G26" s="3"/>
      <c r="H26" s="14">
        <f>ROUND(AVERAGE('AGL Res:WGL'!H26),4)</f>
        <v>0.0023</v>
      </c>
      <c r="I26" s="3"/>
      <c r="J26" s="14">
        <f>ROUND(AVERAGE('AGL Res:WGL'!J26),4)</f>
        <v>0.0037</v>
      </c>
      <c r="K26" s="3"/>
      <c r="L26" s="14">
        <f>ROUND(AVERAGE('AGL Res:WGL'!L26),4)</f>
        <v>0.0066</v>
      </c>
      <c r="M26" s="3"/>
      <c r="N26" s="6">
        <f>AVERAGE(D26,F26,H26,J26,L26)</f>
        <v>0.0038400000000000005</v>
      </c>
    </row>
    <row r="27" spans="2:14" ht="18">
      <c r="B27" s="37" t="s">
        <v>97</v>
      </c>
      <c r="D27" s="14">
        <f>ROUND(AVERAGE('AGL Res:WGL'!D27),4)</f>
        <v>0.4683</v>
      </c>
      <c r="E27" s="3"/>
      <c r="F27" s="14">
        <f>ROUND(AVERAGE('AGL Res:WGL'!F27),4)</f>
        <v>0.4743</v>
      </c>
      <c r="G27" s="3"/>
      <c r="H27" s="14">
        <f>ROUND(AVERAGE('AGL Res:WGL'!H27),4)</f>
        <v>0.4329</v>
      </c>
      <c r="I27" s="3"/>
      <c r="J27" s="14">
        <f>ROUND(AVERAGE('AGL Res:WGL'!J27),4)</f>
        <v>0.4339</v>
      </c>
      <c r="K27" s="3"/>
      <c r="L27" s="14">
        <f>ROUND(AVERAGE('AGL Res:WGL'!L27),4)</f>
        <v>0.4271</v>
      </c>
      <c r="M27" s="3"/>
      <c r="N27" s="9">
        <f>AVERAGE(D27,F27,H27,J27,L27)</f>
        <v>0.4473</v>
      </c>
    </row>
    <row r="28" spans="4:14" ht="15.75" thickBot="1">
      <c r="D28" s="5">
        <f>SUM(D25:D27)</f>
        <v>0.9999</v>
      </c>
      <c r="E28" s="3"/>
      <c r="F28" s="5">
        <f>SUM(F25:F27)</f>
        <v>0.9999</v>
      </c>
      <c r="G28" s="3"/>
      <c r="H28" s="5">
        <f>SUM(H25:H27)</f>
        <v>0.9999</v>
      </c>
      <c r="I28" s="3"/>
      <c r="J28" s="5">
        <f>SUM(J25:J27)</f>
        <v>0.9999</v>
      </c>
      <c r="K28" s="3"/>
      <c r="L28" s="5">
        <f>SUM(L25:L27)</f>
        <v>0.9997</v>
      </c>
      <c r="M28" s="3"/>
      <c r="N28" s="10">
        <f>AVERAGE(D28,F28,H28,J28,L28)</f>
        <v>0.99986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101</v>
      </c>
      <c r="D30" s="14">
        <f>ROUND(AVERAGE('AGL Res:WGL'!D30),3)</f>
        <v>0.126</v>
      </c>
      <c r="E30" s="3"/>
      <c r="F30" s="14">
        <f>ROUND(AVERAGE('AGL Res:WGL'!F30),3)</f>
        <v>0.117</v>
      </c>
      <c r="G30" s="3"/>
      <c r="H30" s="14">
        <f>ROUND(AVERAGE('AGL Res:WGL'!H30),3)</f>
        <v>0.131</v>
      </c>
      <c r="I30" s="3"/>
      <c r="J30" s="14">
        <f>ROUND(AVERAGE('AGL Res:WGL'!J30),3)</f>
        <v>0.114</v>
      </c>
      <c r="K30" s="3"/>
      <c r="L30" s="14">
        <f>ROUND(AVERAGE('AGL Res:WGL'!L30),3)</f>
        <v>0.128</v>
      </c>
      <c r="M30" s="3"/>
      <c r="N30" s="6">
        <f>ROUND(AVERAGE(D30,F30,H30,J30,L30),3)</f>
        <v>0.123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99</v>
      </c>
      <c r="D32" s="14">
        <f>ROUND(AVERAGE('AGL Res:WGL'!D32),3)</f>
        <v>0.903</v>
      </c>
      <c r="E32" s="3"/>
      <c r="F32" s="14">
        <f>ROUND(AVERAGE('AGL Res:WGL'!F32),3)</f>
        <v>0.893</v>
      </c>
      <c r="G32" s="3"/>
      <c r="H32" s="14">
        <f>ROUND(AVERAGE('AGL Res:WGL'!H32),3)</f>
        <v>0.88</v>
      </c>
      <c r="I32" s="3"/>
      <c r="J32" s="14">
        <f>ROUND(AVERAGE('AGL Res:WGL'!J32),3)</f>
        <v>0.86</v>
      </c>
      <c r="K32" s="3"/>
      <c r="L32" s="14">
        <f>ROUND(AVERAGE('AGL Res:WGL'!L32),3)</f>
        <v>0.888</v>
      </c>
      <c r="M32" s="3"/>
      <c r="N32" s="6">
        <f>AVERAGE(D32,F32,H32,J32,L32)</f>
        <v>0.8848</v>
      </c>
    </row>
    <row r="34" ht="18">
      <c r="A34" s="38" t="s">
        <v>100</v>
      </c>
    </row>
    <row r="35" spans="2:15" ht="15">
      <c r="B35" t="s">
        <v>13</v>
      </c>
      <c r="D35" s="28">
        <f>ROUND(AVERAGE('AGL Res:WGL'!D35),2)</f>
        <v>4.29</v>
      </c>
      <c r="E35" s="8" t="s">
        <v>3</v>
      </c>
      <c r="F35" s="28">
        <f>ROUND(AVERAGE('AGL Res:WGL'!F35),2)</f>
        <v>4.3</v>
      </c>
      <c r="G35" s="8" t="s">
        <v>3</v>
      </c>
      <c r="H35" s="28">
        <f>ROUND(AVERAGE('AGL Res:WGL'!H35),2)</f>
        <v>4.39</v>
      </c>
      <c r="I35" s="8" t="s">
        <v>3</v>
      </c>
      <c r="J35" s="28">
        <f>ROUND(AVERAGE('AGL Res:WGL'!J35),2)</f>
        <v>3.6</v>
      </c>
      <c r="K35" s="8" t="s">
        <v>3</v>
      </c>
      <c r="L35" s="28">
        <f>ROUND(AVERAGE('AGL Res:WGL'!L35),2)</f>
        <v>3.52</v>
      </c>
      <c r="M35" s="8" t="s">
        <v>3</v>
      </c>
      <c r="N35" s="29">
        <f>AVERAGE(D35,F35,H35,J35,L35)</f>
        <v>4.0200000000000005</v>
      </c>
      <c r="O35" t="s">
        <v>3</v>
      </c>
    </row>
    <row r="36" spans="2:15" ht="15">
      <c r="B36" t="s">
        <v>21</v>
      </c>
      <c r="D36" s="28">
        <f>ROUND(AVERAGE('AGL Res:WGL'!D36),2)</f>
        <v>3.11</v>
      </c>
      <c r="E36" s="8" t="s">
        <v>3</v>
      </c>
      <c r="F36" s="28">
        <f>ROUND(AVERAGE('AGL Res:WGL'!F36),2)</f>
        <v>3.07</v>
      </c>
      <c r="G36" s="8" t="s">
        <v>3</v>
      </c>
      <c r="H36" s="28">
        <f>ROUND(AVERAGE('AGL Res:WGL'!H36),2)</f>
        <v>3.11</v>
      </c>
      <c r="I36" s="8" t="s">
        <v>3</v>
      </c>
      <c r="J36" s="28">
        <f>ROUND(AVERAGE('AGL Res:WGL'!J36),2)</f>
        <v>2.64</v>
      </c>
      <c r="K36" s="8" t="s">
        <v>3</v>
      </c>
      <c r="L36" s="28">
        <f>ROUND(AVERAGE('AGL Res:WGL'!L36),2)</f>
        <v>2.59</v>
      </c>
      <c r="M36" s="8" t="s">
        <v>3</v>
      </c>
      <c r="N36" s="29">
        <f>AVERAGE(D36,F36,H36,J36,L36)</f>
        <v>2.904</v>
      </c>
      <c r="O36" t="s">
        <v>3</v>
      </c>
    </row>
    <row r="37" spans="2:15" ht="15">
      <c r="B37" t="s">
        <v>14</v>
      </c>
      <c r="D37" s="28">
        <f>ROUND(AVERAGE('AGL Res:WGL'!D37),2)</f>
        <v>3.1</v>
      </c>
      <c r="E37" s="8" t="s">
        <v>3</v>
      </c>
      <c r="F37" s="28">
        <f>ROUND(AVERAGE('AGL Res:WGL'!F37),2)</f>
        <v>3.06</v>
      </c>
      <c r="G37" s="8" t="s">
        <v>3</v>
      </c>
      <c r="H37" s="28">
        <f>ROUND(AVERAGE('AGL Res:WGL'!H37),2)</f>
        <v>3.1</v>
      </c>
      <c r="I37" s="8" t="s">
        <v>3</v>
      </c>
      <c r="J37" s="28">
        <f>ROUND(AVERAGE('AGL Res:WGL'!J37),2)</f>
        <v>2.61</v>
      </c>
      <c r="K37" s="8" t="s">
        <v>3</v>
      </c>
      <c r="L37" s="28">
        <f>ROUND(AVERAGE('AGL Res:WGL'!L37),2)</f>
        <v>2.54</v>
      </c>
      <c r="M37" s="8" t="s">
        <v>3</v>
      </c>
      <c r="N37" s="29">
        <f>AVERAGE(D37,F37,H37,J37,L37)</f>
        <v>2.882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28">
        <f>ROUND(AVERAGE('AGL Res:WGL'!D40),2)</f>
        <v>4.27</v>
      </c>
      <c r="E40" s="8" t="s">
        <v>3</v>
      </c>
      <c r="F40" s="28">
        <f>ROUND(AVERAGE('AGL Res:WGL'!F40),2)</f>
        <v>4.28</v>
      </c>
      <c r="G40" s="8" t="s">
        <v>3</v>
      </c>
      <c r="H40" s="28">
        <f>ROUND(AVERAGE('AGL Res:WGL'!H40),2)</f>
        <v>4.38</v>
      </c>
      <c r="I40" s="8" t="s">
        <v>3</v>
      </c>
      <c r="J40" s="28">
        <f>ROUND(AVERAGE('AGL Res:WGL'!J40),2)</f>
        <v>3.58</v>
      </c>
      <c r="K40" s="8" t="s">
        <v>3</v>
      </c>
      <c r="L40" s="28">
        <f>ROUND(AVERAGE('AGL Res:WGL'!L40),2)</f>
        <v>3.48</v>
      </c>
      <c r="M40" s="8" t="s">
        <v>3</v>
      </c>
      <c r="N40" s="29">
        <f>AVERAGE(D40,F40,H40,J40,L40)</f>
        <v>3.9979999999999998</v>
      </c>
      <c r="O40" t="s">
        <v>3</v>
      </c>
    </row>
    <row r="41" spans="2:15" ht="15">
      <c r="B41" t="s">
        <v>21</v>
      </c>
      <c r="D41" s="28">
        <f>ROUND(AVERAGE('AGL Res:WGL'!D41),2)</f>
        <v>3.09</v>
      </c>
      <c r="E41" s="8" t="s">
        <v>3</v>
      </c>
      <c r="F41" s="28">
        <f>ROUND(AVERAGE('AGL Res:WGL'!F41),2)</f>
        <v>3.05</v>
      </c>
      <c r="G41" s="8" t="s">
        <v>3</v>
      </c>
      <c r="H41" s="28">
        <f>ROUND(AVERAGE('AGL Res:WGL'!H41),2)</f>
        <v>3.09</v>
      </c>
      <c r="I41" s="8" t="s">
        <v>3</v>
      </c>
      <c r="J41" s="28">
        <f>ROUND(AVERAGE('AGL Res:WGL'!J41),2)</f>
        <v>2.62</v>
      </c>
      <c r="K41" s="8" t="s">
        <v>3</v>
      </c>
      <c r="L41" s="28">
        <f>ROUND(AVERAGE('AGL Res:WGL'!L41),2)</f>
        <v>2.56</v>
      </c>
      <c r="M41" s="8" t="s">
        <v>3</v>
      </c>
      <c r="N41" s="29">
        <f>AVERAGE(D41,F41,H41,J41,L41)</f>
        <v>2.8820000000000006</v>
      </c>
      <c r="O41" t="s">
        <v>3</v>
      </c>
    </row>
    <row r="42" spans="2:15" ht="15">
      <c r="B42" t="s">
        <v>14</v>
      </c>
      <c r="D42" s="28">
        <f>ROUND(AVERAGE('AGL Res:WGL'!D42),2)</f>
        <v>3.08</v>
      </c>
      <c r="E42" s="8" t="s">
        <v>3</v>
      </c>
      <c r="F42" s="28">
        <f>ROUND(AVERAGE('AGL Res:WGL'!F42),2)</f>
        <v>3.04</v>
      </c>
      <c r="G42" s="8" t="s">
        <v>3</v>
      </c>
      <c r="H42" s="28">
        <f>ROUND(AVERAGE('AGL Res:WGL'!H42),2)</f>
        <v>3.08</v>
      </c>
      <c r="I42" s="8" t="s">
        <v>3</v>
      </c>
      <c r="J42" s="28">
        <f>ROUND(AVERAGE('AGL Res:WGL'!J42),2)</f>
        <v>2.6</v>
      </c>
      <c r="K42" s="8" t="s">
        <v>3</v>
      </c>
      <c r="L42" s="28">
        <f>ROUND(AVERAGE('AGL Res:WGL'!L42),2)</f>
        <v>2.5</v>
      </c>
      <c r="M42" s="8" t="s">
        <v>3</v>
      </c>
      <c r="N42" s="29">
        <f>AVERAGE(D42,F42,H42,J42,L42)</f>
        <v>2.86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ROUND(AVERAGE('AGL Res:WGL'!D45),3)</f>
        <v>0.008</v>
      </c>
      <c r="E45" s="14"/>
      <c r="F45" s="14">
        <f>ROUND(AVERAGE('AGL Res:WGL'!F45),3)</f>
        <v>0.009</v>
      </c>
      <c r="G45" s="14"/>
      <c r="H45" s="14">
        <f>ROUND(AVERAGE('AGL Res:WGL'!H45),3)</f>
        <v>0.009</v>
      </c>
      <c r="I45" s="14"/>
      <c r="J45" s="14">
        <f>ROUND(AVERAGE('AGL Res:WGL'!J45),3)</f>
        <v>0.01</v>
      </c>
      <c r="K45" s="14"/>
      <c r="L45" s="14">
        <f>ROUND(AVERAGE('AGL Res:WGL'!L45),3)</f>
        <v>0.022</v>
      </c>
      <c r="M45" s="3"/>
      <c r="N45" s="6">
        <f aca="true" t="shared" si="0" ref="N45:N50">AVERAGE(D45,F45,H45,J45,L45)</f>
        <v>0.011600000000000001</v>
      </c>
    </row>
    <row r="46" spans="2:14" ht="15">
      <c r="B46" t="s">
        <v>17</v>
      </c>
      <c r="D46" s="14">
        <f>ROUND(AVERAGE('AGL Res:WGL'!D46),3)</f>
        <v>0.357</v>
      </c>
      <c r="E46" s="15"/>
      <c r="F46" s="14">
        <f>ROUND(AVERAGE('AGL Res:WGL'!F46),3)</f>
        <v>0.366</v>
      </c>
      <c r="G46" s="15"/>
      <c r="H46" s="14">
        <f>ROUND(AVERAGE('AGL Res:WGL'!H46),3)</f>
        <v>0.374</v>
      </c>
      <c r="I46" s="15"/>
      <c r="J46" s="14">
        <f>ROUND(AVERAGE('AGL Res:WGL'!J46),3)</f>
        <v>0.375</v>
      </c>
      <c r="K46" s="15"/>
      <c r="L46" s="14">
        <f>ROUND(AVERAGE('AGL Res:WGL'!L46),3)</f>
        <v>0.367</v>
      </c>
      <c r="N46" s="6">
        <f t="shared" si="0"/>
        <v>0.3678</v>
      </c>
    </row>
    <row r="47" spans="2:14" ht="18">
      <c r="B47" s="38" t="s">
        <v>93</v>
      </c>
      <c r="D47" s="14">
        <f>ROUND(AVERAGE('AGL Res:WGL'!D47),3)</f>
        <v>0.802</v>
      </c>
      <c r="E47" s="15"/>
      <c r="F47" s="14">
        <f>ROUND(AVERAGE('AGL Res:WGL'!F47),3)</f>
        <v>0.956</v>
      </c>
      <c r="G47" s="15"/>
      <c r="H47" s="14">
        <f>ROUND(AVERAGE('AGL Res:WGL'!H47),3)</f>
        <v>1.237</v>
      </c>
      <c r="I47" s="15"/>
      <c r="J47" s="14">
        <f>ROUND(AVERAGE('AGL Res:WGL'!J47),3)</f>
        <v>0.868</v>
      </c>
      <c r="K47" s="15"/>
      <c r="L47" s="14">
        <f>ROUND(AVERAGE('AGL Res:WGL'!L47),3)</f>
        <v>0.83</v>
      </c>
      <c r="N47" s="6">
        <f t="shared" si="0"/>
        <v>0.9385999999999999</v>
      </c>
    </row>
    <row r="48" spans="2:14" ht="18">
      <c r="B48" s="38" t="s">
        <v>94</v>
      </c>
      <c r="D48" s="14">
        <f>ROUND(AVERAGE('AGL Res:WGL'!D48),3)</f>
        <v>0.197</v>
      </c>
      <c r="E48" s="15"/>
      <c r="F48" s="14">
        <f>ROUND(AVERAGE('AGL Res:WGL'!F48),3)</f>
        <v>0.218</v>
      </c>
      <c r="G48" s="15"/>
      <c r="H48" s="14">
        <f>ROUND(AVERAGE('AGL Res:WGL'!H48),3)</f>
        <v>0.239</v>
      </c>
      <c r="I48" s="15"/>
      <c r="J48" s="14">
        <f>ROUND(AVERAGE('AGL Res:WGL'!J48),3)</f>
        <v>0.208</v>
      </c>
      <c r="K48" s="15"/>
      <c r="L48" s="14">
        <f>ROUND(AVERAGE('AGL Res:WGL'!L48),3)</f>
        <v>0.199</v>
      </c>
      <c r="N48" s="6">
        <f t="shared" si="0"/>
        <v>0.2122</v>
      </c>
    </row>
    <row r="49" spans="2:15" ht="18">
      <c r="B49" s="38" t="s">
        <v>95</v>
      </c>
      <c r="D49" s="30">
        <f>ROUND(AVERAGE('AGL Res:WGL'!D49),2)</f>
        <v>4.46</v>
      </c>
      <c r="E49" t="s">
        <v>3</v>
      </c>
      <c r="F49" s="30">
        <f>ROUND(AVERAGE('AGL Res:WGL'!F49),2)</f>
        <v>5.33</v>
      </c>
      <c r="G49" t="s">
        <v>3</v>
      </c>
      <c r="H49" s="30">
        <f>ROUND(AVERAGE('AGL Res:WGL'!H49),2)</f>
        <v>5.84</v>
      </c>
      <c r="I49" t="s">
        <v>3</v>
      </c>
      <c r="J49" s="30">
        <f>ROUND(AVERAGE('AGL Res:WGL'!J49),2)</f>
        <v>4.63</v>
      </c>
      <c r="K49" t="s">
        <v>3</v>
      </c>
      <c r="L49" s="30">
        <f>ROUND(AVERAGE('AGL Res:WGL'!L49),2)</f>
        <v>3.95</v>
      </c>
      <c r="M49" t="s">
        <v>3</v>
      </c>
      <c r="N49" s="31">
        <f t="shared" si="0"/>
        <v>4.842</v>
      </c>
      <c r="O49" t="s">
        <v>3</v>
      </c>
    </row>
    <row r="50" spans="2:15" ht="18">
      <c r="B50" s="38" t="s">
        <v>96</v>
      </c>
      <c r="D50" s="30">
        <f>ROUND(AVERAGE('AGL Res:WGL'!D50),2)</f>
        <v>2.93</v>
      </c>
      <c r="E50" t="s">
        <v>3</v>
      </c>
      <c r="F50" s="30">
        <f>ROUND(AVERAGE('AGL Res:WGL'!F50),2)</f>
        <v>3.42</v>
      </c>
      <c r="G50" t="s">
        <v>3</v>
      </c>
      <c r="H50" s="30">
        <f>ROUND(AVERAGE('AGL Res:WGL'!H50),2)</f>
        <v>3.75</v>
      </c>
      <c r="I50" t="s">
        <v>3</v>
      </c>
      <c r="J50" s="30">
        <f>ROUND(AVERAGE('AGL Res:WGL'!J50),2)</f>
        <v>3.19</v>
      </c>
      <c r="K50" t="s">
        <v>3</v>
      </c>
      <c r="L50" s="30">
        <f>ROUND(AVERAGE('AGL Res:WGL'!L50),2)</f>
        <v>2.91</v>
      </c>
      <c r="M50" t="s">
        <v>3</v>
      </c>
      <c r="N50" s="31">
        <f t="shared" si="0"/>
        <v>3.2399999999999998</v>
      </c>
      <c r="O50" t="s">
        <v>3</v>
      </c>
    </row>
    <row r="52" ht="15">
      <c r="A52" t="s">
        <v>4</v>
      </c>
    </row>
  </sheetData>
  <mergeCells count="4">
    <mergeCell ref="D6:L6"/>
    <mergeCell ref="A1:O1"/>
    <mergeCell ref="A2:O2"/>
    <mergeCell ref="A3:O3"/>
  </mergeCells>
  <printOptions/>
  <pageMargins left="1.22" right="0" top="1.5" bottom="1" header="0.5" footer="0.5"/>
  <pageSetup horizontalDpi="600" verticalDpi="600" orientation="portrait" scale="62" r:id="rId1"/>
  <headerFooter alignWithMargins="0">
    <oddHeader>&amp;R&amp;16Attachment PRM-3
Page 1 of 2
</oddHead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886718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WGL HOLDINGS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1560.21</v>
      </c>
      <c r="F8" s="39">
        <f>F78+F79+F81-F103</f>
        <v>1533.869</v>
      </c>
      <c r="H8" s="39">
        <f>H78+H79+H81-H103</f>
        <v>1495.937</v>
      </c>
      <c r="J8" s="39">
        <f>J78+J79+J81-J103</f>
        <v>1504.923</v>
      </c>
      <c r="L8" s="39">
        <f>L78+L79+L81-L103</f>
        <v>1448.9750000000001</v>
      </c>
    </row>
    <row r="9" spans="2:12" ht="15">
      <c r="B9" t="s">
        <v>5</v>
      </c>
      <c r="D9" s="12">
        <f>D80</f>
        <v>40.876</v>
      </c>
      <c r="F9" s="12">
        <f>F80</f>
        <v>95.634</v>
      </c>
      <c r="H9" s="12">
        <f>H80</f>
        <v>166.662</v>
      </c>
      <c r="J9" s="12">
        <f>J80</f>
        <v>90.865</v>
      </c>
      <c r="L9" s="12">
        <f>L80</f>
        <v>134.052</v>
      </c>
    </row>
    <row r="10" spans="2:12" ht="15.75" thickBot="1">
      <c r="B10" t="s">
        <v>7</v>
      </c>
      <c r="D10" s="13">
        <f>D8+D9</f>
        <v>1601.086</v>
      </c>
      <c r="F10" s="13">
        <f>F8+F9</f>
        <v>1629.503</v>
      </c>
      <c r="H10" s="13">
        <f>H8+H9</f>
        <v>1662.599</v>
      </c>
      <c r="J10" s="13">
        <f>J8+J9</f>
        <v>1595.788</v>
      </c>
      <c r="L10" s="13">
        <f>L8+L9</f>
        <v>1583.027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15</v>
      </c>
      <c r="E13" s="8" t="s">
        <v>3</v>
      </c>
      <c r="F13" s="34">
        <f>ROUND(AVERAGE(F108:F109)/F105,0)</f>
        <v>15</v>
      </c>
      <c r="G13" s="8" t="s">
        <v>3</v>
      </c>
      <c r="H13" s="34">
        <f>ROUND(AVERAGE(H108:H109)/H105,0)</f>
        <v>11</v>
      </c>
      <c r="I13" s="8" t="s">
        <v>3</v>
      </c>
      <c r="J13" s="34">
        <f>ROUND(AVERAGE(J108:J109)/J105,0)</f>
        <v>30</v>
      </c>
      <c r="K13" s="8" t="s">
        <v>3</v>
      </c>
      <c r="L13" s="34">
        <f>ROUND(AVERAGE(L108:L109)/L105,0)</f>
        <v>16</v>
      </c>
      <c r="M13" s="8" t="s">
        <v>3</v>
      </c>
      <c r="N13" s="35">
        <f>AVERAGE(D13,F13,H13,J13,L13)</f>
        <v>17.4</v>
      </c>
      <c r="O13" s="8" t="s">
        <v>3</v>
      </c>
    </row>
    <row r="14" spans="2:14" ht="15">
      <c r="B14" t="s">
        <v>20</v>
      </c>
      <c r="D14" s="3">
        <f>ROUND(AVERAGE(D108:D109)/AVERAGE(D112,F112),3)</f>
        <v>1.773</v>
      </c>
      <c r="E14" s="3"/>
      <c r="F14" s="3">
        <f>ROUND(AVERAGE(F108:F109)/AVERAGE(F112,H112),3)</f>
        <v>1.69</v>
      </c>
      <c r="G14" s="3"/>
      <c r="H14" s="3">
        <f>ROUND(AVERAGE(H108:H109)/AVERAGE(H112,J112),3)</f>
        <v>1.593</v>
      </c>
      <c r="I14" s="3"/>
      <c r="J14" s="3">
        <f>ROUND(AVERAGE(J108:J109)/AVERAGE(J112,L112),3)</f>
        <v>1.522</v>
      </c>
      <c r="K14" s="3"/>
      <c r="L14" s="3">
        <f>ROUND(AVERAGE(L108:L109)/AVERAGE(L112,N112),3)</f>
        <v>1.767</v>
      </c>
      <c r="M14" s="3"/>
      <c r="N14" s="6">
        <f>AVERAGE(D14,F14,H14,J14,L14)</f>
        <v>1.669</v>
      </c>
    </row>
    <row r="15" spans="2:14" ht="15">
      <c r="B15" t="s">
        <v>9</v>
      </c>
      <c r="D15" s="3">
        <f>ROUND(D106/AVERAGE(D108:D109),3)</f>
        <v>0.041</v>
      </c>
      <c r="E15" s="3"/>
      <c r="F15" s="3">
        <f>ROUND(F106/AVERAGE(F108:F109),3)</f>
        <v>0.044</v>
      </c>
      <c r="G15" s="3"/>
      <c r="H15" s="3">
        <f>ROUND(H106/AVERAGE(H108:H109),3)</f>
        <v>0.049</v>
      </c>
      <c r="I15" s="3"/>
      <c r="J15" s="3">
        <f>ROUND(J106/AVERAGE(J108:J109),3)</f>
        <v>0.052</v>
      </c>
      <c r="K15" s="3"/>
      <c r="L15" s="3">
        <f>ROUND(L106/AVERAGE(L108:L109),3)</f>
        <v>0.045</v>
      </c>
      <c r="M15" s="3"/>
      <c r="N15" s="6">
        <f>AVERAGE(D15,F15,H15,J15,L15)</f>
        <v>0.0462</v>
      </c>
    </row>
    <row r="16" spans="2:14" ht="15">
      <c r="B16" t="s">
        <v>10</v>
      </c>
      <c r="D16" s="3">
        <f>ROUND(D96/D66,3)</f>
        <v>0.622</v>
      </c>
      <c r="E16" s="3"/>
      <c r="F16" s="3">
        <f>ROUND(F96/F66,3)</f>
        <v>0.652</v>
      </c>
      <c r="G16" s="3"/>
      <c r="H16" s="3">
        <f>ROUND(H96/H66,3)</f>
        <v>0.553</v>
      </c>
      <c r="I16" s="3"/>
      <c r="J16" s="3">
        <f>ROUND(J96/J66,3)</f>
        <v>1.573</v>
      </c>
      <c r="K16" s="3"/>
      <c r="L16" s="3">
        <f>ROUND(L96/L66,3)</f>
        <v>0.723</v>
      </c>
      <c r="M16" s="3"/>
      <c r="N16" s="6">
        <f>AVERAGE(D16,F16,H16,J16,L16)</f>
        <v>0.8246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0.407</v>
      </c>
      <c r="E20" s="3"/>
      <c r="F20" s="3">
        <f>ROUND((+F76+F79)/F8,3)</f>
        <v>0.424</v>
      </c>
      <c r="G20" s="3"/>
      <c r="H20" s="3">
        <f>ROUND((+H76+H79)/H8,3)</f>
        <v>0.434</v>
      </c>
      <c r="I20" s="3"/>
      <c r="J20" s="3">
        <f>ROUND((+J76+J79)/J8,3)</f>
        <v>0.472</v>
      </c>
      <c r="K20" s="3"/>
      <c r="L20" s="3">
        <f>ROUND((+L76+L79)/L8,3)</f>
        <v>0.437</v>
      </c>
      <c r="M20" s="3"/>
      <c r="N20" s="6">
        <f>AVERAGE(D20,F20,H20,J20,L20)</f>
        <v>0.43479999999999996</v>
      </c>
    </row>
    <row r="21" spans="2:14" ht="15">
      <c r="B21" s="36" t="s">
        <v>86</v>
      </c>
      <c r="D21" s="3">
        <f>ROUND((SUM(D69:D75)+D81)/D8,3)</f>
        <v>0.018</v>
      </c>
      <c r="E21" s="3"/>
      <c r="F21" s="3">
        <f>ROUND((SUM(F69:F75)+F81)/F8,3)</f>
        <v>0.018</v>
      </c>
      <c r="G21" s="3"/>
      <c r="H21" s="3">
        <f>ROUND((SUM(H69:H75)+H81)/H8,3)</f>
        <v>0.019</v>
      </c>
      <c r="I21" s="3"/>
      <c r="J21" s="3">
        <f>ROUND((SUM(J69:J75)+J81)/J8,3)</f>
        <v>0.019</v>
      </c>
      <c r="K21" s="3"/>
      <c r="L21" s="3">
        <f>ROUND((SUM(L69:L75)+L81)/L8,3)</f>
        <v>0.019</v>
      </c>
      <c r="M21" s="3"/>
      <c r="N21" s="6">
        <f>AVERAGE(D21,F21,H21,J21,L21)</f>
        <v>0.0186</v>
      </c>
    </row>
    <row r="22" spans="2:14" ht="18">
      <c r="B22" s="37" t="s">
        <v>87</v>
      </c>
      <c r="D22" s="4">
        <f>ROUND((D68-D103)/D8,3)</f>
        <v>0.575</v>
      </c>
      <c r="E22" s="3"/>
      <c r="F22" s="4">
        <f>ROUND((F68-F103)/F8,3)</f>
        <v>0.557</v>
      </c>
      <c r="G22" s="3"/>
      <c r="H22" s="4">
        <f>ROUND((H68-H103)/H8,3)</f>
        <v>0.547</v>
      </c>
      <c r="I22" s="3"/>
      <c r="J22" s="4">
        <f>ROUND((J68-J103)/J8,3)</f>
        <v>0.509</v>
      </c>
      <c r="K22" s="3"/>
      <c r="L22" s="4">
        <f>ROUND((L68-L103)/L8,3)</f>
        <v>0.544</v>
      </c>
      <c r="M22" s="3"/>
      <c r="N22" s="9">
        <f>AVERAGE(D22,F22,H22,J22,L22)</f>
        <v>0.5464</v>
      </c>
    </row>
    <row r="23" spans="4:14" ht="15.75" thickBot="1">
      <c r="D23" s="5">
        <f>SUM(D20:D22)</f>
        <v>1</v>
      </c>
      <c r="E23" s="3"/>
      <c r="F23" s="5">
        <f>SUM(F20:F22)</f>
        <v>0.9990000000000001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0.422</v>
      </c>
      <c r="E25" s="3"/>
      <c r="F25" s="3">
        <f>ROUND((+F76+F79+F80)/F10,3)</f>
        <v>0.458</v>
      </c>
      <c r="G25" s="3"/>
      <c r="H25" s="3">
        <f>ROUND((+H76+H79+H80)/H10,3)</f>
        <v>0.49</v>
      </c>
      <c r="I25" s="3"/>
      <c r="J25" s="3">
        <f>ROUND((+J76+J79+J80)/J10,3)</f>
        <v>0.502</v>
      </c>
      <c r="K25" s="3"/>
      <c r="L25" s="3">
        <f>ROUND((+L76+L79+L80)/L10,3)</f>
        <v>0.484</v>
      </c>
      <c r="M25" s="3"/>
      <c r="N25" s="6">
        <f>AVERAGE(D25,F25,H25,J25,L25)</f>
        <v>0.47119999999999995</v>
      </c>
    </row>
    <row r="26" spans="2:14" ht="15">
      <c r="B26" s="36" t="s">
        <v>86</v>
      </c>
      <c r="D26" s="3">
        <f>ROUND((SUM(D69:D75)+D81)/D10,3)</f>
        <v>0.018</v>
      </c>
      <c r="E26" s="3"/>
      <c r="F26" s="3">
        <f>ROUND((SUM(F69:F75)+F81)/F10,3)</f>
        <v>0.017</v>
      </c>
      <c r="G26" s="3"/>
      <c r="H26" s="3">
        <f>ROUND((SUM(H69:H75)+H81)/H10,3)</f>
        <v>0.017</v>
      </c>
      <c r="I26" s="3"/>
      <c r="J26" s="3">
        <f>ROUND((SUM(J69:J75)+J81)/J10,3)</f>
        <v>0.018</v>
      </c>
      <c r="K26" s="3"/>
      <c r="L26" s="3">
        <f>ROUND((SUM(L69:L75)+L81)/L10,3)</f>
        <v>0.018</v>
      </c>
      <c r="M26" s="3"/>
      <c r="N26" s="6">
        <f>AVERAGE(D26,F26,H26,J26,L26)</f>
        <v>0.0176</v>
      </c>
    </row>
    <row r="27" spans="2:14" ht="18">
      <c r="B27" s="37" t="s">
        <v>87</v>
      </c>
      <c r="D27" s="4">
        <f>ROUND((D68-D103)/D10,3)</f>
        <v>0.561</v>
      </c>
      <c r="E27" s="3"/>
      <c r="F27" s="4">
        <f>ROUND((F68-F103)/F10,3)</f>
        <v>0.525</v>
      </c>
      <c r="G27" s="3"/>
      <c r="H27" s="4">
        <f>ROUND((H68-H103)/H10,3)</f>
        <v>0.493</v>
      </c>
      <c r="I27" s="3"/>
      <c r="J27" s="4">
        <f>ROUND((J68-J103)/J10,3)</f>
        <v>0.48</v>
      </c>
      <c r="K27" s="3"/>
      <c r="L27" s="4">
        <f>ROUND((L68-L103)/L10,3)</f>
        <v>0.498</v>
      </c>
      <c r="M27" s="3"/>
      <c r="N27" s="9">
        <f>AVERAGE(D27,F27,H27,J27,L27)</f>
        <v>0.5114000000000001</v>
      </c>
    </row>
    <row r="28" spans="4:14" ht="15.75" thickBot="1">
      <c r="D28" s="5">
        <f>SUM(D25:D27)</f>
        <v>1.0010000000000001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1.0002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0.118</v>
      </c>
      <c r="E30" s="3"/>
      <c r="F30" s="3">
        <f>ROUND(+F66/(((F68-F103)+(H68-H103))/2),3)</f>
        <v>0.115</v>
      </c>
      <c r="G30" s="3"/>
      <c r="H30" s="3">
        <f>ROUND(+H66/(((H68-H103)+(J68-J103))/2),3)</f>
        <v>0.142</v>
      </c>
      <c r="I30" s="3"/>
      <c r="J30" s="3">
        <f>ROUND(+J66/(((J68-J103)+(L68-L103))/2),3)</f>
        <v>0.05</v>
      </c>
      <c r="K30" s="3"/>
      <c r="L30" s="3">
        <f>ROUND(+L66/(((L68-L103)+(N68-N103))/2),3)</f>
        <v>0.11</v>
      </c>
      <c r="M30" s="3"/>
      <c r="N30" s="6">
        <f>AVERAGE(D30,F30,H30,J30,L30)</f>
        <v>0.10700000000000001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0.869</v>
      </c>
      <c r="E32" s="3"/>
      <c r="F32" s="3">
        <f>ROUND((+F58-F57)/F56,3)</f>
        <v>0.847</v>
      </c>
      <c r="G32" s="3"/>
      <c r="H32" s="3">
        <f>ROUND((+H58-H57)/H56,3)</f>
        <v>0.826</v>
      </c>
      <c r="I32" s="3"/>
      <c r="J32" s="3">
        <f>ROUND((+J58-J57)/J56,3)</f>
        <v>0.864</v>
      </c>
      <c r="K32" s="3"/>
      <c r="L32" s="3">
        <f>ROUND((+L58-L57)/L56,3)</f>
        <v>0.862</v>
      </c>
      <c r="M32" s="3"/>
      <c r="N32" s="6">
        <f>AVERAGE(D32,F32,H32,J32,L32)</f>
        <v>0.8535999999999999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4.83</v>
      </c>
      <c r="E35" s="8" t="s">
        <v>3</v>
      </c>
      <c r="F35" s="8">
        <f>ROUND(((+F66+F65+F64+F63+F61+F59+F57)/F61),2)</f>
        <v>4.6</v>
      </c>
      <c r="G35" s="8" t="s">
        <v>3</v>
      </c>
      <c r="H35" s="8">
        <f>ROUND(((+H66+H65+H64+H63+H61+H59+H57)/H61),2)</f>
        <v>4.92</v>
      </c>
      <c r="I35" s="8" t="s">
        <v>3</v>
      </c>
      <c r="J35" s="8">
        <f>ROUND(((+J66+J65+J64+J63+J61+J59+J57)/J61),2)</f>
        <v>2.58</v>
      </c>
      <c r="K35" s="8" t="s">
        <v>3</v>
      </c>
      <c r="L35" s="8">
        <f>ROUND(((+L66+L65+L64+L63+L61+L59+L57)/L61),2)</f>
        <v>3.82</v>
      </c>
      <c r="M35" s="8" t="s">
        <v>3</v>
      </c>
      <c r="N35" s="29">
        <f>AVERAGE(D35,F35,H35,J35,L35)</f>
        <v>4.15</v>
      </c>
      <c r="O35" t="s">
        <v>3</v>
      </c>
    </row>
    <row r="36" spans="2:15" ht="15">
      <c r="B36" t="s">
        <v>21</v>
      </c>
      <c r="D36" s="8">
        <f>ROUND(((+D66+D65+D64+D63+D61)/(D61)),2)</f>
        <v>3.41</v>
      </c>
      <c r="E36" s="8" t="s">
        <v>3</v>
      </c>
      <c r="F36" s="8">
        <f>ROUND(((+F66+F65+F64+F63+F61)/(F61)),2)</f>
        <v>3.22</v>
      </c>
      <c r="G36" s="8" t="s">
        <v>3</v>
      </c>
      <c r="H36" s="8">
        <f>ROUND(((+H66+H65+H64+H63+H61)/(H61)),2)</f>
        <v>3.45</v>
      </c>
      <c r="I36" s="8" t="s">
        <v>3</v>
      </c>
      <c r="J36" s="8">
        <f>ROUND(((+J66+J65+J64+J63+J61)/(J61)),2)</f>
        <v>1.88</v>
      </c>
      <c r="K36" s="8" t="s">
        <v>3</v>
      </c>
      <c r="L36" s="8">
        <f>ROUND(((+L66+L65+L64+L63+L61)/(L61)),2)</f>
        <v>2.68</v>
      </c>
      <c r="M36" s="8" t="s">
        <v>3</v>
      </c>
      <c r="N36" s="29">
        <f>AVERAGE(D36,F36,H36,J36,L36)</f>
        <v>2.928</v>
      </c>
      <c r="O36" t="s">
        <v>3</v>
      </c>
    </row>
    <row r="37" spans="2:15" ht="15">
      <c r="B37" t="s">
        <v>14</v>
      </c>
      <c r="D37" s="8">
        <f>ROUND(((+D66+D65+D64+D63+D61)/(D61+D63+D64+D65)),2)</f>
        <v>3.31</v>
      </c>
      <c r="E37" s="8" t="s">
        <v>3</v>
      </c>
      <c r="F37" s="8">
        <f>ROUND(((+F66+F65+F64+F63+F61)/(F61+F63+F64+F65)),2)</f>
        <v>3.13</v>
      </c>
      <c r="G37" s="8" t="s">
        <v>3</v>
      </c>
      <c r="H37" s="8">
        <f>ROUND(((+H66+H65+H64+H63+H61)/(H61+H63+H64+H65)),2)</f>
        <v>3.36</v>
      </c>
      <c r="I37" s="8" t="s">
        <v>3</v>
      </c>
      <c r="J37" s="8">
        <f>ROUND(((+J66+J65+J64+J63+J61)/(J61+J63+J64+J65)),2)</f>
        <v>1.83</v>
      </c>
      <c r="K37" s="8" t="s">
        <v>3</v>
      </c>
      <c r="L37" s="8">
        <f>ROUND(((+L66+L65+L64+L63+L61)/(L61+L63+L64+L65)),2)</f>
        <v>2.61</v>
      </c>
      <c r="M37" s="8" t="s">
        <v>3</v>
      </c>
      <c r="N37" s="29">
        <f>AVERAGE(D37,F37,H37,J37,L37)</f>
        <v>2.848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4.83</v>
      </c>
      <c r="E40" s="8" t="s">
        <v>3</v>
      </c>
      <c r="F40" s="8">
        <f>ROUND(((+F66+F65+F64+F63-F62+F61+F59+F57)/F61),2)</f>
        <v>4.6</v>
      </c>
      <c r="G40" s="8" t="s">
        <v>3</v>
      </c>
      <c r="H40" s="8">
        <f>ROUND(((+H66+H65+H64+H63-H62+H61+H59+H57)/H61),2)</f>
        <v>4.92</v>
      </c>
      <c r="I40" s="8" t="s">
        <v>3</v>
      </c>
      <c r="J40" s="8">
        <f>ROUND(((+J66+J65+J64+J63-J62+J61+J59+J57)/J61),2)</f>
        <v>2.58</v>
      </c>
      <c r="K40" s="8" t="s">
        <v>3</v>
      </c>
      <c r="L40" s="8">
        <f>ROUND(((+L66+L65+L64+L63-L62+L61+L59+L57)/L61),2)</f>
        <v>3.81</v>
      </c>
      <c r="M40" s="8" t="s">
        <v>3</v>
      </c>
      <c r="N40" s="29">
        <f>AVERAGE(D40,F40,H40,J40,L40)</f>
        <v>4.148</v>
      </c>
      <c r="O40" t="s">
        <v>3</v>
      </c>
    </row>
    <row r="41" spans="2:15" ht="15">
      <c r="B41" t="s">
        <v>21</v>
      </c>
      <c r="D41" s="8">
        <f>ROUND(((+D66+D65+D64+D63-D62+D61)/D61),2)</f>
        <v>3.41</v>
      </c>
      <c r="E41" s="8" t="s">
        <v>3</v>
      </c>
      <c r="F41" s="8">
        <f>ROUND(((+F66+F65+F64+F63-F62+F61)/F61),2)</f>
        <v>3.22</v>
      </c>
      <c r="G41" s="8" t="s">
        <v>3</v>
      </c>
      <c r="H41" s="8">
        <f>ROUND(((+H66+H65+H64+H63-H62+H61)/H61),2)</f>
        <v>3.45</v>
      </c>
      <c r="I41" s="8" t="s">
        <v>3</v>
      </c>
      <c r="J41" s="8">
        <f>ROUND(((+J66+J65+J64+J63-J62+J61)/J61),2)</f>
        <v>1.88</v>
      </c>
      <c r="K41" s="8" t="s">
        <v>3</v>
      </c>
      <c r="L41" s="8">
        <f>ROUND(((+L66+L65+L64+L63-L62+L61)/L61),2)</f>
        <v>2.67</v>
      </c>
      <c r="M41" s="8" t="s">
        <v>3</v>
      </c>
      <c r="N41" s="29">
        <f>AVERAGE(D41,F41,H41,J41,L41)</f>
        <v>2.926</v>
      </c>
      <c r="O41" t="s">
        <v>3</v>
      </c>
    </row>
    <row r="42" spans="2:15" ht="15">
      <c r="B42" t="s">
        <v>14</v>
      </c>
      <c r="D42" s="8">
        <f>ROUND(((+D66+D65+D64+D63-D62+D61)/(D61+D63+D64+D65)),2)</f>
        <v>3.31</v>
      </c>
      <c r="E42" s="8" t="s">
        <v>3</v>
      </c>
      <c r="F42" s="8">
        <f>ROUND(((+F66+F65+F64+F63-F62+F61)/(F61+F63+F64+F65)),2)</f>
        <v>3.13</v>
      </c>
      <c r="G42" s="8" t="s">
        <v>3</v>
      </c>
      <c r="H42" s="8">
        <f>ROUND(((+H66+H65+H64+H63-H62+H61)/(H61+H63+H64+H65)),2)</f>
        <v>3.36</v>
      </c>
      <c r="I42" s="8" t="s">
        <v>3</v>
      </c>
      <c r="J42" s="8">
        <f>ROUND(((+J66+J65+J64+J63-J62+J61)/(J61+J63+J64+J65)),2)</f>
        <v>1.83</v>
      </c>
      <c r="K42" s="8" t="s">
        <v>3</v>
      </c>
      <c r="L42" s="8">
        <f>ROUND(((+L66+L65+L64+L63-L62+L61)/(L61+L63+L64+L65)),2)</f>
        <v>2.6</v>
      </c>
      <c r="M42" s="8" t="s">
        <v>3</v>
      </c>
      <c r="N42" s="29">
        <f>AVERAGE(D42,F42,H42,J42,L42)</f>
        <v>2.8459999999999996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0.004</v>
      </c>
      <c r="M45" s="3"/>
      <c r="N45" s="6">
        <f aca="true" t="shared" si="0" ref="N45:N50">AVERAGE(D45,F45,H45,J45,L45)</f>
        <v>0.0008</v>
      </c>
    </row>
    <row r="46" spans="2:14" ht="15">
      <c r="B46" t="s">
        <v>17</v>
      </c>
      <c r="D46" s="19">
        <f>ROUND((D57+D59)/(D57+D59+D66+D63+D64+D65),3)</f>
        <v>0.37</v>
      </c>
      <c r="E46" s="20"/>
      <c r="F46" s="19">
        <f>ROUND((F57+F59)/(F57+F59+F66+F63+F64+F65),3)</f>
        <v>0.383</v>
      </c>
      <c r="G46" s="20"/>
      <c r="H46" s="19">
        <f>ROUND((H57+H59)/(H57+H59+H66+H63+H64+H65),3)</f>
        <v>0.374</v>
      </c>
      <c r="I46" s="20"/>
      <c r="J46" s="19">
        <f>ROUND((J57+J59)/(J57+J59+J66+J63+J64+J65),3)</f>
        <v>0.441</v>
      </c>
      <c r="K46" s="20"/>
      <c r="L46" s="19">
        <f>ROUND((L57+L59)/(L57+L59+L66+L63+L64+L65),3)</f>
        <v>0.405</v>
      </c>
      <c r="N46" s="6">
        <f t="shared" si="0"/>
        <v>0.3946</v>
      </c>
    </row>
    <row r="47" spans="2:14" ht="18">
      <c r="B47" s="38" t="s">
        <v>93</v>
      </c>
      <c r="D47" s="14">
        <f>ROUND(((+D82+D83+D84+D85+D86-D87+D88-D90-D91)/(+D89-D87)),3)</f>
        <v>1.244</v>
      </c>
      <c r="E47" s="15"/>
      <c r="F47" s="14">
        <f>ROUND(((+F82+F83+F84+F85+F86-F87+F88-F90-F91)/(+F89-F87)),3)</f>
        <v>1.371</v>
      </c>
      <c r="G47" s="15"/>
      <c r="H47" s="14">
        <f>ROUND(((+H82+H83+H84+H85+H86-H87+H88-H90-H91)/(+H89-H87)),3)</f>
        <v>1.354</v>
      </c>
      <c r="I47" s="15"/>
      <c r="J47" s="14">
        <f>ROUND(((+J82+J83+J84+J85+J86-J87+J88-J90-J91)/(+J89-J87)),3)</f>
        <v>0.26</v>
      </c>
      <c r="K47" s="15"/>
      <c r="L47" s="14">
        <f>ROUND(((+L82+L83+L84+L85+L86-L87+L88-L90-L91)/(+L89-L87)),3)</f>
        <v>0.965</v>
      </c>
      <c r="N47" s="6">
        <f t="shared" si="0"/>
        <v>1.0388</v>
      </c>
    </row>
    <row r="48" spans="2:14" ht="18">
      <c r="B48" s="38" t="s">
        <v>94</v>
      </c>
      <c r="D48" s="14">
        <f>ROUND(((+D82+D83+D84+D85+D86-D87+D88)/(AVERAGE(D76,F76)+AVERAGE(D79,F79)+AVERAGE(D80,F80))),3)</f>
        <v>0.288</v>
      </c>
      <c r="E48" s="15"/>
      <c r="F48" s="14">
        <f>ROUND(((+F82+F83+F84+F85+F86-F87+F88)/(AVERAGE(F76,H76)+AVERAGE(F79,H79)+AVERAGE(F80,H80))),3)</f>
        <v>0.279</v>
      </c>
      <c r="G48" s="15"/>
      <c r="H48" s="14">
        <f>ROUND(((+H82+H83+H84+H85+H86-H87+H88)/(AVERAGE(H76,J76)+AVERAGE(H79,J79)+AVERAGE(H80,J80))),3)</f>
        <v>0.293</v>
      </c>
      <c r="I48" s="15"/>
      <c r="J48" s="14">
        <f>ROUND(((+J82+J83+J84+J85+J86-J87+J88)/(AVERAGE(J76,L76)+AVERAGE(J79,L79)+AVERAGE(J80,L80))),3)</f>
        <v>0.132</v>
      </c>
      <c r="K48" s="15"/>
      <c r="L48" s="14">
        <f>ROUND(((+L82+L83+L84+L85+L86-L87+L88)/(AVERAGE(L76,N76)+AVERAGE(L79,N79)+AVERAGE(L80,N80))),3)</f>
        <v>0.248</v>
      </c>
      <c r="N48" s="6">
        <f t="shared" si="0"/>
        <v>0.24799999999999994</v>
      </c>
    </row>
    <row r="49" spans="2:15" ht="18">
      <c r="B49" s="38" t="s">
        <v>95</v>
      </c>
      <c r="D49" s="30">
        <f>ROUND(((+D82+D83+D84+D85+D86-D87+D88+D92)/D61),2)</f>
        <v>5.68</v>
      </c>
      <c r="E49" t="s">
        <v>3</v>
      </c>
      <c r="F49" s="30">
        <f>ROUND(((+F82+F83+F84+F85+F86-F87+F88+F92)/F61),2)</f>
        <v>5.93</v>
      </c>
      <c r="G49" t="s">
        <v>3</v>
      </c>
      <c r="H49" s="30">
        <f>ROUND(((+H82+H83+H84+H85+H86-H87+H88+H92)/H61),2)</f>
        <v>6.08</v>
      </c>
      <c r="I49" t="s">
        <v>3</v>
      </c>
      <c r="J49" s="30">
        <f>ROUND(((+J82+J83+J84+J85+J86-J87+J88+J92)/J61),2)</f>
        <v>3.24</v>
      </c>
      <c r="K49" t="s">
        <v>3</v>
      </c>
      <c r="L49" s="30">
        <f>ROUND(((+L82+L83+L84+L85+L86-L87+L88+L92)/L61),2)</f>
        <v>4.68</v>
      </c>
      <c r="M49" t="s">
        <v>3</v>
      </c>
      <c r="N49" s="31">
        <f t="shared" si="0"/>
        <v>5.122</v>
      </c>
      <c r="O49" t="s">
        <v>3</v>
      </c>
    </row>
    <row r="50" spans="2:15" ht="18">
      <c r="B50" s="38" t="s">
        <v>96</v>
      </c>
      <c r="D50" s="30">
        <f>ROUND(((+D82+D83+D84+D85+D86-D87+D88-D91)/+D90),2)</f>
        <v>3.2</v>
      </c>
      <c r="E50" t="s">
        <v>3</v>
      </c>
      <c r="F50" s="30">
        <f>ROUND(((+F82+F83+F84+F85+F86-F87+F88-F91)/+F90),2)</f>
        <v>3.48</v>
      </c>
      <c r="G50" t="s">
        <v>3</v>
      </c>
      <c r="H50" s="30">
        <f>ROUND(((+H82+H83+H84+H85+H86-H87+H88-H91)/+H90),2)</f>
        <v>3.82</v>
      </c>
      <c r="I50" t="s">
        <v>3</v>
      </c>
      <c r="J50" s="30">
        <f>ROUND(((+J82+J83+J84+J85+J86-J87+J88-J91)/+J90),2)</f>
        <v>1.69</v>
      </c>
      <c r="K50" t="s">
        <v>3</v>
      </c>
      <c r="L50" s="30">
        <f>ROUND(((+L82+L83+L84+L85+L86-L87+L88-L91)/+L90),2)</f>
        <v>3.14</v>
      </c>
      <c r="M50" t="s">
        <v>3</v>
      </c>
      <c r="N50" s="31">
        <f t="shared" si="0"/>
        <v>3.066</v>
      </c>
      <c r="O50" t="s">
        <v>3</v>
      </c>
    </row>
    <row r="52" ht="15">
      <c r="A52" t="s">
        <v>4</v>
      </c>
    </row>
    <row r="54" spans="1:14" ht="15.75">
      <c r="A54" s="21" t="s">
        <v>82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1379.39</v>
      </c>
      <c r="E56" s="24"/>
      <c r="F56" s="24">
        <v>1267.948</v>
      </c>
      <c r="G56" s="24"/>
      <c r="H56" s="24">
        <v>1301.057</v>
      </c>
      <c r="I56" s="24"/>
      <c r="J56" s="24">
        <v>925.131</v>
      </c>
      <c r="K56" s="24"/>
      <c r="L56" s="24">
        <v>1446.456</v>
      </c>
      <c r="M56" s="24"/>
      <c r="N56" s="24">
        <v>1031.105</v>
      </c>
    </row>
    <row r="57" spans="1:14" ht="15">
      <c r="A57" s="22" t="s">
        <v>23</v>
      </c>
      <c r="B57" s="22"/>
      <c r="C57" s="22"/>
      <c r="D57" s="24">
        <v>49.182</v>
      </c>
      <c r="E57" s="24"/>
      <c r="F57" s="24">
        <v>58.463</v>
      </c>
      <c r="G57" s="24"/>
      <c r="H57" s="24">
        <v>68.633</v>
      </c>
      <c r="I57" s="24"/>
      <c r="J57" s="24">
        <v>28.702</v>
      </c>
      <c r="K57" s="24"/>
      <c r="L57" s="24">
        <v>59.009</v>
      </c>
      <c r="M57" s="24"/>
      <c r="N57" s="24">
        <v>47.821</v>
      </c>
    </row>
    <row r="58" spans="1:14" ht="15">
      <c r="A58" s="22" t="s">
        <v>24</v>
      </c>
      <c r="B58" s="22"/>
      <c r="C58" s="22"/>
      <c r="D58" s="24">
        <v>1247.919</v>
      </c>
      <c r="E58" s="24"/>
      <c r="F58" s="24">
        <v>1132.315</v>
      </c>
      <c r="G58" s="24"/>
      <c r="H58" s="24">
        <v>1143.304</v>
      </c>
      <c r="I58" s="24"/>
      <c r="J58" s="24">
        <v>827.71</v>
      </c>
      <c r="K58" s="24"/>
      <c r="L58" s="24">
        <v>1305.131</v>
      </c>
      <c r="M58" s="24"/>
      <c r="N58" s="24">
        <v>906.242</v>
      </c>
    </row>
    <row r="59" spans="1:14" ht="15">
      <c r="A59" s="22" t="s">
        <v>25</v>
      </c>
      <c r="B59" s="22"/>
      <c r="C59" s="22"/>
      <c r="D59" s="24">
        <v>12.436</v>
      </c>
      <c r="E59" s="24"/>
      <c r="F59" s="24">
        <v>2.439</v>
      </c>
      <c r="G59" s="24"/>
      <c r="H59" s="24">
        <v>-0.665</v>
      </c>
      <c r="I59" s="24"/>
      <c r="J59" s="24">
        <v>3.175</v>
      </c>
      <c r="K59" s="24"/>
      <c r="L59" s="24">
        <v>-1.993</v>
      </c>
      <c r="M59" s="24"/>
      <c r="N59" s="24">
        <v>-0.153</v>
      </c>
    </row>
    <row r="60" spans="1:14" ht="15">
      <c r="A60" s="22" t="s">
        <v>26</v>
      </c>
      <c r="B60" s="22"/>
      <c r="C60" s="22"/>
      <c r="D60" s="24">
        <v>148.264</v>
      </c>
      <c r="E60" s="24"/>
      <c r="F60" s="24">
        <v>142.102</v>
      </c>
      <c r="G60" s="24"/>
      <c r="H60" s="24">
        <v>160.043</v>
      </c>
      <c r="I60" s="24"/>
      <c r="J60" s="24">
        <v>86.318</v>
      </c>
      <c r="K60" s="24"/>
      <c r="L60" s="24">
        <v>133.765</v>
      </c>
      <c r="M60" s="24"/>
      <c r="N60" s="24">
        <v>128.31</v>
      </c>
    </row>
    <row r="61" spans="1:14" ht="15">
      <c r="A61" s="22" t="s">
        <v>27</v>
      </c>
      <c r="B61" s="22"/>
      <c r="C61" s="22"/>
      <c r="D61" s="24">
        <v>43.451</v>
      </c>
      <c r="E61" s="24"/>
      <c r="F61" s="24">
        <v>44.145</v>
      </c>
      <c r="G61" s="24"/>
      <c r="H61" s="24">
        <v>46.381</v>
      </c>
      <c r="I61" s="24"/>
      <c r="J61" s="24">
        <v>45.877</v>
      </c>
      <c r="K61" s="24"/>
      <c r="L61" s="24">
        <v>50</v>
      </c>
      <c r="M61" s="24"/>
      <c r="N61" s="24">
        <v>43.736</v>
      </c>
    </row>
    <row r="62" spans="1:14" ht="15">
      <c r="A62" s="22" t="s">
        <v>28</v>
      </c>
      <c r="B62" s="22"/>
      <c r="C62" s="22"/>
      <c r="D62" s="24">
        <v>0</v>
      </c>
      <c r="E62" s="24"/>
      <c r="F62" s="24">
        <v>0</v>
      </c>
      <c r="G62" s="24"/>
      <c r="H62" s="24">
        <v>0</v>
      </c>
      <c r="I62" s="24"/>
      <c r="J62" s="24">
        <v>0</v>
      </c>
      <c r="K62" s="24"/>
      <c r="L62" s="24">
        <v>0.347</v>
      </c>
      <c r="M62" s="24"/>
      <c r="N62" s="24">
        <v>0.679</v>
      </c>
    </row>
    <row r="63" spans="1:14" ht="15">
      <c r="A63" s="22" t="s">
        <v>29</v>
      </c>
      <c r="B63" s="22"/>
      <c r="C63" s="22"/>
      <c r="D63" s="24">
        <v>1.32</v>
      </c>
      <c r="E63" s="24"/>
      <c r="F63" s="24">
        <v>1.32</v>
      </c>
      <c r="G63" s="24"/>
      <c r="H63" s="24">
        <v>1.32</v>
      </c>
      <c r="I63" s="24"/>
      <c r="J63" s="24">
        <v>1.32</v>
      </c>
      <c r="K63" s="24"/>
      <c r="L63" s="24">
        <v>1.32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</v>
      </c>
      <c r="M64" s="24"/>
      <c r="N64" s="24">
        <v>1.323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103.493</v>
      </c>
      <c r="E66" s="24"/>
      <c r="F66" s="24">
        <v>96.637</v>
      </c>
      <c r="G66" s="24"/>
      <c r="H66" s="24">
        <v>112.342</v>
      </c>
      <c r="I66" s="24"/>
      <c r="J66" s="24">
        <v>39.121</v>
      </c>
      <c r="K66" s="24"/>
      <c r="L66" s="24">
        <v>82.445</v>
      </c>
      <c r="M66" s="24"/>
      <c r="N66" s="24">
        <v>83.251</v>
      </c>
    </row>
    <row r="67" spans="1:14" ht="15">
      <c r="A67" s="22" t="s">
        <v>33</v>
      </c>
      <c r="B67" s="22"/>
      <c r="C67" s="22"/>
      <c r="D67" s="24">
        <v>2.13</v>
      </c>
      <c r="E67" s="24"/>
      <c r="F67" s="24">
        <v>1.99</v>
      </c>
      <c r="G67" s="24"/>
      <c r="H67" s="24">
        <v>2.31</v>
      </c>
      <c r="I67" s="24"/>
      <c r="J67" s="24">
        <v>0.81</v>
      </c>
      <c r="K67" s="24"/>
      <c r="L67" s="24">
        <v>1.75</v>
      </c>
      <c r="M67" s="24"/>
      <c r="N67" s="24">
        <v>1.79</v>
      </c>
    </row>
    <row r="68" spans="1:14" ht="15">
      <c r="A68" s="22" t="s">
        <v>34</v>
      </c>
      <c r="B68" s="22"/>
      <c r="C68" s="22"/>
      <c r="D68" s="24">
        <v>893.992</v>
      </c>
      <c r="E68" s="24"/>
      <c r="F68" s="24">
        <v>853.424</v>
      </c>
      <c r="G68" s="24"/>
      <c r="H68" s="24">
        <v>818.218</v>
      </c>
      <c r="I68" s="24"/>
      <c r="J68" s="24">
        <v>766.403</v>
      </c>
      <c r="K68" s="24"/>
      <c r="L68" s="24">
        <v>788.253</v>
      </c>
      <c r="M68" s="24"/>
      <c r="N68" s="24">
        <v>711.496</v>
      </c>
    </row>
    <row r="69" spans="1:14" ht="15">
      <c r="A69" s="22" t="s">
        <v>35</v>
      </c>
      <c r="B69" s="22"/>
      <c r="C69" s="22"/>
      <c r="D69" s="24">
        <v>28.173</v>
      </c>
      <c r="E69" s="24"/>
      <c r="F69" s="24">
        <v>28.173</v>
      </c>
      <c r="G69" s="24"/>
      <c r="H69" s="24">
        <v>28.173</v>
      </c>
      <c r="I69" s="24"/>
      <c r="J69" s="24">
        <v>28.173</v>
      </c>
      <c r="K69" s="24"/>
      <c r="L69" s="24">
        <v>28.173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0</v>
      </c>
      <c r="M71" s="24"/>
      <c r="N71" s="24">
        <v>28.173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584.15</v>
      </c>
      <c r="E76" s="24"/>
      <c r="F76" s="24">
        <v>590.164</v>
      </c>
      <c r="G76" s="24"/>
      <c r="H76" s="24">
        <v>636.65</v>
      </c>
      <c r="I76" s="24"/>
      <c r="J76" s="24">
        <v>667.951</v>
      </c>
      <c r="K76" s="24"/>
      <c r="L76" s="24">
        <v>584.37</v>
      </c>
      <c r="M76" s="24"/>
      <c r="N76" s="24">
        <v>559.575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1506.315</v>
      </c>
      <c r="E78" s="24"/>
      <c r="F78" s="24">
        <v>1471.761</v>
      </c>
      <c r="G78" s="24"/>
      <c r="H78" s="24">
        <v>1483.041</v>
      </c>
      <c r="I78" s="24"/>
      <c r="J78" s="24">
        <v>1462.527</v>
      </c>
      <c r="K78" s="24"/>
      <c r="L78" s="24">
        <v>1400.796</v>
      </c>
      <c r="M78" s="24"/>
      <c r="N78" s="24">
        <v>1299.244</v>
      </c>
    </row>
    <row r="79" spans="1:14" ht="15">
      <c r="A79" s="22" t="s">
        <v>45</v>
      </c>
      <c r="B79" s="22"/>
      <c r="C79" s="22"/>
      <c r="D79" s="24">
        <v>50.122</v>
      </c>
      <c r="E79" s="24"/>
      <c r="F79" s="24">
        <v>60.639</v>
      </c>
      <c r="G79" s="24"/>
      <c r="H79" s="24">
        <v>12.18</v>
      </c>
      <c r="I79" s="24"/>
      <c r="J79" s="24">
        <v>42.396</v>
      </c>
      <c r="K79" s="24"/>
      <c r="L79" s="24">
        <v>48.179</v>
      </c>
      <c r="M79" s="24"/>
      <c r="N79" s="24">
        <v>1.668</v>
      </c>
    </row>
    <row r="80" spans="1:14" ht="15">
      <c r="A80" s="22" t="s">
        <v>46</v>
      </c>
      <c r="B80" s="22"/>
      <c r="C80" s="22"/>
      <c r="D80" s="24">
        <v>40.876</v>
      </c>
      <c r="E80" s="24"/>
      <c r="F80" s="24">
        <v>95.634</v>
      </c>
      <c r="G80" s="24"/>
      <c r="H80" s="24">
        <v>166.662</v>
      </c>
      <c r="I80" s="24"/>
      <c r="J80" s="24">
        <v>90.865</v>
      </c>
      <c r="K80" s="24"/>
      <c r="L80" s="24">
        <v>134.052</v>
      </c>
      <c r="M80" s="24"/>
      <c r="N80" s="24">
        <v>161.423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103.493</v>
      </c>
      <c r="E82" s="24"/>
      <c r="F82" s="24">
        <v>96.637</v>
      </c>
      <c r="G82" s="24"/>
      <c r="H82" s="24">
        <v>112.342</v>
      </c>
      <c r="I82" s="24"/>
      <c r="J82" s="24">
        <v>39.121</v>
      </c>
      <c r="K82" s="24"/>
      <c r="L82" s="24">
        <v>82.445</v>
      </c>
      <c r="M82" s="24"/>
      <c r="N82" s="24">
        <v>84.574</v>
      </c>
    </row>
    <row r="83" spans="1:14" ht="15">
      <c r="A83" s="22" t="s">
        <v>49</v>
      </c>
      <c r="B83" s="22"/>
      <c r="C83" s="22"/>
      <c r="D83" s="24">
        <v>94.627</v>
      </c>
      <c r="E83" s="24"/>
      <c r="F83" s="24">
        <v>96.245</v>
      </c>
      <c r="G83" s="24"/>
      <c r="H83" s="24">
        <v>89.273</v>
      </c>
      <c r="I83" s="24"/>
      <c r="J83" s="24">
        <v>77.922</v>
      </c>
      <c r="K83" s="24"/>
      <c r="L83" s="24">
        <v>73.261</v>
      </c>
      <c r="M83" s="24"/>
      <c r="N83" s="24">
        <v>69.808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7.648</v>
      </c>
      <c r="E85" s="24"/>
      <c r="F85" s="24">
        <v>28.178</v>
      </c>
      <c r="G85" s="24"/>
      <c r="H85" s="24">
        <v>41.625</v>
      </c>
      <c r="I85" s="24"/>
      <c r="J85" s="24">
        <v>-7.391</v>
      </c>
      <c r="K85" s="24"/>
      <c r="L85" s="24">
        <v>42.656</v>
      </c>
      <c r="M85" s="24"/>
      <c r="N85" s="24">
        <v>17.47</v>
      </c>
    </row>
    <row r="86" spans="1:14" ht="15">
      <c r="A86" s="22" t="s">
        <v>52</v>
      </c>
      <c r="B86" s="22"/>
      <c r="C86" s="22"/>
      <c r="D86" s="24">
        <v>-0.897</v>
      </c>
      <c r="E86" s="24"/>
      <c r="F86" s="24">
        <v>-0.897</v>
      </c>
      <c r="G86" s="24"/>
      <c r="H86" s="24">
        <v>-0.898</v>
      </c>
      <c r="I86" s="24"/>
      <c r="J86" s="24">
        <v>-0.901</v>
      </c>
      <c r="K86" s="24"/>
      <c r="L86" s="24">
        <v>-0.899</v>
      </c>
      <c r="M86" s="24"/>
      <c r="N86" s="24">
        <v>-0.9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0.347</v>
      </c>
      <c r="M87" s="24"/>
      <c r="N87" s="24">
        <v>0.679</v>
      </c>
    </row>
    <row r="88" spans="1:14" ht="15">
      <c r="A88" s="22" t="s">
        <v>69</v>
      </c>
      <c r="B88" s="22"/>
      <c r="C88" s="22"/>
      <c r="D88" s="24">
        <v>-0.266</v>
      </c>
      <c r="E88" s="24"/>
      <c r="F88" s="24">
        <v>-1.944</v>
      </c>
      <c r="G88" s="24"/>
      <c r="H88" s="24">
        <v>-5.678</v>
      </c>
      <c r="I88" s="24"/>
      <c r="J88" s="24">
        <v>-5.115</v>
      </c>
      <c r="K88" s="24"/>
      <c r="L88" s="24">
        <v>-12.673</v>
      </c>
      <c r="M88" s="24"/>
      <c r="N88" s="24">
        <v>-12.545</v>
      </c>
    </row>
    <row r="89" spans="1:14" ht="15">
      <c r="A89" s="22" t="s">
        <v>54</v>
      </c>
      <c r="B89" s="22"/>
      <c r="C89" s="22"/>
      <c r="D89" s="24">
        <v>113.012</v>
      </c>
      <c r="E89" s="24"/>
      <c r="F89" s="24">
        <v>113.439</v>
      </c>
      <c r="G89" s="24"/>
      <c r="H89" s="24">
        <v>129.083</v>
      </c>
      <c r="I89" s="24"/>
      <c r="J89" s="24">
        <v>162.383</v>
      </c>
      <c r="K89" s="24"/>
      <c r="L89" s="24">
        <v>130.562</v>
      </c>
      <c r="M89" s="24"/>
      <c r="N89" s="24">
        <v>124.746</v>
      </c>
    </row>
    <row r="90" spans="1:14" ht="15">
      <c r="A90" s="22" t="s">
        <v>55</v>
      </c>
      <c r="B90" s="22"/>
      <c r="C90" s="22"/>
      <c r="D90" s="24">
        <v>64.024</v>
      </c>
      <c r="E90" s="24"/>
      <c r="F90" s="24">
        <v>62.746</v>
      </c>
      <c r="G90" s="24"/>
      <c r="H90" s="24">
        <v>61.948</v>
      </c>
      <c r="I90" s="24"/>
      <c r="J90" s="24">
        <v>61.433</v>
      </c>
      <c r="K90" s="24"/>
      <c r="L90" s="24">
        <v>58.753</v>
      </c>
      <c r="M90" s="24"/>
      <c r="N90" s="24">
        <v>58.471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42.031</v>
      </c>
      <c r="E92" s="24"/>
      <c r="F92" s="24">
        <v>43.355</v>
      </c>
      <c r="G92" s="24"/>
      <c r="H92" s="24">
        <v>45.283</v>
      </c>
      <c r="I92" s="24"/>
      <c r="J92" s="24">
        <v>44.951</v>
      </c>
      <c r="K92" s="24"/>
      <c r="L92" s="24">
        <v>49.667</v>
      </c>
      <c r="M92" s="24"/>
      <c r="N92" s="24">
        <v>43.472</v>
      </c>
    </row>
    <row r="93" spans="1:14" ht="15">
      <c r="A93" s="22" t="s">
        <v>58</v>
      </c>
      <c r="B93" s="22"/>
      <c r="C93" s="22"/>
      <c r="D93" s="24">
        <v>57.322</v>
      </c>
      <c r="E93" s="24"/>
      <c r="F93" s="24">
        <v>22.073</v>
      </c>
      <c r="G93" s="24"/>
      <c r="H93" s="24">
        <v>45.275</v>
      </c>
      <c r="I93" s="24"/>
      <c r="J93" s="24">
        <v>36.102</v>
      </c>
      <c r="K93" s="24"/>
      <c r="L93" s="24">
        <v>19.745</v>
      </c>
      <c r="M93" s="24"/>
      <c r="N93" s="24">
        <v>27.302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</v>
      </c>
      <c r="M94" s="24"/>
      <c r="N94" s="24">
        <v>1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</v>
      </c>
      <c r="M95" s="24"/>
      <c r="N95" s="24">
        <v>1</v>
      </c>
    </row>
    <row r="96" spans="1:14" ht="15">
      <c r="A96" s="22" t="s">
        <v>59</v>
      </c>
      <c r="B96" s="22"/>
      <c r="C96" s="22"/>
      <c r="D96" s="24">
        <v>64.406</v>
      </c>
      <c r="E96" s="24"/>
      <c r="F96" s="24">
        <v>63.002</v>
      </c>
      <c r="G96" s="24"/>
      <c r="H96" s="24">
        <v>62.091</v>
      </c>
      <c r="I96" s="24"/>
      <c r="J96" s="24">
        <v>61.556</v>
      </c>
      <c r="K96" s="24"/>
      <c r="L96" s="24">
        <v>59.636</v>
      </c>
      <c r="M96" s="24"/>
      <c r="N96" s="24">
        <v>57.379</v>
      </c>
    </row>
    <row r="97" spans="1:14" ht="15">
      <c r="A97" s="22" t="s">
        <v>60</v>
      </c>
      <c r="B97" s="22"/>
      <c r="C97" s="22"/>
      <c r="D97" s="24">
        <v>1.315</v>
      </c>
      <c r="E97" s="24"/>
      <c r="F97" s="24">
        <v>1.29</v>
      </c>
      <c r="G97" s="24"/>
      <c r="H97" s="24">
        <v>1.275</v>
      </c>
      <c r="I97" s="24"/>
      <c r="J97" s="24">
        <v>1.265</v>
      </c>
      <c r="K97" s="24"/>
      <c r="L97" s="24">
        <v>1.25</v>
      </c>
      <c r="M97" s="24"/>
      <c r="N97" s="24">
        <v>1.23</v>
      </c>
    </row>
    <row r="98" spans="1:14" ht="15">
      <c r="A98" s="22" t="s">
        <v>61</v>
      </c>
      <c r="B98" s="22"/>
      <c r="C98" s="22"/>
      <c r="D98" s="24">
        <v>1.315</v>
      </c>
      <c r="E98" s="24"/>
      <c r="F98" s="24">
        <v>1.29</v>
      </c>
      <c r="G98" s="24"/>
      <c r="H98" s="24">
        <v>1.275</v>
      </c>
      <c r="I98" s="24"/>
      <c r="J98" s="24">
        <v>1.265</v>
      </c>
      <c r="K98" s="24"/>
      <c r="L98" s="24">
        <v>1.25</v>
      </c>
      <c r="M98" s="24"/>
      <c r="N98" s="24">
        <v>1.23</v>
      </c>
    </row>
    <row r="99" spans="1:14" ht="15">
      <c r="A99" s="22" t="s">
        <v>62</v>
      </c>
      <c r="B99" s="22"/>
      <c r="C99" s="22"/>
      <c r="D99" s="24">
        <v>34.79</v>
      </c>
      <c r="E99" s="24"/>
      <c r="F99" s="24">
        <v>31.43</v>
      </c>
      <c r="G99" s="24"/>
      <c r="H99" s="24">
        <v>28.79</v>
      </c>
      <c r="I99" s="24"/>
      <c r="J99" s="24">
        <v>29.48</v>
      </c>
      <c r="K99" s="24"/>
      <c r="L99" s="24">
        <v>30.5</v>
      </c>
      <c r="M99" s="24"/>
      <c r="N99" s="24">
        <v>31.5</v>
      </c>
    </row>
    <row r="100" spans="1:14" ht="15">
      <c r="A100" s="22" t="s">
        <v>63</v>
      </c>
      <c r="B100" s="22"/>
      <c r="C100" s="22"/>
      <c r="D100" s="24">
        <v>28.85</v>
      </c>
      <c r="E100" s="24"/>
      <c r="F100" s="24">
        <v>26.66</v>
      </c>
      <c r="G100" s="24"/>
      <c r="H100" s="24">
        <v>23.15</v>
      </c>
      <c r="I100" s="24"/>
      <c r="J100" s="24">
        <v>19.25</v>
      </c>
      <c r="K100" s="24"/>
      <c r="L100" s="24">
        <v>25.26</v>
      </c>
      <c r="M100" s="24"/>
      <c r="N100" s="24">
        <v>21.75</v>
      </c>
    </row>
    <row r="101" spans="1:14" ht="15">
      <c r="A101" s="22" t="s">
        <v>64</v>
      </c>
      <c r="B101" s="22"/>
      <c r="C101" s="22"/>
      <c r="D101" s="24">
        <v>30.06</v>
      </c>
      <c r="E101" s="24"/>
      <c r="F101" s="24">
        <v>30.84</v>
      </c>
      <c r="G101" s="24"/>
      <c r="H101" s="24">
        <v>27.79</v>
      </c>
      <c r="I101" s="24"/>
      <c r="J101" s="24">
        <v>23.92</v>
      </c>
      <c r="K101" s="24"/>
      <c r="L101" s="24">
        <v>29.07</v>
      </c>
      <c r="M101" s="24"/>
      <c r="N101" s="24">
        <v>30.438</v>
      </c>
    </row>
    <row r="102" spans="1:14" ht="15">
      <c r="A102" s="22" t="s">
        <v>65</v>
      </c>
      <c r="B102" s="22"/>
      <c r="C102" s="22"/>
      <c r="D102" s="24">
        <v>48.704</v>
      </c>
      <c r="E102" s="24"/>
      <c r="F102" s="24">
        <v>48.653</v>
      </c>
      <c r="G102" s="24"/>
      <c r="H102" s="24">
        <v>48.612</v>
      </c>
      <c r="I102" s="24"/>
      <c r="J102" s="24">
        <v>48.565</v>
      </c>
      <c r="K102" s="24"/>
      <c r="L102" s="24">
        <v>48.543</v>
      </c>
      <c r="M102" s="24"/>
      <c r="N102" s="24">
        <v>46.47</v>
      </c>
    </row>
    <row r="103" spans="1:14" ht="15">
      <c r="A103" s="22" t="s">
        <v>84</v>
      </c>
      <c r="B103" s="22"/>
      <c r="C103" s="22"/>
      <c r="D103" s="24">
        <v>-3.773</v>
      </c>
      <c r="E103" s="24"/>
      <c r="F103" s="24">
        <v>-1.469</v>
      </c>
      <c r="G103" s="24"/>
      <c r="H103" s="24">
        <v>-0.716</v>
      </c>
      <c r="I103" s="24"/>
      <c r="J103" s="24">
        <v>0</v>
      </c>
      <c r="K103" s="24"/>
      <c r="L103" s="24">
        <v>0</v>
      </c>
      <c r="M103" s="24"/>
      <c r="N103" s="24">
        <v>0</v>
      </c>
    </row>
    <row r="104" ht="15">
      <c r="A104" t="s">
        <v>71</v>
      </c>
    </row>
    <row r="105" spans="2:14" ht="15">
      <c r="B105" t="s">
        <v>70</v>
      </c>
      <c r="D105" s="17">
        <f>D67/D94</f>
        <v>2.13</v>
      </c>
      <c r="F105" s="17">
        <f>F67/F94</f>
        <v>1.99</v>
      </c>
      <c r="H105" s="17">
        <f>H67/H94</f>
        <v>2.31</v>
      </c>
      <c r="J105" s="17">
        <f>J67/J94</f>
        <v>0.81</v>
      </c>
      <c r="L105" s="17">
        <f>L67/L94</f>
        <v>1.75</v>
      </c>
      <c r="N105" s="17">
        <f>N67/N94</f>
        <v>1.79</v>
      </c>
    </row>
    <row r="106" spans="2:14" ht="15">
      <c r="B106" t="s">
        <v>60</v>
      </c>
      <c r="D106" s="17">
        <f>D97/D94</f>
        <v>1.315</v>
      </c>
      <c r="F106" s="17">
        <f>F97/F94</f>
        <v>1.29</v>
      </c>
      <c r="H106" s="17">
        <f>H97/H94</f>
        <v>1.275</v>
      </c>
      <c r="J106" s="17">
        <f>J97/J94</f>
        <v>1.265</v>
      </c>
      <c r="L106" s="17">
        <f>L97/L94</f>
        <v>1.25</v>
      </c>
      <c r="N106" s="17">
        <f>N97/N94</f>
        <v>1.23</v>
      </c>
    </row>
    <row r="107" spans="2:14" ht="15">
      <c r="B107" t="s">
        <v>61</v>
      </c>
      <c r="D107" s="17">
        <f>D98/D94</f>
        <v>1.315</v>
      </c>
      <c r="F107" s="17">
        <f>F98/F94</f>
        <v>1.29</v>
      </c>
      <c r="H107" s="17">
        <f>H98/H94</f>
        <v>1.275</v>
      </c>
      <c r="J107" s="17">
        <f>J98/J94</f>
        <v>1.265</v>
      </c>
      <c r="L107" s="17">
        <f>L98/L94</f>
        <v>1.25</v>
      </c>
      <c r="N107" s="17">
        <f>N98/N94</f>
        <v>1.23</v>
      </c>
    </row>
    <row r="108" spans="2:14" ht="15">
      <c r="B108" t="s">
        <v>62</v>
      </c>
      <c r="D108" s="17">
        <f>D99/D94</f>
        <v>34.79</v>
      </c>
      <c r="F108" s="17">
        <f>F99/F94</f>
        <v>31.43</v>
      </c>
      <c r="H108" s="17">
        <f>H99/H94</f>
        <v>28.79</v>
      </c>
      <c r="J108" s="17">
        <f>J99/J94</f>
        <v>29.48</v>
      </c>
      <c r="L108" s="17">
        <f>L99/L94</f>
        <v>30.5</v>
      </c>
      <c r="N108" s="17">
        <f>N99/N94</f>
        <v>31.5</v>
      </c>
    </row>
    <row r="109" spans="2:14" ht="15">
      <c r="B109" t="s">
        <v>63</v>
      </c>
      <c r="D109" s="17">
        <f>D100/D94</f>
        <v>28.85</v>
      </c>
      <c r="F109" s="17">
        <f>F100/F94</f>
        <v>26.66</v>
      </c>
      <c r="H109" s="17">
        <f>H100/H94</f>
        <v>23.15</v>
      </c>
      <c r="J109" s="17">
        <f>J100/J94</f>
        <v>19.25</v>
      </c>
      <c r="L109" s="17">
        <f>L100/L94</f>
        <v>25.26</v>
      </c>
      <c r="N109" s="17">
        <f>N100/N94</f>
        <v>21.75</v>
      </c>
    </row>
    <row r="110" spans="2:14" ht="15">
      <c r="B110" t="s">
        <v>64</v>
      </c>
      <c r="D110" s="17">
        <f>D101/D94</f>
        <v>30.06</v>
      </c>
      <c r="F110" s="17">
        <f>F101/F94</f>
        <v>30.84</v>
      </c>
      <c r="H110" s="17">
        <f>H101/H94</f>
        <v>27.79</v>
      </c>
      <c r="J110" s="17">
        <f>J101/J94</f>
        <v>23.92</v>
      </c>
      <c r="L110" s="17">
        <f>L101/L94</f>
        <v>29.07</v>
      </c>
      <c r="N110" s="17">
        <f>N101/N94</f>
        <v>30.438</v>
      </c>
    </row>
    <row r="111" spans="2:14" ht="15">
      <c r="B111" t="s">
        <v>65</v>
      </c>
      <c r="D111" s="18">
        <f>D102*D94</f>
        <v>48.704</v>
      </c>
      <c r="E111" s="18"/>
      <c r="F111" s="18">
        <f>F102*F94</f>
        <v>48.653</v>
      </c>
      <c r="G111" s="18"/>
      <c r="H111" s="18">
        <f>H102*H94</f>
        <v>48.612</v>
      </c>
      <c r="I111" s="18"/>
      <c r="J111" s="18">
        <f>J102*J94</f>
        <v>48.565</v>
      </c>
      <c r="K111" s="18"/>
      <c r="L111" s="18">
        <f>L102*L94</f>
        <v>48.543</v>
      </c>
      <c r="M111" s="18"/>
      <c r="N111" s="18">
        <f>N102*N94</f>
        <v>46.47</v>
      </c>
    </row>
    <row r="112" spans="2:14" ht="15">
      <c r="B112" t="s">
        <v>66</v>
      </c>
      <c r="D112" s="17">
        <f>ROUND(D68/D111,2)</f>
        <v>18.36</v>
      </c>
      <c r="F112" s="17">
        <f>ROUND(F68/F111,2)</f>
        <v>17.54</v>
      </c>
      <c r="H112" s="17">
        <f>ROUND(H68/H111,2)</f>
        <v>16.83</v>
      </c>
      <c r="J112" s="17">
        <f>ROUND(J68/J111,2)</f>
        <v>15.78</v>
      </c>
      <c r="L112" s="17">
        <f>ROUND(L68/L111,2)</f>
        <v>16.24</v>
      </c>
      <c r="N112" s="17">
        <f>ROUND(N68/N111,2)</f>
        <v>15.31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9.6640625" style="0" customWidth="1"/>
    <col min="5" max="5" width="3.77734375" style="0" customWidth="1"/>
    <col min="6" max="6" width="9.6640625" style="0" customWidth="1"/>
    <col min="7" max="7" width="3.77734375" style="0" customWidth="1"/>
    <col min="8" max="8" width="9.6640625" style="0" customWidth="1"/>
    <col min="9" max="9" width="3.77734375" style="0" customWidth="1"/>
    <col min="10" max="10" width="9.6640625" style="0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AGL RESOURCES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3205</v>
      </c>
      <c r="F8" s="39">
        <f>F78+F79+F81-F103</f>
        <v>3090</v>
      </c>
      <c r="H8" s="39">
        <f>H78+H79+H81-H103</f>
        <v>2018.8000000000002</v>
      </c>
      <c r="J8" s="39">
        <f>J78+J79+J81-J103</f>
        <v>1783.5</v>
      </c>
      <c r="L8" s="39">
        <f>L78+L79+L81-L103</f>
        <v>1782.3999999999999</v>
      </c>
    </row>
    <row r="9" spans="2:12" ht="15">
      <c r="B9" t="s">
        <v>5</v>
      </c>
      <c r="D9" s="12">
        <f>D80</f>
        <v>522</v>
      </c>
      <c r="F9" s="12">
        <f>F80</f>
        <v>334</v>
      </c>
      <c r="H9" s="12">
        <f>H80</f>
        <v>306.4</v>
      </c>
      <c r="J9" s="12">
        <f>J80</f>
        <v>388.6</v>
      </c>
      <c r="L9" s="12">
        <f>L80</f>
        <v>303.4</v>
      </c>
    </row>
    <row r="10" spans="2:12" ht="15.75" thickBot="1">
      <c r="B10" t="s">
        <v>7</v>
      </c>
      <c r="D10" s="13">
        <f>D8+D9</f>
        <v>3727</v>
      </c>
      <c r="F10" s="13">
        <f>F8+F9</f>
        <v>3424</v>
      </c>
      <c r="H10" s="13">
        <f>H8+H9</f>
        <v>2325.2000000000003</v>
      </c>
      <c r="J10" s="13">
        <f>J8+J9</f>
        <v>2172.1</v>
      </c>
      <c r="L10" s="13">
        <f>L8+L9</f>
        <v>2085.7999999999997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14</v>
      </c>
      <c r="E13" s="8" t="s">
        <v>3</v>
      </c>
      <c r="F13" s="34">
        <f>ROUND(AVERAGE(F108:F109)/F105,0)</f>
        <v>13</v>
      </c>
      <c r="G13" s="8" t="s">
        <v>3</v>
      </c>
      <c r="H13" s="34">
        <f>ROUND(AVERAGE(H108:H109)/H105,0)</f>
        <v>12</v>
      </c>
      <c r="I13" s="8" t="s">
        <v>3</v>
      </c>
      <c r="J13" s="34">
        <f>ROUND(AVERAGE(J108:J109)/J105,0)</f>
        <v>11</v>
      </c>
      <c r="K13" s="8" t="s">
        <v>3</v>
      </c>
      <c r="L13" s="34">
        <f>ROUND(AVERAGE(L108:L109)/L105,0)</f>
        <v>13</v>
      </c>
      <c r="M13" s="8" t="s">
        <v>3</v>
      </c>
      <c r="N13" s="35">
        <f>AVERAGE(D13,F13,H13,J13,L13)</f>
        <v>12.6</v>
      </c>
      <c r="O13" s="8" t="s">
        <v>3</v>
      </c>
    </row>
    <row r="14" spans="2:14" ht="15">
      <c r="B14" t="s">
        <v>20</v>
      </c>
      <c r="D14" s="3">
        <f>ROUND(AVERAGE(D108:D109)/AVERAGE(D112,F112),3)</f>
        <v>1.911</v>
      </c>
      <c r="E14" s="3"/>
      <c r="F14" s="3">
        <f>ROUND(AVERAGE(F108:F109)/AVERAGE(F112,H112),3)</f>
        <v>1.838</v>
      </c>
      <c r="G14" s="3"/>
      <c r="H14" s="3">
        <f>ROUND(AVERAGE(H108:H109)/AVERAGE(H112,J112),3)</f>
        <v>1.886</v>
      </c>
      <c r="I14" s="3"/>
      <c r="J14" s="3">
        <f>ROUND(AVERAGE(J108:J109)/AVERAGE(J112,L112),3)</f>
        <v>1.71</v>
      </c>
      <c r="K14" s="3"/>
      <c r="L14" s="3">
        <f>ROUND(AVERAGE(L108:L109)/AVERAGE(L112,N112),3)</f>
        <v>1.834</v>
      </c>
      <c r="M14" s="3"/>
      <c r="N14" s="6">
        <f>AVERAGE(D14,F14,H14,J14,L14)</f>
        <v>1.8358</v>
      </c>
    </row>
    <row r="15" spans="2:14" ht="15">
      <c r="B15" t="s">
        <v>9</v>
      </c>
      <c r="D15" s="3">
        <f>ROUND(D106/AVERAGE(D108:D109),3)</f>
        <v>0.036</v>
      </c>
      <c r="E15" s="3"/>
      <c r="F15" s="3">
        <f>ROUND(F106/AVERAGE(F108:F109),3)</f>
        <v>0.038</v>
      </c>
      <c r="G15" s="3"/>
      <c r="H15" s="3">
        <f>ROUND(H106/AVERAGE(H108:H109),3)</f>
        <v>0.043</v>
      </c>
      <c r="I15" s="3"/>
      <c r="J15" s="3">
        <f>ROUND(J106/AVERAGE(J108:J109),3)</f>
        <v>0.051</v>
      </c>
      <c r="K15" s="3"/>
      <c r="L15" s="3">
        <f>ROUND(L106/AVERAGE(L108:L109),3)</f>
        <v>0.05</v>
      </c>
      <c r="M15" s="3"/>
      <c r="N15" s="6">
        <f>AVERAGE(D15,F15,H15,J15,L15)</f>
        <v>0.04359999999999999</v>
      </c>
    </row>
    <row r="16" spans="2:14" ht="15">
      <c r="B16" t="s">
        <v>10</v>
      </c>
      <c r="D16" s="3">
        <f>ROUND(D96/D66,3)</f>
        <v>0.518</v>
      </c>
      <c r="E16" s="3"/>
      <c r="F16" s="3">
        <f>ROUND(F96/F66,3)</f>
        <v>0.49</v>
      </c>
      <c r="G16" s="3"/>
      <c r="H16" s="3">
        <f>ROUND(H96/H66,3)</f>
        <v>0.515</v>
      </c>
      <c r="I16" s="3"/>
      <c r="J16" s="3">
        <f>ROUND(J96/J66,3)</f>
        <v>0.587</v>
      </c>
      <c r="K16" s="3"/>
      <c r="L16" s="3">
        <f>ROUND(L96/L66,3)</f>
        <v>0.659</v>
      </c>
      <c r="M16" s="3"/>
      <c r="N16" s="6">
        <f>AVERAGE(D16,F16,H16,J16,L16)</f>
        <v>0.5538000000000001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0.504</v>
      </c>
      <c r="E20" s="3"/>
      <c r="F20" s="3">
        <f>ROUND((+F76+F79)/F8,3)</f>
        <v>0.525</v>
      </c>
      <c r="G20" s="3"/>
      <c r="H20" s="3">
        <f>ROUND((+H76+H79)/H8,3)</f>
        <v>0.512</v>
      </c>
      <c r="I20" s="3"/>
      <c r="J20" s="3">
        <f>ROUND((+J76+J79)/J8,3)</f>
        <v>0.574</v>
      </c>
      <c r="K20" s="3"/>
      <c r="L20" s="3">
        <f>ROUND((+L76+L79)/L8,3)</f>
        <v>0.623</v>
      </c>
      <c r="M20" s="3"/>
      <c r="N20" s="6">
        <f>AVERAGE(D20,F20,H20,J20,L20)</f>
        <v>0.5475999999999999</v>
      </c>
    </row>
    <row r="21" spans="2:14" ht="15">
      <c r="B21" s="36" t="s">
        <v>86</v>
      </c>
      <c r="D21" s="3">
        <f>ROUND((SUM(D69:D75)+D81)/D8,3)</f>
        <v>0.012</v>
      </c>
      <c r="E21" s="3"/>
      <c r="F21" s="3">
        <f>ROUND((SUM(F69:F75)+F81)/F8,3)</f>
        <v>0.012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0.0048000000000000004</v>
      </c>
    </row>
    <row r="22" spans="2:14" ht="18">
      <c r="B22" s="37" t="s">
        <v>87</v>
      </c>
      <c r="D22" s="4">
        <f>ROUND((D68-D103)/D8,3)</f>
        <v>0.484</v>
      </c>
      <c r="E22" s="3"/>
      <c r="F22" s="4">
        <f>ROUND((F68-F103)/F8,3)</f>
        <v>0.463</v>
      </c>
      <c r="G22" s="3"/>
      <c r="H22" s="4">
        <f>ROUND((H68-H103)/H8,3)</f>
        <v>0.488</v>
      </c>
      <c r="I22" s="3"/>
      <c r="J22" s="4">
        <f>ROUND((J68-J103)/J8,3)</f>
        <v>0.426</v>
      </c>
      <c r="K22" s="3"/>
      <c r="L22" s="4">
        <f>ROUND((L68-L103)/L8,3)</f>
        <v>0.377</v>
      </c>
      <c r="M22" s="3"/>
      <c r="N22" s="9">
        <f>AVERAGE(D22,F22,H22,J22,L22)</f>
        <v>0.4476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0.573</v>
      </c>
      <c r="E25" s="3"/>
      <c r="F25" s="3">
        <f>ROUND((+F76+F79+F80)/F10,3)</f>
        <v>0.572</v>
      </c>
      <c r="G25" s="3"/>
      <c r="H25" s="3">
        <f>ROUND((+H76+H79+H80)/H10,3)</f>
        <v>0.576</v>
      </c>
      <c r="I25" s="3"/>
      <c r="J25" s="3">
        <f>ROUND((+J76+J79+J80)/J10,3)</f>
        <v>0.65</v>
      </c>
      <c r="K25" s="3"/>
      <c r="L25" s="3">
        <f>ROUND((+L76+L79+L80)/L10,3)</f>
        <v>0.678</v>
      </c>
      <c r="M25" s="3"/>
      <c r="N25" s="6">
        <f>AVERAGE(D25,F25,H25,J25,L25)</f>
        <v>0.6098</v>
      </c>
    </row>
    <row r="26" spans="2:14" ht="15">
      <c r="B26" s="36" t="s">
        <v>86</v>
      </c>
      <c r="D26" s="3">
        <f>ROUND((SUM(D69:D75)+D81)/D10,3)</f>
        <v>0.01</v>
      </c>
      <c r="E26" s="3"/>
      <c r="F26" s="3">
        <f>ROUND((SUM(F69:F75)+F81)/F10,3)</f>
        <v>0.011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0.0042</v>
      </c>
    </row>
    <row r="27" spans="2:14" ht="18">
      <c r="B27" s="37" t="s">
        <v>87</v>
      </c>
      <c r="D27" s="4">
        <f>ROUND((D68-D103)/D10,3)</f>
        <v>0.416</v>
      </c>
      <c r="E27" s="3"/>
      <c r="F27" s="4">
        <f>ROUND((F68-F103)/F10,3)</f>
        <v>0.418</v>
      </c>
      <c r="G27" s="3"/>
      <c r="H27" s="4">
        <f>ROUND((H68-H103)/H10,3)</f>
        <v>0.424</v>
      </c>
      <c r="I27" s="3"/>
      <c r="J27" s="4">
        <f>ROUND((J68-J103)/J10,3)</f>
        <v>0.35</v>
      </c>
      <c r="K27" s="3"/>
      <c r="L27" s="4">
        <f>ROUND((L68-L103)/L10,3)</f>
        <v>0.322</v>
      </c>
      <c r="M27" s="3"/>
      <c r="N27" s="9">
        <f>AVERAGE(D27,F27,H27,J27,L27)</f>
        <v>0.386</v>
      </c>
    </row>
    <row r="28" spans="4:14" ht="15.75" thickBot="1">
      <c r="D28" s="5">
        <f>SUM(D25:D27)</f>
        <v>0.9989999999999999</v>
      </c>
      <c r="E28" s="3"/>
      <c r="F28" s="5">
        <f>SUM(F25:F27)</f>
        <v>1.001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0.129</v>
      </c>
      <c r="E30" s="3"/>
      <c r="F30" s="3">
        <f>ROUND(+F66/(((F68-F103)+(H68-H103))/2),3)</f>
        <v>0.127</v>
      </c>
      <c r="G30" s="3"/>
      <c r="H30" s="3">
        <f>ROUND(+H66/(((H68-H103)+(J68-J103))/2),3)</f>
        <v>0.156</v>
      </c>
      <c r="I30" s="3"/>
      <c r="J30" s="3">
        <f>ROUND(+J66/(((J68-J103)+(L68-L103))/2),3)</f>
        <v>0.144</v>
      </c>
      <c r="K30" s="3"/>
      <c r="L30" s="3">
        <f>ROUND(+L66/(((L68-L103)+(N68-N103))/2),3)</f>
        <v>0.137</v>
      </c>
      <c r="M30" s="3"/>
      <c r="N30" s="6">
        <f>AVERAGE(D30,F30,H30,J30,L30)</f>
        <v>0.1386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0.837</v>
      </c>
      <c r="E32" s="3"/>
      <c r="F32" s="3">
        <f>ROUND((+F58-F57)/F56,3)</f>
        <v>0.819</v>
      </c>
      <c r="G32" s="3"/>
      <c r="H32" s="3">
        <f>ROUND((+H58-H57)/H56,3)</f>
        <v>0.754</v>
      </c>
      <c r="I32" s="3"/>
      <c r="J32" s="3">
        <f>ROUND((+J58-J57)/J56,3)</f>
        <v>0.76</v>
      </c>
      <c r="K32" s="3"/>
      <c r="L32" s="3">
        <f>ROUND((+L58-L57)/L56,3)</f>
        <v>0.801</v>
      </c>
      <c r="M32" s="3"/>
      <c r="N32" s="6">
        <f>AVERAGE(D32,F32,H32,J32,L32)</f>
        <v>0.7942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3.84</v>
      </c>
      <c r="E35" s="8" t="s">
        <v>3</v>
      </c>
      <c r="F35" s="8">
        <f>ROUND(((+F66+F65+F64+F63+F61+F59+F57)/F61),2)</f>
        <v>4.42</v>
      </c>
      <c r="G35" s="8" t="s">
        <v>3</v>
      </c>
      <c r="H35" s="8">
        <f>ROUND(((+H66+H65+H64+H63+H61+H59+H57)/H61),2)</f>
        <v>3.94</v>
      </c>
      <c r="I35" s="8" t="s">
        <v>3</v>
      </c>
      <c r="J35" s="8">
        <f>ROUND(((+J66+J65+J64+J63+J61+J59+J57)/J61),2)</f>
        <v>2.87</v>
      </c>
      <c r="K35" s="8" t="s">
        <v>3</v>
      </c>
      <c r="L35" s="8">
        <f>ROUND(((+L66+L65+L64+L63+L61+L59+L57)/L61),2)</f>
        <v>2.72</v>
      </c>
      <c r="M35" s="8" t="s">
        <v>3</v>
      </c>
      <c r="N35" s="29">
        <f>AVERAGE(D35,F35,H35,J35,L35)</f>
        <v>3.558</v>
      </c>
      <c r="O35" t="s">
        <v>3</v>
      </c>
    </row>
    <row r="36" spans="2:15" ht="15">
      <c r="B36" t="s">
        <v>21</v>
      </c>
      <c r="D36" s="8">
        <f>ROUND(((+D66+D65+D64+D63+D61)/(D61)),2)</f>
        <v>2.77</v>
      </c>
      <c r="E36" s="8" t="s">
        <v>3</v>
      </c>
      <c r="F36" s="8">
        <f>ROUND(((+F66+F65+F64+F63+F61)/(F61)),2)</f>
        <v>3.15</v>
      </c>
      <c r="G36" s="8" t="s">
        <v>3</v>
      </c>
      <c r="H36" s="8">
        <f>ROUND(((+H66+H65+H64+H63+H61)/(H61)),2)</f>
        <v>2.79</v>
      </c>
      <c r="I36" s="8" t="s">
        <v>3</v>
      </c>
      <c r="J36" s="8">
        <f>ROUND(((+J66+J65+J64+J63+J61)/(J61)),2)</f>
        <v>2.2</v>
      </c>
      <c r="K36" s="8" t="s">
        <v>3</v>
      </c>
      <c r="L36" s="8">
        <f>ROUND(((+L66+L65+L64+L63+L61)/(L61)),2)</f>
        <v>2.14</v>
      </c>
      <c r="M36" s="8" t="s">
        <v>3</v>
      </c>
      <c r="N36" s="29">
        <f>AVERAGE(D36,F36,H36,J36,L36)</f>
        <v>2.6100000000000003</v>
      </c>
      <c r="O36" t="s">
        <v>3</v>
      </c>
    </row>
    <row r="37" spans="2:15" ht="15">
      <c r="B37" t="s">
        <v>14</v>
      </c>
      <c r="D37" s="8">
        <f>ROUND(((+D66+D65+D64+D63+D61)/(D61+D63+D64+D65)),2)</f>
        <v>2.77</v>
      </c>
      <c r="E37" s="8" t="s">
        <v>3</v>
      </c>
      <c r="F37" s="8">
        <f>ROUND(((+F66+F65+F64+F63+F61)/(F61+F63+F64+F65)),2)</f>
        <v>3.15</v>
      </c>
      <c r="G37" s="8" t="s">
        <v>3</v>
      </c>
      <c r="H37" s="8">
        <f>ROUND(((+H66+H65+H64+H63+H61)/(H61+H63+H64+H65)),2)</f>
        <v>2.79</v>
      </c>
      <c r="I37" s="8" t="s">
        <v>3</v>
      </c>
      <c r="J37" s="8">
        <f>ROUND(((+J66+J65+J64+J63+J61)/(J61+J63+J64+J65)),2)</f>
        <v>2.2</v>
      </c>
      <c r="K37" s="8" t="s">
        <v>3</v>
      </c>
      <c r="L37" s="8">
        <f>ROUND(((+L66+L65+L64+L63+L61)/(L61+L63+L64+L65)),2)</f>
        <v>1.91</v>
      </c>
      <c r="M37" s="8" t="s">
        <v>3</v>
      </c>
      <c r="N37" s="29">
        <f>AVERAGE(D37,F37,H37,J37,L37)</f>
        <v>2.564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3.84</v>
      </c>
      <c r="E40" s="8" t="s">
        <v>3</v>
      </c>
      <c r="F40" s="8">
        <f>ROUND(((+F66+F65+F64+F63-F62+F61+F59+F57)/F61),2)</f>
        <v>4.42</v>
      </c>
      <c r="G40" s="8" t="s">
        <v>3</v>
      </c>
      <c r="H40" s="8">
        <f>ROUND(((+H66+H65+H64+H63-H62+H61+H59+H57)/H61),2)</f>
        <v>3.94</v>
      </c>
      <c r="I40" s="8" t="s">
        <v>3</v>
      </c>
      <c r="J40" s="8">
        <f>ROUND(((+J66+J65+J64+J63-J62+J61+J59+J57)/J61),2)</f>
        <v>2.87</v>
      </c>
      <c r="K40" s="8" t="s">
        <v>3</v>
      </c>
      <c r="L40" s="8">
        <f>ROUND(((+L66+L65+L64+L63-L62+L61+L59+L57)/L61),2)</f>
        <v>2.72</v>
      </c>
      <c r="M40" s="8" t="s">
        <v>3</v>
      </c>
      <c r="N40" s="29">
        <f>AVERAGE(D40,F40,H40,J40,L40)</f>
        <v>3.558</v>
      </c>
      <c r="O40" t="s">
        <v>3</v>
      </c>
    </row>
    <row r="41" spans="2:15" ht="15">
      <c r="B41" t="s">
        <v>21</v>
      </c>
      <c r="D41" s="8">
        <f>ROUND(((+D66+D65+D64+D63-D62+D61)/D61),2)</f>
        <v>2.77</v>
      </c>
      <c r="E41" s="8" t="s">
        <v>3</v>
      </c>
      <c r="F41" s="8">
        <f>ROUND(((+F66+F65+F64+F63-F62+F61)/F61),2)</f>
        <v>3.15</v>
      </c>
      <c r="G41" s="8" t="s">
        <v>3</v>
      </c>
      <c r="H41" s="8">
        <f>ROUND(((+H66+H65+H64+H63-H62+H61)/H61),2)</f>
        <v>2.79</v>
      </c>
      <c r="I41" s="8" t="s">
        <v>3</v>
      </c>
      <c r="J41" s="8">
        <f>ROUND(((+J66+J65+J64+J63-J62+J61)/J61),2)</f>
        <v>2.2</v>
      </c>
      <c r="K41" s="8" t="s">
        <v>3</v>
      </c>
      <c r="L41" s="8">
        <f>ROUND(((+L66+L65+L64+L63-L62+L61)/L61),2)</f>
        <v>2.14</v>
      </c>
      <c r="M41" s="8" t="s">
        <v>3</v>
      </c>
      <c r="N41" s="29">
        <f>AVERAGE(D41,F41,H41,J41,L41)</f>
        <v>2.6100000000000003</v>
      </c>
      <c r="O41" t="s">
        <v>3</v>
      </c>
    </row>
    <row r="42" spans="2:15" ht="15">
      <c r="B42" t="s">
        <v>14</v>
      </c>
      <c r="D42" s="8">
        <f>ROUND(((+D66+D65+D64+D63-D62+D61)/(D61+D63+D64+D65)),2)</f>
        <v>2.77</v>
      </c>
      <c r="E42" s="8" t="s">
        <v>3</v>
      </c>
      <c r="F42" s="8">
        <f>ROUND(((+F66+F65+F64+F63-F62+F61)/(F61+F63+F64+F65)),2)</f>
        <v>3.15</v>
      </c>
      <c r="G42" s="8" t="s">
        <v>3</v>
      </c>
      <c r="H42" s="8">
        <f>ROUND(((+H66+H65+H64+H63-H62+H61)/(H61+H63+H64+H65)),2)</f>
        <v>2.79</v>
      </c>
      <c r="I42" s="8" t="s">
        <v>3</v>
      </c>
      <c r="J42" s="8">
        <f>ROUND(((+J66+J65+J64+J63-J62+J61)/(J61+J63+J64+J65)),2)</f>
        <v>2.2</v>
      </c>
      <c r="K42" s="8" t="s">
        <v>3</v>
      </c>
      <c r="L42" s="8">
        <f>ROUND(((+L66+L65+L64+L63-L62+L61)/(L61+L63+L64+L65)),2)</f>
        <v>1.91</v>
      </c>
      <c r="M42" s="8" t="s">
        <v>3</v>
      </c>
      <c r="N42" s="29">
        <f>AVERAGE(D42,F42,H42,J42,L42)</f>
        <v>2.564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19">
        <f>ROUND((D57+D59)/(D57+D59+D66+D63+D64+D65),3)</f>
        <v>0.377</v>
      </c>
      <c r="E46" s="20"/>
      <c r="F46" s="19">
        <f>ROUND((F57+F59)/(F57+F59+F66+F63+F64+F65),3)</f>
        <v>0.37</v>
      </c>
      <c r="G46" s="20"/>
      <c r="H46" s="19">
        <f>ROUND((H57+H59)/(H57+H59+H66+H63+H64+H65),3)</f>
        <v>0.39</v>
      </c>
      <c r="I46" s="20"/>
      <c r="J46" s="19">
        <f>ROUND((J57+J59)/(J57+J59+J66+J63+J64+J65),3)</f>
        <v>0.36</v>
      </c>
      <c r="K46" s="20"/>
      <c r="L46" s="19">
        <f>ROUND((L57+L59)/(L57+L59+L66+L63+L64+L65),3)</f>
        <v>0.334</v>
      </c>
      <c r="N46" s="6">
        <f t="shared" si="0"/>
        <v>0.36619999999999997</v>
      </c>
    </row>
    <row r="47" spans="2:14" ht="18">
      <c r="B47" s="38" t="s">
        <v>93</v>
      </c>
      <c r="D47" s="14">
        <f>ROUND(((+D82+D83+D84+D85+D86-D87+D88-D90-D91)/(+D89-D87)),3)</f>
        <v>1.139</v>
      </c>
      <c r="E47" s="15"/>
      <c r="F47" s="14">
        <f>ROUND(((+F82+F83+F84+F85+F86-F87+F88-F90-F91)/(+F89-F87)),3)</f>
        <v>0.875</v>
      </c>
      <c r="G47" s="15"/>
      <c r="H47" s="14">
        <f>ROUND(((+H82+H83+H84+H85+H86-H87+H88-H90-H91)/(+H89-H87)),3)</f>
        <v>1.319</v>
      </c>
      <c r="I47" s="15"/>
      <c r="J47" s="14">
        <f>ROUND(((+J82+J83+J84+J85+J86-J87+J88-J90-J91)/(+J89-J87)),3)</f>
        <v>1.153</v>
      </c>
      <c r="K47" s="15"/>
      <c r="L47" s="14">
        <f>ROUND(((+L82+L83+L84+L85+L86-L87+L88-L90-L91)/(+L89-L87)),3)</f>
        <v>0.91</v>
      </c>
      <c r="N47" s="6">
        <f t="shared" si="0"/>
        <v>1.0792000000000002</v>
      </c>
    </row>
    <row r="48" spans="2:14" ht="18">
      <c r="B48" s="38" t="s">
        <v>94</v>
      </c>
      <c r="D48" s="14">
        <f>ROUND(((+D82+D83+D84+D85+D86-D87+D88)/(AVERAGE(D76,F76)+AVERAGE(D79,F79)+AVERAGE(D80,F80))),3)</f>
        <v>0.197</v>
      </c>
      <c r="E48" s="15"/>
      <c r="F48" s="14">
        <f>ROUND(((+F82+F83+F84+F85+F86-F87+F88)/(AVERAGE(F76,H76)+AVERAGE(F79,H79)+AVERAGE(F80,H80))),3)</f>
        <v>0.186</v>
      </c>
      <c r="G48" s="15"/>
      <c r="H48" s="14">
        <f>ROUND(((+H82+H83+H84+H85+H86-H87+H88)/(AVERAGE(H76,J76)+AVERAGE(H79,J79)+AVERAGE(H80,J80))),3)</f>
        <v>0.203</v>
      </c>
      <c r="I48" s="15"/>
      <c r="J48" s="14">
        <f>ROUND(((+J82+J83+J84+J85+J86-J87+J88)/(AVERAGE(J76,L76)+AVERAGE(J79,L79)+AVERAGE(J80,L80))),3)</f>
        <v>0.19</v>
      </c>
      <c r="K48" s="15"/>
      <c r="L48" s="14">
        <f>ROUND(((+L82+L83+L84+L85+L86-L87+L88)/(AVERAGE(L76,N76)+AVERAGE(L79,N79)+AVERAGE(L80,N80))),3)</f>
        <v>0.175</v>
      </c>
      <c r="N48" s="6">
        <f t="shared" si="0"/>
        <v>0.1902</v>
      </c>
    </row>
    <row r="49" spans="2:15" ht="18">
      <c r="B49" s="38" t="s">
        <v>95</v>
      </c>
      <c r="D49" s="30">
        <f>ROUND(((+D82+D83+D84+D85+D86-D87+D88+D92)/D61),2)</f>
        <v>4.52</v>
      </c>
      <c r="E49" t="s">
        <v>3</v>
      </c>
      <c r="F49" s="30">
        <f>ROUND(((+F82+F83+F84+F85+F86-F87+F88+F92)/F61),2)</f>
        <v>5.01</v>
      </c>
      <c r="G49" t="s">
        <v>3</v>
      </c>
      <c r="H49" s="30">
        <f>ROUND(((+H82+H83+H84+H85+H86-H87+H88+H92)/H61),2)</f>
        <v>4.48</v>
      </c>
      <c r="I49" t="s">
        <v>3</v>
      </c>
      <c r="J49" s="30">
        <f>ROUND(((+J82+J83+J84+J85+J86-J87+J88+J92)/J61),2)</f>
        <v>3.98</v>
      </c>
      <c r="K49" t="s">
        <v>3</v>
      </c>
      <c r="L49" s="30">
        <f>ROUND(((+L82+L83+L84+L85+L86-L87+L88+L92)/L61),2)</f>
        <v>3.21</v>
      </c>
      <c r="M49" t="s">
        <v>3</v>
      </c>
      <c r="N49" s="31">
        <f t="shared" si="0"/>
        <v>4.24</v>
      </c>
      <c r="O49" t="s">
        <v>3</v>
      </c>
    </row>
    <row r="50" spans="2:15" ht="18">
      <c r="B50" s="38" t="s">
        <v>96</v>
      </c>
      <c r="D50" s="30">
        <f>ROUND(((+D82+D83+D84+D85+D86-D87+D88-D91)/+D90),2)</f>
        <v>4.04</v>
      </c>
      <c r="E50" t="s">
        <v>3</v>
      </c>
      <c r="F50" s="30">
        <f>ROUND(((+F82+F83+F84+F85+F86-F87+F88-F91)/+F90),2)</f>
        <v>4.08</v>
      </c>
      <c r="G50" t="s">
        <v>3</v>
      </c>
      <c r="H50" s="30">
        <f>ROUND(((+H82+H83+H84+H85+H86-H87+H88-H91)/+H90),2)</f>
        <v>3.99</v>
      </c>
      <c r="I50" t="s">
        <v>3</v>
      </c>
      <c r="J50" s="30">
        <f>ROUND(((+J82+J83+J84+J85+J86-J87+J88-J91)/+J90),2)</f>
        <v>5.05</v>
      </c>
      <c r="K50" t="s">
        <v>3</v>
      </c>
      <c r="L50" s="30">
        <f>ROUND(((+L82+L83+L84+L85+L86-L87+L88-L91)/+L90),2)</f>
        <v>3.63</v>
      </c>
      <c r="M50" t="s">
        <v>3</v>
      </c>
      <c r="N50" s="31">
        <f t="shared" si="0"/>
        <v>4.1579999999999995</v>
      </c>
      <c r="O50" t="s">
        <v>3</v>
      </c>
    </row>
    <row r="52" ht="15">
      <c r="A52" t="s">
        <v>4</v>
      </c>
    </row>
    <row r="54" spans="1:14" ht="15.75">
      <c r="A54" s="21" t="s">
        <v>75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2718</v>
      </c>
      <c r="E56" s="24"/>
      <c r="F56" s="24">
        <v>1832</v>
      </c>
      <c r="G56" s="24"/>
      <c r="H56" s="24">
        <v>983.7</v>
      </c>
      <c r="I56" s="24"/>
      <c r="J56" s="24">
        <v>868.9</v>
      </c>
      <c r="K56" s="24"/>
      <c r="L56" s="24">
        <v>1049.3</v>
      </c>
      <c r="M56" s="24"/>
      <c r="N56" s="24">
        <v>607.4</v>
      </c>
    </row>
    <row r="57" spans="1:14" ht="15">
      <c r="A57" s="22" t="s">
        <v>23</v>
      </c>
      <c r="B57" s="22"/>
      <c r="C57" s="22"/>
      <c r="D57" s="24">
        <v>117</v>
      </c>
      <c r="E57" s="24"/>
      <c r="F57" s="24">
        <v>90</v>
      </c>
      <c r="G57" s="24"/>
      <c r="H57" s="24">
        <v>86.8</v>
      </c>
      <c r="I57" s="24"/>
      <c r="J57" s="24">
        <v>58</v>
      </c>
      <c r="K57" s="24"/>
      <c r="L57" s="24">
        <v>49.9</v>
      </c>
      <c r="M57" s="24"/>
      <c r="N57" s="24">
        <v>37.2</v>
      </c>
    </row>
    <row r="58" spans="1:14" ht="15">
      <c r="A58" s="22" t="s">
        <v>24</v>
      </c>
      <c r="B58" s="22"/>
      <c r="C58" s="22"/>
      <c r="D58" s="24">
        <v>2393</v>
      </c>
      <c r="E58" s="24"/>
      <c r="F58" s="24">
        <v>1590</v>
      </c>
      <c r="G58" s="24"/>
      <c r="H58" s="24">
        <v>828.1</v>
      </c>
      <c r="I58" s="24"/>
      <c r="J58" s="24">
        <v>718.7</v>
      </c>
      <c r="K58" s="24"/>
      <c r="L58" s="24">
        <v>890.5</v>
      </c>
      <c r="M58" s="24"/>
      <c r="N58" s="24">
        <v>506.8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324</v>
      </c>
      <c r="E60" s="24"/>
      <c r="F60" s="24">
        <v>242</v>
      </c>
      <c r="G60" s="24"/>
      <c r="H60" s="24">
        <v>211.3</v>
      </c>
      <c r="I60" s="24"/>
      <c r="J60" s="24">
        <v>189</v>
      </c>
      <c r="K60" s="24"/>
      <c r="L60" s="24">
        <v>186.3</v>
      </c>
      <c r="M60" s="24"/>
      <c r="N60" s="24">
        <v>128.8</v>
      </c>
    </row>
    <row r="61" spans="1:14" ht="15">
      <c r="A61" s="22" t="s">
        <v>27</v>
      </c>
      <c r="B61" s="22"/>
      <c r="C61" s="22"/>
      <c r="D61" s="24">
        <v>109</v>
      </c>
      <c r="E61" s="24"/>
      <c r="F61" s="24">
        <v>71</v>
      </c>
      <c r="G61" s="24"/>
      <c r="H61" s="24">
        <v>75.6</v>
      </c>
      <c r="I61" s="24"/>
      <c r="J61" s="24">
        <v>86</v>
      </c>
      <c r="K61" s="24"/>
      <c r="L61" s="24">
        <v>86.9</v>
      </c>
      <c r="M61" s="24"/>
      <c r="N61" s="24">
        <v>51.6</v>
      </c>
    </row>
    <row r="62" spans="1:14" ht="15">
      <c r="A62" s="22" t="s">
        <v>28</v>
      </c>
      <c r="B62" s="22"/>
      <c r="C62" s="22"/>
      <c r="D62" s="24">
        <v>0</v>
      </c>
      <c r="E62" s="24"/>
      <c r="F62" s="24">
        <v>0</v>
      </c>
      <c r="G62" s="24"/>
      <c r="H62" s="24">
        <v>0</v>
      </c>
      <c r="I62" s="24"/>
      <c r="J62" s="24">
        <v>0</v>
      </c>
      <c r="K62" s="24"/>
      <c r="L62" s="24">
        <v>0</v>
      </c>
      <c r="M62" s="24"/>
      <c r="N62" s="24">
        <v>0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10.5</v>
      </c>
      <c r="M63" s="24"/>
      <c r="N63" s="24">
        <v>6.1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</v>
      </c>
      <c r="M64" s="24"/>
      <c r="N64" s="24">
        <v>0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193</v>
      </c>
      <c r="E66" s="24"/>
      <c r="F66" s="24">
        <v>153</v>
      </c>
      <c r="G66" s="24"/>
      <c r="H66" s="24">
        <v>135.7</v>
      </c>
      <c r="I66" s="24"/>
      <c r="J66" s="24">
        <v>103</v>
      </c>
      <c r="K66" s="24"/>
      <c r="L66" s="24">
        <v>88.9</v>
      </c>
      <c r="M66" s="24"/>
      <c r="N66" s="24">
        <v>71.1</v>
      </c>
    </row>
    <row r="67" spans="1:14" ht="15">
      <c r="A67" s="22" t="s">
        <v>33</v>
      </c>
      <c r="B67" s="22"/>
      <c r="C67" s="22"/>
      <c r="D67" s="24">
        <v>2.5</v>
      </c>
      <c r="E67" s="24"/>
      <c r="F67" s="24">
        <v>2.3</v>
      </c>
      <c r="G67" s="24"/>
      <c r="H67" s="24">
        <v>2.15</v>
      </c>
      <c r="I67" s="24"/>
      <c r="J67" s="24">
        <v>1.84</v>
      </c>
      <c r="K67" s="24"/>
      <c r="L67" s="24">
        <v>1.63</v>
      </c>
      <c r="M67" s="24"/>
      <c r="N67" s="24">
        <v>1.29</v>
      </c>
    </row>
    <row r="68" spans="1:14" ht="15">
      <c r="A68" s="22" t="s">
        <v>34</v>
      </c>
      <c r="B68" s="22"/>
      <c r="C68" s="22"/>
      <c r="D68" s="24">
        <v>1499</v>
      </c>
      <c r="E68" s="24"/>
      <c r="F68" s="24">
        <v>1385</v>
      </c>
      <c r="G68" s="24"/>
      <c r="H68" s="24">
        <v>945.3</v>
      </c>
      <c r="I68" s="24"/>
      <c r="J68" s="24">
        <v>710.1</v>
      </c>
      <c r="K68" s="24"/>
      <c r="L68" s="24">
        <v>671.4</v>
      </c>
      <c r="M68" s="24"/>
      <c r="N68" s="24">
        <v>620.9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0</v>
      </c>
      <c r="G69" s="24"/>
      <c r="H69" s="24">
        <v>0</v>
      </c>
      <c r="I69" s="24"/>
      <c r="J69" s="24">
        <v>0</v>
      </c>
      <c r="K69" s="24"/>
      <c r="L69" s="24">
        <v>0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0</v>
      </c>
      <c r="M71" s="24"/>
      <c r="N71" s="24">
        <v>0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38</v>
      </c>
      <c r="E75" s="24"/>
      <c r="F75" s="24">
        <v>36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1615</v>
      </c>
      <c r="E76" s="24"/>
      <c r="F76" s="24">
        <v>1623</v>
      </c>
      <c r="G76" s="24"/>
      <c r="H76" s="24">
        <v>956.1</v>
      </c>
      <c r="I76" s="24"/>
      <c r="J76" s="24">
        <v>994.2</v>
      </c>
      <c r="K76" s="24"/>
      <c r="L76" s="24">
        <v>1064.9</v>
      </c>
      <c r="M76" s="24"/>
      <c r="N76" s="24">
        <v>664.3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3152</v>
      </c>
      <c r="E78" s="24"/>
      <c r="F78" s="24">
        <v>3044</v>
      </c>
      <c r="G78" s="24"/>
      <c r="H78" s="24">
        <v>1901.4</v>
      </c>
      <c r="I78" s="24"/>
      <c r="J78" s="24">
        <v>1704.3</v>
      </c>
      <c r="K78" s="24"/>
      <c r="L78" s="24">
        <v>1736.3</v>
      </c>
      <c r="M78" s="24"/>
      <c r="N78" s="24">
        <v>1285.2</v>
      </c>
    </row>
    <row r="79" spans="1:14" ht="15">
      <c r="A79" s="22" t="s">
        <v>45</v>
      </c>
      <c r="B79" s="22"/>
      <c r="C79" s="22"/>
      <c r="D79" s="24">
        <v>0</v>
      </c>
      <c r="E79" s="24"/>
      <c r="F79" s="24">
        <v>0</v>
      </c>
      <c r="G79" s="24"/>
      <c r="H79" s="24">
        <v>77</v>
      </c>
      <c r="I79" s="24"/>
      <c r="J79" s="24">
        <v>30</v>
      </c>
      <c r="K79" s="24"/>
      <c r="L79" s="24">
        <v>45</v>
      </c>
      <c r="M79" s="24"/>
      <c r="N79" s="24">
        <v>20</v>
      </c>
    </row>
    <row r="80" spans="1:14" ht="15">
      <c r="A80" s="22" t="s">
        <v>46</v>
      </c>
      <c r="B80" s="22"/>
      <c r="C80" s="22"/>
      <c r="D80" s="24">
        <v>522</v>
      </c>
      <c r="E80" s="24"/>
      <c r="F80" s="24">
        <v>334</v>
      </c>
      <c r="G80" s="24"/>
      <c r="H80" s="24">
        <v>306.4</v>
      </c>
      <c r="I80" s="24"/>
      <c r="J80" s="24">
        <v>388.6</v>
      </c>
      <c r="K80" s="24"/>
      <c r="L80" s="24">
        <v>303.4</v>
      </c>
      <c r="M80" s="24"/>
      <c r="N80" s="24">
        <v>141.2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193</v>
      </c>
      <c r="E82" s="24"/>
      <c r="F82" s="24">
        <v>153</v>
      </c>
      <c r="G82" s="24"/>
      <c r="H82" s="24">
        <v>135.7</v>
      </c>
      <c r="I82" s="24"/>
      <c r="J82" s="24">
        <v>103</v>
      </c>
      <c r="K82" s="24"/>
      <c r="L82" s="24">
        <v>88.9</v>
      </c>
      <c r="M82" s="24"/>
      <c r="N82" s="24">
        <v>71.1</v>
      </c>
    </row>
    <row r="83" spans="1:14" ht="15">
      <c r="A83" s="22" t="s">
        <v>49</v>
      </c>
      <c r="B83" s="22"/>
      <c r="C83" s="22"/>
      <c r="D83" s="24">
        <v>133</v>
      </c>
      <c r="E83" s="24"/>
      <c r="F83" s="24">
        <v>99</v>
      </c>
      <c r="G83" s="24"/>
      <c r="H83" s="24">
        <v>91.4</v>
      </c>
      <c r="I83" s="24"/>
      <c r="J83" s="24">
        <v>89.1</v>
      </c>
      <c r="K83" s="24"/>
      <c r="L83" s="24">
        <v>101.3</v>
      </c>
      <c r="M83" s="24"/>
      <c r="N83" s="24">
        <v>84.4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17</v>
      </c>
      <c r="E85" s="24"/>
      <c r="F85" s="24">
        <v>81</v>
      </c>
      <c r="G85" s="24"/>
      <c r="H85" s="24">
        <v>52.5</v>
      </c>
      <c r="I85" s="24"/>
      <c r="J85" s="24">
        <v>81.9</v>
      </c>
      <c r="K85" s="24"/>
      <c r="L85" s="24">
        <v>6.7</v>
      </c>
      <c r="M85" s="24"/>
      <c r="N85" s="24">
        <v>37.1</v>
      </c>
    </row>
    <row r="86" spans="1:14" ht="15">
      <c r="A86" s="22" t="s">
        <v>52</v>
      </c>
      <c r="B86" s="22"/>
      <c r="C86" s="22"/>
      <c r="D86" s="24">
        <v>0</v>
      </c>
      <c r="E86" s="24"/>
      <c r="F86" s="24">
        <v>0</v>
      </c>
      <c r="G86" s="24"/>
      <c r="H86" s="24">
        <v>0</v>
      </c>
      <c r="I86" s="24"/>
      <c r="J86" s="24">
        <v>0</v>
      </c>
      <c r="K86" s="24"/>
      <c r="L86" s="24">
        <v>0</v>
      </c>
      <c r="M86" s="24"/>
      <c r="N86" s="24">
        <v>0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</v>
      </c>
      <c r="M87" s="24"/>
      <c r="N87" s="24">
        <v>0</v>
      </c>
    </row>
    <row r="88" spans="1:14" ht="15">
      <c r="A88" s="22" t="s">
        <v>69</v>
      </c>
      <c r="B88" s="22"/>
      <c r="C88" s="22"/>
      <c r="D88" s="24">
        <v>61</v>
      </c>
      <c r="E88" s="24"/>
      <c r="F88" s="24">
        <v>-27</v>
      </c>
      <c r="G88" s="24"/>
      <c r="H88" s="24">
        <v>-0.7</v>
      </c>
      <c r="I88" s="24"/>
      <c r="J88" s="24">
        <v>-5.2</v>
      </c>
      <c r="K88" s="24"/>
      <c r="L88" s="24">
        <v>-1.3</v>
      </c>
      <c r="M88" s="24"/>
      <c r="N88" s="24">
        <v>-13.1</v>
      </c>
    </row>
    <row r="89" spans="1:14" ht="15">
      <c r="A89" s="22" t="s">
        <v>54</v>
      </c>
      <c r="B89" s="22"/>
      <c r="C89" s="22"/>
      <c r="D89" s="24">
        <v>267</v>
      </c>
      <c r="E89" s="24"/>
      <c r="F89" s="24">
        <v>264</v>
      </c>
      <c r="G89" s="24"/>
      <c r="H89" s="24">
        <v>158.4</v>
      </c>
      <c r="I89" s="24"/>
      <c r="J89" s="24">
        <v>187</v>
      </c>
      <c r="K89" s="24"/>
      <c r="L89" s="24">
        <v>155.7</v>
      </c>
      <c r="M89" s="24"/>
      <c r="N89" s="24">
        <v>145.7</v>
      </c>
    </row>
    <row r="90" spans="1:14" ht="15">
      <c r="A90" s="22" t="s">
        <v>55</v>
      </c>
      <c r="B90" s="22"/>
      <c r="C90" s="22"/>
      <c r="D90" s="24">
        <v>100</v>
      </c>
      <c r="E90" s="24"/>
      <c r="F90" s="24">
        <v>75</v>
      </c>
      <c r="G90" s="24"/>
      <c r="H90" s="24">
        <v>69.9</v>
      </c>
      <c r="I90" s="24"/>
      <c r="J90" s="24">
        <v>53.2</v>
      </c>
      <c r="K90" s="24"/>
      <c r="L90" s="24">
        <v>53.9</v>
      </c>
      <c r="M90" s="24"/>
      <c r="N90" s="24">
        <v>51.2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89</v>
      </c>
      <c r="E92" s="24"/>
      <c r="F92" s="24">
        <v>50</v>
      </c>
      <c r="G92" s="24"/>
      <c r="H92" s="24">
        <v>59.6</v>
      </c>
      <c r="I92" s="24"/>
      <c r="J92" s="24">
        <v>73.3</v>
      </c>
      <c r="K92" s="24"/>
      <c r="L92" s="24">
        <v>83.3</v>
      </c>
      <c r="M92" s="24"/>
      <c r="N92" s="24">
        <v>56.1</v>
      </c>
    </row>
    <row r="93" spans="1:14" ht="15">
      <c r="A93" s="22" t="s">
        <v>58</v>
      </c>
      <c r="B93" s="22"/>
      <c r="C93" s="22"/>
      <c r="D93" s="24">
        <v>89</v>
      </c>
      <c r="E93" s="24"/>
      <c r="F93" s="24">
        <v>27</v>
      </c>
      <c r="G93" s="24"/>
      <c r="H93" s="24">
        <v>23</v>
      </c>
      <c r="I93" s="24"/>
      <c r="J93" s="24">
        <v>15.3</v>
      </c>
      <c r="K93" s="24"/>
      <c r="L93" s="24">
        <v>37.3</v>
      </c>
      <c r="M93" s="24"/>
      <c r="N93" s="24">
        <v>24.2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</v>
      </c>
      <c r="M94" s="24"/>
      <c r="N94" s="24">
        <v>1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</v>
      </c>
      <c r="M95" s="24"/>
      <c r="N95" s="24">
        <v>1</v>
      </c>
    </row>
    <row r="96" spans="1:14" ht="15">
      <c r="A96" s="22" t="s">
        <v>59</v>
      </c>
      <c r="B96" s="22"/>
      <c r="C96" s="22"/>
      <c r="D96" s="24">
        <v>100</v>
      </c>
      <c r="E96" s="24"/>
      <c r="F96" s="24">
        <v>75</v>
      </c>
      <c r="G96" s="24"/>
      <c r="H96" s="24">
        <v>69.9</v>
      </c>
      <c r="I96" s="24"/>
      <c r="J96" s="24">
        <v>60.5</v>
      </c>
      <c r="K96" s="24"/>
      <c r="L96" s="24">
        <v>58.6</v>
      </c>
      <c r="M96" s="24"/>
      <c r="N96" s="24">
        <v>59.8</v>
      </c>
    </row>
    <row r="97" spans="1:14" ht="15">
      <c r="A97" s="22" t="s">
        <v>60</v>
      </c>
      <c r="B97" s="22"/>
      <c r="C97" s="22"/>
      <c r="D97" s="24">
        <v>1.3</v>
      </c>
      <c r="E97" s="24"/>
      <c r="F97" s="24">
        <v>1.15</v>
      </c>
      <c r="G97" s="24"/>
      <c r="H97" s="24">
        <v>1.11</v>
      </c>
      <c r="I97" s="24"/>
      <c r="J97" s="24">
        <v>1.08</v>
      </c>
      <c r="K97" s="24"/>
      <c r="L97" s="24">
        <v>1.08</v>
      </c>
      <c r="M97" s="24"/>
      <c r="N97" s="24">
        <v>1.08</v>
      </c>
    </row>
    <row r="98" spans="1:14" ht="15">
      <c r="A98" s="22" t="s">
        <v>61</v>
      </c>
      <c r="B98" s="22"/>
      <c r="C98" s="22"/>
      <c r="D98" s="24">
        <v>1.3</v>
      </c>
      <c r="E98" s="24"/>
      <c r="F98" s="24">
        <v>1.15</v>
      </c>
      <c r="G98" s="24"/>
      <c r="H98" s="24">
        <v>1.11</v>
      </c>
      <c r="I98" s="24"/>
      <c r="J98" s="24">
        <v>1.08</v>
      </c>
      <c r="K98" s="24"/>
      <c r="L98" s="24">
        <v>1.08</v>
      </c>
      <c r="M98" s="24"/>
      <c r="N98" s="24">
        <v>1.08</v>
      </c>
    </row>
    <row r="99" spans="1:14" ht="15">
      <c r="A99" s="22" t="s">
        <v>62</v>
      </c>
      <c r="B99" s="22"/>
      <c r="C99" s="22"/>
      <c r="D99" s="24">
        <v>39.32</v>
      </c>
      <c r="E99" s="24"/>
      <c r="F99" s="24">
        <v>33.65</v>
      </c>
      <c r="G99" s="24"/>
      <c r="H99" s="24">
        <v>29.35</v>
      </c>
      <c r="I99" s="24"/>
      <c r="J99" s="24">
        <v>25</v>
      </c>
      <c r="K99" s="24"/>
      <c r="L99" s="24">
        <v>24.5</v>
      </c>
      <c r="M99" s="24"/>
      <c r="N99" s="24">
        <v>23.188</v>
      </c>
    </row>
    <row r="100" spans="1:14" ht="15">
      <c r="A100" s="22" t="s">
        <v>63</v>
      </c>
      <c r="B100" s="22"/>
      <c r="C100" s="22"/>
      <c r="D100" s="24">
        <v>32</v>
      </c>
      <c r="E100" s="24"/>
      <c r="F100" s="24">
        <v>26.5</v>
      </c>
      <c r="G100" s="24"/>
      <c r="H100" s="24">
        <v>21.9</v>
      </c>
      <c r="I100" s="24"/>
      <c r="J100" s="24">
        <v>17.25</v>
      </c>
      <c r="K100" s="24"/>
      <c r="L100" s="24">
        <v>18.955</v>
      </c>
      <c r="M100" s="24"/>
      <c r="N100" s="24">
        <v>15.5</v>
      </c>
    </row>
    <row r="101" spans="1:14" ht="15">
      <c r="A101" s="22" t="s">
        <v>64</v>
      </c>
      <c r="B101" s="22"/>
      <c r="C101" s="22"/>
      <c r="D101" s="24">
        <v>34.81</v>
      </c>
      <c r="E101" s="24"/>
      <c r="F101" s="24">
        <v>33.24</v>
      </c>
      <c r="G101" s="24"/>
      <c r="H101" s="24">
        <v>29.1</v>
      </c>
      <c r="I101" s="24"/>
      <c r="J101" s="24">
        <v>24.3</v>
      </c>
      <c r="K101" s="24"/>
      <c r="L101" s="24">
        <v>23.02</v>
      </c>
      <c r="M101" s="24"/>
      <c r="N101" s="24">
        <v>22.063</v>
      </c>
    </row>
    <row r="102" spans="1:14" ht="15">
      <c r="A102" s="22" t="s">
        <v>65</v>
      </c>
      <c r="B102" s="22"/>
      <c r="C102" s="22"/>
      <c r="D102" s="24">
        <v>77.8</v>
      </c>
      <c r="E102" s="24"/>
      <c r="F102" s="24">
        <v>76.7</v>
      </c>
      <c r="G102" s="24"/>
      <c r="H102" s="24">
        <v>64.5</v>
      </c>
      <c r="I102" s="24"/>
      <c r="J102" s="24">
        <v>56.7</v>
      </c>
      <c r="K102" s="24"/>
      <c r="L102" s="24">
        <v>55.1</v>
      </c>
      <c r="M102" s="24"/>
      <c r="N102" s="24">
        <v>54</v>
      </c>
    </row>
    <row r="103" spans="1:14" ht="15">
      <c r="A103" s="22" t="s">
        <v>84</v>
      </c>
      <c r="B103" s="22"/>
      <c r="C103" s="22"/>
      <c r="D103" s="24">
        <v>-53</v>
      </c>
      <c r="E103" s="24"/>
      <c r="F103" s="24">
        <v>-46</v>
      </c>
      <c r="G103" s="24"/>
      <c r="H103" s="24">
        <v>-40.4</v>
      </c>
      <c r="I103" s="24"/>
      <c r="J103" s="24">
        <v>-49.2</v>
      </c>
      <c r="K103" s="24"/>
      <c r="L103" s="24">
        <v>-1.1</v>
      </c>
      <c r="M103" s="24"/>
      <c r="N103" s="24">
        <v>-0.5</v>
      </c>
    </row>
    <row r="104" ht="15">
      <c r="A104" t="s">
        <v>71</v>
      </c>
    </row>
    <row r="105" spans="2:14" ht="15">
      <c r="B105" t="s">
        <v>70</v>
      </c>
      <c r="D105" s="17">
        <f>D67/D94</f>
        <v>2.5</v>
      </c>
      <c r="F105" s="17">
        <f>F67/F94</f>
        <v>2.3</v>
      </c>
      <c r="H105" s="17">
        <f>H67/H94</f>
        <v>2.15</v>
      </c>
      <c r="J105" s="17">
        <f>J67/J94</f>
        <v>1.84</v>
      </c>
      <c r="L105" s="17">
        <f>L67/L94</f>
        <v>1.63</v>
      </c>
      <c r="N105" s="17">
        <f>N67/N94</f>
        <v>1.29</v>
      </c>
    </row>
    <row r="106" spans="2:14" ht="15">
      <c r="B106" t="s">
        <v>60</v>
      </c>
      <c r="D106" s="17">
        <f>D97/D94</f>
        <v>1.3</v>
      </c>
      <c r="F106" s="17">
        <f>F97/F94</f>
        <v>1.15</v>
      </c>
      <c r="H106" s="17">
        <f>H97/H94</f>
        <v>1.11</v>
      </c>
      <c r="J106" s="17">
        <f>J97/J94</f>
        <v>1.08</v>
      </c>
      <c r="L106" s="17">
        <f>L97/L94</f>
        <v>1.08</v>
      </c>
      <c r="N106" s="17">
        <f>N97/N94</f>
        <v>1.08</v>
      </c>
    </row>
    <row r="107" spans="2:14" ht="15">
      <c r="B107" t="s">
        <v>61</v>
      </c>
      <c r="D107" s="17">
        <f>D98/D94</f>
        <v>1.3</v>
      </c>
      <c r="F107" s="17">
        <f>F98/F94</f>
        <v>1.15</v>
      </c>
      <c r="H107" s="17">
        <f>H98/H94</f>
        <v>1.11</v>
      </c>
      <c r="J107" s="17">
        <f>J98/J94</f>
        <v>1.08</v>
      </c>
      <c r="L107" s="17">
        <f>L98/L94</f>
        <v>1.08</v>
      </c>
      <c r="N107" s="17">
        <f>N98/N94</f>
        <v>1.08</v>
      </c>
    </row>
    <row r="108" spans="2:14" ht="15">
      <c r="B108" t="s">
        <v>62</v>
      </c>
      <c r="D108" s="17">
        <f>D99/D94</f>
        <v>39.32</v>
      </c>
      <c r="F108" s="17">
        <f>F99/F94</f>
        <v>33.65</v>
      </c>
      <c r="H108" s="17">
        <f>H99/H94</f>
        <v>29.35</v>
      </c>
      <c r="J108" s="17">
        <f>J99/J94</f>
        <v>25</v>
      </c>
      <c r="L108" s="17">
        <f>L99/L94</f>
        <v>24.5</v>
      </c>
      <c r="N108" s="17">
        <f>N99/N94</f>
        <v>23.188</v>
      </c>
    </row>
    <row r="109" spans="2:14" ht="15">
      <c r="B109" t="s">
        <v>63</v>
      </c>
      <c r="D109" s="17">
        <f>D100/D94</f>
        <v>32</v>
      </c>
      <c r="F109" s="17">
        <f>F100/F94</f>
        <v>26.5</v>
      </c>
      <c r="H109" s="17">
        <f>H100/H94</f>
        <v>21.9</v>
      </c>
      <c r="J109" s="17">
        <f>J100/J94</f>
        <v>17.25</v>
      </c>
      <c r="L109" s="17">
        <f>L100/L94</f>
        <v>18.955</v>
      </c>
      <c r="N109" s="17">
        <f>N100/N94</f>
        <v>15.5</v>
      </c>
    </row>
    <row r="110" spans="2:14" ht="15">
      <c r="B110" t="s">
        <v>64</v>
      </c>
      <c r="D110" s="17">
        <f>D101/D94</f>
        <v>34.81</v>
      </c>
      <c r="F110" s="17">
        <f>F101/F94</f>
        <v>33.24</v>
      </c>
      <c r="H110" s="17">
        <f>H101/H94</f>
        <v>29.1</v>
      </c>
      <c r="J110" s="17">
        <f>J101/J94</f>
        <v>24.3</v>
      </c>
      <c r="L110" s="17">
        <f>L101/L94</f>
        <v>23.02</v>
      </c>
      <c r="N110" s="17">
        <f>N101/N94</f>
        <v>22.063</v>
      </c>
    </row>
    <row r="111" spans="2:14" ht="15">
      <c r="B111" t="s">
        <v>65</v>
      </c>
      <c r="D111" s="18">
        <f>D102*D94</f>
        <v>77.8</v>
      </c>
      <c r="E111" s="18"/>
      <c r="F111" s="18">
        <f>F102*F94</f>
        <v>76.7</v>
      </c>
      <c r="G111" s="18"/>
      <c r="H111" s="18">
        <f>H102*H94</f>
        <v>64.5</v>
      </c>
      <c r="I111" s="18"/>
      <c r="J111" s="18">
        <f>J102*J94</f>
        <v>56.7</v>
      </c>
      <c r="K111" s="18"/>
      <c r="L111" s="18">
        <f>L102*L94</f>
        <v>55.1</v>
      </c>
      <c r="M111" s="18"/>
      <c r="N111" s="18">
        <f>N102*N94</f>
        <v>54</v>
      </c>
    </row>
    <row r="112" spans="2:14" ht="15">
      <c r="B112" t="s">
        <v>66</v>
      </c>
      <c r="D112" s="17">
        <f>ROUND(D68/D111,2)</f>
        <v>19.27</v>
      </c>
      <c r="F112" s="17">
        <f>ROUND(F68/F111,2)</f>
        <v>18.06</v>
      </c>
      <c r="H112" s="17">
        <f>ROUND(H68/H111,2)</f>
        <v>14.66</v>
      </c>
      <c r="J112" s="17">
        <f>ROUND(J68/J111,2)</f>
        <v>12.52</v>
      </c>
      <c r="L112" s="17">
        <f>ROUND(L68/L111,2)</f>
        <v>12.19</v>
      </c>
      <c r="N112" s="17">
        <f>ROUND(N68/N111,2)</f>
        <v>11.5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2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9.21484375" style="0" bestFit="1" customWidth="1"/>
    <col min="7" max="7" width="3.77734375" style="0" customWidth="1"/>
    <col min="8" max="8" width="9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ATMOS ENERGY CORP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3792.131</v>
      </c>
      <c r="F8" s="39">
        <f>F78+F79+F81-F103</f>
        <v>2015.2069999999999</v>
      </c>
      <c r="H8" s="39">
        <f>H78+H79+H81-H103</f>
        <v>1732.239</v>
      </c>
      <c r="J8" s="39">
        <f>J78+J79+J81-J103</f>
        <v>1307.0580000000002</v>
      </c>
      <c r="L8" s="39">
        <f>L78+L79+L81-L103</f>
        <v>1298.378</v>
      </c>
    </row>
    <row r="9" spans="2:12" ht="15">
      <c r="B9" t="s">
        <v>5</v>
      </c>
      <c r="D9" s="12">
        <f>D80</f>
        <v>144.809</v>
      </c>
      <c r="F9" s="12">
        <f>F80</f>
        <v>0</v>
      </c>
      <c r="H9" s="12">
        <f>H80</f>
        <v>118.595</v>
      </c>
      <c r="J9" s="12">
        <f>J80</f>
        <v>145.791</v>
      </c>
      <c r="L9" s="12">
        <f>L80</f>
        <v>201.247</v>
      </c>
    </row>
    <row r="10" spans="2:12" ht="15.75" thickBot="1">
      <c r="B10" t="s">
        <v>7</v>
      </c>
      <c r="D10" s="13">
        <f>D8+D9</f>
        <v>3936.94</v>
      </c>
      <c r="F10" s="13">
        <f>F8+F9</f>
        <v>2015.2069999999999</v>
      </c>
      <c r="H10" s="13">
        <f>H8+H9</f>
        <v>1850.834</v>
      </c>
      <c r="J10" s="13">
        <f>J8+J9</f>
        <v>1452.8490000000002</v>
      </c>
      <c r="L10" s="13">
        <f>L8+L9</f>
        <v>1499.625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16</v>
      </c>
      <c r="E13" s="8" t="s">
        <v>3</v>
      </c>
      <c r="F13" s="34">
        <f>ROUND(AVERAGE(F108:F109)/F105,0)</f>
        <v>16</v>
      </c>
      <c r="G13" s="8" t="s">
        <v>3</v>
      </c>
      <c r="H13" s="34">
        <f>ROUND(AVERAGE(H108:H109)/H105,0)</f>
        <v>13</v>
      </c>
      <c r="I13" s="8" t="s">
        <v>3</v>
      </c>
      <c r="J13" s="34">
        <f>ROUND(AVERAGE(J108:J109)/J105,0)</f>
        <v>15</v>
      </c>
      <c r="K13" s="8" t="s">
        <v>3</v>
      </c>
      <c r="L13" s="34">
        <f>ROUND(AVERAGE(L108:L109)/L105,0)</f>
        <v>15</v>
      </c>
      <c r="M13" s="8" t="s">
        <v>3</v>
      </c>
      <c r="N13" s="35">
        <f>AVERAGE(D13,F13,H13,J13,L13)</f>
        <v>15</v>
      </c>
      <c r="O13" s="8" t="s">
        <v>3</v>
      </c>
    </row>
    <row r="14" spans="2:14" ht="15">
      <c r="B14" t="s">
        <v>20</v>
      </c>
      <c r="D14" s="3">
        <f>ROUND(AVERAGE(D108:D109)/AVERAGE(D112,F112),3)</f>
        <v>1.448</v>
      </c>
      <c r="E14" s="3"/>
      <c r="F14" s="3">
        <f>ROUND(AVERAGE(F108:F109)/AVERAGE(F112,H112),3)</f>
        <v>1.469</v>
      </c>
      <c r="G14" s="3"/>
      <c r="H14" s="3">
        <f>ROUND(AVERAGE(H108:H109)/AVERAGE(H112,J112),3)</f>
        <v>1.524</v>
      </c>
      <c r="I14" s="3"/>
      <c r="J14" s="3">
        <f>ROUND(AVERAGE(J108:J109)/AVERAGE(J112,L112),3)</f>
        <v>1.501</v>
      </c>
      <c r="K14" s="3"/>
      <c r="L14" s="3">
        <f>ROUND(AVERAGE(L108:L109)/AVERAGE(L112,N112),3)</f>
        <v>1.7</v>
      </c>
      <c r="M14" s="3"/>
      <c r="N14" s="6">
        <f>AVERAGE(D14,F14,H14,J14,L14)</f>
        <v>1.5284</v>
      </c>
    </row>
    <row r="15" spans="2:14" ht="15">
      <c r="B15" t="s">
        <v>9</v>
      </c>
      <c r="D15" s="3">
        <f>ROUND(D106/AVERAGE(D108:D109),3)</f>
        <v>0.045</v>
      </c>
      <c r="E15" s="3"/>
      <c r="F15" s="3">
        <f>ROUND(F106/AVERAGE(F108:F109),3)</f>
        <v>0.048</v>
      </c>
      <c r="G15" s="3"/>
      <c r="H15" s="3">
        <f>ROUND(H106/AVERAGE(H108:H109),3)</f>
        <v>0.052</v>
      </c>
      <c r="I15" s="3"/>
      <c r="J15" s="3">
        <f>ROUND(J106/AVERAGE(J108:J109),3)</f>
        <v>0.056</v>
      </c>
      <c r="K15" s="3"/>
      <c r="L15" s="3">
        <f>ROUND(L106/AVERAGE(L108:L109),3)</f>
        <v>0.051</v>
      </c>
      <c r="M15" s="3"/>
      <c r="N15" s="6">
        <f>AVERAGE(D15,F15,H15,J15,L15)</f>
        <v>0.0504</v>
      </c>
    </row>
    <row r="16" spans="2:14" ht="15">
      <c r="B16" t="s">
        <v>10</v>
      </c>
      <c r="D16" s="3">
        <f>ROUND(D96/D66,3)</f>
        <v>0.729</v>
      </c>
      <c r="E16" s="3"/>
      <c r="F16" s="3">
        <f>ROUND(F96/F66,3)</f>
        <v>0.774</v>
      </c>
      <c r="G16" s="3"/>
      <c r="H16" s="3">
        <f>ROUND(H96/H66,3)</f>
        <v>0.696</v>
      </c>
      <c r="I16" s="3"/>
      <c r="J16" s="3">
        <f>ROUND(J96/J66,3)</f>
        <v>0.815</v>
      </c>
      <c r="K16" s="3"/>
      <c r="L16" s="3">
        <f>ROUND(L96/L66,3)</f>
        <v>0.786</v>
      </c>
      <c r="M16" s="3"/>
      <c r="N16" s="6">
        <f>AVERAGE(D16,F16,H16,J16,L16)</f>
        <v>0.76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0.577</v>
      </c>
      <c r="E20" s="3"/>
      <c r="F20" s="3">
        <f>ROUND((+F76+F79)/F8,3)</f>
        <v>0.43</v>
      </c>
      <c r="G20" s="3"/>
      <c r="H20" s="3">
        <f>ROUND((+H76+H79)/H8,3)</f>
        <v>0.504</v>
      </c>
      <c r="I20" s="3"/>
      <c r="J20" s="3">
        <f>ROUND((+J76+J79)/J8,3)</f>
        <v>0.53</v>
      </c>
      <c r="K20" s="3"/>
      <c r="L20" s="3">
        <f>ROUND((+L76+L79)/L8,3)</f>
        <v>0.549</v>
      </c>
      <c r="M20" s="3"/>
      <c r="N20" s="6">
        <f>AVERAGE(D20,F20,H20,J20,L20)</f>
        <v>0.518</v>
      </c>
    </row>
    <row r="21" spans="2:14" ht="15">
      <c r="B21" s="36" t="s">
        <v>86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2:14" ht="18">
      <c r="B22" s="37" t="s">
        <v>87</v>
      </c>
      <c r="D22" s="4">
        <f>ROUND((D68-D103)/D8,3)</f>
        <v>0.423</v>
      </c>
      <c r="E22" s="3"/>
      <c r="F22" s="4">
        <f>ROUND((F68-F103)/F8,3)</f>
        <v>0.57</v>
      </c>
      <c r="G22" s="3"/>
      <c r="H22" s="4">
        <f>ROUND((H68-H103)/H8,3)</f>
        <v>0.496</v>
      </c>
      <c r="I22" s="3"/>
      <c r="J22" s="4">
        <f>ROUND((J68-J103)/J8,3)</f>
        <v>0.47</v>
      </c>
      <c r="K22" s="3"/>
      <c r="L22" s="4">
        <f>ROUND((L68-L103)/L8,3)</f>
        <v>0.451</v>
      </c>
      <c r="M22" s="3"/>
      <c r="N22" s="9">
        <f>AVERAGE(D22,F22,H22,J22,L22)</f>
        <v>0.48199999999999993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0.592</v>
      </c>
      <c r="E25" s="3"/>
      <c r="F25" s="3">
        <f>ROUND((+F76+F79+F80)/F10,3)</f>
        <v>0.43</v>
      </c>
      <c r="G25" s="3"/>
      <c r="H25" s="3">
        <f>ROUND((+H76+H79+H80)/H10,3)</f>
        <v>0.536</v>
      </c>
      <c r="I25" s="3"/>
      <c r="J25" s="3">
        <f>ROUND((+J76+J79+J80)/J10,3)</f>
        <v>0.577</v>
      </c>
      <c r="K25" s="3"/>
      <c r="L25" s="3">
        <f>ROUND((+L76+L79+L80)/L10,3)</f>
        <v>0.61</v>
      </c>
      <c r="M25" s="3"/>
      <c r="N25" s="6">
        <f>AVERAGE(D25,F25,H25,J25,L25)</f>
        <v>0.5489999999999999</v>
      </c>
    </row>
    <row r="26" spans="2:14" ht="15">
      <c r="B26" s="36" t="s">
        <v>86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2:14" ht="18">
      <c r="B27" s="37" t="s">
        <v>87</v>
      </c>
      <c r="D27" s="4">
        <f>ROUND((D68-D103)/D10,3)</f>
        <v>0.408</v>
      </c>
      <c r="E27" s="3"/>
      <c r="F27" s="4">
        <f>ROUND((F68-F103)/F10,3)</f>
        <v>0.57</v>
      </c>
      <c r="G27" s="3"/>
      <c r="H27" s="4">
        <f>ROUND((H68-H103)/H10,3)</f>
        <v>0.464</v>
      </c>
      <c r="I27" s="3"/>
      <c r="J27" s="4">
        <f>ROUND((J68-J103)/J10,3)</f>
        <v>0.423</v>
      </c>
      <c r="K27" s="3"/>
      <c r="L27" s="4">
        <f>ROUND((L68-L103)/L10,3)</f>
        <v>0.39</v>
      </c>
      <c r="M27" s="3"/>
      <c r="N27" s="9">
        <f>AVERAGE(D27,F27,H27,J27,L27)</f>
        <v>0.45099999999999996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0.099</v>
      </c>
      <c r="E30" s="3"/>
      <c r="F30" s="3">
        <f>ROUND(+F66/(((F68-F103)+(H68-H103))/2),3)</f>
        <v>0.086</v>
      </c>
      <c r="G30" s="3"/>
      <c r="H30" s="3">
        <f>ROUND(+H66/(((H68-H103)+(J68-J103))/2),3)</f>
        <v>0.108</v>
      </c>
      <c r="I30" s="3"/>
      <c r="J30" s="3">
        <f>ROUND(+J66/(((J68-J103)+(L68-L103))/2),3)</f>
        <v>0.099</v>
      </c>
      <c r="K30" s="3"/>
      <c r="L30" s="3">
        <f>ROUND(+L66/(((L68-L103)+(N68-N103))/2),3)</f>
        <v>0.115</v>
      </c>
      <c r="M30" s="3"/>
      <c r="N30" s="6">
        <f>AVERAGE(D30,F30,H30,J30,L30)</f>
        <v>0.1014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0.93</v>
      </c>
      <c r="E32" s="3"/>
      <c r="F32" s="3">
        <f>ROUND((+F58-F57)/F56,3)</f>
        <v>0.934</v>
      </c>
      <c r="G32" s="3"/>
      <c r="H32" s="3">
        <f>ROUND((+H58-H57)/H56,3)</f>
        <v>0.933</v>
      </c>
      <c r="I32" s="3"/>
      <c r="J32" s="3">
        <f>ROUND((+J58-J57)/J56,3)</f>
        <v>0.837</v>
      </c>
      <c r="K32" s="3"/>
      <c r="L32" s="3">
        <f>ROUND((+L58-L57)/L56,3)</f>
        <v>0.91</v>
      </c>
      <c r="M32" s="3"/>
      <c r="N32" s="6">
        <f>AVERAGE(D32,F32,H32,J32,L32)</f>
        <v>0.9088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2.61</v>
      </c>
      <c r="E35" s="8" t="s">
        <v>3</v>
      </c>
      <c r="F35" s="8">
        <f>ROUND(((+F66+F65+F64+F63+F61+F59+F57)/F61),2)</f>
        <v>3.07</v>
      </c>
      <c r="G35" s="8" t="s">
        <v>3</v>
      </c>
      <c r="H35" s="8">
        <f>ROUND(((+H66+H65+H64+H63+H61+H59+H57)/H61),2)</f>
        <v>2.96</v>
      </c>
      <c r="I35" s="8" t="s">
        <v>3</v>
      </c>
      <c r="J35" s="8">
        <f>ROUND(((+J66+J65+J64+J63+J61+J59+J57)/J61),2)</f>
        <v>2.57</v>
      </c>
      <c r="K35" s="8" t="s">
        <v>3</v>
      </c>
      <c r="L35" s="8">
        <f>ROUND(((+L66+L65+L64+L63+L61+L59+L57)/L61),2)</f>
        <v>2.86</v>
      </c>
      <c r="M35" s="8" t="s">
        <v>3</v>
      </c>
      <c r="N35" s="29">
        <f>AVERAGE(D35,F35,H35,J35,L35)</f>
        <v>2.814</v>
      </c>
      <c r="O35" t="s">
        <v>3</v>
      </c>
    </row>
    <row r="36" spans="2:15" ht="15">
      <c r="B36" t="s">
        <v>21</v>
      </c>
      <c r="D36" s="8">
        <f>ROUND(((+D66+D65+D64+D63+D61)/(D61)),2)</f>
        <v>2</v>
      </c>
      <c r="E36" s="8" t="s">
        <v>3</v>
      </c>
      <c r="F36" s="8">
        <f>ROUND(((+F66+F65+F64+F63+F61)/(F61)),2)</f>
        <v>2.29</v>
      </c>
      <c r="G36" s="8" t="s">
        <v>3</v>
      </c>
      <c r="H36" s="8">
        <f>ROUND(((+H66+H65+H64+H63+H61)/(H61)),2)</f>
        <v>2.23</v>
      </c>
      <c r="I36" s="8" t="s">
        <v>3</v>
      </c>
      <c r="J36" s="8">
        <f>ROUND(((+J66+J65+J64+J63+J61)/(J61)),2)</f>
        <v>1.99</v>
      </c>
      <c r="K36" s="8" t="s">
        <v>3</v>
      </c>
      <c r="L36" s="8">
        <f>ROUND(((+L66+L65+L64+L63+L61)/(L61)),2)</f>
        <v>2.16</v>
      </c>
      <c r="M36" s="8" t="s">
        <v>3</v>
      </c>
      <c r="N36" s="29">
        <f>AVERAGE(D36,F36,H36,J36,L36)</f>
        <v>2.134</v>
      </c>
      <c r="O36" t="s">
        <v>3</v>
      </c>
    </row>
    <row r="37" spans="2:15" ht="15">
      <c r="B37" t="s">
        <v>14</v>
      </c>
      <c r="D37" s="8">
        <f>ROUND(((+D66+D65+D64+D63+D61)/(D61+D63+D64+D65)),2)</f>
        <v>2</v>
      </c>
      <c r="E37" s="8" t="s">
        <v>3</v>
      </c>
      <c r="F37" s="8">
        <f>ROUND(((+F66+F65+F64+F63+F61)/(F61+F63+F64+F65)),2)</f>
        <v>2.29</v>
      </c>
      <c r="G37" s="8" t="s">
        <v>3</v>
      </c>
      <c r="H37" s="8">
        <f>ROUND(((+H66+H65+H64+H63+H61)/(H61+H63+H64+H65)),2)</f>
        <v>2.23</v>
      </c>
      <c r="I37" s="8" t="s">
        <v>3</v>
      </c>
      <c r="J37" s="8">
        <f>ROUND(((+J66+J65+J64+J63+J61)/(J61+J63+J64+J65)),2)</f>
        <v>1.99</v>
      </c>
      <c r="K37" s="8" t="s">
        <v>3</v>
      </c>
      <c r="L37" s="8">
        <f>ROUND(((+L66+L65+L64+L63+L61)/(L61+L63+L64+L65)),2)</f>
        <v>2.16</v>
      </c>
      <c r="M37" s="8" t="s">
        <v>3</v>
      </c>
      <c r="N37" s="29">
        <f>AVERAGE(D37,F37,H37,J37,L37)</f>
        <v>2.134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2.59</v>
      </c>
      <c r="E40" s="8" t="s">
        <v>3</v>
      </c>
      <c r="F40" s="8">
        <f>ROUND(((+F66+F65+F64+F63-F62+F61+F59+F57)/F61),2)</f>
        <v>3.05</v>
      </c>
      <c r="G40" s="8" t="s">
        <v>3</v>
      </c>
      <c r="H40" s="8">
        <f>ROUND(((+H66+H65+H64+H63-H62+H61+H59+H57)/H61),2)</f>
        <v>2.95</v>
      </c>
      <c r="I40" s="8" t="s">
        <v>3</v>
      </c>
      <c r="J40" s="8">
        <f>ROUND(((+J66+J65+J64+J63-J62+J61+J59+J57)/J61),2)</f>
        <v>2.55</v>
      </c>
      <c r="K40" s="8" t="s">
        <v>3</v>
      </c>
      <c r="L40" s="8">
        <f>ROUND(((+L66+L65+L64+L63-L62+L61+L59+L57)/L61),2)</f>
        <v>2.83</v>
      </c>
      <c r="M40" s="8" t="s">
        <v>3</v>
      </c>
      <c r="N40" s="29">
        <f>AVERAGE(D40,F40,H40,J40,L40)</f>
        <v>2.794</v>
      </c>
      <c r="O40" t="s">
        <v>3</v>
      </c>
    </row>
    <row r="41" spans="2:15" ht="15">
      <c r="B41" t="s">
        <v>21</v>
      </c>
      <c r="D41" s="8">
        <f>ROUND(((+D66+D65+D64+D63-D62+D61)/D61),2)</f>
        <v>1.99</v>
      </c>
      <c r="E41" s="8" t="s">
        <v>3</v>
      </c>
      <c r="F41" s="8">
        <f>ROUND(((+F66+F65+F64+F63-F62+F61)/F61),2)</f>
        <v>2.28</v>
      </c>
      <c r="G41" s="8" t="s">
        <v>3</v>
      </c>
      <c r="H41" s="8">
        <f>ROUND(((+H66+H65+H64+H63-H62+H61)/H61),2)</f>
        <v>2.22</v>
      </c>
      <c r="I41" s="8" t="s">
        <v>3</v>
      </c>
      <c r="J41" s="8">
        <f>ROUND(((+J66+J65+J64+J63-J62+J61)/J61),2)</f>
        <v>1.96</v>
      </c>
      <c r="K41" s="8" t="s">
        <v>3</v>
      </c>
      <c r="L41" s="8">
        <f>ROUND(((+L66+L65+L64+L63-L62+L61)/L61),2)</f>
        <v>2.14</v>
      </c>
      <c r="M41" s="8" t="s">
        <v>3</v>
      </c>
      <c r="N41" s="29">
        <f>AVERAGE(D41,F41,H41,J41,L41)</f>
        <v>2.118</v>
      </c>
      <c r="O41" t="s">
        <v>3</v>
      </c>
    </row>
    <row r="42" spans="2:15" ht="15">
      <c r="B42" t="s">
        <v>14</v>
      </c>
      <c r="D42" s="8">
        <f>ROUND(((+D66+D65+D64+D63-D62+D61)/(D61+D63+D64+D65)),2)</f>
        <v>1.99</v>
      </c>
      <c r="E42" s="8" t="s">
        <v>3</v>
      </c>
      <c r="F42" s="8">
        <f>ROUND(((+F66+F65+F64+F63-F62+F61)/(F61+F63+F64+F65)),2)</f>
        <v>2.28</v>
      </c>
      <c r="G42" s="8" t="s">
        <v>3</v>
      </c>
      <c r="H42" s="8">
        <f>ROUND(((+H66+H65+H64+H63-H62+H61)/(H61+H63+H64+H65)),2)</f>
        <v>2.22</v>
      </c>
      <c r="I42" s="8" t="s">
        <v>3</v>
      </c>
      <c r="J42" s="8">
        <f>ROUND(((+J66+J65+J64+J63-J62+J61)/(J61+J63+J64+J65)),2)</f>
        <v>1.96</v>
      </c>
      <c r="K42" s="8" t="s">
        <v>3</v>
      </c>
      <c r="L42" s="8">
        <f>ROUND(((+L66+L65+L64+L63-L62+L61)/(L61+L63+L64+L65)),2)</f>
        <v>2.14</v>
      </c>
      <c r="M42" s="8" t="s">
        <v>3</v>
      </c>
      <c r="N42" s="29">
        <f>AVERAGE(D42,F42,H42,J42,L42)</f>
        <v>2.118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0.018</v>
      </c>
      <c r="E45" s="14"/>
      <c r="F45" s="14">
        <f>ROUND(F62/F66,3)</f>
        <v>0.014</v>
      </c>
      <c r="G45" s="14"/>
      <c r="H45" s="14">
        <f>ROUND(H62/H66,3)</f>
        <v>0.01</v>
      </c>
      <c r="I45" s="14"/>
      <c r="J45" s="14">
        <f>ROUND(J62/J66,3)</f>
        <v>0.022</v>
      </c>
      <c r="K45" s="14"/>
      <c r="L45" s="14">
        <f>ROUND(L62/L66,3)</f>
        <v>0.021</v>
      </c>
      <c r="M45" s="3"/>
      <c r="N45" s="6">
        <f aca="true" t="shared" si="0" ref="N45:N50">AVERAGE(D45,F45,H45,J45,L45)</f>
        <v>0.017</v>
      </c>
    </row>
    <row r="46" spans="2:14" ht="15">
      <c r="B46" t="s">
        <v>17</v>
      </c>
      <c r="D46" s="19">
        <f>ROUND((D57+D59)/(D57+D59+D66+D63+D64+D65),3)</f>
        <v>0.377</v>
      </c>
      <c r="E46" s="20"/>
      <c r="F46" s="19">
        <f>ROUND((F57+F59)/(F57+F59+F66+F63+F64+F65),3)</f>
        <v>0.374</v>
      </c>
      <c r="G46" s="20"/>
      <c r="H46" s="19">
        <f>ROUND((H57+H59)/(H57+H59+H66+H63+H64+H65),3)</f>
        <v>0.371</v>
      </c>
      <c r="I46" s="20"/>
      <c r="J46" s="19">
        <f>ROUND((J57+J59)/(J57+J59+J66+J63+J64+J65),3)</f>
        <v>0.371</v>
      </c>
      <c r="K46" s="20"/>
      <c r="L46" s="19">
        <f>ROUND((L57+L59)/(L57+L59+L66+L63+L64+L65),3)</f>
        <v>0.373</v>
      </c>
      <c r="N46" s="6">
        <f t="shared" si="0"/>
        <v>0.3732</v>
      </c>
    </row>
    <row r="47" spans="2:14" ht="18">
      <c r="B47" s="38" t="s">
        <v>93</v>
      </c>
      <c r="D47" s="14">
        <f>ROUND(((+D82+D83+D84+D85+D86-D87+D88-D90-D91)/(+D89-D87)),3)</f>
        <v>0.72</v>
      </c>
      <c r="E47" s="15"/>
      <c r="F47" s="14">
        <f>ROUND(((+F82+F83+F84+F85+F86-F87+F88-F90-F91)/(+F89-F87)),3)</f>
        <v>0.803</v>
      </c>
      <c r="G47" s="15"/>
      <c r="H47" s="14">
        <f>ROUND(((+H82+H83+H84+H85+H86-H87+H88-H90-H91)/(+H89-H87)),3)</f>
        <v>1.012</v>
      </c>
      <c r="I47" s="15"/>
      <c r="J47" s="14">
        <f>ROUND(((+J82+J83+J84+J85+J86-J87+J88-J90-J91)/(+J89-J87)),3)</f>
        <v>0.802</v>
      </c>
      <c r="K47" s="15"/>
      <c r="L47" s="14">
        <f>ROUND(((+L82+L83+L84+L85+L86-L87+L88-L90-L91)/(+L89-L87)),3)</f>
        <v>0.884</v>
      </c>
      <c r="N47" s="6">
        <f t="shared" si="0"/>
        <v>0.8442000000000001</v>
      </c>
    </row>
    <row r="48" spans="2:14" ht="18">
      <c r="B48" s="38" t="s">
        <v>94</v>
      </c>
      <c r="D48" s="14">
        <f>ROUND(((+D82+D83+D84+D85+D86-D87+D88)/(AVERAGE(D76,F76)+AVERAGE(D79,F79)+AVERAGE(D80,F80))),3)</f>
        <v>0.212</v>
      </c>
      <c r="E48" s="15"/>
      <c r="F48" s="14">
        <f>ROUND(((+F82+F83+F84+F85+F86-F87+F88)/(AVERAGE(F76,H76)+AVERAGE(F79,H79)+AVERAGE(F80,H80))),3)</f>
        <v>0.236</v>
      </c>
      <c r="G48" s="15"/>
      <c r="H48" s="14">
        <f>ROUND(((+H82+H83+H84+H85+H86-H87+H88)/(AVERAGE(H76,J76)+AVERAGE(H79,J79)+AVERAGE(H80,J80))),3)</f>
        <v>0.237</v>
      </c>
      <c r="I48" s="15"/>
      <c r="J48" s="14">
        <f>ROUND(((+J82+J83+J84+J85+J86-J87+J88)/(AVERAGE(J76,L76)+AVERAGE(J79,L79)+AVERAGE(J80,L80))),3)</f>
        <v>0.177</v>
      </c>
      <c r="K48" s="15"/>
      <c r="L48" s="14">
        <f>ROUND(((+L82+L83+L84+L85+L86-L87+L88)/(AVERAGE(L76,N76)+AVERAGE(L79,N79)+AVERAGE(L80,N80))),3)</f>
        <v>0.186</v>
      </c>
      <c r="N48" s="6">
        <f t="shared" si="0"/>
        <v>0.20959999999999995</v>
      </c>
    </row>
    <row r="49" spans="2:15" ht="18">
      <c r="B49" s="38" t="s">
        <v>95</v>
      </c>
      <c r="D49" s="30">
        <f>ROUND(((+D82+D83+D84+D85+D86-D87+D88+D92)/D61),2)</f>
        <v>3.27</v>
      </c>
      <c r="E49" t="s">
        <v>3</v>
      </c>
      <c r="F49" s="30">
        <f>ROUND(((+F82+F83+F84+F85+F86-F87+F88+F92)/F61),2)</f>
        <v>4.28</v>
      </c>
      <c r="G49" t="s">
        <v>3</v>
      </c>
      <c r="H49" s="30">
        <f>ROUND(((+H82+H83+H84+H85+H86-H87+H88+H92)/H61),2)</f>
        <v>4.32</v>
      </c>
      <c r="I49" t="s">
        <v>3</v>
      </c>
      <c r="J49" s="30">
        <f>ROUND(((+J82+J83+J84+J85+J86-J87+J88+J92)/J61),2)</f>
        <v>3.54</v>
      </c>
      <c r="K49" t="s">
        <v>3</v>
      </c>
      <c r="L49" s="30">
        <f>ROUND(((+L82+L83+L84+L85+L86-L87+L88+L92)/L61),2)</f>
        <v>3.84</v>
      </c>
      <c r="M49" t="s">
        <v>3</v>
      </c>
      <c r="N49" s="31">
        <f t="shared" si="0"/>
        <v>3.85</v>
      </c>
      <c r="O49" t="s">
        <v>3</v>
      </c>
    </row>
    <row r="50" spans="2:15" ht="18">
      <c r="B50" s="38" t="s">
        <v>96</v>
      </c>
      <c r="D50" s="30">
        <f>ROUND(((+D82+D83+D84+D85+D86-D87+D88-D91)/+D90),2)</f>
        <v>3.42</v>
      </c>
      <c r="E50" t="s">
        <v>3</v>
      </c>
      <c r="F50" s="30">
        <f>ROUND(((+F82+F83+F84+F85+F86-F87+F88-F91)/+F90),2)</f>
        <v>3.29</v>
      </c>
      <c r="G50" t="s">
        <v>3</v>
      </c>
      <c r="H50" s="30">
        <f>ROUND(((+H82+H83+H84+H85+H86-H87+H88-H91)/+H90),2)</f>
        <v>3.92</v>
      </c>
      <c r="I50" t="s">
        <v>3</v>
      </c>
      <c r="J50" s="30">
        <f>ROUND(((+J82+J83+J84+J85+J86-J87+J88-J91)/+J90),2)</f>
        <v>3.18</v>
      </c>
      <c r="K50" t="s">
        <v>3</v>
      </c>
      <c r="L50" s="30">
        <f>ROUND(((+L82+L83+L84+L85+L86-L87+L88-L91)/+L90),2)</f>
        <v>3.27</v>
      </c>
      <c r="M50" t="s">
        <v>3</v>
      </c>
      <c r="N50" s="31">
        <f t="shared" si="0"/>
        <v>3.4159999999999995</v>
      </c>
      <c r="O50" t="s">
        <v>3</v>
      </c>
    </row>
    <row r="52" ht="15">
      <c r="A52" t="s">
        <v>4</v>
      </c>
    </row>
    <row r="54" spans="1:14" ht="15.75">
      <c r="A54" s="21" t="s">
        <v>76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4973.326</v>
      </c>
      <c r="E56" s="24"/>
      <c r="F56" s="24">
        <v>2920.037</v>
      </c>
      <c r="G56" s="24"/>
      <c r="H56" s="24">
        <v>2799.916</v>
      </c>
      <c r="I56" s="24"/>
      <c r="J56" s="24">
        <v>950.849</v>
      </c>
      <c r="K56" s="24"/>
      <c r="L56" s="24">
        <v>1442.275</v>
      </c>
      <c r="M56" s="24"/>
      <c r="N56" s="24">
        <v>850.152</v>
      </c>
    </row>
    <row r="57" spans="1:14" ht="15">
      <c r="A57" s="22" t="s">
        <v>23</v>
      </c>
      <c r="B57" s="22"/>
      <c r="C57" s="22"/>
      <c r="D57" s="24">
        <v>82.233</v>
      </c>
      <c r="E57" s="24"/>
      <c r="F57" s="24">
        <v>51.538</v>
      </c>
      <c r="G57" s="24"/>
      <c r="H57" s="24">
        <v>46.91</v>
      </c>
      <c r="I57" s="24"/>
      <c r="J57" s="24">
        <v>35.18</v>
      </c>
      <c r="K57" s="24"/>
      <c r="L57" s="24">
        <v>33.368</v>
      </c>
      <c r="M57" s="24"/>
      <c r="N57" s="24">
        <v>20.319</v>
      </c>
    </row>
    <row r="58" spans="1:14" ht="15">
      <c r="A58" s="22" t="s">
        <v>24</v>
      </c>
      <c r="B58" s="22"/>
      <c r="C58" s="22"/>
      <c r="D58" s="24">
        <v>4706.904</v>
      </c>
      <c r="E58" s="24"/>
      <c r="F58" s="24">
        <v>2777.88</v>
      </c>
      <c r="G58" s="24"/>
      <c r="H58" s="24">
        <v>2658.986</v>
      </c>
      <c r="I58" s="24"/>
      <c r="J58" s="24">
        <v>830.698</v>
      </c>
      <c r="K58" s="24"/>
      <c r="L58" s="24">
        <v>1345.362</v>
      </c>
      <c r="M58" s="24"/>
      <c r="N58" s="24">
        <v>785.155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268.443</v>
      </c>
      <c r="E60" s="24"/>
      <c r="F60" s="24">
        <v>151.664</v>
      </c>
      <c r="G60" s="24"/>
      <c r="H60" s="24">
        <v>143.121</v>
      </c>
      <c r="I60" s="24"/>
      <c r="J60" s="24">
        <v>118.83</v>
      </c>
      <c r="K60" s="24"/>
      <c r="L60" s="24">
        <v>103.101</v>
      </c>
      <c r="M60" s="24"/>
      <c r="N60" s="24">
        <v>79.741</v>
      </c>
    </row>
    <row r="61" spans="1:14" ht="15">
      <c r="A61" s="22" t="s">
        <v>27</v>
      </c>
      <c r="B61" s="22"/>
      <c r="C61" s="22"/>
      <c r="D61" s="24">
        <v>135.158</v>
      </c>
      <c r="E61" s="24"/>
      <c r="F61" s="24">
        <v>66.637</v>
      </c>
      <c r="G61" s="24"/>
      <c r="H61" s="24">
        <v>64.46</v>
      </c>
      <c r="I61" s="24"/>
      <c r="J61" s="24">
        <v>60.474</v>
      </c>
      <c r="K61" s="24"/>
      <c r="L61" s="24">
        <v>48.211</v>
      </c>
      <c r="M61" s="24"/>
      <c r="N61" s="24">
        <v>43.823</v>
      </c>
    </row>
    <row r="62" spans="1:14" ht="15">
      <c r="A62" s="22" t="s">
        <v>28</v>
      </c>
      <c r="B62" s="22"/>
      <c r="C62" s="22"/>
      <c r="D62" s="24">
        <v>2.5</v>
      </c>
      <c r="E62" s="24"/>
      <c r="F62" s="24">
        <v>1.2</v>
      </c>
      <c r="G62" s="24"/>
      <c r="H62" s="24">
        <v>0.8</v>
      </c>
      <c r="I62" s="24"/>
      <c r="J62" s="24">
        <v>1.3</v>
      </c>
      <c r="K62" s="24"/>
      <c r="L62" s="24">
        <v>1.2</v>
      </c>
      <c r="M62" s="24"/>
      <c r="N62" s="24">
        <v>0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0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</v>
      </c>
      <c r="M64" s="24"/>
      <c r="N64" s="24">
        <v>0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135.785</v>
      </c>
      <c r="E66" s="24"/>
      <c r="F66" s="24">
        <v>86.227</v>
      </c>
      <c r="G66" s="24"/>
      <c r="H66" s="24">
        <v>79.461</v>
      </c>
      <c r="I66" s="24"/>
      <c r="J66" s="24">
        <v>59.656</v>
      </c>
      <c r="K66" s="24"/>
      <c r="L66" s="24">
        <v>56.09</v>
      </c>
      <c r="M66" s="24"/>
      <c r="N66" s="24">
        <v>35.918</v>
      </c>
    </row>
    <row r="67" spans="1:14" ht="15">
      <c r="A67" s="22" t="s">
        <v>33</v>
      </c>
      <c r="B67" s="22"/>
      <c r="C67" s="22"/>
      <c r="D67" s="24">
        <v>1.73</v>
      </c>
      <c r="E67" s="24"/>
      <c r="F67" s="24">
        <v>1.6</v>
      </c>
      <c r="G67" s="24"/>
      <c r="H67" s="24">
        <v>1.72</v>
      </c>
      <c r="I67" s="24"/>
      <c r="J67" s="24">
        <v>1.45</v>
      </c>
      <c r="K67" s="24"/>
      <c r="L67" s="24">
        <v>1.47</v>
      </c>
      <c r="M67" s="24"/>
      <c r="N67" s="24">
        <v>1.14</v>
      </c>
    </row>
    <row r="68" spans="1:14" ht="15">
      <c r="A68" s="22" t="s">
        <v>34</v>
      </c>
      <c r="B68" s="22"/>
      <c r="C68" s="22"/>
      <c r="D68" s="24">
        <v>1602.422</v>
      </c>
      <c r="E68" s="24"/>
      <c r="F68" s="24">
        <v>1133.459</v>
      </c>
      <c r="G68" s="24"/>
      <c r="H68" s="24">
        <v>857.517</v>
      </c>
      <c r="I68" s="24"/>
      <c r="J68" s="24">
        <v>573.235</v>
      </c>
      <c r="K68" s="24"/>
      <c r="L68" s="24">
        <v>583.864</v>
      </c>
      <c r="M68" s="24"/>
      <c r="N68" s="24">
        <v>392.466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0</v>
      </c>
      <c r="G69" s="24"/>
      <c r="H69" s="24">
        <v>0</v>
      </c>
      <c r="I69" s="24"/>
      <c r="J69" s="24">
        <v>0</v>
      </c>
      <c r="K69" s="24"/>
      <c r="L69" s="24">
        <v>0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0</v>
      </c>
      <c r="M71" s="24"/>
      <c r="N71" s="24">
        <v>0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2183.104</v>
      </c>
      <c r="E76" s="24"/>
      <c r="F76" s="24">
        <v>861.311</v>
      </c>
      <c r="G76" s="24"/>
      <c r="H76" s="24">
        <v>863.918</v>
      </c>
      <c r="I76" s="24"/>
      <c r="J76" s="24">
        <v>670.463</v>
      </c>
      <c r="K76" s="24"/>
      <c r="L76" s="24">
        <v>692.399</v>
      </c>
      <c r="M76" s="24"/>
      <c r="N76" s="24">
        <v>363.198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3785.526</v>
      </c>
      <c r="E78" s="24"/>
      <c r="F78" s="24">
        <v>1994.77</v>
      </c>
      <c r="G78" s="24"/>
      <c r="H78" s="24">
        <v>1721.435</v>
      </c>
      <c r="I78" s="24"/>
      <c r="J78" s="24">
        <v>1243.698</v>
      </c>
      <c r="K78" s="24"/>
      <c r="L78" s="24">
        <v>1276.263</v>
      </c>
      <c r="M78" s="24"/>
      <c r="N78" s="24">
        <v>755.664</v>
      </c>
    </row>
    <row r="79" spans="1:14" ht="15">
      <c r="A79" s="22" t="s">
        <v>45</v>
      </c>
      <c r="B79" s="22"/>
      <c r="C79" s="22"/>
      <c r="D79" s="24">
        <v>3.264</v>
      </c>
      <c r="E79" s="24"/>
      <c r="F79" s="24">
        <v>5.908</v>
      </c>
      <c r="G79" s="24"/>
      <c r="H79" s="24">
        <v>9.345</v>
      </c>
      <c r="I79" s="24"/>
      <c r="J79" s="24">
        <v>21.98</v>
      </c>
      <c r="K79" s="24"/>
      <c r="L79" s="24">
        <v>20.695</v>
      </c>
      <c r="M79" s="24"/>
      <c r="N79" s="24">
        <v>17.566</v>
      </c>
    </row>
    <row r="80" spans="1:14" ht="15">
      <c r="A80" s="22" t="s">
        <v>46</v>
      </c>
      <c r="B80" s="22"/>
      <c r="C80" s="22"/>
      <c r="D80" s="24">
        <v>144.809</v>
      </c>
      <c r="E80" s="24"/>
      <c r="F80" s="24">
        <v>0</v>
      </c>
      <c r="G80" s="24"/>
      <c r="H80" s="24">
        <v>118.595</v>
      </c>
      <c r="I80" s="24"/>
      <c r="J80" s="24">
        <v>145.791</v>
      </c>
      <c r="K80" s="24"/>
      <c r="L80" s="24">
        <v>201.247</v>
      </c>
      <c r="M80" s="24"/>
      <c r="N80" s="24">
        <v>250.047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135.785</v>
      </c>
      <c r="E82" s="24"/>
      <c r="F82" s="24">
        <v>86.227</v>
      </c>
      <c r="G82" s="24"/>
      <c r="H82" s="24">
        <v>79.461</v>
      </c>
      <c r="I82" s="24"/>
      <c r="J82" s="24">
        <v>59.656</v>
      </c>
      <c r="K82" s="24"/>
      <c r="L82" s="24">
        <v>56.09</v>
      </c>
      <c r="M82" s="24"/>
      <c r="N82" s="24">
        <v>35.918</v>
      </c>
    </row>
    <row r="83" spans="1:14" ht="15">
      <c r="A83" s="22" t="s">
        <v>49</v>
      </c>
      <c r="B83" s="22"/>
      <c r="C83" s="22"/>
      <c r="D83" s="24">
        <v>178.796</v>
      </c>
      <c r="E83" s="24"/>
      <c r="F83" s="24">
        <v>98.112</v>
      </c>
      <c r="G83" s="24"/>
      <c r="H83" s="24">
        <v>89.194</v>
      </c>
      <c r="I83" s="24"/>
      <c r="J83" s="24">
        <v>83.921</v>
      </c>
      <c r="K83" s="24"/>
      <c r="L83" s="24">
        <v>70.47</v>
      </c>
      <c r="M83" s="24"/>
      <c r="N83" s="24">
        <v>66.92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12.669</v>
      </c>
      <c r="E85" s="24"/>
      <c r="F85" s="24">
        <v>36.997</v>
      </c>
      <c r="G85" s="24"/>
      <c r="H85" s="24">
        <v>53.867</v>
      </c>
      <c r="I85" s="24"/>
      <c r="J85" s="24">
        <v>14.509</v>
      </c>
      <c r="K85" s="24"/>
      <c r="L85" s="24">
        <v>18.501</v>
      </c>
      <c r="M85" s="24"/>
      <c r="N85" s="24">
        <v>18.251</v>
      </c>
    </row>
    <row r="86" spans="1:14" ht="15">
      <c r="A86" s="22" t="s">
        <v>52</v>
      </c>
      <c r="B86" s="22"/>
      <c r="C86" s="22"/>
      <c r="D86" s="24">
        <v>0</v>
      </c>
      <c r="E86" s="24"/>
      <c r="F86" s="24">
        <v>0</v>
      </c>
      <c r="G86" s="24"/>
      <c r="H86" s="24">
        <v>0</v>
      </c>
      <c r="I86" s="24"/>
      <c r="J86" s="24">
        <v>0</v>
      </c>
      <c r="K86" s="24"/>
      <c r="L86" s="24">
        <v>0</v>
      </c>
      <c r="M86" s="24"/>
      <c r="N86" s="24">
        <v>0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</v>
      </c>
      <c r="M87" s="24"/>
      <c r="N87" s="24">
        <v>0</v>
      </c>
    </row>
    <row r="88" spans="1:14" ht="15">
      <c r="A88" s="22" t="s">
        <v>69</v>
      </c>
      <c r="B88" s="22"/>
      <c r="C88" s="22"/>
      <c r="D88" s="24">
        <v>11.522</v>
      </c>
      <c r="E88" s="24"/>
      <c r="F88" s="24">
        <v>-1.772</v>
      </c>
      <c r="G88" s="24"/>
      <c r="H88" s="24">
        <v>-5.885</v>
      </c>
      <c r="I88" s="24"/>
      <c r="J88" s="24">
        <v>-3.371</v>
      </c>
      <c r="K88" s="24"/>
      <c r="L88" s="24">
        <v>-0.979</v>
      </c>
      <c r="M88" s="24"/>
      <c r="N88" s="24">
        <v>0</v>
      </c>
    </row>
    <row r="89" spans="1:14" ht="15">
      <c r="A89" s="22" t="s">
        <v>54</v>
      </c>
      <c r="B89" s="22"/>
      <c r="C89" s="22"/>
      <c r="D89" s="24">
        <v>333.183</v>
      </c>
      <c r="E89" s="24"/>
      <c r="F89" s="24">
        <v>190.285</v>
      </c>
      <c r="G89" s="24"/>
      <c r="H89" s="24">
        <v>159.439</v>
      </c>
      <c r="I89" s="24"/>
      <c r="J89" s="24">
        <v>132.252</v>
      </c>
      <c r="K89" s="24"/>
      <c r="L89" s="24">
        <v>113.109</v>
      </c>
      <c r="M89" s="24"/>
      <c r="N89" s="24">
        <v>75.557</v>
      </c>
    </row>
    <row r="90" spans="1:14" ht="15">
      <c r="A90" s="22" t="s">
        <v>55</v>
      </c>
      <c r="B90" s="22"/>
      <c r="C90" s="22"/>
      <c r="D90" s="24">
        <v>98.978</v>
      </c>
      <c r="E90" s="24"/>
      <c r="F90" s="24">
        <v>66.736</v>
      </c>
      <c r="G90" s="24"/>
      <c r="H90" s="24">
        <v>55.291</v>
      </c>
      <c r="I90" s="24"/>
      <c r="J90" s="24">
        <v>48.646</v>
      </c>
      <c r="K90" s="24"/>
      <c r="L90" s="24">
        <v>44.112</v>
      </c>
      <c r="M90" s="24"/>
      <c r="N90" s="24">
        <v>35.995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103.418</v>
      </c>
      <c r="E92" s="24"/>
      <c r="F92" s="24">
        <v>65.7</v>
      </c>
      <c r="G92" s="24"/>
      <c r="H92" s="24">
        <v>62.088</v>
      </c>
      <c r="I92" s="24"/>
      <c r="J92" s="24">
        <v>59.639</v>
      </c>
      <c r="K92" s="24"/>
      <c r="L92" s="24">
        <v>41.042</v>
      </c>
      <c r="M92" s="24"/>
      <c r="N92" s="24">
        <v>46.243</v>
      </c>
    </row>
    <row r="93" spans="1:14" ht="15">
      <c r="A93" s="22" t="s">
        <v>58</v>
      </c>
      <c r="B93" s="22"/>
      <c r="C93" s="22"/>
      <c r="D93" s="24">
        <v>51.49</v>
      </c>
      <c r="E93" s="24"/>
      <c r="F93" s="24">
        <v>1.677</v>
      </c>
      <c r="G93" s="24"/>
      <c r="H93" s="24">
        <v>0.408</v>
      </c>
      <c r="I93" s="24"/>
      <c r="J93" s="24">
        <v>16.588</v>
      </c>
      <c r="K93" s="24"/>
      <c r="L93" s="24">
        <v>16.808</v>
      </c>
      <c r="M93" s="24"/>
      <c r="N93" s="24">
        <v>-7.989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</v>
      </c>
      <c r="M94" s="24"/>
      <c r="N94" s="24">
        <v>1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</v>
      </c>
      <c r="M95" s="24"/>
      <c r="N95" s="24">
        <v>1</v>
      </c>
    </row>
    <row r="96" spans="1:14" ht="15">
      <c r="A96" s="22" t="s">
        <v>59</v>
      </c>
      <c r="B96" s="22"/>
      <c r="C96" s="22"/>
      <c r="D96" s="24">
        <v>98.978</v>
      </c>
      <c r="E96" s="24"/>
      <c r="F96" s="24">
        <v>66.736</v>
      </c>
      <c r="G96" s="24"/>
      <c r="H96" s="24">
        <v>55.291</v>
      </c>
      <c r="I96" s="24"/>
      <c r="J96" s="24">
        <v>48.646</v>
      </c>
      <c r="K96" s="24"/>
      <c r="L96" s="24">
        <v>44.112</v>
      </c>
      <c r="M96" s="24"/>
      <c r="N96" s="24">
        <v>35.995</v>
      </c>
    </row>
    <row r="97" spans="1:14" ht="15">
      <c r="A97" s="22" t="s">
        <v>60</v>
      </c>
      <c r="B97" s="22"/>
      <c r="C97" s="22"/>
      <c r="D97" s="24">
        <v>1.24</v>
      </c>
      <c r="E97" s="24"/>
      <c r="F97" s="24">
        <v>1.22</v>
      </c>
      <c r="G97" s="24"/>
      <c r="H97" s="24">
        <v>1.2</v>
      </c>
      <c r="I97" s="24"/>
      <c r="J97" s="24">
        <v>1.18</v>
      </c>
      <c r="K97" s="24"/>
      <c r="L97" s="24">
        <v>1.16</v>
      </c>
      <c r="M97" s="24"/>
      <c r="N97" s="24">
        <v>1.14</v>
      </c>
    </row>
    <row r="98" spans="1:14" ht="15">
      <c r="A98" s="22" t="s">
        <v>61</v>
      </c>
      <c r="B98" s="22"/>
      <c r="C98" s="22"/>
      <c r="D98" s="24">
        <v>1.24</v>
      </c>
      <c r="E98" s="24"/>
      <c r="F98" s="24">
        <v>1.22</v>
      </c>
      <c r="G98" s="24"/>
      <c r="H98" s="24">
        <v>1.2</v>
      </c>
      <c r="I98" s="24"/>
      <c r="J98" s="24">
        <v>1.18</v>
      </c>
      <c r="K98" s="24"/>
      <c r="L98" s="24">
        <v>1.16</v>
      </c>
      <c r="M98" s="24"/>
      <c r="N98" s="24">
        <v>1.14</v>
      </c>
    </row>
    <row r="99" spans="1:14" ht="15">
      <c r="A99" s="22" t="s">
        <v>62</v>
      </c>
      <c r="B99" s="22"/>
      <c r="C99" s="22"/>
      <c r="D99" s="24">
        <v>29.97</v>
      </c>
      <c r="E99" s="24"/>
      <c r="F99" s="24">
        <v>27.59</v>
      </c>
      <c r="G99" s="24"/>
      <c r="H99" s="24">
        <v>25.5</v>
      </c>
      <c r="I99" s="24"/>
      <c r="J99" s="24">
        <v>24.55</v>
      </c>
      <c r="K99" s="24"/>
      <c r="L99" s="24">
        <v>25.75</v>
      </c>
      <c r="M99" s="24"/>
      <c r="N99" s="24">
        <v>26.25</v>
      </c>
    </row>
    <row r="100" spans="1:14" ht="15">
      <c r="A100" s="22" t="s">
        <v>63</v>
      </c>
      <c r="B100" s="22"/>
      <c r="C100" s="22"/>
      <c r="D100" s="24">
        <v>25</v>
      </c>
      <c r="E100" s="24"/>
      <c r="F100" s="24">
        <v>23.4</v>
      </c>
      <c r="G100" s="24"/>
      <c r="H100" s="24">
        <v>20.85</v>
      </c>
      <c r="I100" s="24"/>
      <c r="J100" s="24">
        <v>17.56</v>
      </c>
      <c r="K100" s="24"/>
      <c r="L100" s="24">
        <v>19.45</v>
      </c>
      <c r="M100" s="24"/>
      <c r="N100" s="24">
        <v>14.25</v>
      </c>
    </row>
    <row r="101" spans="1:14" ht="15">
      <c r="A101" s="22" t="s">
        <v>64</v>
      </c>
      <c r="B101" s="22"/>
      <c r="C101" s="22"/>
      <c r="D101" s="24">
        <v>26.16</v>
      </c>
      <c r="E101" s="24"/>
      <c r="F101" s="24">
        <v>27.35</v>
      </c>
      <c r="G101" s="24"/>
      <c r="H101" s="24">
        <v>24.3</v>
      </c>
      <c r="I101" s="24"/>
      <c r="J101" s="24">
        <v>23.32</v>
      </c>
      <c r="K101" s="24"/>
      <c r="L101" s="24">
        <v>21.25</v>
      </c>
      <c r="M101" s="24"/>
      <c r="N101" s="24">
        <v>24.375</v>
      </c>
    </row>
    <row r="102" spans="1:14" ht="15">
      <c r="A102" s="22" t="s">
        <v>65</v>
      </c>
      <c r="B102" s="22"/>
      <c r="C102" s="22"/>
      <c r="D102" s="24">
        <v>80.539</v>
      </c>
      <c r="E102" s="24"/>
      <c r="F102" s="24">
        <v>62.8</v>
      </c>
      <c r="G102" s="24"/>
      <c r="H102" s="24">
        <v>51.476</v>
      </c>
      <c r="I102" s="24"/>
      <c r="J102" s="24">
        <v>41.676</v>
      </c>
      <c r="K102" s="24"/>
      <c r="L102" s="24">
        <v>40.792</v>
      </c>
      <c r="M102" s="24"/>
      <c r="N102" s="24">
        <v>31.952</v>
      </c>
    </row>
    <row r="103" spans="1:14" ht="15">
      <c r="A103" s="22" t="s">
        <v>84</v>
      </c>
      <c r="B103" s="22"/>
      <c r="C103" s="22"/>
      <c r="D103" s="24">
        <v>-3.341</v>
      </c>
      <c r="E103" s="24"/>
      <c r="F103" s="24">
        <v>-14.529</v>
      </c>
      <c r="G103" s="24"/>
      <c r="H103" s="24">
        <v>-1.459</v>
      </c>
      <c r="I103" s="24"/>
      <c r="J103" s="24">
        <v>-41.38</v>
      </c>
      <c r="K103" s="24"/>
      <c r="L103" s="24">
        <v>-1.42</v>
      </c>
      <c r="M103" s="24"/>
      <c r="N103" s="24">
        <v>2.265</v>
      </c>
    </row>
    <row r="104" ht="15">
      <c r="A104" t="s">
        <v>71</v>
      </c>
    </row>
    <row r="105" spans="2:14" ht="15">
      <c r="B105" t="s">
        <v>70</v>
      </c>
      <c r="D105" s="17">
        <f>D67/D94</f>
        <v>1.73</v>
      </c>
      <c r="F105" s="17">
        <f>F67/F94</f>
        <v>1.6</v>
      </c>
      <c r="H105" s="17">
        <f>H67/H94</f>
        <v>1.72</v>
      </c>
      <c r="J105" s="17">
        <f>J67/J94</f>
        <v>1.45</v>
      </c>
      <c r="L105" s="17">
        <f>L67/L94</f>
        <v>1.47</v>
      </c>
      <c r="N105" s="17">
        <f>N67/N94</f>
        <v>1.14</v>
      </c>
    </row>
    <row r="106" spans="2:14" ht="15">
      <c r="B106" t="s">
        <v>60</v>
      </c>
      <c r="D106" s="17">
        <f>D97/D94</f>
        <v>1.24</v>
      </c>
      <c r="F106" s="17">
        <f>F97/F94</f>
        <v>1.22</v>
      </c>
      <c r="H106" s="17">
        <f>H97/H94</f>
        <v>1.2</v>
      </c>
      <c r="J106" s="17">
        <f>J97/J94</f>
        <v>1.18</v>
      </c>
      <c r="L106" s="17">
        <f>L97/L94</f>
        <v>1.16</v>
      </c>
      <c r="N106" s="17">
        <f>N97/N94</f>
        <v>1.14</v>
      </c>
    </row>
    <row r="107" spans="2:14" ht="15">
      <c r="B107" t="s">
        <v>61</v>
      </c>
      <c r="D107" s="17">
        <f>D98/D94</f>
        <v>1.24</v>
      </c>
      <c r="F107" s="17">
        <f>F98/F94</f>
        <v>1.22</v>
      </c>
      <c r="H107" s="17">
        <f>H98/H94</f>
        <v>1.2</v>
      </c>
      <c r="J107" s="17">
        <f>J98/J94</f>
        <v>1.18</v>
      </c>
      <c r="L107" s="17">
        <f>L98/L94</f>
        <v>1.16</v>
      </c>
      <c r="N107" s="17">
        <f>N98/N94</f>
        <v>1.14</v>
      </c>
    </row>
    <row r="108" spans="2:14" ht="15">
      <c r="B108" t="s">
        <v>62</v>
      </c>
      <c r="D108" s="17">
        <f>D99/D94</f>
        <v>29.97</v>
      </c>
      <c r="F108" s="17">
        <f>F99/F94</f>
        <v>27.59</v>
      </c>
      <c r="H108" s="17">
        <f>H99/H94</f>
        <v>25.5</v>
      </c>
      <c r="J108" s="17">
        <f>J99/J94</f>
        <v>24.55</v>
      </c>
      <c r="L108" s="17">
        <f>L99/L94</f>
        <v>25.75</v>
      </c>
      <c r="N108" s="17">
        <f>N99/N94</f>
        <v>26.25</v>
      </c>
    </row>
    <row r="109" spans="2:14" ht="15">
      <c r="B109" t="s">
        <v>63</v>
      </c>
      <c r="D109" s="17">
        <f>D100/D94</f>
        <v>25</v>
      </c>
      <c r="F109" s="17">
        <f>F100/F94</f>
        <v>23.4</v>
      </c>
      <c r="H109" s="17">
        <f>H100/H94</f>
        <v>20.85</v>
      </c>
      <c r="J109" s="17">
        <f>J100/J94</f>
        <v>17.56</v>
      </c>
      <c r="L109" s="17">
        <f>L100/L94</f>
        <v>19.45</v>
      </c>
      <c r="N109" s="17">
        <f>N100/N94</f>
        <v>14.25</v>
      </c>
    </row>
    <row r="110" spans="2:14" ht="15">
      <c r="B110" t="s">
        <v>64</v>
      </c>
      <c r="D110" s="17">
        <f>D101/D94</f>
        <v>26.16</v>
      </c>
      <c r="F110" s="17">
        <f>F101/F94</f>
        <v>27.35</v>
      </c>
      <c r="H110" s="17">
        <f>H101/H94</f>
        <v>24.3</v>
      </c>
      <c r="J110" s="17">
        <f>J101/J94</f>
        <v>23.32</v>
      </c>
      <c r="L110" s="17">
        <f>L101/L94</f>
        <v>21.25</v>
      </c>
      <c r="N110" s="17">
        <f>N101/N94</f>
        <v>24.375</v>
      </c>
    </row>
    <row r="111" spans="2:14" ht="15">
      <c r="B111" t="s">
        <v>65</v>
      </c>
      <c r="D111" s="18">
        <f>D102*D94</f>
        <v>80.539</v>
      </c>
      <c r="E111" s="18"/>
      <c r="F111" s="18">
        <f>F102*F94</f>
        <v>62.8</v>
      </c>
      <c r="G111" s="18"/>
      <c r="H111" s="18">
        <f>H102*H94</f>
        <v>51.476</v>
      </c>
      <c r="I111" s="18"/>
      <c r="J111" s="18">
        <f>J102*J94</f>
        <v>41.676</v>
      </c>
      <c r="K111" s="18"/>
      <c r="L111" s="18">
        <f>L102*L94</f>
        <v>40.792</v>
      </c>
      <c r="M111" s="18"/>
      <c r="N111" s="18">
        <f>N102*N94</f>
        <v>31.952</v>
      </c>
    </row>
    <row r="112" spans="2:14" ht="15">
      <c r="B112" t="s">
        <v>66</v>
      </c>
      <c r="D112" s="17">
        <f>ROUND(D68/D111,2)</f>
        <v>19.9</v>
      </c>
      <c r="F112" s="17">
        <f>ROUND(F68/F111,2)</f>
        <v>18.05</v>
      </c>
      <c r="H112" s="17">
        <f>ROUND(H68/H111,2)</f>
        <v>16.66</v>
      </c>
      <c r="J112" s="17">
        <f>ROUND(J68/J111,2)</f>
        <v>13.75</v>
      </c>
      <c r="L112" s="17">
        <f>ROUND(L68/L111,2)</f>
        <v>14.31</v>
      </c>
      <c r="N112" s="17">
        <f>ROUND(N68/N111,2)</f>
        <v>12.28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LACLEDE GROUP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755.67</v>
      </c>
      <c r="F8" s="39">
        <f>F78+F79+F81-F103</f>
        <v>764.111</v>
      </c>
      <c r="H8" s="39">
        <f>H78+H79+H81-H103</f>
        <v>605.0350000000001</v>
      </c>
      <c r="J8" s="39">
        <f>J78+J79+J81-J103</f>
        <v>571.916</v>
      </c>
      <c r="L8" s="39">
        <f>L78+L79+L81-L103</f>
        <v>574.2109999999999</v>
      </c>
    </row>
    <row r="9" spans="2:12" ht="15">
      <c r="B9" t="s">
        <v>5</v>
      </c>
      <c r="D9" s="12">
        <f>D80</f>
        <v>70.605</v>
      </c>
      <c r="F9" s="12">
        <f>F80</f>
        <v>71.38</v>
      </c>
      <c r="H9" s="12">
        <f>H80</f>
        <v>218.2</v>
      </c>
      <c r="J9" s="12">
        <f>J80</f>
        <v>161.67</v>
      </c>
      <c r="L9" s="12">
        <f>L80</f>
        <v>117.05</v>
      </c>
    </row>
    <row r="10" spans="2:12" ht="15.75" thickBot="1">
      <c r="B10" t="s">
        <v>7</v>
      </c>
      <c r="D10" s="13">
        <f>D8+D9</f>
        <v>826.275</v>
      </c>
      <c r="F10" s="13">
        <f>F8+F9</f>
        <v>835.491</v>
      </c>
      <c r="H10" s="13">
        <f>H8+H9</f>
        <v>823.2350000000001</v>
      </c>
      <c r="J10" s="13">
        <f>J8+J9</f>
        <v>733.586</v>
      </c>
      <c r="L10" s="13">
        <f>L8+L9</f>
        <v>691.2609999999999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16</v>
      </c>
      <c r="E13" s="8" t="s">
        <v>3</v>
      </c>
      <c r="F13" s="34">
        <f>ROUND(AVERAGE(F108:F109)/F105,0)</f>
        <v>16</v>
      </c>
      <c r="G13" s="8" t="s">
        <v>3</v>
      </c>
      <c r="H13" s="34">
        <f>ROUND(AVERAGE(H108:H109)/H105,0)</f>
        <v>14</v>
      </c>
      <c r="I13" s="8" t="s">
        <v>3</v>
      </c>
      <c r="J13" s="34">
        <f>ROUND(AVERAGE(J108:J109)/J105,0)</f>
        <v>19</v>
      </c>
      <c r="K13" s="8" t="s">
        <v>3</v>
      </c>
      <c r="L13" s="34">
        <f>ROUND(AVERAGE(L108:L109)/L105,0)</f>
        <v>15</v>
      </c>
      <c r="M13" s="8" t="s">
        <v>3</v>
      </c>
      <c r="N13" s="35">
        <f>AVERAGE(D13,F13,H13,J13,L13)</f>
        <v>16</v>
      </c>
      <c r="O13" s="8" t="s">
        <v>3</v>
      </c>
    </row>
    <row r="14" spans="2:14" ht="15">
      <c r="B14" t="s">
        <v>20</v>
      </c>
      <c r="D14" s="3">
        <f>ROUND(AVERAGE(D108:D109)/AVERAGE(D112,F112),3)</f>
        <v>1.786</v>
      </c>
      <c r="E14" s="3"/>
      <c r="F14" s="3">
        <f>ROUND(AVERAGE(F108:F109)/AVERAGE(F112,H112),3)</f>
        <v>1.794</v>
      </c>
      <c r="G14" s="3"/>
      <c r="H14" s="3">
        <f>ROUND(AVERAGE(H108:H109)/AVERAGE(H112,J112),3)</f>
        <v>1.685</v>
      </c>
      <c r="I14" s="3"/>
      <c r="J14" s="3">
        <f>ROUND(AVERAGE(J108:J109)/AVERAGE(J112,L112),3)</f>
        <v>1.449</v>
      </c>
      <c r="K14" s="3"/>
      <c r="L14" s="3">
        <f>ROUND(AVERAGE(L108:L109)/AVERAGE(L112,N112),3)</f>
        <v>1.545</v>
      </c>
      <c r="M14" s="3"/>
      <c r="N14" s="6">
        <f>AVERAGE(D14,F14,H14,J14,L14)</f>
        <v>1.6518000000000002</v>
      </c>
    </row>
    <row r="15" spans="2:14" ht="15">
      <c r="B15" t="s">
        <v>9</v>
      </c>
      <c r="D15" s="3">
        <f>ROUND(D106/AVERAGE(D108:D109),3)</f>
        <v>0.045</v>
      </c>
      <c r="E15" s="3"/>
      <c r="F15" s="3">
        <f>ROUND(F106/AVERAGE(F108:F109),3)</f>
        <v>0.046</v>
      </c>
      <c r="G15" s="3"/>
      <c r="H15" s="3">
        <f>ROUND(H106/AVERAGE(H108:H109),3)</f>
        <v>0.052</v>
      </c>
      <c r="I15" s="3"/>
      <c r="J15" s="3">
        <f>ROUND(J106/AVERAGE(J108:J109),3)</f>
        <v>0.061</v>
      </c>
      <c r="K15" s="3"/>
      <c r="L15" s="3">
        <f>ROUND(L106/AVERAGE(L108:L109),3)</f>
        <v>0.057</v>
      </c>
      <c r="M15" s="3"/>
      <c r="N15" s="6">
        <f>AVERAGE(D15,F15,H15,J15,L15)</f>
        <v>0.0522</v>
      </c>
    </row>
    <row r="16" spans="2:14" ht="15">
      <c r="B16" t="s">
        <v>10</v>
      </c>
      <c r="D16" s="3">
        <f>ROUND(D96/D66,3)</f>
        <v>0.724</v>
      </c>
      <c r="E16" s="3"/>
      <c r="F16" s="3">
        <f>ROUND(F96/F66,3)</f>
        <v>0.754</v>
      </c>
      <c r="G16" s="3"/>
      <c r="H16" s="3">
        <f>ROUND(H96/H66,3)</f>
        <v>0.737</v>
      </c>
      <c r="I16" s="3"/>
      <c r="J16" s="3">
        <f>ROUND(J96/J66,3)</f>
        <v>1.134</v>
      </c>
      <c r="K16" s="3"/>
      <c r="L16" s="3">
        <f>ROUND(L96/L66,3)</f>
        <v>0.833</v>
      </c>
      <c r="M16" s="3"/>
      <c r="N16" s="6">
        <f>AVERAGE(D16,F16,H16,J16,L16)</f>
        <v>0.8363999999999999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0.504</v>
      </c>
      <c r="E20" s="3"/>
      <c r="F20" s="3">
        <f>ROUND((+F76+F79)/F8,3)</f>
        <v>0.531</v>
      </c>
      <c r="G20" s="3"/>
      <c r="H20" s="3">
        <f>ROUND((+H76+H79)/H8,3)</f>
        <v>0.503</v>
      </c>
      <c r="I20" s="3"/>
      <c r="J20" s="3">
        <f>ROUND((+J76+J79)/J8,3)</f>
        <v>0.498</v>
      </c>
      <c r="K20" s="3"/>
      <c r="L20" s="3">
        <f>ROUND((+L76+L79)/L8,3)</f>
        <v>0.495</v>
      </c>
      <c r="M20" s="3"/>
      <c r="N20" s="6">
        <f>AVERAGE(D20,F20,H20,J20,L20)</f>
        <v>0.5062000000000001</v>
      </c>
    </row>
    <row r="21" spans="2:14" ht="15">
      <c r="B21" s="36" t="s">
        <v>86</v>
      </c>
      <c r="D21" s="3">
        <f>ROUND((SUM(D69:D75)+D81)/D8,3)</f>
        <v>0.001</v>
      </c>
      <c r="E21" s="3"/>
      <c r="F21" s="3">
        <f>ROUND((SUM(F69:F75)+F81)/F8,3)</f>
        <v>0.001</v>
      </c>
      <c r="G21" s="3"/>
      <c r="H21" s="3">
        <f>ROUND((SUM(H69:H75)+H81)/H8,3)</f>
        <v>0.002</v>
      </c>
      <c r="I21" s="3"/>
      <c r="J21" s="3">
        <f>ROUND((SUM(J69:J75)+J81)/J8,3)</f>
        <v>0.002</v>
      </c>
      <c r="K21" s="3"/>
      <c r="L21" s="3">
        <f>ROUND((SUM(L69:L75)+L81)/L8,3)</f>
        <v>0.003</v>
      </c>
      <c r="M21" s="3"/>
      <c r="N21" s="6">
        <f>AVERAGE(D21,F21,H21,J21,L21)</f>
        <v>0.0018000000000000002</v>
      </c>
    </row>
    <row r="22" spans="2:14" ht="18">
      <c r="B22" s="37" t="s">
        <v>87</v>
      </c>
      <c r="D22" s="4">
        <f>ROUND((D68-D103)/D8,3)</f>
        <v>0.495</v>
      </c>
      <c r="E22" s="3"/>
      <c r="F22" s="4">
        <f>ROUND((F68-F103)/F8,3)</f>
        <v>0.468</v>
      </c>
      <c r="G22" s="3"/>
      <c r="H22" s="4">
        <f>ROUND((H68-H103)/H8,3)</f>
        <v>0.494</v>
      </c>
      <c r="I22" s="3"/>
      <c r="J22" s="4">
        <f>ROUND((J68-J103)/J8,3)</f>
        <v>0.5</v>
      </c>
      <c r="K22" s="3"/>
      <c r="L22" s="4">
        <f>ROUND((L68-L103)/L8,3)</f>
        <v>0.502</v>
      </c>
      <c r="M22" s="3"/>
      <c r="N22" s="9">
        <f>AVERAGE(D22,F22,H22,J22,L22)</f>
        <v>0.4918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0.999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0.9998000000000001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0.546</v>
      </c>
      <c r="E25" s="3"/>
      <c r="F25" s="3">
        <f>ROUND((+F76+F79+F80)/F10,3)</f>
        <v>0.571</v>
      </c>
      <c r="G25" s="3"/>
      <c r="H25" s="3">
        <f>ROUND((+H76+H79+H80)/H10,3)</f>
        <v>0.635</v>
      </c>
      <c r="I25" s="3"/>
      <c r="J25" s="3">
        <f>ROUND((+J76+J79+J80)/J10,3)</f>
        <v>0.608</v>
      </c>
      <c r="K25" s="3"/>
      <c r="L25" s="3">
        <f>ROUND((+L76+L79+L80)/L10,3)</f>
        <v>0.581</v>
      </c>
      <c r="M25" s="3"/>
      <c r="N25" s="6">
        <f>AVERAGE(D25,F25,H25,J25,L25)</f>
        <v>0.5882</v>
      </c>
    </row>
    <row r="26" spans="2:14" ht="15">
      <c r="B26" s="36" t="s">
        <v>86</v>
      </c>
      <c r="D26" s="3">
        <f>ROUND((SUM(D69:D75)+D81)/D10,3)</f>
        <v>0.001</v>
      </c>
      <c r="E26" s="3"/>
      <c r="F26" s="3">
        <f>ROUND((SUM(F69:F75)+F81)/F10,3)</f>
        <v>0.001</v>
      </c>
      <c r="G26" s="3"/>
      <c r="H26" s="3">
        <f>ROUND((SUM(H69:H75)+H81)/H10,3)</f>
        <v>0.002</v>
      </c>
      <c r="I26" s="3"/>
      <c r="J26" s="3">
        <f>ROUND((SUM(J69:J75)+J81)/J10,3)</f>
        <v>0.002</v>
      </c>
      <c r="K26" s="3"/>
      <c r="L26" s="3">
        <f>ROUND((SUM(L69:L75)+L81)/L10,3)</f>
        <v>0.002</v>
      </c>
      <c r="M26" s="3"/>
      <c r="N26" s="6">
        <f>AVERAGE(D26,F26,H26,J26,L26)</f>
        <v>0.0016</v>
      </c>
    </row>
    <row r="27" spans="2:14" ht="18">
      <c r="B27" s="37" t="s">
        <v>87</v>
      </c>
      <c r="D27" s="4">
        <f>ROUND((D68-D103)/D10,3)</f>
        <v>0.453</v>
      </c>
      <c r="E27" s="3"/>
      <c r="F27" s="4">
        <f>ROUND((F68-F103)/F10,3)</f>
        <v>0.428</v>
      </c>
      <c r="G27" s="3"/>
      <c r="H27" s="4">
        <f>ROUND((H68-H103)/H10,3)</f>
        <v>0.363</v>
      </c>
      <c r="I27" s="3"/>
      <c r="J27" s="4">
        <f>ROUND((J68-J103)/J10,3)</f>
        <v>0.39</v>
      </c>
      <c r="K27" s="3"/>
      <c r="L27" s="4">
        <f>ROUND((L68-L103)/L10,3)</f>
        <v>0.417</v>
      </c>
      <c r="M27" s="3"/>
      <c r="N27" s="9">
        <f>AVERAGE(D27,F27,H27,J27,L27)</f>
        <v>0.41019999999999995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0.11</v>
      </c>
      <c r="E30" s="3"/>
      <c r="F30" s="3">
        <f>ROUND(+F66/(((F68-F103)+(H68-H103))/2),3)</f>
        <v>0.11</v>
      </c>
      <c r="G30" s="3"/>
      <c r="H30" s="3">
        <f>ROUND(+H66/(((H68-H103)+(J68-J103))/2),3)</f>
        <v>0.118</v>
      </c>
      <c r="I30" s="3"/>
      <c r="J30" s="3">
        <f>ROUND(+J66/(((J68-J103)+(L68-L103))/2),3)</f>
        <v>0.078</v>
      </c>
      <c r="K30" s="3"/>
      <c r="L30" s="3">
        <f>ROUND(+L66/(((L68-L103)+(N68-N103))/2),3)</f>
        <v>0.106</v>
      </c>
      <c r="M30" s="3"/>
      <c r="N30" s="6">
        <f>AVERAGE(D30,F30,H30,J30,L30)</f>
        <v>0.1044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0.944</v>
      </c>
      <c r="E32" s="3"/>
      <c r="F32" s="3">
        <f>ROUND((+F58-F57)/F56,3)</f>
        <v>0.936</v>
      </c>
      <c r="G32" s="3"/>
      <c r="H32" s="3">
        <f>ROUND((+H58-H57)/H56,3)</f>
        <v>0.924</v>
      </c>
      <c r="I32" s="3"/>
      <c r="J32" s="3">
        <f>ROUND((+J58-J57)/J56,3)</f>
        <v>0.921</v>
      </c>
      <c r="K32" s="3"/>
      <c r="L32" s="3">
        <f>ROUND((+L58-L57)/L56,3)</f>
        <v>0.928</v>
      </c>
      <c r="M32" s="3"/>
      <c r="N32" s="6">
        <f>AVERAGE(D32,F32,H32,J32,L32)</f>
        <v>0.9305999999999999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2.99</v>
      </c>
      <c r="E35" s="8" t="s">
        <v>3</v>
      </c>
      <c r="F35" s="8">
        <f>ROUND(((+F66+F65+F64+F63+F61+F59+F57)/F61),2)</f>
        <v>2.93</v>
      </c>
      <c r="G35" s="8" t="s">
        <v>3</v>
      </c>
      <c r="H35" s="8">
        <f>ROUND(((+H66+H65+H64+H63+H61+H59+H57)/H61),2)</f>
        <v>2.98</v>
      </c>
      <c r="I35" s="8" t="s">
        <v>3</v>
      </c>
      <c r="J35" s="8">
        <f>ROUND(((+J66+J65+J64+J63+J61+J59+J57)/J61),2)</f>
        <v>2.34</v>
      </c>
      <c r="K35" s="8" t="s">
        <v>3</v>
      </c>
      <c r="L35" s="8">
        <f>ROUND(((+L66+L65+L64+L63+L61+L59+L57)/L61),2)</f>
        <v>2.59</v>
      </c>
      <c r="M35" s="8" t="s">
        <v>3</v>
      </c>
      <c r="N35" s="29">
        <f>AVERAGE(D35,F35,H35,J35,L35)</f>
        <v>2.766</v>
      </c>
      <c r="O35" t="s">
        <v>3</v>
      </c>
    </row>
    <row r="36" spans="2:15" ht="15">
      <c r="B36" t="s">
        <v>21</v>
      </c>
      <c r="D36" s="8">
        <f>ROUND(((+D66+D65+D64+D63+D61)/(D61)),2)</f>
        <v>2.31</v>
      </c>
      <c r="E36" s="8" t="s">
        <v>3</v>
      </c>
      <c r="F36" s="8">
        <f>ROUND(((+F66+F65+F64+F63+F61)/(F61)),2)</f>
        <v>2.26</v>
      </c>
      <c r="G36" s="8" t="s">
        <v>3</v>
      </c>
      <c r="H36" s="8">
        <f>ROUND(((+H66+H65+H64+H63+H61)/(H61)),2)</f>
        <v>2.29</v>
      </c>
      <c r="I36" s="8" t="s">
        <v>3</v>
      </c>
      <c r="J36" s="8">
        <f>ROUND(((+J66+J65+J64+J63+J61)/(J61)),2)</f>
        <v>1.87</v>
      </c>
      <c r="K36" s="8" t="s">
        <v>3</v>
      </c>
      <c r="L36" s="8">
        <f>ROUND(((+L66+L65+L64+L63+L61)/(L61)),2)</f>
        <v>2.07</v>
      </c>
      <c r="M36" s="8" t="s">
        <v>3</v>
      </c>
      <c r="N36" s="29">
        <f>AVERAGE(D36,F36,H36,J36,L36)</f>
        <v>2.16</v>
      </c>
      <c r="O36" t="s">
        <v>3</v>
      </c>
    </row>
    <row r="37" spans="2:15" ht="15">
      <c r="B37" t="s">
        <v>14</v>
      </c>
      <c r="D37" s="8">
        <f>ROUND(((+D66+D65+D64+D63+D61)/(D61+D63+D64+D65)),2)</f>
        <v>2.31</v>
      </c>
      <c r="E37" s="8" t="s">
        <v>3</v>
      </c>
      <c r="F37" s="8">
        <f>ROUND(((+F66+F65+F64+F63+F61)/(F61+F63+F64+F65)),2)</f>
        <v>2.25</v>
      </c>
      <c r="G37" s="8" t="s">
        <v>3</v>
      </c>
      <c r="H37" s="8">
        <f>ROUND(((+H66+H65+H64+H63+H61)/(H61+H63+H64+H65)),2)</f>
        <v>2.28</v>
      </c>
      <c r="I37" s="8" t="s">
        <v>3</v>
      </c>
      <c r="J37" s="8">
        <f>ROUND(((+J66+J65+J64+J63+J61)/(J61+J63+J64+J65)),2)</f>
        <v>1.86</v>
      </c>
      <c r="K37" s="8" t="s">
        <v>3</v>
      </c>
      <c r="L37" s="8">
        <f>ROUND(((+L66+L65+L64+L63+L61)/(L61+L63+L64+L65)),2)</f>
        <v>2.07</v>
      </c>
      <c r="M37" s="8" t="s">
        <v>3</v>
      </c>
      <c r="N37" s="29">
        <f>AVERAGE(D37,F37,H37,J37,L37)</f>
        <v>2.154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</v>
      </c>
      <c r="E40" s="8" t="s">
        <v>3</v>
      </c>
      <c r="F40" s="8">
        <f>ROUND(((+F66+F65+F64+F63-F62+F61+F59+F57)/F61),2)</f>
        <v>2.93</v>
      </c>
      <c r="G40" s="8" t="s">
        <v>3</v>
      </c>
      <c r="H40" s="8">
        <f>ROUND(((+H66+H65+H64+H63-H62+H61+H59+H57)/H61),2)</f>
        <v>2.99</v>
      </c>
      <c r="I40" s="8" t="s">
        <v>3</v>
      </c>
      <c r="J40" s="8">
        <f>ROUND(((+J66+J65+J64+J63-J62+J61+J59+J57)/J61),2)</f>
        <v>2.35</v>
      </c>
      <c r="K40" s="8" t="s">
        <v>3</v>
      </c>
      <c r="L40" s="8">
        <f>ROUND(((+L66+L65+L64+L63-L62+L61+L59+L57)/L61),2)</f>
        <v>2.57</v>
      </c>
      <c r="M40" s="8" t="s">
        <v>3</v>
      </c>
      <c r="N40" s="29">
        <f>AVERAGE(D40,F40,H40,J40,L40)</f>
        <v>2.768</v>
      </c>
      <c r="O40" t="s">
        <v>3</v>
      </c>
    </row>
    <row r="41" spans="2:15" ht="15">
      <c r="B41" t="s">
        <v>21</v>
      </c>
      <c r="D41" s="8">
        <f>ROUND(((+D66+D65+D64+D63-D62+D61)/D61),2)</f>
        <v>2.32</v>
      </c>
      <c r="E41" s="8" t="s">
        <v>3</v>
      </c>
      <c r="F41" s="8">
        <f>ROUND(((+F66+F65+F64+F63-F62+F61)/F61),2)</f>
        <v>2.26</v>
      </c>
      <c r="G41" s="8" t="s">
        <v>3</v>
      </c>
      <c r="H41" s="8">
        <f>ROUND(((+H66+H65+H64+H63-H62+H61)/H61),2)</f>
        <v>2.29</v>
      </c>
      <c r="I41" s="8" t="s">
        <v>3</v>
      </c>
      <c r="J41" s="8">
        <f>ROUND(((+J66+J65+J64+J63-J62+J61)/J61),2)</f>
        <v>1.87</v>
      </c>
      <c r="K41" s="8" t="s">
        <v>3</v>
      </c>
      <c r="L41" s="8">
        <f>ROUND(((+L66+L65+L64+L63-L62+L61)/L61),2)</f>
        <v>2.05</v>
      </c>
      <c r="M41" s="8" t="s">
        <v>3</v>
      </c>
      <c r="N41" s="29">
        <f>AVERAGE(D41,F41,H41,J41,L41)</f>
        <v>2.158</v>
      </c>
      <c r="O41" t="s">
        <v>3</v>
      </c>
    </row>
    <row r="42" spans="2:15" ht="15">
      <c r="B42" t="s">
        <v>14</v>
      </c>
      <c r="D42" s="8">
        <f>ROUND(((+D66+D65+D64+D63-D62+D61)/(D61+D63+D64+D65)),2)</f>
        <v>2.31</v>
      </c>
      <c r="E42" s="8" t="s">
        <v>3</v>
      </c>
      <c r="F42" s="8">
        <f>ROUND(((+F66+F65+F64+F63-F62+F61)/(F61+F63+F64+F65)),2)</f>
        <v>2.26</v>
      </c>
      <c r="G42" s="8" t="s">
        <v>3</v>
      </c>
      <c r="H42" s="8">
        <f>ROUND(((+H66+H65+H64+H63-H62+H61)/(H61+H63+H64+H65)),2)</f>
        <v>2.29</v>
      </c>
      <c r="I42" s="8" t="s">
        <v>3</v>
      </c>
      <c r="J42" s="8">
        <f>ROUND(((+J66+J65+J64+J63-J62+J61)/(J61+J63+J64+J65)),2)</f>
        <v>1.87</v>
      </c>
      <c r="K42" s="8" t="s">
        <v>3</v>
      </c>
      <c r="L42" s="8">
        <f>ROUND(((+L66+L65+L64+L63-L62+L61)/(L61+L63+L64+L65)),2)</f>
        <v>2.04</v>
      </c>
      <c r="M42" s="8" t="s">
        <v>3</v>
      </c>
      <c r="N42" s="29">
        <f>AVERAGE(D42,F42,H42,J42,L42)</f>
        <v>2.154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-0.002</v>
      </c>
      <c r="E45" s="14"/>
      <c r="F45" s="14">
        <f>ROUND(F62/F66,3)</f>
        <v>-0.003</v>
      </c>
      <c r="G45" s="14"/>
      <c r="H45" s="14">
        <f>ROUND(H62/H66,3)</f>
        <v>-0.003</v>
      </c>
      <c r="I45" s="14"/>
      <c r="J45" s="14">
        <f>ROUND(J62/J66,3)</f>
        <v>-0.007</v>
      </c>
      <c r="K45" s="14"/>
      <c r="L45" s="14">
        <f>ROUND(L62/L66,3)</f>
        <v>0.025</v>
      </c>
      <c r="M45" s="3"/>
      <c r="N45" s="6">
        <f aca="true" t="shared" si="0" ref="N45:N50">AVERAGE(D45,F45,H45,J45,L45)</f>
        <v>0.0020000000000000005</v>
      </c>
    </row>
    <row r="46" spans="2:14" ht="15">
      <c r="B46" t="s">
        <v>17</v>
      </c>
      <c r="D46" s="19">
        <f>ROUND((D57+D59)/(D57+D59+D66+D63+D64+D65),3)</f>
        <v>0.341</v>
      </c>
      <c r="E46" s="20"/>
      <c r="F46" s="19">
        <f>ROUND((F57+F59)/(F57+F59+F66+F63+F64+F65),3)</f>
        <v>0.348</v>
      </c>
      <c r="G46" s="20"/>
      <c r="H46" s="19">
        <f>ROUND((H57+H59)/(H57+H59+H66+H63+H64+H65),3)</f>
        <v>0.35</v>
      </c>
      <c r="I46" s="20"/>
      <c r="J46" s="19">
        <f>ROUND((J57+J59)/(J57+J59+J66+J63+J64+J65),3)</f>
        <v>0.354</v>
      </c>
      <c r="K46" s="20"/>
      <c r="L46" s="19">
        <f>ROUND((L57+L59)/(L57+L59+L66+L63+L64+L65),3)</f>
        <v>0.327</v>
      </c>
      <c r="N46" s="6">
        <f t="shared" si="0"/>
        <v>0.34400000000000003</v>
      </c>
    </row>
    <row r="47" spans="2:14" ht="18">
      <c r="B47" s="38" t="s">
        <v>93</v>
      </c>
      <c r="D47" s="14">
        <f>ROUND(((+D82+D83+D84+D85+D86-D87+D88-D90-D91)/(+D89-D87)),3)</f>
        <v>0.648</v>
      </c>
      <c r="E47" s="15"/>
      <c r="F47" s="14">
        <f>ROUND(((+F82+F83+F84+F85+F86-F87+F88-F90-F91)/(+F89-F87)),3)</f>
        <v>0.994</v>
      </c>
      <c r="G47" s="15"/>
      <c r="H47" s="14">
        <f>ROUND(((+H82+H83+H84+H85+H86-H87+H88-H90-H91)/(+H89-H87)),3)</f>
        <v>0.991</v>
      </c>
      <c r="I47" s="15"/>
      <c r="J47" s="14">
        <f>ROUND(((+J82+J83+J84+J85+J86-J87+J88-J90-J91)/(+J89-J87)),3)</f>
        <v>0.561</v>
      </c>
      <c r="K47" s="15"/>
      <c r="L47" s="14">
        <f>ROUND(((+L82+L83+L84+L85+L86-L87+L88-L90-L91)/(+L89-L87)),3)</f>
        <v>0.56</v>
      </c>
      <c r="N47" s="6">
        <f t="shared" si="0"/>
        <v>0.7508</v>
      </c>
    </row>
    <row r="48" spans="2:14" ht="18">
      <c r="B48" s="38" t="s">
        <v>94</v>
      </c>
      <c r="D48" s="14">
        <f>ROUND(((+D82+D83+D84+D85+D86-D87+D88)/(AVERAGE(D76,F76)+AVERAGE(D79,F79)+AVERAGE(D80,F80))),3)</f>
        <v>0.146</v>
      </c>
      <c r="E48" s="15"/>
      <c r="F48" s="14">
        <f>ROUND(((+F82+F83+F84+F85+F86-F87+F88)/(AVERAGE(F76,H76)+AVERAGE(F79,H79)+AVERAGE(F80,H80))),3)</f>
        <v>0.155</v>
      </c>
      <c r="G48" s="15"/>
      <c r="H48" s="14">
        <f>ROUND(((+H82+H83+H84+H85+H86-H87+H88)/(AVERAGE(H76,J76)+AVERAGE(H79,J79)+AVERAGE(H80,J80))),3)</f>
        <v>0.157</v>
      </c>
      <c r="I48" s="15"/>
      <c r="J48" s="14">
        <f>ROUND(((+J82+J83+J84+J85+J86-J87+J88)/(AVERAGE(J76,L76)+AVERAGE(J79,L79)+AVERAGE(J80,L80))),3)</f>
        <v>0.13</v>
      </c>
      <c r="K48" s="15"/>
      <c r="L48" s="14">
        <f>ROUND(((+L82+L83+L84+L85+L86-L87+L88)/(AVERAGE(L76,N76)+AVERAGE(L79,N79)+AVERAGE(L80,N80))),3)</f>
        <v>0.136</v>
      </c>
      <c r="N48" s="6">
        <f t="shared" si="0"/>
        <v>0.14479999999999998</v>
      </c>
    </row>
    <row r="49" spans="2:15" ht="18">
      <c r="B49" s="38" t="s">
        <v>95</v>
      </c>
      <c r="D49" s="30">
        <f>ROUND(((+D82+D83+D84+D85+D86-D87+D88+D92)/D61),2)</f>
        <v>3.22</v>
      </c>
      <c r="E49" t="s">
        <v>3</v>
      </c>
      <c r="F49" s="30">
        <f>ROUND(((+F82+F83+F84+F85+F86-F87+F88+F92)/F61),2)</f>
        <v>3.54</v>
      </c>
      <c r="G49" t="s">
        <v>3</v>
      </c>
      <c r="H49" s="30">
        <f>ROUND(((+H82+H83+H84+H85+H86-H87+H88+H92)/H61),2)</f>
        <v>3.81</v>
      </c>
      <c r="I49" t="s">
        <v>3</v>
      </c>
      <c r="J49" s="30">
        <f>ROUND(((+J82+J83+J84+J85+J86-J87+J88+J92)/J61),2)</f>
        <v>3.03</v>
      </c>
      <c r="K49" t="s">
        <v>3</v>
      </c>
      <c r="L49" s="30">
        <f>ROUND(((+L82+L83+L84+L85+L86-L87+L88+L92)/L61),2)</f>
        <v>2.75</v>
      </c>
      <c r="M49" t="s">
        <v>3</v>
      </c>
      <c r="N49" s="31">
        <f t="shared" si="0"/>
        <v>3.2700000000000005</v>
      </c>
      <c r="O49" t="s">
        <v>3</v>
      </c>
    </row>
    <row r="50" spans="2:15" ht="18">
      <c r="B50" s="38" t="s">
        <v>96</v>
      </c>
      <c r="D50" s="30">
        <f>ROUND(((+D82+D83+D84+D85+D86-D87+D88-D91)/+D90),2)</f>
        <v>2.35</v>
      </c>
      <c r="E50" t="s">
        <v>3</v>
      </c>
      <c r="F50" s="30">
        <f>ROUND(((+F82+F83+F84+F85+F86-F87+F88-F91)/+F90),2)</f>
        <v>2.93</v>
      </c>
      <c r="G50" t="s">
        <v>3</v>
      </c>
      <c r="H50" s="30">
        <f>ROUND(((+H82+H83+H84+H85+H86-H87+H88-H91)/+H90),2)</f>
        <v>2.99</v>
      </c>
      <c r="I50" t="s">
        <v>3</v>
      </c>
      <c r="J50" s="30">
        <f>ROUND(((+J82+J83+J84+J85+J86-J87+J88-J91)/+J90),2)</f>
        <v>2.17</v>
      </c>
      <c r="K50" t="s">
        <v>3</v>
      </c>
      <c r="L50" s="30">
        <f>ROUND(((+L82+L83+L84+L85+L86-L87+L88-L91)/+L90),2)</f>
        <v>2.04</v>
      </c>
      <c r="M50" t="s">
        <v>3</v>
      </c>
      <c r="N50" s="31">
        <f t="shared" si="0"/>
        <v>2.496</v>
      </c>
      <c r="O50" t="s">
        <v>3</v>
      </c>
    </row>
    <row r="52" ht="15">
      <c r="A52" t="s">
        <v>4</v>
      </c>
    </row>
    <row r="54" spans="1:14" ht="15.75">
      <c r="A54" s="21" t="s">
        <v>77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1597.032</v>
      </c>
      <c r="E56" s="24"/>
      <c r="F56" s="24">
        <v>1250.32</v>
      </c>
      <c r="G56" s="24"/>
      <c r="H56" s="24">
        <v>1050.33</v>
      </c>
      <c r="I56" s="24"/>
      <c r="J56" s="24">
        <v>755.239</v>
      </c>
      <c r="K56" s="24"/>
      <c r="L56" s="24">
        <v>1002.109</v>
      </c>
      <c r="M56" s="24"/>
      <c r="N56" s="24">
        <v>566.128</v>
      </c>
    </row>
    <row r="57" spans="1:14" ht="15">
      <c r="A57" s="22" t="s">
        <v>23</v>
      </c>
      <c r="B57" s="22"/>
      <c r="C57" s="22"/>
      <c r="D57" s="24">
        <v>20.761</v>
      </c>
      <c r="E57" s="24"/>
      <c r="F57" s="24">
        <v>19.264</v>
      </c>
      <c r="G57" s="24"/>
      <c r="H57" s="24">
        <v>18.652</v>
      </c>
      <c r="I57" s="24"/>
      <c r="J57" s="24">
        <v>12.247</v>
      </c>
      <c r="K57" s="24"/>
      <c r="L57" s="24">
        <v>14.831</v>
      </c>
      <c r="M57" s="24"/>
      <c r="N57" s="24">
        <v>14.105</v>
      </c>
    </row>
    <row r="58" spans="1:14" ht="15">
      <c r="A58" s="22" t="s">
        <v>24</v>
      </c>
      <c r="B58" s="22"/>
      <c r="C58" s="22"/>
      <c r="D58" s="24">
        <v>1527.964</v>
      </c>
      <c r="E58" s="24"/>
      <c r="F58" s="24">
        <v>1189.023</v>
      </c>
      <c r="G58" s="24"/>
      <c r="H58" s="24">
        <v>989.34</v>
      </c>
      <c r="I58" s="24"/>
      <c r="J58" s="24">
        <v>707.724</v>
      </c>
      <c r="K58" s="24"/>
      <c r="L58" s="24">
        <v>944.615</v>
      </c>
      <c r="M58" s="24"/>
      <c r="N58" s="24">
        <v>516.917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70.674</v>
      </c>
      <c r="E60" s="24"/>
      <c r="F60" s="24">
        <v>64.878</v>
      </c>
      <c r="G60" s="24"/>
      <c r="H60" s="24">
        <v>61.533</v>
      </c>
      <c r="I60" s="24"/>
      <c r="J60" s="24">
        <v>48.193</v>
      </c>
      <c r="K60" s="24"/>
      <c r="L60" s="24">
        <v>58.911</v>
      </c>
      <c r="M60" s="24"/>
      <c r="N60" s="24">
        <v>49.973</v>
      </c>
    </row>
    <row r="61" spans="1:14" ht="15">
      <c r="A61" s="22" t="s">
        <v>27</v>
      </c>
      <c r="B61" s="22"/>
      <c r="C61" s="22"/>
      <c r="D61" s="24">
        <v>30.549</v>
      </c>
      <c r="E61" s="24"/>
      <c r="F61" s="24">
        <v>28.76</v>
      </c>
      <c r="G61" s="24"/>
      <c r="H61" s="24">
        <v>26.886</v>
      </c>
      <c r="I61" s="24"/>
      <c r="J61" s="24">
        <v>25.809</v>
      </c>
      <c r="K61" s="24"/>
      <c r="L61" s="24">
        <v>28.439</v>
      </c>
      <c r="M61" s="24"/>
      <c r="N61" s="24">
        <v>24.008</v>
      </c>
    </row>
    <row r="62" spans="1:14" ht="15">
      <c r="A62" s="22" t="s">
        <v>28</v>
      </c>
      <c r="B62" s="22"/>
      <c r="C62" s="22"/>
      <c r="D62" s="24">
        <v>-0.1</v>
      </c>
      <c r="E62" s="24"/>
      <c r="F62" s="24">
        <v>-0.123</v>
      </c>
      <c r="G62" s="24"/>
      <c r="H62" s="24">
        <v>-0.107</v>
      </c>
      <c r="I62" s="24"/>
      <c r="J62" s="24">
        <v>-0.149</v>
      </c>
      <c r="K62" s="24"/>
      <c r="L62" s="24">
        <v>0.749</v>
      </c>
      <c r="M62" s="24"/>
      <c r="N62" s="24">
        <v>0.397</v>
      </c>
    </row>
    <row r="63" spans="1:14" ht="15">
      <c r="A63" s="22" t="s">
        <v>29</v>
      </c>
      <c r="B63" s="22"/>
      <c r="C63" s="22"/>
      <c r="D63" s="24">
        <v>0.055</v>
      </c>
      <c r="E63" s="24"/>
      <c r="F63" s="24">
        <v>0.062</v>
      </c>
      <c r="G63" s="24"/>
      <c r="H63" s="24">
        <v>0.062</v>
      </c>
      <c r="I63" s="24"/>
      <c r="J63" s="24">
        <v>0.068</v>
      </c>
      <c r="K63" s="24"/>
      <c r="L63" s="24">
        <v>0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0.087</v>
      </c>
      <c r="M64" s="24"/>
      <c r="N64" s="24">
        <v>0.093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40.07</v>
      </c>
      <c r="E66" s="24"/>
      <c r="F66" s="24">
        <v>36.056</v>
      </c>
      <c r="G66" s="24"/>
      <c r="H66" s="24">
        <v>34.585</v>
      </c>
      <c r="I66" s="24"/>
      <c r="J66" s="24">
        <v>22.316</v>
      </c>
      <c r="K66" s="24"/>
      <c r="L66" s="24">
        <v>30.385</v>
      </c>
      <c r="M66" s="24"/>
      <c r="N66" s="24">
        <v>25.872</v>
      </c>
    </row>
    <row r="67" spans="1:14" ht="15">
      <c r="A67" s="22" t="s">
        <v>33</v>
      </c>
      <c r="B67" s="22"/>
      <c r="C67" s="22"/>
      <c r="D67" s="24">
        <v>1.9</v>
      </c>
      <c r="E67" s="24"/>
      <c r="F67" s="24">
        <v>1.82</v>
      </c>
      <c r="G67" s="24"/>
      <c r="H67" s="24">
        <v>1.82</v>
      </c>
      <c r="I67" s="24"/>
      <c r="J67" s="24">
        <v>1.18</v>
      </c>
      <c r="K67" s="24"/>
      <c r="L67" s="24">
        <v>1.61</v>
      </c>
      <c r="M67" s="24"/>
      <c r="N67" s="24">
        <v>1.37</v>
      </c>
    </row>
    <row r="68" spans="1:14" ht="15">
      <c r="A68" s="22" t="s">
        <v>34</v>
      </c>
      <c r="B68" s="22"/>
      <c r="C68" s="22"/>
      <c r="D68" s="24">
        <v>366.525</v>
      </c>
      <c r="E68" s="24"/>
      <c r="F68" s="24">
        <v>355.915</v>
      </c>
      <c r="G68" s="24"/>
      <c r="H68" s="24">
        <v>299.072</v>
      </c>
      <c r="I68" s="24"/>
      <c r="J68" s="24">
        <v>285.766</v>
      </c>
      <c r="K68" s="24"/>
      <c r="L68" s="24">
        <v>288.085</v>
      </c>
      <c r="M68" s="24"/>
      <c r="N68" s="24">
        <v>282.985</v>
      </c>
    </row>
    <row r="69" spans="1:14" ht="15">
      <c r="A69" s="22" t="s">
        <v>35</v>
      </c>
      <c r="B69" s="22"/>
      <c r="C69" s="22"/>
      <c r="D69" s="24">
        <v>0.948</v>
      </c>
      <c r="E69" s="24"/>
      <c r="F69" s="24">
        <v>1.108</v>
      </c>
      <c r="G69" s="24"/>
      <c r="H69" s="24">
        <v>1.258</v>
      </c>
      <c r="I69" s="24"/>
      <c r="J69" s="24">
        <v>1.266</v>
      </c>
      <c r="K69" s="24"/>
      <c r="L69" s="24">
        <v>0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1.588</v>
      </c>
      <c r="M71" s="24"/>
      <c r="N71" s="24">
        <v>1.763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340.433</v>
      </c>
      <c r="E76" s="24"/>
      <c r="F76" s="24">
        <v>380.336</v>
      </c>
      <c r="G76" s="24"/>
      <c r="H76" s="24">
        <v>304.625</v>
      </c>
      <c r="I76" s="24"/>
      <c r="J76" s="24">
        <v>259.545</v>
      </c>
      <c r="K76" s="24"/>
      <c r="L76" s="24">
        <v>284.459</v>
      </c>
      <c r="M76" s="24"/>
      <c r="N76" s="24">
        <v>234.408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707.906</v>
      </c>
      <c r="E78" s="24"/>
      <c r="F78" s="24">
        <v>737.359</v>
      </c>
      <c r="G78" s="24"/>
      <c r="H78" s="24">
        <v>604.955</v>
      </c>
      <c r="I78" s="24"/>
      <c r="J78" s="24">
        <v>546.577</v>
      </c>
      <c r="K78" s="24"/>
      <c r="L78" s="24">
        <v>574.132</v>
      </c>
      <c r="M78" s="24"/>
      <c r="N78" s="24">
        <v>519.156</v>
      </c>
    </row>
    <row r="79" spans="1:14" ht="15">
      <c r="A79" s="22" t="s">
        <v>45</v>
      </c>
      <c r="B79" s="22"/>
      <c r="C79" s="22"/>
      <c r="D79" s="24">
        <v>40.061</v>
      </c>
      <c r="E79" s="24"/>
      <c r="F79" s="24">
        <v>25.145</v>
      </c>
      <c r="G79" s="24"/>
      <c r="H79" s="24">
        <v>0</v>
      </c>
      <c r="I79" s="24"/>
      <c r="J79" s="24">
        <v>25</v>
      </c>
      <c r="K79" s="24"/>
      <c r="L79" s="24">
        <v>0</v>
      </c>
      <c r="M79" s="24"/>
      <c r="N79" s="24">
        <v>0</v>
      </c>
    </row>
    <row r="80" spans="1:14" ht="15">
      <c r="A80" s="22" t="s">
        <v>46</v>
      </c>
      <c r="B80" s="22"/>
      <c r="C80" s="22"/>
      <c r="D80" s="24">
        <v>70.605</v>
      </c>
      <c r="E80" s="24"/>
      <c r="F80" s="24">
        <v>71.38</v>
      </c>
      <c r="G80" s="24"/>
      <c r="H80" s="24">
        <v>218.2</v>
      </c>
      <c r="I80" s="24"/>
      <c r="J80" s="24">
        <v>161.67</v>
      </c>
      <c r="K80" s="24"/>
      <c r="L80" s="24">
        <v>117.05</v>
      </c>
      <c r="M80" s="24"/>
      <c r="N80" s="24">
        <v>127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0.079</v>
      </c>
      <c r="M81" s="24"/>
      <c r="N81" s="24">
        <v>0.05</v>
      </c>
    </row>
    <row r="82" spans="1:14" ht="15">
      <c r="A82" s="22" t="s">
        <v>48</v>
      </c>
      <c r="B82" s="22"/>
      <c r="C82" s="22"/>
      <c r="D82" s="24">
        <v>40.125</v>
      </c>
      <c r="E82" s="24"/>
      <c r="F82" s="24">
        <v>36.118</v>
      </c>
      <c r="G82" s="24"/>
      <c r="H82" s="24">
        <v>34.647</v>
      </c>
      <c r="I82" s="24"/>
      <c r="J82" s="24">
        <v>22.384</v>
      </c>
      <c r="K82" s="24"/>
      <c r="L82" s="24">
        <v>30.472</v>
      </c>
      <c r="M82" s="24"/>
      <c r="N82" s="24">
        <v>25.965</v>
      </c>
    </row>
    <row r="83" spans="1:14" ht="15">
      <c r="A83" s="22" t="s">
        <v>49</v>
      </c>
      <c r="B83" s="22"/>
      <c r="C83" s="22"/>
      <c r="D83" s="24">
        <v>26.645</v>
      </c>
      <c r="E83" s="24"/>
      <c r="F83" s="24">
        <v>25.572</v>
      </c>
      <c r="G83" s="24"/>
      <c r="H83" s="24">
        <v>25.615</v>
      </c>
      <c r="I83" s="24"/>
      <c r="J83" s="24">
        <v>26.223</v>
      </c>
      <c r="K83" s="24"/>
      <c r="L83" s="24">
        <v>26.425</v>
      </c>
      <c r="M83" s="24"/>
      <c r="N83" s="24">
        <v>24.875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0.756</v>
      </c>
      <c r="E85" s="24"/>
      <c r="F85" s="24">
        <v>15.874</v>
      </c>
      <c r="G85" s="24"/>
      <c r="H85" s="24">
        <v>15.725</v>
      </c>
      <c r="I85" s="24"/>
      <c r="J85" s="24">
        <v>5.985</v>
      </c>
      <c r="K85" s="24"/>
      <c r="L85" s="24">
        <v>-3.135</v>
      </c>
      <c r="M85" s="24"/>
      <c r="N85" s="24">
        <v>14.614</v>
      </c>
    </row>
    <row r="86" spans="1:14" ht="15">
      <c r="A86" s="22" t="s">
        <v>52</v>
      </c>
      <c r="B86" s="22"/>
      <c r="C86" s="22"/>
      <c r="D86" s="24">
        <v>-0.332</v>
      </c>
      <c r="E86" s="24"/>
      <c r="F86" s="24">
        <v>-0.305</v>
      </c>
      <c r="G86" s="24"/>
      <c r="H86" s="24">
        <v>-0.313</v>
      </c>
      <c r="I86" s="24"/>
      <c r="J86" s="24">
        <v>-0.319</v>
      </c>
      <c r="K86" s="24"/>
      <c r="L86" s="24">
        <v>-0.319</v>
      </c>
      <c r="M86" s="24"/>
      <c r="N86" s="24">
        <v>-0.319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</v>
      </c>
      <c r="M87" s="24"/>
      <c r="N87" s="24">
        <v>0</v>
      </c>
    </row>
    <row r="88" spans="1:14" ht="15">
      <c r="A88" s="22" t="s">
        <v>69</v>
      </c>
      <c r="B88" s="22"/>
      <c r="C88" s="22"/>
      <c r="D88" s="24">
        <v>0.709</v>
      </c>
      <c r="E88" s="24"/>
      <c r="F88" s="24">
        <v>0.256</v>
      </c>
      <c r="G88" s="24"/>
      <c r="H88" s="24">
        <v>0.502</v>
      </c>
      <c r="I88" s="24"/>
      <c r="J88" s="24">
        <v>0.801</v>
      </c>
      <c r="K88" s="24"/>
      <c r="L88" s="24">
        <v>-1.745</v>
      </c>
      <c r="M88" s="24"/>
      <c r="N88" s="24">
        <v>0.112</v>
      </c>
    </row>
    <row r="89" spans="1:14" ht="15">
      <c r="A89" s="22" t="s">
        <v>54</v>
      </c>
      <c r="B89" s="22"/>
      <c r="C89" s="22"/>
      <c r="D89" s="24">
        <v>60.203</v>
      </c>
      <c r="E89" s="24"/>
      <c r="F89" s="24">
        <v>51.309</v>
      </c>
      <c r="G89" s="24"/>
      <c r="H89" s="24">
        <v>51.112</v>
      </c>
      <c r="I89" s="24"/>
      <c r="J89" s="24">
        <v>52.999</v>
      </c>
      <c r="K89" s="24"/>
      <c r="L89" s="24">
        <v>46.952</v>
      </c>
      <c r="M89" s="24"/>
      <c r="N89" s="24">
        <v>51.635</v>
      </c>
    </row>
    <row r="90" spans="1:14" ht="15">
      <c r="A90" s="22" t="s">
        <v>55</v>
      </c>
      <c r="B90" s="22"/>
      <c r="C90" s="22"/>
      <c r="D90" s="24">
        <v>28.896</v>
      </c>
      <c r="E90" s="24"/>
      <c r="F90" s="24">
        <v>26.494</v>
      </c>
      <c r="G90" s="24"/>
      <c r="H90" s="24">
        <v>25.5</v>
      </c>
      <c r="I90" s="24"/>
      <c r="J90" s="24">
        <v>25.365</v>
      </c>
      <c r="K90" s="24"/>
      <c r="L90" s="24">
        <v>25.296</v>
      </c>
      <c r="M90" s="24"/>
      <c r="N90" s="24">
        <v>25.387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0.087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30.313</v>
      </c>
      <c r="E92" s="24"/>
      <c r="F92" s="24">
        <v>24.325</v>
      </c>
      <c r="G92" s="24"/>
      <c r="H92" s="24">
        <v>26.183</v>
      </c>
      <c r="I92" s="24"/>
      <c r="J92" s="24">
        <v>23.125</v>
      </c>
      <c r="K92" s="24"/>
      <c r="L92" s="24">
        <v>26.508</v>
      </c>
      <c r="M92" s="24"/>
      <c r="N92" s="24">
        <v>23.631</v>
      </c>
    </row>
    <row r="93" spans="1:14" ht="15">
      <c r="A93" s="22" t="s">
        <v>58</v>
      </c>
      <c r="B93" s="22"/>
      <c r="C93" s="22"/>
      <c r="D93" s="24">
        <v>12.167</v>
      </c>
      <c r="E93" s="24"/>
      <c r="F93" s="24">
        <v>0.376</v>
      </c>
      <c r="G93" s="24"/>
      <c r="H93" s="24">
        <v>0.156</v>
      </c>
      <c r="I93" s="24"/>
      <c r="J93" s="24">
        <v>12.087</v>
      </c>
      <c r="K93" s="24"/>
      <c r="L93" s="24">
        <v>12.462</v>
      </c>
      <c r="M93" s="24"/>
      <c r="N93" s="24">
        <v>-6.721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</v>
      </c>
      <c r="M94" s="24"/>
      <c r="N94" s="24">
        <v>1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</v>
      </c>
      <c r="M95" s="24"/>
      <c r="N95" s="24">
        <v>1</v>
      </c>
    </row>
    <row r="96" spans="1:14" ht="15">
      <c r="A96" s="22" t="s">
        <v>59</v>
      </c>
      <c r="B96" s="22"/>
      <c r="C96" s="22"/>
      <c r="D96" s="24">
        <v>29.002</v>
      </c>
      <c r="E96" s="24"/>
      <c r="F96" s="24">
        <v>27.183</v>
      </c>
      <c r="G96" s="24"/>
      <c r="H96" s="24">
        <v>25.492</v>
      </c>
      <c r="I96" s="24"/>
      <c r="J96" s="24">
        <v>25.311</v>
      </c>
      <c r="K96" s="24"/>
      <c r="L96" s="24">
        <v>25.296</v>
      </c>
      <c r="M96" s="24"/>
      <c r="N96" s="24">
        <v>25.297</v>
      </c>
    </row>
    <row r="97" spans="1:14" ht="15">
      <c r="A97" s="22" t="s">
        <v>60</v>
      </c>
      <c r="B97" s="22"/>
      <c r="C97" s="22"/>
      <c r="D97" s="24">
        <v>1.375</v>
      </c>
      <c r="E97" s="24"/>
      <c r="F97" s="24">
        <v>1.355</v>
      </c>
      <c r="G97" s="24"/>
      <c r="H97" s="24">
        <v>1.34</v>
      </c>
      <c r="I97" s="24"/>
      <c r="J97" s="24">
        <v>1.34</v>
      </c>
      <c r="K97" s="24"/>
      <c r="L97" s="24">
        <v>1.34</v>
      </c>
      <c r="M97" s="24"/>
      <c r="N97" s="24">
        <v>1.34</v>
      </c>
    </row>
    <row r="98" spans="1:14" ht="15">
      <c r="A98" s="22" t="s">
        <v>61</v>
      </c>
      <c r="B98" s="22"/>
      <c r="C98" s="22"/>
      <c r="D98" s="24">
        <v>1.37</v>
      </c>
      <c r="E98" s="24"/>
      <c r="F98" s="24">
        <v>1.35</v>
      </c>
      <c r="G98" s="24"/>
      <c r="H98" s="24">
        <v>1.34</v>
      </c>
      <c r="I98" s="24"/>
      <c r="J98" s="24">
        <v>1.34</v>
      </c>
      <c r="K98" s="24"/>
      <c r="L98" s="24">
        <v>1.34</v>
      </c>
      <c r="M98" s="24"/>
      <c r="N98" s="24">
        <v>1.34</v>
      </c>
    </row>
    <row r="99" spans="1:14" ht="15">
      <c r="A99" s="22" t="s">
        <v>62</v>
      </c>
      <c r="B99" s="22"/>
      <c r="C99" s="22"/>
      <c r="D99" s="24">
        <v>34.31</v>
      </c>
      <c r="E99" s="24"/>
      <c r="F99" s="24">
        <v>32.5</v>
      </c>
      <c r="G99" s="24"/>
      <c r="H99" s="24">
        <v>30</v>
      </c>
      <c r="I99" s="24"/>
      <c r="J99" s="24">
        <v>25</v>
      </c>
      <c r="K99" s="24"/>
      <c r="L99" s="24">
        <v>25.48</v>
      </c>
      <c r="M99" s="24"/>
      <c r="N99" s="24">
        <v>24.75</v>
      </c>
    </row>
    <row r="100" spans="1:14" ht="15">
      <c r="A100" s="22" t="s">
        <v>63</v>
      </c>
      <c r="B100" s="22"/>
      <c r="C100" s="22"/>
      <c r="D100" s="24">
        <v>26.9</v>
      </c>
      <c r="E100" s="24"/>
      <c r="F100" s="24">
        <v>26.05</v>
      </c>
      <c r="G100" s="24"/>
      <c r="H100" s="24">
        <v>21.85</v>
      </c>
      <c r="I100" s="24"/>
      <c r="J100" s="24">
        <v>19</v>
      </c>
      <c r="K100" s="24"/>
      <c r="L100" s="24">
        <v>21.25</v>
      </c>
      <c r="M100" s="24"/>
      <c r="N100" s="24">
        <v>17.5</v>
      </c>
    </row>
    <row r="101" spans="1:14" ht="15">
      <c r="A101" s="22" t="s">
        <v>64</v>
      </c>
      <c r="B101" s="22"/>
      <c r="C101" s="22"/>
      <c r="D101" s="24">
        <v>29.21</v>
      </c>
      <c r="E101" s="24"/>
      <c r="F101" s="24">
        <v>31.15</v>
      </c>
      <c r="G101" s="24"/>
      <c r="H101" s="24">
        <v>28.55</v>
      </c>
      <c r="I101" s="24"/>
      <c r="J101" s="24">
        <v>24.2</v>
      </c>
      <c r="K101" s="24"/>
      <c r="L101" s="24">
        <v>23.9</v>
      </c>
      <c r="M101" s="24"/>
      <c r="N101" s="24">
        <v>23.375</v>
      </c>
    </row>
    <row r="102" spans="1:14" ht="15">
      <c r="A102" s="22" t="s">
        <v>65</v>
      </c>
      <c r="B102" s="22"/>
      <c r="C102" s="22"/>
      <c r="D102" s="24">
        <v>21.172</v>
      </c>
      <c r="E102" s="24"/>
      <c r="F102" s="24">
        <v>20.981</v>
      </c>
      <c r="G102" s="24"/>
      <c r="H102" s="24">
        <v>19.082</v>
      </c>
      <c r="I102" s="24"/>
      <c r="J102" s="24">
        <v>18.921</v>
      </c>
      <c r="K102" s="24"/>
      <c r="L102" s="24">
        <v>18.878</v>
      </c>
      <c r="M102" s="24"/>
      <c r="N102" s="24">
        <v>18.878</v>
      </c>
    </row>
    <row r="103" spans="1:14" ht="15">
      <c r="A103" s="22" t="s">
        <v>84</v>
      </c>
      <c r="B103" s="22"/>
      <c r="C103" s="22"/>
      <c r="D103" s="24">
        <v>-7.703</v>
      </c>
      <c r="E103" s="24"/>
      <c r="F103" s="24">
        <v>-1.607</v>
      </c>
      <c r="G103" s="24"/>
      <c r="H103" s="24">
        <v>-0.08</v>
      </c>
      <c r="I103" s="24"/>
      <c r="J103" s="24">
        <v>-0.339</v>
      </c>
      <c r="K103" s="24"/>
      <c r="L103" s="24">
        <v>0</v>
      </c>
      <c r="M103" s="24"/>
      <c r="N103" s="24">
        <v>0.077</v>
      </c>
    </row>
    <row r="104" ht="15">
      <c r="A104" t="s">
        <v>71</v>
      </c>
    </row>
    <row r="105" spans="2:14" ht="15">
      <c r="B105" t="s">
        <v>70</v>
      </c>
      <c r="D105" s="17">
        <f>D67/D94</f>
        <v>1.9</v>
      </c>
      <c r="F105" s="17">
        <f>F67/F94</f>
        <v>1.82</v>
      </c>
      <c r="H105" s="17">
        <f>H67/H94</f>
        <v>1.82</v>
      </c>
      <c r="J105" s="17">
        <f>J67/J94</f>
        <v>1.18</v>
      </c>
      <c r="L105" s="17">
        <f>L67/L94</f>
        <v>1.61</v>
      </c>
      <c r="N105" s="17">
        <f>N67/N94</f>
        <v>1.37</v>
      </c>
    </row>
    <row r="106" spans="2:14" ht="15">
      <c r="B106" t="s">
        <v>60</v>
      </c>
      <c r="D106" s="17">
        <f>D97/D94</f>
        <v>1.375</v>
      </c>
      <c r="F106" s="17">
        <f>F97/F94</f>
        <v>1.355</v>
      </c>
      <c r="H106" s="17">
        <f>H97/H94</f>
        <v>1.34</v>
      </c>
      <c r="J106" s="17">
        <f>J97/J94</f>
        <v>1.34</v>
      </c>
      <c r="L106" s="17">
        <f>L97/L94</f>
        <v>1.34</v>
      </c>
      <c r="N106" s="17">
        <f>N97/N94</f>
        <v>1.34</v>
      </c>
    </row>
    <row r="107" spans="2:14" ht="15">
      <c r="B107" t="s">
        <v>61</v>
      </c>
      <c r="D107" s="17">
        <f>D98/D94</f>
        <v>1.37</v>
      </c>
      <c r="F107" s="17">
        <f>F98/F94</f>
        <v>1.35</v>
      </c>
      <c r="H107" s="17">
        <f>H98/H94</f>
        <v>1.34</v>
      </c>
      <c r="J107" s="17">
        <f>J98/J94</f>
        <v>1.34</v>
      </c>
      <c r="L107" s="17">
        <f>L98/L94</f>
        <v>1.34</v>
      </c>
      <c r="N107" s="17">
        <f>N98/N94</f>
        <v>1.34</v>
      </c>
    </row>
    <row r="108" spans="2:14" ht="15">
      <c r="B108" t="s">
        <v>62</v>
      </c>
      <c r="D108" s="17">
        <f>D99/D94</f>
        <v>34.31</v>
      </c>
      <c r="F108" s="17">
        <f>F99/F94</f>
        <v>32.5</v>
      </c>
      <c r="H108" s="17">
        <f>H99/H94</f>
        <v>30</v>
      </c>
      <c r="J108" s="17">
        <f>J99/J94</f>
        <v>25</v>
      </c>
      <c r="L108" s="17">
        <f>L99/L94</f>
        <v>25.48</v>
      </c>
      <c r="N108" s="17">
        <f>N99/N94</f>
        <v>24.75</v>
      </c>
    </row>
    <row r="109" spans="2:14" ht="15">
      <c r="B109" t="s">
        <v>63</v>
      </c>
      <c r="D109" s="17">
        <f>D100/D94</f>
        <v>26.9</v>
      </c>
      <c r="F109" s="17">
        <f>F100/F94</f>
        <v>26.05</v>
      </c>
      <c r="H109" s="17">
        <f>H100/H94</f>
        <v>21.85</v>
      </c>
      <c r="J109" s="17">
        <f>J100/J94</f>
        <v>19</v>
      </c>
      <c r="L109" s="17">
        <f>L100/L94</f>
        <v>21.25</v>
      </c>
      <c r="N109" s="17">
        <f>N100/N94</f>
        <v>17.5</v>
      </c>
    </row>
    <row r="110" spans="2:14" ht="15">
      <c r="B110" t="s">
        <v>64</v>
      </c>
      <c r="D110" s="17">
        <f>D101/D94</f>
        <v>29.21</v>
      </c>
      <c r="F110" s="17">
        <f>F101/F94</f>
        <v>31.15</v>
      </c>
      <c r="H110" s="17">
        <f>H101/H94</f>
        <v>28.55</v>
      </c>
      <c r="J110" s="17">
        <f>J101/J94</f>
        <v>24.2</v>
      </c>
      <c r="L110" s="17">
        <f>L101/L94</f>
        <v>23.9</v>
      </c>
      <c r="N110" s="17">
        <f>N101/N94</f>
        <v>23.375</v>
      </c>
    </row>
    <row r="111" spans="2:14" ht="15">
      <c r="B111" t="s">
        <v>65</v>
      </c>
      <c r="D111" s="18">
        <f>D102*D94</f>
        <v>21.172</v>
      </c>
      <c r="E111" s="18"/>
      <c r="F111" s="18">
        <f>F102*F94</f>
        <v>20.981</v>
      </c>
      <c r="G111" s="18"/>
      <c r="H111" s="18">
        <f>H102*H94</f>
        <v>19.082</v>
      </c>
      <c r="I111" s="18"/>
      <c r="J111" s="18">
        <f>J102*J94</f>
        <v>18.921</v>
      </c>
      <c r="K111" s="18"/>
      <c r="L111" s="18">
        <f>L102*L94</f>
        <v>18.878</v>
      </c>
      <c r="M111" s="18"/>
      <c r="N111" s="18">
        <f>N102*N94</f>
        <v>18.878</v>
      </c>
    </row>
    <row r="112" spans="2:14" ht="15">
      <c r="B112" t="s">
        <v>66</v>
      </c>
      <c r="D112" s="17">
        <f>ROUND(D68/D111,2)</f>
        <v>17.31</v>
      </c>
      <c r="F112" s="17">
        <f>ROUND(F68/F111,2)</f>
        <v>16.96</v>
      </c>
      <c r="H112" s="17">
        <f>ROUND(H68/H111,2)</f>
        <v>15.67</v>
      </c>
      <c r="J112" s="17">
        <f>ROUND(J68/J111,2)</f>
        <v>15.1</v>
      </c>
      <c r="L112" s="17">
        <f>ROUND(L68/L111,2)</f>
        <v>15.26</v>
      </c>
      <c r="N112" s="17">
        <f>ROUND(N68/N111,2)</f>
        <v>14.99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bestFit="1" customWidth="1"/>
    <col min="11" max="11" width="3.77734375" style="0" customWidth="1"/>
    <col min="12" max="12" width="10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NEW JERSEY RESOURCES CORP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818.38</v>
      </c>
      <c r="F8" s="39">
        <f>F78+F79+F81-F103</f>
        <v>813.92</v>
      </c>
      <c r="H8" s="39">
        <f>H78+H79+H81-H103</f>
        <v>676.735</v>
      </c>
      <c r="J8" s="39">
        <f>J78+J79+J81-J103</f>
        <v>771.692</v>
      </c>
      <c r="L8" s="39">
        <f>L78+L79+L81-L103</f>
        <v>697.0690000000001</v>
      </c>
    </row>
    <row r="9" spans="2:12" ht="15">
      <c r="B9" t="s">
        <v>5</v>
      </c>
      <c r="D9" s="12">
        <f>D80</f>
        <v>174.1</v>
      </c>
      <c r="F9" s="12">
        <f>F80</f>
        <v>259.7</v>
      </c>
      <c r="H9" s="12">
        <f>H80</f>
        <v>185.8</v>
      </c>
      <c r="J9" s="12">
        <f>J80</f>
        <v>59.9</v>
      </c>
      <c r="L9" s="12">
        <f>L80</f>
        <v>85.8</v>
      </c>
    </row>
    <row r="10" spans="2:12" ht="15.75" thickBot="1">
      <c r="B10" t="s">
        <v>7</v>
      </c>
      <c r="D10" s="13">
        <f>D8+D9</f>
        <v>992.48</v>
      </c>
      <c r="F10" s="13">
        <f>F8+F9</f>
        <v>1073.62</v>
      </c>
      <c r="H10" s="13">
        <f>H8+H9</f>
        <v>862.5350000000001</v>
      </c>
      <c r="J10" s="13">
        <f>J8+J9</f>
        <v>831.592</v>
      </c>
      <c r="L10" s="13">
        <f>L8+L9</f>
        <v>782.869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16</v>
      </c>
      <c r="E13" s="8" t="s">
        <v>3</v>
      </c>
      <c r="F13" s="34">
        <f>ROUND(AVERAGE(F108:F109)/F105,0)</f>
        <v>16</v>
      </c>
      <c r="G13" s="8" t="s">
        <v>3</v>
      </c>
      <c r="H13" s="34">
        <f>ROUND(AVERAGE(H108:H109)/H105,0)</f>
        <v>14</v>
      </c>
      <c r="I13" s="8" t="s">
        <v>3</v>
      </c>
      <c r="J13" s="34">
        <f>ROUND(AVERAGE(J108:J109)/J105,0)</f>
        <v>14</v>
      </c>
      <c r="K13" s="8" t="s">
        <v>3</v>
      </c>
      <c r="L13" s="34">
        <f>ROUND(AVERAGE(L108:L109)/L105,0)</f>
        <v>14</v>
      </c>
      <c r="M13" s="8" t="s">
        <v>3</v>
      </c>
      <c r="N13" s="35">
        <f>AVERAGE(D13,F13,H13,J13,L13)</f>
        <v>14.8</v>
      </c>
      <c r="O13" s="8" t="s">
        <v>3</v>
      </c>
    </row>
    <row r="14" spans="2:14" ht="15">
      <c r="B14" t="s">
        <v>20</v>
      </c>
      <c r="D14" s="3">
        <f>ROUND(AVERAGE(D108:D109)/AVERAGE(D112,F112),3)</f>
        <v>2.747</v>
      </c>
      <c r="E14" s="3"/>
      <c r="F14" s="3">
        <f>ROUND(AVERAGE(F108:F109)/AVERAGE(F112,H112),3)</f>
        <v>2.513</v>
      </c>
      <c r="G14" s="3"/>
      <c r="H14" s="3">
        <f>ROUND(AVERAGE(H108:H109)/AVERAGE(H112,J112),3)</f>
        <v>2.414</v>
      </c>
      <c r="I14" s="3"/>
      <c r="J14" s="3">
        <f>ROUND(AVERAGE(J108:J109)/AVERAGE(J112,L112),3)</f>
        <v>2.176</v>
      </c>
      <c r="K14" s="3"/>
      <c r="L14" s="3">
        <f>ROUND(AVERAGE(L108:L109)/AVERAGE(L112,N112),3)</f>
        <v>2.239</v>
      </c>
      <c r="M14" s="3"/>
      <c r="N14" s="6">
        <f>AVERAGE(D14,F14,H14,J14,L14)</f>
        <v>2.4177999999999997</v>
      </c>
    </row>
    <row r="15" spans="2:14" ht="15">
      <c r="B15" t="s">
        <v>9</v>
      </c>
      <c r="D15" s="3">
        <f>ROUND(D106/AVERAGE(D108:D109),3)</f>
        <v>0.03</v>
      </c>
      <c r="E15" s="3"/>
      <c r="F15" s="3">
        <f>ROUND(F106/AVERAGE(F108:F109),3)</f>
        <v>0.032</v>
      </c>
      <c r="G15" s="3"/>
      <c r="H15" s="3">
        <f>ROUND(H106/AVERAGE(H108:H109),3)</f>
        <v>0.036</v>
      </c>
      <c r="I15" s="3"/>
      <c r="J15" s="3">
        <f>ROUND(J106/AVERAGE(J108:J109),3)</f>
        <v>0.041</v>
      </c>
      <c r="K15" s="3"/>
      <c r="L15" s="3">
        <f>ROUND(L106/AVERAGE(L108:L109),3)</f>
        <v>0.041</v>
      </c>
      <c r="M15" s="3"/>
      <c r="N15" s="6">
        <f>AVERAGE(D15,F15,H15,J15,L15)</f>
        <v>0.036000000000000004</v>
      </c>
    </row>
    <row r="16" spans="2:14" ht="15">
      <c r="B16" t="s">
        <v>10</v>
      </c>
      <c r="D16" s="3">
        <f>ROUND(D96/D66,3)</f>
        <v>0.491</v>
      </c>
      <c r="E16" s="3"/>
      <c r="F16" s="3">
        <f>ROUND(F96/F66,3)</f>
        <v>0.501</v>
      </c>
      <c r="G16" s="3"/>
      <c r="H16" s="3">
        <f>ROUND(H96/H66,3)</f>
        <v>0.514</v>
      </c>
      <c r="I16" s="3"/>
      <c r="J16" s="3">
        <f>ROUND(J96/J66,3)</f>
        <v>0.568</v>
      </c>
      <c r="K16" s="3"/>
      <c r="L16" s="3">
        <f>ROUND(L96/L66,3)</f>
        <v>0.582</v>
      </c>
      <c r="M16" s="3"/>
      <c r="N16" s="6">
        <f>AVERAGE(D16,F16,H16,J16,L16)</f>
        <v>0.5311999999999999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0.392</v>
      </c>
      <c r="E20" s="3"/>
      <c r="F20" s="3">
        <f>ROUND((+F76+F79)/F8,3)</f>
        <v>0.422</v>
      </c>
      <c r="G20" s="3"/>
      <c r="H20" s="3">
        <f>ROUND((+H76+H79)/H8,3)</f>
        <v>0.385</v>
      </c>
      <c r="I20" s="3"/>
      <c r="J20" s="3">
        <f>ROUND((+J76+J79)/J8,3)</f>
        <v>0.515</v>
      </c>
      <c r="K20" s="3"/>
      <c r="L20" s="3">
        <f>ROUND((+L76+L79)/L8,3)</f>
        <v>0.508</v>
      </c>
      <c r="M20" s="3"/>
      <c r="N20" s="6">
        <f>AVERAGE(D20,F20,H20,J20,L20)</f>
        <v>0.4444</v>
      </c>
    </row>
    <row r="21" spans="2:14" ht="15">
      <c r="B21" s="36" t="s">
        <v>86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2:14" ht="18">
      <c r="B22" s="37" t="s">
        <v>87</v>
      </c>
      <c r="D22" s="4">
        <f>ROUND((D68-D103)/D8,3)</f>
        <v>0.608</v>
      </c>
      <c r="E22" s="3"/>
      <c r="F22" s="4">
        <f>ROUND((F68-F103)/F8,3)</f>
        <v>0.578</v>
      </c>
      <c r="G22" s="3"/>
      <c r="H22" s="4">
        <f>ROUND((H68-H103)/H8,3)</f>
        <v>0.615</v>
      </c>
      <c r="I22" s="3"/>
      <c r="J22" s="4">
        <f>ROUND((J68-J103)/J8,3)</f>
        <v>0.484</v>
      </c>
      <c r="K22" s="3"/>
      <c r="L22" s="4">
        <f>ROUND((L68-L103)/L8,3)</f>
        <v>0.491</v>
      </c>
      <c r="M22" s="3"/>
      <c r="N22" s="9">
        <f>AVERAGE(D22,F22,H22,J22,L22)</f>
        <v>0.5552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0.999</v>
      </c>
      <c r="K23" s="3"/>
      <c r="L23" s="5">
        <f>SUM(L20:L22)</f>
        <v>0.999</v>
      </c>
      <c r="M23" s="3"/>
      <c r="N23" s="10">
        <f>AVERAGE(D23,F23,H23,J23,L23)</f>
        <v>0.9996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0.498</v>
      </c>
      <c r="E25" s="3"/>
      <c r="F25" s="3">
        <f>ROUND((+F76+F79+F80)/F10,3)</f>
        <v>0.562</v>
      </c>
      <c r="G25" s="3"/>
      <c r="H25" s="3">
        <f>ROUND((+H76+H79+H80)/H10,3)</f>
        <v>0.517</v>
      </c>
      <c r="I25" s="3"/>
      <c r="J25" s="3">
        <f>ROUND((+J76+J79+J80)/J10,3)</f>
        <v>0.55</v>
      </c>
      <c r="K25" s="3"/>
      <c r="L25" s="3">
        <f>ROUND((+L76+L79+L80)/L10,3)</f>
        <v>0.562</v>
      </c>
      <c r="M25" s="3"/>
      <c r="N25" s="6">
        <f>AVERAGE(D25,F25,H25,J25,L25)</f>
        <v>0.5378000000000001</v>
      </c>
    </row>
    <row r="26" spans="2:14" ht="15">
      <c r="B26" s="36" t="s">
        <v>86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2:14" ht="18">
      <c r="B27" s="37" t="s">
        <v>87</v>
      </c>
      <c r="D27" s="4">
        <f>ROUND((D68-D103)/D10,3)</f>
        <v>0.502</v>
      </c>
      <c r="E27" s="3"/>
      <c r="F27" s="4">
        <f>ROUND((F68-F103)/F10,3)</f>
        <v>0.438</v>
      </c>
      <c r="G27" s="3"/>
      <c r="H27" s="4">
        <f>ROUND((H68-H103)/H10,3)</f>
        <v>0.483</v>
      </c>
      <c r="I27" s="3"/>
      <c r="J27" s="4">
        <f>ROUND((J68-J103)/J10,3)</f>
        <v>0.45</v>
      </c>
      <c r="K27" s="3"/>
      <c r="L27" s="4">
        <f>ROUND((L68-L103)/L10,3)</f>
        <v>0.437</v>
      </c>
      <c r="M27" s="3"/>
      <c r="N27" s="9">
        <f>AVERAGE(D27,F27,H27,J27,L27)</f>
        <v>0.462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0.9990000000000001</v>
      </c>
      <c r="M28" s="3"/>
      <c r="N28" s="10">
        <f>AVERAGE(D28,F28,H28,J28,L28)</f>
        <v>0.9998000000000001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0.158</v>
      </c>
      <c r="E30" s="3"/>
      <c r="F30" s="3">
        <f>ROUND(+F66/(((F68-F103)+(H68-H103))/2),3)</f>
        <v>0.161</v>
      </c>
      <c r="G30" s="3"/>
      <c r="H30" s="3">
        <f>ROUND(+H66/(((H68-H103)+(J68-J103))/2),3)</f>
        <v>0.166</v>
      </c>
      <c r="I30" s="3"/>
      <c r="J30" s="3">
        <f>ROUND(+J66/(((J68-J103)+(L68-L103))/2),3)</f>
        <v>0.159</v>
      </c>
      <c r="K30" s="3"/>
      <c r="L30" s="3">
        <f>ROUND(+L66/(((L68-L103)+(N68-N103))/2),3)</f>
        <v>0.163</v>
      </c>
      <c r="M30" s="3"/>
      <c r="N30" s="6">
        <f>AVERAGE(D30,F30,H30,J30,L30)</f>
        <v>0.16140000000000002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0.957</v>
      </c>
      <c r="E32" s="3"/>
      <c r="F32" s="3">
        <f>ROUND((+F58-F57)/F56,3)</f>
        <v>0.95</v>
      </c>
      <c r="G32" s="3"/>
      <c r="H32" s="3">
        <f>ROUND((+H58-H57)/H56,3)</f>
        <v>0.952</v>
      </c>
      <c r="I32" s="3"/>
      <c r="J32" s="3">
        <f>ROUND((+J58-J57)/J56,3)</f>
        <v>0.943</v>
      </c>
      <c r="K32" s="3"/>
      <c r="L32" s="3">
        <f>ROUND((+L58-L57)/L56,3)</f>
        <v>0.951</v>
      </c>
      <c r="M32" s="3"/>
      <c r="N32" s="6">
        <f>AVERAGE(D32,F32,H32,J32,L32)</f>
        <v>0.9506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6.95</v>
      </c>
      <c r="E35" s="8" t="s">
        <v>3</v>
      </c>
      <c r="F35" s="8">
        <f>ROUND(((+F66+F65+F64+F63+F61+F59+F57)/F61),2)</f>
        <v>8.32</v>
      </c>
      <c r="G35" s="8" t="s">
        <v>3</v>
      </c>
      <c r="H35" s="8">
        <f>ROUND(((+H66+H65+H64+H63+H61+H59+H57)/H61),2)</f>
        <v>8.56</v>
      </c>
      <c r="I35" s="8" t="s">
        <v>3</v>
      </c>
      <c r="J35" s="8">
        <f>ROUND(((+J66+J65+J64+J63+J61+J59+J57)/J61),2)</f>
        <v>6.48</v>
      </c>
      <c r="K35" s="8" t="s">
        <v>3</v>
      </c>
      <c r="L35" s="8">
        <f>ROUND(((+L66+L65+L64+L63+L61+L59+L57)/L61),2)</f>
        <v>5.21</v>
      </c>
      <c r="M35" s="8" t="s">
        <v>3</v>
      </c>
      <c r="N35" s="29">
        <f>AVERAGE(D35,F35,H35,J35,L35)</f>
        <v>7.103999999999999</v>
      </c>
      <c r="O35" t="s">
        <v>3</v>
      </c>
    </row>
    <row r="36" spans="2:15" ht="15">
      <c r="B36" t="s">
        <v>21</v>
      </c>
      <c r="D36" s="8">
        <f>ROUND(((+D66+D65+D64+D63+D61)/(D61)),2)</f>
        <v>4.62</v>
      </c>
      <c r="E36" s="8" t="s">
        <v>3</v>
      </c>
      <c r="F36" s="8">
        <f>ROUND(((+F66+F65+F64+F63+F61)/(F61)),2)</f>
        <v>5.46</v>
      </c>
      <c r="G36" s="8" t="s">
        <v>3</v>
      </c>
      <c r="H36" s="8">
        <f>ROUND(((+H66+H65+H64+H63+H61)/(H61)),2)</f>
        <v>5.58</v>
      </c>
      <c r="I36" s="8" t="s">
        <v>3</v>
      </c>
      <c r="J36" s="8">
        <f>ROUND(((+J66+J65+J64+J63+J61)/(J61)),2)</f>
        <v>4.36</v>
      </c>
      <c r="K36" s="8" t="s">
        <v>3</v>
      </c>
      <c r="L36" s="8">
        <f>ROUND(((+L66+L65+L64+L63+L61)/(L61)),2)</f>
        <v>3.61</v>
      </c>
      <c r="M36" s="8" t="s">
        <v>3</v>
      </c>
      <c r="N36" s="29">
        <f>AVERAGE(D36,F36,H36,J36,L36)</f>
        <v>4.726</v>
      </c>
      <c r="O36" t="s">
        <v>3</v>
      </c>
    </row>
    <row r="37" spans="2:15" ht="15">
      <c r="B37" t="s">
        <v>14</v>
      </c>
      <c r="D37" s="8">
        <f>ROUND(((+D66+D65+D64+D63+D61)/(D61+D63+D64+D65)),2)</f>
        <v>4.62</v>
      </c>
      <c r="E37" s="8" t="s">
        <v>3</v>
      </c>
      <c r="F37" s="8">
        <f>ROUND(((+F66+F65+F64+F63+F61)/(F61+F63+F64+F65)),2)</f>
        <v>5.46</v>
      </c>
      <c r="G37" s="8" t="s">
        <v>3</v>
      </c>
      <c r="H37" s="8">
        <f>ROUND(((+H66+H65+H64+H63+H61)/(H61+H63+H64+H65)),2)</f>
        <v>5.58</v>
      </c>
      <c r="I37" s="8" t="s">
        <v>3</v>
      </c>
      <c r="J37" s="8">
        <f>ROUND(((+J66+J65+J64+J63+J61)/(J61+J63+J64+J65)),2)</f>
        <v>4.36</v>
      </c>
      <c r="K37" s="8" t="s">
        <v>3</v>
      </c>
      <c r="L37" s="8">
        <f>ROUND(((+L66+L65+L64+L63+L61)/(L61+L63+L64+L65)),2)</f>
        <v>3.61</v>
      </c>
      <c r="M37" s="8" t="s">
        <v>3</v>
      </c>
      <c r="N37" s="29">
        <f>AVERAGE(D37,F37,H37,J37,L37)</f>
        <v>4.726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6.92</v>
      </c>
      <c r="E40" s="8" t="s">
        <v>3</v>
      </c>
      <c r="F40" s="8">
        <f>ROUND(((+F66+F65+F64+F63-F62+F61+F59+F57)/F61),2)</f>
        <v>8.28</v>
      </c>
      <c r="G40" s="8" t="s">
        <v>3</v>
      </c>
      <c r="H40" s="8">
        <f>ROUND(((+H66+H65+H64+H63-H62+H61+H59+H57)/H61),2)</f>
        <v>8.54</v>
      </c>
      <c r="I40" s="8" t="s">
        <v>3</v>
      </c>
      <c r="J40" s="8">
        <f>ROUND(((+J66+J65+J64+J63-J62+J61+J59+J57)/J61),2)</f>
        <v>6.46</v>
      </c>
      <c r="K40" s="8" t="s">
        <v>3</v>
      </c>
      <c r="L40" s="8">
        <f>ROUND(((+L66+L65+L64+L63-L62+L61+L59+L57)/L61),2)</f>
        <v>5.16</v>
      </c>
      <c r="M40" s="8" t="s">
        <v>3</v>
      </c>
      <c r="N40" s="29">
        <f>AVERAGE(D40,F40,H40,J40,L40)</f>
        <v>7.072</v>
      </c>
      <c r="O40" t="s">
        <v>3</v>
      </c>
    </row>
    <row r="41" spans="2:15" ht="15">
      <c r="B41" t="s">
        <v>21</v>
      </c>
      <c r="D41" s="8">
        <f>ROUND(((+D66+D65+D64+D63-D62+D61)/D61),2)</f>
        <v>4.6</v>
      </c>
      <c r="E41" s="8" t="s">
        <v>3</v>
      </c>
      <c r="F41" s="8">
        <f>ROUND(((+F66+F65+F64+F63-F62+F61)/F61),2)</f>
        <v>5.42</v>
      </c>
      <c r="G41" s="8" t="s">
        <v>3</v>
      </c>
      <c r="H41" s="8">
        <f>ROUND(((+H66+H65+H64+H63-H62+H61)/H61),2)</f>
        <v>5.56</v>
      </c>
      <c r="I41" s="8" t="s">
        <v>3</v>
      </c>
      <c r="J41" s="8">
        <f>ROUND(((+J66+J65+J64+J63-J62+J61)/J61),2)</f>
        <v>4.34</v>
      </c>
      <c r="K41" s="8" t="s">
        <v>3</v>
      </c>
      <c r="L41" s="8">
        <f>ROUND(((+L66+L65+L64+L63-L62+L61)/L61),2)</f>
        <v>3.57</v>
      </c>
      <c r="M41" s="8" t="s">
        <v>3</v>
      </c>
      <c r="N41" s="29">
        <f>AVERAGE(D41,F41,H41,J41,L41)</f>
        <v>4.6979999999999995</v>
      </c>
      <c r="O41" t="s">
        <v>3</v>
      </c>
    </row>
    <row r="42" spans="2:15" ht="15">
      <c r="B42" t="s">
        <v>14</v>
      </c>
      <c r="D42" s="8">
        <f>ROUND(((+D66+D65+D64+D63-D62+D61)/(D61+D63+D64+D65)),2)</f>
        <v>4.6</v>
      </c>
      <c r="E42" s="8" t="s">
        <v>3</v>
      </c>
      <c r="F42" s="8">
        <f>ROUND(((+F66+F65+F64+F63-F62+F61)/(F61+F63+F64+F65)),2)</f>
        <v>5.42</v>
      </c>
      <c r="G42" s="8" t="s">
        <v>3</v>
      </c>
      <c r="H42" s="8">
        <f>ROUND(((+H66+H65+H64+H63-H62+H61)/(H61+H63+H64+H65)),2)</f>
        <v>5.56</v>
      </c>
      <c r="I42" s="8" t="s">
        <v>3</v>
      </c>
      <c r="J42" s="8">
        <f>ROUND(((+J66+J65+J64+J63-J62+J61)/(J61+J63+J64+J65)),2)</f>
        <v>4.34</v>
      </c>
      <c r="K42" s="8" t="s">
        <v>3</v>
      </c>
      <c r="L42" s="8">
        <f>ROUND(((+L66+L65+L64+L63-L62+L61)/(L61+L63+L64+L65)),2)</f>
        <v>3.57</v>
      </c>
      <c r="M42" s="8" t="s">
        <v>3</v>
      </c>
      <c r="N42" s="29">
        <f>AVERAGE(D42,F42,H42,J42,L42)</f>
        <v>4.6979999999999995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0.008</v>
      </c>
      <c r="E45" s="14"/>
      <c r="F45" s="14">
        <f>ROUND(F62/F66,3)</f>
        <v>0.009</v>
      </c>
      <c r="G45" s="14"/>
      <c r="H45" s="14">
        <f>ROUND(H62/H66,3)</f>
        <v>0.004</v>
      </c>
      <c r="I45" s="14"/>
      <c r="J45" s="14">
        <f>ROUND(J62/J66,3)</f>
        <v>0.006</v>
      </c>
      <c r="K45" s="14"/>
      <c r="L45" s="14">
        <f>ROUND(L62/L66,3)</f>
        <v>0.016</v>
      </c>
      <c r="M45" s="3"/>
      <c r="N45" s="6">
        <f aca="true" t="shared" si="0" ref="N45:N50">AVERAGE(D45,F45,H45,J45,L45)</f>
        <v>0.0086</v>
      </c>
    </row>
    <row r="46" spans="2:14" ht="15">
      <c r="B46" t="s">
        <v>17</v>
      </c>
      <c r="D46" s="19">
        <f>ROUND((D57+D59)/(D57+D59+D66+D63+D64+D65),3)</f>
        <v>0.391</v>
      </c>
      <c r="E46" s="20"/>
      <c r="F46" s="19">
        <f>ROUND((F57+F59)/(F57+F59+F66+F63+F64+F65),3)</f>
        <v>0.391</v>
      </c>
      <c r="G46" s="20"/>
      <c r="H46" s="19">
        <f>ROUND((H57+H59)/(H57+H59+H66+H63+H64+H65),3)</f>
        <v>0.394</v>
      </c>
      <c r="I46" s="20"/>
      <c r="J46" s="19">
        <f>ROUND((J57+J59)/(J57+J59+J66+J63+J64+J65),3)</f>
        <v>0.387</v>
      </c>
      <c r="K46" s="20"/>
      <c r="L46" s="19">
        <f>ROUND((L57+L59)/(L57+L59+L66+L63+L64+L65),3)</f>
        <v>0.38</v>
      </c>
      <c r="N46" s="6">
        <f t="shared" si="0"/>
        <v>0.3886</v>
      </c>
    </row>
    <row r="47" spans="2:14" ht="18">
      <c r="B47" s="38" t="s">
        <v>93</v>
      </c>
      <c r="D47" s="14">
        <f>ROUND(((+D82+D83+D84+D85+D86-D87+D88-D90-D91)/(+D89-D87)),3)</f>
        <v>0.969</v>
      </c>
      <c r="E47" s="15"/>
      <c r="F47" s="14">
        <f>ROUND(((+F82+F83+F84+F85+F86-F87+F88-F90-F91)/(+F89-F87)),3)</f>
        <v>1.001</v>
      </c>
      <c r="G47" s="15"/>
      <c r="H47" s="14">
        <f>ROUND(((+H82+H83+H84+H85+H86-H87+H88-H90-H91)/(+H89-H87)),3)</f>
        <v>1.338</v>
      </c>
      <c r="I47" s="15"/>
      <c r="J47" s="14">
        <f>ROUND(((+J82+J83+J84+J85+J86-J87+J88-J90-J91)/(+J89-J87)),3)</f>
        <v>0.916</v>
      </c>
      <c r="K47" s="15"/>
      <c r="L47" s="14">
        <f>ROUND(((+L82+L83+L84+L85+L86-L87+L88-L90-L91)/(+L89-L87)),3)</f>
        <v>1.072</v>
      </c>
      <c r="N47" s="6">
        <f t="shared" si="0"/>
        <v>1.0592000000000001</v>
      </c>
    </row>
    <row r="48" spans="2:14" ht="18">
      <c r="B48" s="38" t="s">
        <v>94</v>
      </c>
      <c r="D48" s="14">
        <f>ROUND(((+D82+D83+D84+D85+D86-D87+D88)/(AVERAGE(D76,F76)+AVERAGE(D79,F79)+AVERAGE(D80,F80))),3)</f>
        <v>0.161</v>
      </c>
      <c r="E48" s="15"/>
      <c r="F48" s="14">
        <f>ROUND(((+F82+F83+F84+F85+F86-F87+F88)/(AVERAGE(F76,H76)+AVERAGE(F79,H79)+AVERAGE(F80,H80))),3)</f>
        <v>0.182</v>
      </c>
      <c r="G48" s="15"/>
      <c r="H48" s="14">
        <f>ROUND(((+H82+H83+H84+H85+H86-H87+H88)/(AVERAGE(H76,J76)+AVERAGE(H79,J79)+AVERAGE(H80,J80))),3)</f>
        <v>0.212</v>
      </c>
      <c r="I48" s="15"/>
      <c r="J48" s="14">
        <f>ROUND(((+J82+J83+J84+J85+J86-J87+J88)/(AVERAGE(J76,L76)+AVERAGE(J79,L79)+AVERAGE(J80,L80))),3)</f>
        <v>0.158</v>
      </c>
      <c r="K48" s="15"/>
      <c r="L48" s="14">
        <f>ROUND(((+L82+L83+L84+L85+L86-L87+L88)/(AVERAGE(L76,N76)+AVERAGE(L79,N79)+AVERAGE(L80,N80))),3)</f>
        <v>0.202</v>
      </c>
      <c r="N48" s="6">
        <f t="shared" si="0"/>
        <v>0.183</v>
      </c>
    </row>
    <row r="49" spans="2:15" ht="18">
      <c r="B49" s="38" t="s">
        <v>95</v>
      </c>
      <c r="D49" s="30">
        <f>ROUND(((+D82+D83+D84+D85+D86-D87+D88+D92)/D61),2)</f>
        <v>5.05</v>
      </c>
      <c r="E49" t="s">
        <v>3</v>
      </c>
      <c r="F49" s="30">
        <f>ROUND(((+F82+F83+F84+F85+F86-F87+F88+F92)/F61),2)</f>
        <v>6.73</v>
      </c>
      <c r="G49" t="s">
        <v>3</v>
      </c>
      <c r="H49" s="30">
        <f>ROUND(((+H82+H83+H84+H85+H86-H87+H88+H92)/H61),2)</f>
        <v>7.56</v>
      </c>
      <c r="I49" t="s">
        <v>3</v>
      </c>
      <c r="J49" s="30">
        <f>ROUND(((+J82+J83+J84+J85+J86-J87+J88+J92)/J61),2)</f>
        <v>5.04</v>
      </c>
      <c r="K49" t="s">
        <v>3</v>
      </c>
      <c r="L49" s="30">
        <f>ROUND(((+L82+L83+L84+L85+L86-L87+L88+L92)/L61),2)</f>
        <v>4.73</v>
      </c>
      <c r="M49" t="s">
        <v>3</v>
      </c>
      <c r="N49" s="31">
        <f t="shared" si="0"/>
        <v>5.822</v>
      </c>
      <c r="O49" t="s">
        <v>3</v>
      </c>
    </row>
    <row r="50" spans="2:15" ht="18">
      <c r="B50" s="38" t="s">
        <v>96</v>
      </c>
      <c r="D50" s="30">
        <f>ROUND(((+D82+D83+D84+D85+D86-D87+D88-D91)/+D90),2)</f>
        <v>2.38</v>
      </c>
      <c r="E50" t="s">
        <v>3</v>
      </c>
      <c r="F50" s="30">
        <f>ROUND(((+F82+F83+F84+F85+F86-F87+F88-F91)/+F90),2)</f>
        <v>2.71</v>
      </c>
      <c r="G50" t="s">
        <v>3</v>
      </c>
      <c r="H50" s="30">
        <f>ROUND(((+H82+H83+H84+H85+H86-H87+H88-H91)/+H90),2)</f>
        <v>2.88</v>
      </c>
      <c r="I50" t="s">
        <v>3</v>
      </c>
      <c r="J50" s="30">
        <f>ROUND(((+J82+J83+J84+J85+J86-J87+J88-J91)/+J90),2)</f>
        <v>2.21</v>
      </c>
      <c r="K50" t="s">
        <v>3</v>
      </c>
      <c r="L50" s="30">
        <f>ROUND(((+L82+L83+L84+L85+L86-L87+L88-L91)/+L90),2)</f>
        <v>2.53</v>
      </c>
      <c r="M50" t="s">
        <v>3</v>
      </c>
      <c r="N50" s="31">
        <f t="shared" si="0"/>
        <v>2.542</v>
      </c>
      <c r="O50" t="s">
        <v>3</v>
      </c>
    </row>
    <row r="52" ht="15">
      <c r="A52" t="s">
        <v>4</v>
      </c>
    </row>
    <row r="54" spans="1:14" ht="15.75">
      <c r="A54" s="21" t="s">
        <v>78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3138.162</v>
      </c>
      <c r="E56" s="24"/>
      <c r="F56" s="24">
        <v>2533.607</v>
      </c>
      <c r="G56" s="24"/>
      <c r="H56" s="24">
        <v>2544.379</v>
      </c>
      <c r="I56" s="24"/>
      <c r="J56" s="24">
        <v>1830.754</v>
      </c>
      <c r="K56" s="24"/>
      <c r="L56" s="24">
        <v>2048.408</v>
      </c>
      <c r="M56" s="24"/>
      <c r="N56" s="24">
        <v>1164.549</v>
      </c>
    </row>
    <row r="57" spans="1:14" ht="15">
      <c r="A57" s="22" t="s">
        <v>23</v>
      </c>
      <c r="B57" s="22"/>
      <c r="C57" s="22"/>
      <c r="D57" s="24">
        <v>48.913</v>
      </c>
      <c r="E57" s="24"/>
      <c r="F57" s="24">
        <v>45.945</v>
      </c>
      <c r="G57" s="24"/>
      <c r="H57" s="24">
        <v>42.462</v>
      </c>
      <c r="I57" s="24"/>
      <c r="J57" s="24">
        <v>35.924</v>
      </c>
      <c r="K57" s="24"/>
      <c r="L57" s="24">
        <v>32.891</v>
      </c>
      <c r="M57" s="24"/>
      <c r="N57" s="24">
        <v>29.147</v>
      </c>
    </row>
    <row r="58" spans="1:14" ht="15">
      <c r="A58" s="22" t="s">
        <v>24</v>
      </c>
      <c r="B58" s="22"/>
      <c r="C58" s="22"/>
      <c r="D58" s="24">
        <v>3052.407</v>
      </c>
      <c r="E58" s="24"/>
      <c r="F58" s="24">
        <v>2452.334</v>
      </c>
      <c r="G58" s="24"/>
      <c r="H58" s="24">
        <v>2465.49</v>
      </c>
      <c r="I58" s="24"/>
      <c r="J58" s="24">
        <v>1762.299</v>
      </c>
      <c r="K58" s="24"/>
      <c r="L58" s="24">
        <v>1981.486</v>
      </c>
      <c r="M58" s="24"/>
      <c r="N58" s="24">
        <v>1099.784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96.814</v>
      </c>
      <c r="E60" s="24"/>
      <c r="F60" s="24">
        <v>86.969</v>
      </c>
      <c r="G60" s="24"/>
      <c r="H60" s="24">
        <v>79.404</v>
      </c>
      <c r="I60" s="24"/>
      <c r="J60" s="24">
        <v>73.4</v>
      </c>
      <c r="K60" s="24"/>
      <c r="L60" s="24">
        <v>73.368</v>
      </c>
      <c r="M60" s="24"/>
      <c r="N60" s="24">
        <v>66.713</v>
      </c>
    </row>
    <row r="61" spans="1:14" ht="15">
      <c r="A61" s="22" t="s">
        <v>27</v>
      </c>
      <c r="B61" s="22"/>
      <c r="C61" s="22"/>
      <c r="D61" s="24">
        <v>21.068</v>
      </c>
      <c r="E61" s="24"/>
      <c r="F61" s="24">
        <v>16.055</v>
      </c>
      <c r="G61" s="24"/>
      <c r="H61" s="24">
        <v>14.27</v>
      </c>
      <c r="I61" s="24"/>
      <c r="J61" s="24">
        <v>16.923</v>
      </c>
      <c r="K61" s="24"/>
      <c r="L61" s="24">
        <v>20.58</v>
      </c>
      <c r="M61" s="24"/>
      <c r="N61" s="24">
        <v>19.85</v>
      </c>
    </row>
    <row r="62" spans="1:14" ht="15">
      <c r="A62" s="22" t="s">
        <v>28</v>
      </c>
      <c r="B62" s="22"/>
      <c r="C62" s="22"/>
      <c r="D62" s="24">
        <v>0.594</v>
      </c>
      <c r="E62" s="24"/>
      <c r="F62" s="24">
        <v>0.66</v>
      </c>
      <c r="G62" s="24"/>
      <c r="H62" s="24">
        <v>0.278</v>
      </c>
      <c r="I62" s="24"/>
      <c r="J62" s="24">
        <v>0.367</v>
      </c>
      <c r="K62" s="24"/>
      <c r="L62" s="24">
        <v>0.875</v>
      </c>
      <c r="M62" s="24"/>
      <c r="N62" s="24">
        <v>1.1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0</v>
      </c>
      <c r="M63" s="24"/>
      <c r="N63" s="24">
        <v>0.027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</v>
      </c>
      <c r="M64" s="24"/>
      <c r="N64" s="24">
        <v>0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76.34</v>
      </c>
      <c r="E66" s="24"/>
      <c r="F66" s="24">
        <v>71.574</v>
      </c>
      <c r="G66" s="24"/>
      <c r="H66" s="24">
        <v>65.412</v>
      </c>
      <c r="I66" s="24"/>
      <c r="J66" s="24">
        <v>56.844</v>
      </c>
      <c r="K66" s="24"/>
      <c r="L66" s="24">
        <v>53.663</v>
      </c>
      <c r="M66" s="24"/>
      <c r="N66" s="24">
        <v>47.936</v>
      </c>
    </row>
    <row r="67" spans="1:14" ht="15">
      <c r="A67" s="22" t="s">
        <v>33</v>
      </c>
      <c r="B67" s="22"/>
      <c r="C67" s="22"/>
      <c r="D67" s="24">
        <v>2.77</v>
      </c>
      <c r="E67" s="24"/>
      <c r="F67" s="24">
        <v>2.6</v>
      </c>
      <c r="G67" s="24"/>
      <c r="H67" s="24">
        <v>2.41</v>
      </c>
      <c r="I67" s="24"/>
      <c r="J67" s="24">
        <v>2.12</v>
      </c>
      <c r="K67" s="24"/>
      <c r="L67" s="24">
        <v>3.03</v>
      </c>
      <c r="M67" s="24"/>
      <c r="N67" s="24">
        <v>2.71</v>
      </c>
    </row>
    <row r="68" spans="1:14" ht="15">
      <c r="A68" s="22" t="s">
        <v>34</v>
      </c>
      <c r="B68" s="22"/>
      <c r="C68" s="22"/>
      <c r="D68" s="24">
        <v>438.052</v>
      </c>
      <c r="E68" s="24"/>
      <c r="F68" s="24">
        <v>467.917</v>
      </c>
      <c r="G68" s="24"/>
      <c r="H68" s="24">
        <v>418.941</v>
      </c>
      <c r="I68" s="24"/>
      <c r="J68" s="24">
        <v>361.453</v>
      </c>
      <c r="K68" s="24"/>
      <c r="L68" s="24">
        <v>352.069</v>
      </c>
      <c r="M68" s="24"/>
      <c r="N68" s="24">
        <v>328.128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0</v>
      </c>
      <c r="G69" s="24"/>
      <c r="H69" s="24">
        <v>0</v>
      </c>
      <c r="I69" s="24"/>
      <c r="J69" s="24">
        <v>0.295</v>
      </c>
      <c r="K69" s="24"/>
      <c r="L69" s="24">
        <v>0.298</v>
      </c>
      <c r="M69" s="24"/>
      <c r="N69" s="24">
        <v>0.4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0</v>
      </c>
      <c r="M71" s="24"/>
      <c r="N71" s="24">
        <v>0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317.204</v>
      </c>
      <c r="E76" s="24"/>
      <c r="F76" s="24">
        <v>315.887</v>
      </c>
      <c r="G76" s="24"/>
      <c r="H76" s="24">
        <v>257.899</v>
      </c>
      <c r="I76" s="24"/>
      <c r="J76" s="24">
        <v>370.628</v>
      </c>
      <c r="K76" s="24"/>
      <c r="L76" s="24">
        <v>353.799</v>
      </c>
      <c r="M76" s="24"/>
      <c r="N76" s="24">
        <v>291.528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755.256</v>
      </c>
      <c r="E78" s="24"/>
      <c r="F78" s="24">
        <v>783.804</v>
      </c>
      <c r="G78" s="24"/>
      <c r="H78" s="24">
        <v>676.84</v>
      </c>
      <c r="I78" s="24"/>
      <c r="J78" s="24">
        <v>732.376</v>
      </c>
      <c r="K78" s="24"/>
      <c r="L78" s="24">
        <v>706.166</v>
      </c>
      <c r="M78" s="24"/>
      <c r="N78" s="24">
        <v>620.056</v>
      </c>
    </row>
    <row r="79" spans="1:14" ht="15">
      <c r="A79" s="22" t="s">
        <v>45</v>
      </c>
      <c r="B79" s="22"/>
      <c r="C79" s="22"/>
      <c r="D79" s="24">
        <v>3.253</v>
      </c>
      <c r="E79" s="24"/>
      <c r="F79" s="24">
        <v>27.736</v>
      </c>
      <c r="G79" s="24"/>
      <c r="H79" s="24">
        <v>2.448</v>
      </c>
      <c r="I79" s="24"/>
      <c r="J79" s="24">
        <v>26.942</v>
      </c>
      <c r="K79" s="24"/>
      <c r="L79" s="24">
        <v>0.529</v>
      </c>
      <c r="M79" s="24"/>
      <c r="N79" s="24">
        <v>0.495</v>
      </c>
    </row>
    <row r="80" spans="1:14" ht="15">
      <c r="A80" s="22" t="s">
        <v>46</v>
      </c>
      <c r="B80" s="22"/>
      <c r="C80" s="22"/>
      <c r="D80" s="24">
        <v>174.1</v>
      </c>
      <c r="E80" s="24"/>
      <c r="F80" s="24">
        <v>259.7</v>
      </c>
      <c r="G80" s="24"/>
      <c r="H80" s="24">
        <v>185.8</v>
      </c>
      <c r="I80" s="24"/>
      <c r="J80" s="24">
        <v>59.9</v>
      </c>
      <c r="K80" s="24"/>
      <c r="L80" s="24">
        <v>85.8</v>
      </c>
      <c r="M80" s="24"/>
      <c r="N80" s="24">
        <v>43.3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76.34</v>
      </c>
      <c r="E82" s="24"/>
      <c r="F82" s="24">
        <v>71.574</v>
      </c>
      <c r="G82" s="24"/>
      <c r="H82" s="24">
        <v>65.412</v>
      </c>
      <c r="I82" s="24"/>
      <c r="J82" s="24">
        <v>56.844</v>
      </c>
      <c r="K82" s="24"/>
      <c r="L82" s="24">
        <v>53.663</v>
      </c>
      <c r="M82" s="24"/>
      <c r="N82" s="24">
        <v>47.936</v>
      </c>
    </row>
    <row r="83" spans="1:14" ht="15">
      <c r="A83" s="22" t="s">
        <v>49</v>
      </c>
      <c r="B83" s="22"/>
      <c r="C83" s="22"/>
      <c r="D83" s="24">
        <v>33.675</v>
      </c>
      <c r="E83" s="24"/>
      <c r="F83" s="24">
        <v>32.449</v>
      </c>
      <c r="G83" s="24"/>
      <c r="H83" s="24">
        <v>31.965</v>
      </c>
      <c r="I83" s="24"/>
      <c r="J83" s="24">
        <v>31.844</v>
      </c>
      <c r="K83" s="24"/>
      <c r="L83" s="24">
        <v>32.53</v>
      </c>
      <c r="M83" s="24"/>
      <c r="N83" s="24">
        <v>30.997</v>
      </c>
    </row>
    <row r="84" spans="1:14" ht="15">
      <c r="A84" s="22" t="s">
        <v>50</v>
      </c>
      <c r="B84" s="22"/>
      <c r="C84" s="22"/>
      <c r="D84" s="24">
        <v>1.552</v>
      </c>
      <c r="E84" s="24"/>
      <c r="F84" s="24">
        <v>1.801</v>
      </c>
      <c r="G84" s="24"/>
      <c r="H84" s="24">
        <v>4.41</v>
      </c>
      <c r="I84" s="24"/>
      <c r="J84" s="24">
        <v>3.893</v>
      </c>
      <c r="K84" s="24"/>
      <c r="L84" s="24">
        <v>4.158</v>
      </c>
      <c r="M84" s="24"/>
      <c r="N84" s="24">
        <v>5.663</v>
      </c>
    </row>
    <row r="85" spans="1:14" ht="15">
      <c r="A85" s="22" t="s">
        <v>51</v>
      </c>
      <c r="B85" s="22"/>
      <c r="C85" s="22"/>
      <c r="D85" s="24">
        <v>-0.234</v>
      </c>
      <c r="E85" s="24"/>
      <c r="F85" s="24">
        <v>3.788</v>
      </c>
      <c r="G85" s="24"/>
      <c r="H85" s="24">
        <v>15.221</v>
      </c>
      <c r="I85" s="24"/>
      <c r="J85" s="24">
        <v>18.759</v>
      </c>
      <c r="K85" s="24"/>
      <c r="L85" s="24">
        <v>-2.397</v>
      </c>
      <c r="M85" s="24"/>
      <c r="N85" s="24">
        <v>18.607</v>
      </c>
    </row>
    <row r="86" spans="1:14" ht="15">
      <c r="A86" s="22" t="s">
        <v>52</v>
      </c>
      <c r="B86" s="22"/>
      <c r="C86" s="22"/>
      <c r="D86" s="24">
        <v>0</v>
      </c>
      <c r="E86" s="24"/>
      <c r="F86" s="24">
        <v>0</v>
      </c>
      <c r="G86" s="24"/>
      <c r="H86" s="24">
        <v>0</v>
      </c>
      <c r="I86" s="24"/>
      <c r="J86" s="24">
        <v>0</v>
      </c>
      <c r="K86" s="24"/>
      <c r="L86" s="24">
        <v>0</v>
      </c>
      <c r="M86" s="24"/>
      <c r="N86" s="24">
        <v>0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</v>
      </c>
      <c r="M87" s="24"/>
      <c r="N87" s="24">
        <v>0</v>
      </c>
    </row>
    <row r="88" spans="1:14" ht="15">
      <c r="A88" s="22" t="s">
        <v>69</v>
      </c>
      <c r="B88" s="22"/>
      <c r="C88" s="22"/>
      <c r="D88" s="24">
        <v>-22.983</v>
      </c>
      <c r="E88" s="24"/>
      <c r="F88" s="24">
        <v>-13.976</v>
      </c>
      <c r="G88" s="24"/>
      <c r="H88" s="24">
        <v>-21.322</v>
      </c>
      <c r="I88" s="24"/>
      <c r="J88" s="24">
        <v>-40.556</v>
      </c>
      <c r="K88" s="24"/>
      <c r="L88" s="24">
        <v>-9.601</v>
      </c>
      <c r="M88" s="24"/>
      <c r="N88" s="24">
        <v>-22.992</v>
      </c>
    </row>
    <row r="89" spans="1:14" ht="15">
      <c r="A89" s="22" t="s">
        <v>54</v>
      </c>
      <c r="B89" s="22"/>
      <c r="C89" s="22"/>
      <c r="D89" s="24">
        <v>52.801</v>
      </c>
      <c r="E89" s="24"/>
      <c r="F89" s="24">
        <v>60.313</v>
      </c>
      <c r="G89" s="24"/>
      <c r="H89" s="24">
        <v>46.653</v>
      </c>
      <c r="I89" s="24"/>
      <c r="J89" s="24">
        <v>42.314</v>
      </c>
      <c r="K89" s="24"/>
      <c r="L89" s="24">
        <v>44.176</v>
      </c>
      <c r="M89" s="24"/>
      <c r="N89" s="24">
        <v>48.826</v>
      </c>
    </row>
    <row r="90" spans="1:14" ht="15">
      <c r="A90" s="22" t="s">
        <v>55</v>
      </c>
      <c r="B90" s="22"/>
      <c r="C90" s="22"/>
      <c r="D90" s="24">
        <v>37.164</v>
      </c>
      <c r="E90" s="24"/>
      <c r="F90" s="24">
        <v>35.269</v>
      </c>
      <c r="G90" s="24"/>
      <c r="H90" s="24">
        <v>33.245</v>
      </c>
      <c r="I90" s="24"/>
      <c r="J90" s="24">
        <v>32.012</v>
      </c>
      <c r="K90" s="24"/>
      <c r="L90" s="24">
        <v>30.989</v>
      </c>
      <c r="M90" s="24"/>
      <c r="N90" s="24">
        <v>30.269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18.085</v>
      </c>
      <c r="E92" s="24"/>
      <c r="F92" s="24">
        <v>12.353</v>
      </c>
      <c r="G92" s="24"/>
      <c r="H92" s="24">
        <v>12.191</v>
      </c>
      <c r="I92" s="24"/>
      <c r="J92" s="24">
        <v>14.516</v>
      </c>
      <c r="K92" s="24"/>
      <c r="L92" s="24">
        <v>19.031</v>
      </c>
      <c r="M92" s="24"/>
      <c r="N92" s="24">
        <v>17.612</v>
      </c>
    </row>
    <row r="93" spans="1:14" ht="15">
      <c r="A93" s="22" t="s">
        <v>58</v>
      </c>
      <c r="B93" s="22"/>
      <c r="C93" s="22"/>
      <c r="D93" s="24">
        <v>47.812</v>
      </c>
      <c r="E93" s="24"/>
      <c r="F93" s="24">
        <v>39.277</v>
      </c>
      <c r="G93" s="24"/>
      <c r="H93" s="24">
        <v>12.365</v>
      </c>
      <c r="I93" s="24"/>
      <c r="J93" s="24">
        <v>31.41</v>
      </c>
      <c r="K93" s="24"/>
      <c r="L93" s="24">
        <v>10.033</v>
      </c>
      <c r="M93" s="24"/>
      <c r="N93" s="24">
        <v>15.996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1.5</v>
      </c>
      <c r="M94" s="24"/>
      <c r="N94" s="24">
        <v>1.5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1.5</v>
      </c>
      <c r="M95" s="24"/>
      <c r="N95" s="24">
        <v>1.5</v>
      </c>
    </row>
    <row r="96" spans="1:14" ht="15">
      <c r="A96" s="22" t="s">
        <v>59</v>
      </c>
      <c r="B96" s="22"/>
      <c r="C96" s="22"/>
      <c r="D96" s="24">
        <v>37.514</v>
      </c>
      <c r="E96" s="24"/>
      <c r="F96" s="24">
        <v>35.843</v>
      </c>
      <c r="G96" s="24"/>
      <c r="H96" s="24">
        <v>33.615</v>
      </c>
      <c r="I96" s="24"/>
      <c r="J96" s="24">
        <v>32.282</v>
      </c>
      <c r="K96" s="24"/>
      <c r="L96" s="24">
        <v>31.231</v>
      </c>
      <c r="M96" s="24"/>
      <c r="N96" s="24">
        <v>30.399</v>
      </c>
    </row>
    <row r="97" spans="1:14" ht="15">
      <c r="A97" s="22" t="s">
        <v>60</v>
      </c>
      <c r="B97" s="22"/>
      <c r="C97" s="22"/>
      <c r="D97" s="24">
        <v>1.36</v>
      </c>
      <c r="E97" s="24"/>
      <c r="F97" s="24">
        <v>1.3</v>
      </c>
      <c r="G97" s="24"/>
      <c r="H97" s="24">
        <v>1.24</v>
      </c>
      <c r="I97" s="24"/>
      <c r="J97" s="24">
        <v>1.2</v>
      </c>
      <c r="K97" s="24"/>
      <c r="L97" s="24">
        <v>1.76</v>
      </c>
      <c r="M97" s="24"/>
      <c r="N97" s="24">
        <v>1.72</v>
      </c>
    </row>
    <row r="98" spans="1:14" ht="15">
      <c r="A98" s="22" t="s">
        <v>61</v>
      </c>
      <c r="B98" s="22"/>
      <c r="C98" s="22"/>
      <c r="D98" s="24">
        <v>1.345</v>
      </c>
      <c r="E98" s="24"/>
      <c r="F98" s="24">
        <v>1.285</v>
      </c>
      <c r="G98" s="24"/>
      <c r="H98" s="24">
        <v>1.23</v>
      </c>
      <c r="I98" s="24"/>
      <c r="J98" s="24">
        <v>1.193</v>
      </c>
      <c r="K98" s="24"/>
      <c r="L98" s="24">
        <v>1.75</v>
      </c>
      <c r="M98" s="24"/>
      <c r="N98" s="24">
        <v>1.71</v>
      </c>
    </row>
    <row r="99" spans="1:14" ht="15">
      <c r="A99" s="22" t="s">
        <v>62</v>
      </c>
      <c r="B99" s="22"/>
      <c r="C99" s="22"/>
      <c r="D99" s="24">
        <v>49.34</v>
      </c>
      <c r="E99" s="24"/>
      <c r="F99" s="24">
        <v>44.55</v>
      </c>
      <c r="G99" s="24"/>
      <c r="H99" s="24">
        <v>39.54</v>
      </c>
      <c r="I99" s="24"/>
      <c r="J99" s="24">
        <v>33.6</v>
      </c>
      <c r="K99" s="24"/>
      <c r="L99" s="24">
        <v>48.8</v>
      </c>
      <c r="M99" s="24"/>
      <c r="N99" s="24">
        <v>44.625</v>
      </c>
    </row>
    <row r="100" spans="1:14" ht="15">
      <c r="A100" s="22" t="s">
        <v>63</v>
      </c>
      <c r="B100" s="22"/>
      <c r="C100" s="22"/>
      <c r="D100" s="24">
        <v>40.681</v>
      </c>
      <c r="E100" s="24"/>
      <c r="F100" s="24">
        <v>36.5</v>
      </c>
      <c r="G100" s="24"/>
      <c r="H100" s="24">
        <v>30.01</v>
      </c>
      <c r="I100" s="24"/>
      <c r="J100" s="24">
        <v>24.35</v>
      </c>
      <c r="K100" s="24"/>
      <c r="L100" s="24">
        <v>37.26</v>
      </c>
      <c r="M100" s="24"/>
      <c r="N100" s="24">
        <v>36.188</v>
      </c>
    </row>
    <row r="101" spans="1:14" ht="15">
      <c r="A101" s="22" t="s">
        <v>64</v>
      </c>
      <c r="B101" s="22"/>
      <c r="C101" s="22"/>
      <c r="D101" s="24">
        <v>41.89</v>
      </c>
      <c r="E101" s="24"/>
      <c r="F101" s="24">
        <v>43.34</v>
      </c>
      <c r="G101" s="24"/>
      <c r="H101" s="24">
        <v>38.51</v>
      </c>
      <c r="I101" s="24"/>
      <c r="J101" s="24">
        <v>31.59</v>
      </c>
      <c r="K101" s="24"/>
      <c r="L101" s="24">
        <v>46.8</v>
      </c>
      <c r="M101" s="24"/>
      <c r="N101" s="24">
        <v>43.25</v>
      </c>
    </row>
    <row r="102" spans="1:14" ht="15">
      <c r="A102" s="22" t="s">
        <v>65</v>
      </c>
      <c r="B102" s="22"/>
      <c r="C102" s="22"/>
      <c r="D102" s="24">
        <v>27.546</v>
      </c>
      <c r="E102" s="24"/>
      <c r="F102" s="24">
        <v>27.741</v>
      </c>
      <c r="G102" s="24"/>
      <c r="H102" s="24">
        <v>27.233</v>
      </c>
      <c r="I102" s="24"/>
      <c r="J102" s="24">
        <v>26.917</v>
      </c>
      <c r="K102" s="24"/>
      <c r="L102" s="24">
        <v>17.776</v>
      </c>
      <c r="M102" s="24"/>
      <c r="N102" s="24">
        <v>17.594</v>
      </c>
    </row>
    <row r="103" spans="1:14" ht="15">
      <c r="A103" s="22" t="s">
        <v>84</v>
      </c>
      <c r="B103" s="22"/>
      <c r="C103" s="22"/>
      <c r="D103" s="24">
        <v>-59.871</v>
      </c>
      <c r="E103" s="24"/>
      <c r="F103" s="24">
        <v>-2.38</v>
      </c>
      <c r="G103" s="24"/>
      <c r="H103" s="24">
        <v>2.553</v>
      </c>
      <c r="I103" s="24"/>
      <c r="J103" s="24">
        <v>-12.374</v>
      </c>
      <c r="K103" s="24"/>
      <c r="L103" s="24">
        <v>9.626</v>
      </c>
      <c r="M103" s="24"/>
      <c r="N103" s="24">
        <v>13.514</v>
      </c>
    </row>
    <row r="104" ht="15">
      <c r="A104" t="s">
        <v>71</v>
      </c>
    </row>
    <row r="105" spans="2:14" ht="15">
      <c r="B105" t="s">
        <v>70</v>
      </c>
      <c r="D105" s="17">
        <f>D67/D94</f>
        <v>2.77</v>
      </c>
      <c r="F105" s="17">
        <f>F67/F94</f>
        <v>2.6</v>
      </c>
      <c r="H105" s="17">
        <f>H67/H94</f>
        <v>2.41</v>
      </c>
      <c r="J105" s="17">
        <f>J67/J94</f>
        <v>2.12</v>
      </c>
      <c r="L105" s="17">
        <f>L67/L94</f>
        <v>2.02</v>
      </c>
      <c r="N105" s="17">
        <f>N67/N94</f>
        <v>1.8066666666666666</v>
      </c>
    </row>
    <row r="106" spans="2:14" ht="15">
      <c r="B106" t="s">
        <v>60</v>
      </c>
      <c r="D106" s="17">
        <f>D97/D94</f>
        <v>1.36</v>
      </c>
      <c r="F106" s="17">
        <f>F97/F94</f>
        <v>1.3</v>
      </c>
      <c r="H106" s="17">
        <f>H97/H94</f>
        <v>1.24</v>
      </c>
      <c r="J106" s="17">
        <f>J97/J94</f>
        <v>1.2</v>
      </c>
      <c r="L106" s="17">
        <f>L97/L94</f>
        <v>1.1733333333333333</v>
      </c>
      <c r="N106" s="17">
        <f>N97/N94</f>
        <v>1.1466666666666667</v>
      </c>
    </row>
    <row r="107" spans="2:14" ht="15">
      <c r="B107" t="s">
        <v>61</v>
      </c>
      <c r="D107" s="17">
        <f>D98/D94</f>
        <v>1.345</v>
      </c>
      <c r="F107" s="17">
        <f>F98/F94</f>
        <v>1.285</v>
      </c>
      <c r="H107" s="17">
        <f>H98/H94</f>
        <v>1.23</v>
      </c>
      <c r="J107" s="17">
        <f>J98/J94</f>
        <v>1.193</v>
      </c>
      <c r="L107" s="17">
        <f>L98/L94</f>
        <v>1.1666666666666667</v>
      </c>
      <c r="N107" s="17">
        <f>N98/N94</f>
        <v>1.14</v>
      </c>
    </row>
    <row r="108" spans="2:14" ht="15">
      <c r="B108" t="s">
        <v>62</v>
      </c>
      <c r="D108" s="17">
        <f>D99/D94</f>
        <v>49.34</v>
      </c>
      <c r="F108" s="17">
        <f>F99/F94</f>
        <v>44.55</v>
      </c>
      <c r="H108" s="17">
        <f>H99/H94</f>
        <v>39.54</v>
      </c>
      <c r="J108" s="17">
        <f>J99/J94</f>
        <v>33.6</v>
      </c>
      <c r="L108" s="17">
        <f>L99/L94</f>
        <v>32.53333333333333</v>
      </c>
      <c r="N108" s="17">
        <f>N99/N94</f>
        <v>29.75</v>
      </c>
    </row>
    <row r="109" spans="2:14" ht="15">
      <c r="B109" t="s">
        <v>63</v>
      </c>
      <c r="D109" s="17">
        <f>D100/D94</f>
        <v>40.681</v>
      </c>
      <c r="F109" s="17">
        <f>F100/F94</f>
        <v>36.5</v>
      </c>
      <c r="H109" s="17">
        <f>H100/H94</f>
        <v>30.01</v>
      </c>
      <c r="J109" s="17">
        <f>J100/J94</f>
        <v>24.35</v>
      </c>
      <c r="L109" s="17">
        <f>L100/L94</f>
        <v>24.84</v>
      </c>
      <c r="N109" s="17">
        <f>N100/N94</f>
        <v>24.125333333333334</v>
      </c>
    </row>
    <row r="110" spans="2:14" ht="15">
      <c r="B110" t="s">
        <v>64</v>
      </c>
      <c r="D110" s="17">
        <f>D101/D94</f>
        <v>41.89</v>
      </c>
      <c r="F110" s="17">
        <f>F101/F94</f>
        <v>43.34</v>
      </c>
      <c r="H110" s="17">
        <f>H101/H94</f>
        <v>38.51</v>
      </c>
      <c r="J110" s="17">
        <f>J101/J94</f>
        <v>31.59</v>
      </c>
      <c r="L110" s="17">
        <f>L101/L94</f>
        <v>31.2</v>
      </c>
      <c r="N110" s="17">
        <f>N101/N94</f>
        <v>28.833333333333332</v>
      </c>
    </row>
    <row r="111" spans="2:14" ht="15">
      <c r="B111" t="s">
        <v>65</v>
      </c>
      <c r="D111" s="18">
        <f>D102*D94</f>
        <v>27.546</v>
      </c>
      <c r="E111" s="18"/>
      <c r="F111" s="18">
        <f>F102*F94</f>
        <v>27.741</v>
      </c>
      <c r="G111" s="18"/>
      <c r="H111" s="18">
        <f>H102*H94</f>
        <v>27.233</v>
      </c>
      <c r="I111" s="18"/>
      <c r="J111" s="18">
        <f>J102*J94</f>
        <v>26.917</v>
      </c>
      <c r="K111" s="18"/>
      <c r="L111" s="18">
        <f>L102*L94</f>
        <v>26.664</v>
      </c>
      <c r="M111" s="18"/>
      <c r="N111" s="18">
        <f>N102*N94</f>
        <v>26.391000000000002</v>
      </c>
    </row>
    <row r="112" spans="2:14" ht="15">
      <c r="B112" t="s">
        <v>66</v>
      </c>
      <c r="D112" s="17">
        <f>ROUND(D68/D111,2)</f>
        <v>15.9</v>
      </c>
      <c r="F112" s="17">
        <f>ROUND(F68/F111,2)</f>
        <v>16.87</v>
      </c>
      <c r="H112" s="17">
        <f>ROUND(H68/H111,2)</f>
        <v>15.38</v>
      </c>
      <c r="J112" s="17">
        <f>ROUND(J68/J111,2)</f>
        <v>13.43</v>
      </c>
      <c r="L112" s="17">
        <f>ROUND(L68/L111,2)</f>
        <v>13.2</v>
      </c>
      <c r="N112" s="17">
        <f>ROUND(N68/N111,2)</f>
        <v>12.43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NICOR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1349.3</v>
      </c>
      <c r="F8" s="39">
        <f>F78+F79+F81-F103</f>
        <v>1253</v>
      </c>
      <c r="H8" s="39">
        <f>H78+H79+H81-H103</f>
        <v>1257.5</v>
      </c>
      <c r="J8" s="39">
        <f>J78+J79+J81-J103</f>
        <v>1235.2</v>
      </c>
      <c r="L8" s="39">
        <f>L78+L79+L81-L103</f>
        <v>1157</v>
      </c>
    </row>
    <row r="9" spans="2:12" ht="15">
      <c r="B9" t="s">
        <v>5</v>
      </c>
      <c r="D9" s="12">
        <f>D80</f>
        <v>586</v>
      </c>
      <c r="F9" s="12">
        <f>F80</f>
        <v>490</v>
      </c>
      <c r="H9" s="12">
        <f>H80</f>
        <v>575</v>
      </c>
      <c r="J9" s="12">
        <f>J80</f>
        <v>315</v>
      </c>
      <c r="L9" s="12">
        <f>L80</f>
        <v>277</v>
      </c>
    </row>
    <row r="10" spans="2:12" ht="15.75" thickBot="1">
      <c r="B10" t="s">
        <v>7</v>
      </c>
      <c r="D10" s="13">
        <f>D8+D9</f>
        <v>1935.3</v>
      </c>
      <c r="F10" s="13">
        <f>F8+F9</f>
        <v>1743</v>
      </c>
      <c r="H10" s="13">
        <f>H8+H9</f>
        <v>1832.5</v>
      </c>
      <c r="J10" s="13">
        <f>J8+J9</f>
        <v>1550.2</v>
      </c>
      <c r="L10" s="13">
        <f>L8+L9</f>
        <v>1434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13</v>
      </c>
      <c r="E13" s="8" t="s">
        <v>3</v>
      </c>
      <c r="F13" s="34">
        <f>ROUND(AVERAGE(F108:F109)/F105,0)</f>
        <v>21</v>
      </c>
      <c r="G13" s="8" t="s">
        <v>3</v>
      </c>
      <c r="H13" s="34">
        <f>ROUND(AVERAGE(H108:H109)/H105,0)</f>
        <v>13</v>
      </c>
      <c r="I13" s="8" t="s">
        <v>3</v>
      </c>
      <c r="J13" s="34">
        <f>ROUND(AVERAGE(J108:J109)/J105,0)</f>
        <v>11</v>
      </c>
      <c r="K13" s="8" t="s">
        <v>3</v>
      </c>
      <c r="L13" s="34">
        <f>ROUND(AVERAGE(L108:L109)/L105,0)</f>
        <v>14</v>
      </c>
      <c r="M13" s="8" t="s">
        <v>3</v>
      </c>
      <c r="N13" s="35">
        <f>AVERAGE(D13,F13,H13,J13,L13)</f>
        <v>14.4</v>
      </c>
      <c r="O13" s="8" t="s">
        <v>3</v>
      </c>
    </row>
    <row r="14" spans="2:14" ht="15">
      <c r="B14" t="s">
        <v>20</v>
      </c>
      <c r="D14" s="3">
        <f>ROUND(AVERAGE(D108:D109)/AVERAGE(D112,F112),3)</f>
        <v>2.22</v>
      </c>
      <c r="E14" s="3"/>
      <c r="F14" s="3">
        <f>ROUND(AVERAGE(F108:F109)/AVERAGE(F112,H112),3)</f>
        <v>2.101</v>
      </c>
      <c r="G14" s="3"/>
      <c r="H14" s="3">
        <f>ROUND(AVERAGE(H108:H109)/AVERAGE(H112,J112),3)</f>
        <v>1.871</v>
      </c>
      <c r="I14" s="3"/>
      <c r="J14" s="3">
        <f>ROUND(AVERAGE(J108:J109)/AVERAGE(J112,L112),3)</f>
        <v>2.044</v>
      </c>
      <c r="K14" s="3"/>
      <c r="L14" s="3">
        <f>ROUND(AVERAGE(L108:L109)/AVERAGE(L112,N112),3)</f>
        <v>2.431</v>
      </c>
      <c r="M14" s="3"/>
      <c r="N14" s="6">
        <f>AVERAGE(D14,F14,H14,J14,L14)</f>
        <v>2.1334000000000004</v>
      </c>
    </row>
    <row r="15" spans="2:14" ht="15">
      <c r="B15" t="s">
        <v>9</v>
      </c>
      <c r="D15" s="3">
        <f>ROUND(D106/AVERAGE(D108:D109),3)</f>
        <v>0.047</v>
      </c>
      <c r="E15" s="3"/>
      <c r="F15" s="3">
        <f>ROUND(F106/AVERAGE(F108:F109),3)</f>
        <v>0.052</v>
      </c>
      <c r="G15" s="3"/>
      <c r="H15" s="3">
        <f>ROUND(H106/AVERAGE(H108:H109),3)</f>
        <v>0.059</v>
      </c>
      <c r="I15" s="3"/>
      <c r="J15" s="3">
        <f>ROUND(J106/AVERAGE(J108:J109),3)</f>
        <v>0.056</v>
      </c>
      <c r="K15" s="3"/>
      <c r="L15" s="3">
        <f>ROUND(L106/AVERAGE(L108:L109),3)</f>
        <v>0.046</v>
      </c>
      <c r="M15" s="3"/>
      <c r="N15" s="6">
        <f>AVERAGE(D15,F15,H15,J15,L15)</f>
        <v>0.052000000000000005</v>
      </c>
    </row>
    <row r="16" spans="2:14" ht="15">
      <c r="B16" t="s">
        <v>10</v>
      </c>
      <c r="D16" s="3">
        <f>ROUND(D96/D66,3)</f>
        <v>0.602</v>
      </c>
      <c r="E16" s="3"/>
      <c r="F16" s="3">
        <f>ROUND(F96/F66,3)</f>
        <v>1.091</v>
      </c>
      <c r="G16" s="3"/>
      <c r="H16" s="3">
        <f>ROUND(H96/H66,3)</f>
        <v>0.747</v>
      </c>
      <c r="I16" s="3"/>
      <c r="J16" s="3">
        <f>ROUND(J96/J66,3)</f>
        <v>0.635</v>
      </c>
      <c r="K16" s="3"/>
      <c r="L16" s="3">
        <f>ROUND(L96/L66,3)</f>
        <v>0.649</v>
      </c>
      <c r="M16" s="3"/>
      <c r="N16" s="6">
        <f>AVERAGE(D16,F16,H16,J16,L16)</f>
        <v>0.7448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0.398</v>
      </c>
      <c r="E20" s="3"/>
      <c r="F20" s="3">
        <f>ROUND((+F76+F79)/F8,3)</f>
        <v>0.397</v>
      </c>
      <c r="G20" s="3"/>
      <c r="H20" s="3">
        <f>ROUND((+H76+H79)/H8,3)</f>
        <v>0.395</v>
      </c>
      <c r="I20" s="3"/>
      <c r="J20" s="3">
        <f>ROUND((+J76+J79)/J8,3)</f>
        <v>0.402</v>
      </c>
      <c r="K20" s="3"/>
      <c r="L20" s="3">
        <f>ROUND((+L76+L79)/L8,3)</f>
        <v>0.386</v>
      </c>
      <c r="M20" s="3"/>
      <c r="N20" s="6">
        <f>AVERAGE(D20,F20,H20,J20,L20)</f>
        <v>0.39560000000000006</v>
      </c>
    </row>
    <row r="21" spans="2:14" ht="15">
      <c r="B21" s="36" t="s">
        <v>86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0.003</v>
      </c>
      <c r="K21" s="3"/>
      <c r="L21" s="3">
        <f>ROUND((SUM(L69:L75)+L81)/L8,3)</f>
        <v>0.005</v>
      </c>
      <c r="M21" s="3"/>
      <c r="N21" s="6">
        <f>AVERAGE(D21,F21,H21,J21,L21)</f>
        <v>0.0016</v>
      </c>
    </row>
    <row r="22" spans="2:14" ht="18">
      <c r="B22" s="37" t="s">
        <v>87</v>
      </c>
      <c r="D22" s="4">
        <f>ROUND((D68-D103)/D8,3)</f>
        <v>0.602</v>
      </c>
      <c r="E22" s="3"/>
      <c r="F22" s="4">
        <f>ROUND((F68-F103)/F8,3)</f>
        <v>0.603</v>
      </c>
      <c r="G22" s="3"/>
      <c r="H22" s="4">
        <f>ROUND((H68-H103)/H8,3)</f>
        <v>0.605</v>
      </c>
      <c r="I22" s="3"/>
      <c r="J22" s="4">
        <f>ROUND((J68-J103)/J8,3)</f>
        <v>0.595</v>
      </c>
      <c r="K22" s="3"/>
      <c r="L22" s="4">
        <f>ROUND((L68-L103)/L8,3)</f>
        <v>0.609</v>
      </c>
      <c r="M22" s="3"/>
      <c r="N22" s="9">
        <f>AVERAGE(D22,F22,H22,J22,L22)</f>
        <v>0.6028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0.58</v>
      </c>
      <c r="E25" s="3"/>
      <c r="F25" s="3">
        <f>ROUND((+F76+F79+F80)/F10,3)</f>
        <v>0.566</v>
      </c>
      <c r="G25" s="3"/>
      <c r="H25" s="3">
        <f>ROUND((+H76+H79+H80)/H10,3)</f>
        <v>0.585</v>
      </c>
      <c r="I25" s="3"/>
      <c r="J25" s="3">
        <f>ROUND((+J76+J79+J80)/J10,3)</f>
        <v>0.523</v>
      </c>
      <c r="K25" s="3"/>
      <c r="L25" s="3">
        <f>ROUND((+L76+L79+L80)/L10,3)</f>
        <v>0.504</v>
      </c>
      <c r="M25" s="3"/>
      <c r="N25" s="6">
        <f>AVERAGE(D25,F25,H25,J25,L25)</f>
        <v>0.5516</v>
      </c>
    </row>
    <row r="26" spans="2:14" ht="15">
      <c r="B26" s="36" t="s">
        <v>86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0.003</v>
      </c>
      <c r="K26" s="3"/>
      <c r="L26" s="3">
        <f>ROUND((SUM(L69:L75)+L81)/L10,3)</f>
        <v>0.004</v>
      </c>
      <c r="M26" s="3"/>
      <c r="N26" s="6">
        <f>AVERAGE(D26,F26,H26,J26,L26)</f>
        <v>0.0014</v>
      </c>
    </row>
    <row r="27" spans="2:14" ht="18">
      <c r="B27" s="37" t="s">
        <v>87</v>
      </c>
      <c r="D27" s="4">
        <f>ROUND((D68-D103)/D10,3)</f>
        <v>0.42</v>
      </c>
      <c r="E27" s="3"/>
      <c r="F27" s="4">
        <f>ROUND((F68-F103)/F10,3)</f>
        <v>0.434</v>
      </c>
      <c r="G27" s="3"/>
      <c r="H27" s="4">
        <f>ROUND((H68-H103)/H10,3)</f>
        <v>0.415</v>
      </c>
      <c r="I27" s="3"/>
      <c r="J27" s="4">
        <f>ROUND((J68-J103)/J10,3)</f>
        <v>0.474</v>
      </c>
      <c r="K27" s="3"/>
      <c r="L27" s="4">
        <f>ROUND((L68-L103)/L10,3)</f>
        <v>0.491</v>
      </c>
      <c r="M27" s="3"/>
      <c r="N27" s="9">
        <f>AVERAGE(D27,F27,H27,J27,L27)</f>
        <v>0.4468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0.999</v>
      </c>
      <c r="M28" s="3"/>
      <c r="N28" s="10">
        <f>AVERAGE(D28,F28,H28,J28,L28)</f>
        <v>0.9997999999999999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0.174</v>
      </c>
      <c r="E30" s="3"/>
      <c r="F30" s="3">
        <f>ROUND(+F66/(((F68-F103)+(H68-H103))/2),3)</f>
        <v>0.099</v>
      </c>
      <c r="G30" s="3"/>
      <c r="H30" s="3">
        <f>ROUND(+H66/(((H68-H103)+(J68-J103))/2),3)</f>
        <v>0.147</v>
      </c>
      <c r="I30" s="3"/>
      <c r="J30" s="3">
        <f>ROUND(+J66/(((J68-J103)+(L68-L103))/2),3)</f>
        <v>0.178</v>
      </c>
      <c r="K30" s="3"/>
      <c r="L30" s="3">
        <f>ROUND(+L66/(((L68-L103)+(N68-N103))/2),3)</f>
        <v>0.172</v>
      </c>
      <c r="M30" s="3"/>
      <c r="N30" s="6">
        <f>AVERAGE(D30,F30,H30,J30,L30)</f>
        <v>0.154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0.949</v>
      </c>
      <c r="E32" s="3"/>
      <c r="F32" s="3">
        <f>ROUND((+F58-F57)/F56,3)</f>
        <v>0.936</v>
      </c>
      <c r="G32" s="3"/>
      <c r="H32" s="3">
        <f>ROUND((+H58-H57)/H56,3)</f>
        <v>0.929</v>
      </c>
      <c r="I32" s="3"/>
      <c r="J32" s="3">
        <f>ROUND((+J58-J57)/J56,3)</f>
        <v>0.881</v>
      </c>
      <c r="K32" s="3"/>
      <c r="L32" s="3">
        <f>ROUND((+L58-L57)/L56,3)</f>
        <v>0.907</v>
      </c>
      <c r="M32" s="3"/>
      <c r="N32" s="6">
        <f>AVERAGE(D32,F32,H32,J32,L32)</f>
        <v>0.9204000000000001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4.57</v>
      </c>
      <c r="E35" s="8" t="s">
        <v>3</v>
      </c>
      <c r="F35" s="8">
        <f>ROUND(((+F66+F65+F64+F63+F61+F59+F57)/F61),2)</f>
        <v>3.53</v>
      </c>
      <c r="G35" s="8" t="s">
        <v>3</v>
      </c>
      <c r="H35" s="8">
        <f>ROUND(((+H66+H65+H64+H63+H61+H59+H57)/H61),2)</f>
        <v>5.49</v>
      </c>
      <c r="I35" s="8" t="s">
        <v>3</v>
      </c>
      <c r="J35" s="8">
        <f>ROUND(((+J66+J65+J64+J63+J61+J59+J57)/J61),2)</f>
        <v>5.76</v>
      </c>
      <c r="K35" s="8" t="s">
        <v>3</v>
      </c>
      <c r="L35" s="8">
        <f>ROUND(((+L66+L65+L64+L63+L61+L59+L57)/L61),2)</f>
        <v>4.85</v>
      </c>
      <c r="M35" s="8" t="s">
        <v>3</v>
      </c>
      <c r="N35" s="29">
        <f>AVERAGE(D35,F35,H35,J35,L35)</f>
        <v>4.840000000000001</v>
      </c>
      <c r="O35" t="s">
        <v>3</v>
      </c>
    </row>
    <row r="36" spans="2:15" ht="15">
      <c r="B36" t="s">
        <v>21</v>
      </c>
      <c r="D36" s="8">
        <f>ROUND(((+D66+D65+D64+D63+D61)/(D61)),2)</f>
        <v>3.85</v>
      </c>
      <c r="E36" s="8" t="s">
        <v>3</v>
      </c>
      <c r="F36" s="8">
        <f>ROUND(((+F66+F65+F64+F63+F61)/(F61)),2)</f>
        <v>2.81</v>
      </c>
      <c r="G36" s="8" t="s">
        <v>3</v>
      </c>
      <c r="H36" s="8">
        <f>ROUND(((+H66+H65+H64+H63+H61)/(H61)),2)</f>
        <v>3.91</v>
      </c>
      <c r="I36" s="8" t="s">
        <v>3</v>
      </c>
      <c r="J36" s="8">
        <f>ROUND(((+J66+J65+J64+J63+J61)/(J61)),2)</f>
        <v>4.28</v>
      </c>
      <c r="K36" s="8" t="s">
        <v>3</v>
      </c>
      <c r="L36" s="8">
        <f>ROUND(((+L66+L65+L64+L63+L61)/(L61)),2)</f>
        <v>3.59</v>
      </c>
      <c r="M36" s="8" t="s">
        <v>3</v>
      </c>
      <c r="N36" s="29">
        <f>AVERAGE(D36,F36,H36,J36,L36)</f>
        <v>3.688</v>
      </c>
      <c r="O36" t="s">
        <v>3</v>
      </c>
    </row>
    <row r="37" spans="2:15" ht="15">
      <c r="B37" t="s">
        <v>14</v>
      </c>
      <c r="D37" s="8">
        <f>ROUND(((+D66+D65+D64+D63+D61)/(D61+D63+D64+D65)),2)</f>
        <v>3.85</v>
      </c>
      <c r="E37" s="8" t="s">
        <v>3</v>
      </c>
      <c r="F37" s="8">
        <f>ROUND(((+F66+F65+F64+F63+F61)/(F61+F63+F64+F65)),2)</f>
        <v>2.81</v>
      </c>
      <c r="G37" s="8" t="s">
        <v>3</v>
      </c>
      <c r="H37" s="8">
        <f>ROUND(((+H66+H65+H64+H63+H61)/(H61+H63+H64+H65)),2)</f>
        <v>3.91</v>
      </c>
      <c r="I37" s="8" t="s">
        <v>3</v>
      </c>
      <c r="J37" s="8">
        <f>ROUND(((+J66+J65+J64+J63+J61)/(J61+J63+J64+J65)),2)</f>
        <v>4.26</v>
      </c>
      <c r="K37" s="8" t="s">
        <v>3</v>
      </c>
      <c r="L37" s="8">
        <f>ROUND(((+L66+L65+L64+L63+L61)/(L61+L63+L64+L65)),2)</f>
        <v>3.57</v>
      </c>
      <c r="M37" s="8" t="s">
        <v>3</v>
      </c>
      <c r="N37" s="29">
        <f>AVERAGE(D37,F37,H37,J37,L37)</f>
        <v>3.6799999999999997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4.55</v>
      </c>
      <c r="E40" s="8" t="s">
        <v>3</v>
      </c>
      <c r="F40" s="8">
        <f>ROUND(((+F66+F65+F64+F63-F62+F61+F59+F57)/F61),2)</f>
        <v>3.52</v>
      </c>
      <c r="G40" s="8" t="s">
        <v>3</v>
      </c>
      <c r="H40" s="8">
        <f>ROUND(((+H66+H65+H64+H63-H62+H61+H59+H57)/H61),2)</f>
        <v>5.48</v>
      </c>
      <c r="I40" s="8" t="s">
        <v>3</v>
      </c>
      <c r="J40" s="8">
        <f>ROUND(((+J66+J65+J64+J63-J62+J61+J59+J57)/J61),2)</f>
        <v>5.75</v>
      </c>
      <c r="K40" s="8" t="s">
        <v>3</v>
      </c>
      <c r="L40" s="8">
        <f>ROUND(((+L66+L65+L64+L63-L62+L61+L59+L57)/L61),2)</f>
        <v>4.82</v>
      </c>
      <c r="M40" s="8" t="s">
        <v>3</v>
      </c>
      <c r="N40" s="29">
        <f>AVERAGE(D40,F40,H40,J40,L40)</f>
        <v>4.824</v>
      </c>
      <c r="O40" t="s">
        <v>3</v>
      </c>
    </row>
    <row r="41" spans="2:15" ht="15">
      <c r="B41" t="s">
        <v>21</v>
      </c>
      <c r="D41" s="8">
        <f>ROUND(((+D66+D65+D64+D63-D62+D61)/D61),2)</f>
        <v>3.82</v>
      </c>
      <c r="E41" s="8" t="s">
        <v>3</v>
      </c>
      <c r="F41" s="8">
        <f>ROUND(((+F66+F65+F64+F63-F62+F61)/F61),2)</f>
        <v>2.8</v>
      </c>
      <c r="G41" s="8" t="s">
        <v>3</v>
      </c>
      <c r="H41" s="8">
        <f>ROUND(((+H66+H65+H64+H63-H62+H61)/H61),2)</f>
        <v>3.9</v>
      </c>
      <c r="I41" s="8" t="s">
        <v>3</v>
      </c>
      <c r="J41" s="8">
        <f>ROUND(((+J66+J65+J64+J63-J62+J61)/J61),2)</f>
        <v>4.27</v>
      </c>
      <c r="K41" s="8" t="s">
        <v>3</v>
      </c>
      <c r="L41" s="8">
        <f>ROUND(((+L66+L65+L64+L63-L62+L61)/L61),2)</f>
        <v>3.57</v>
      </c>
      <c r="M41" s="8" t="s">
        <v>3</v>
      </c>
      <c r="N41" s="29">
        <f>AVERAGE(D41,F41,H41,J41,L41)</f>
        <v>3.6719999999999997</v>
      </c>
      <c r="O41" t="s">
        <v>3</v>
      </c>
    </row>
    <row r="42" spans="2:15" ht="15">
      <c r="B42" t="s">
        <v>14</v>
      </c>
      <c r="D42" s="8">
        <f>ROUND(((+D66+D65+D64+D63-D62+D61)/(D61+D63+D64+D65)),2)</f>
        <v>3.82</v>
      </c>
      <c r="E42" s="8" t="s">
        <v>3</v>
      </c>
      <c r="F42" s="8">
        <f>ROUND(((+F66+F65+F64+F63-F62+F61)/(F61+F63+F64+F65)),2)</f>
        <v>2.8</v>
      </c>
      <c r="G42" s="8" t="s">
        <v>3</v>
      </c>
      <c r="H42" s="8">
        <f>ROUND(((+H66+H65+H64+H63-H62+H61)/(H61+H63+H64+H65)),2)</f>
        <v>3.9</v>
      </c>
      <c r="I42" s="8" t="s">
        <v>3</v>
      </c>
      <c r="J42" s="8">
        <f>ROUND(((+J66+J65+J64+J63-J62+J61)/(J61+J63+J64+J65)),2)</f>
        <v>4.25</v>
      </c>
      <c r="K42" s="8" t="s">
        <v>3</v>
      </c>
      <c r="L42" s="8">
        <f>ROUND(((+L66+L65+L64+L63-L62+L61)/(L61+L63+L64+L65)),2)</f>
        <v>3.55</v>
      </c>
      <c r="M42" s="8" t="s">
        <v>3</v>
      </c>
      <c r="N42" s="29">
        <f>AVERAGE(D42,F42,H42,J42,L42)</f>
        <v>3.664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0.008</v>
      </c>
      <c r="E45" s="14"/>
      <c r="F45" s="14">
        <f>ROUND(F62/F66,3)</f>
        <v>0.005</v>
      </c>
      <c r="G45" s="14"/>
      <c r="H45" s="14">
        <f>ROUND(H62/H66,3)</f>
        <v>0.003</v>
      </c>
      <c r="I45" s="14"/>
      <c r="J45" s="14">
        <f>ROUND(J62/J66,3)</f>
        <v>0.004</v>
      </c>
      <c r="K45" s="14"/>
      <c r="L45" s="14">
        <f>ROUND(L62/L66,3)</f>
        <v>0.009</v>
      </c>
      <c r="M45" s="3"/>
      <c r="N45" s="6">
        <f aca="true" t="shared" si="0" ref="N45:N50">AVERAGE(D45,F45,H45,J45,L45)</f>
        <v>0.0058</v>
      </c>
    </row>
    <row r="46" spans="2:14" ht="15">
      <c r="B46" t="s">
        <v>17</v>
      </c>
      <c r="D46" s="19">
        <f>ROUND((D57+D59)/(D57+D59+D66+D63+D64+D65),3)</f>
        <v>0.203</v>
      </c>
      <c r="E46" s="20"/>
      <c r="F46" s="19">
        <f>ROUND((F57+F59)/(F57+F59+F66+F63+F64+F65),3)</f>
        <v>0.287</v>
      </c>
      <c r="G46" s="20"/>
      <c r="H46" s="19">
        <f>ROUND((H57+H59)/(H57+H59+H66+H63+H64+H65),3)</f>
        <v>0.352</v>
      </c>
      <c r="I46" s="20"/>
      <c r="J46" s="19">
        <f>ROUND((J57+J59)/(J57+J59+J66+J63+J64+J65),3)</f>
        <v>0.31</v>
      </c>
      <c r="K46" s="20"/>
      <c r="L46" s="19">
        <f>ROUND((L57+L59)/(L57+L59+L66+L63+L64+L65),3)</f>
        <v>0.326</v>
      </c>
      <c r="N46" s="6">
        <f t="shared" si="0"/>
        <v>0.2956</v>
      </c>
    </row>
    <row r="47" spans="2:14" ht="18">
      <c r="B47" s="38" t="s">
        <v>93</v>
      </c>
      <c r="D47" s="14">
        <f>ROUND(((+D82+D83+D84+D85+D86-D87+D88-D90-D91)/(+D89-D87)),3)</f>
        <v>0.646</v>
      </c>
      <c r="E47" s="15"/>
      <c r="F47" s="14">
        <f>ROUND(((+F82+F83+F84+F85+F86-F87+F88-F90-F91)/(+F89-F87)),3)</f>
        <v>0.995</v>
      </c>
      <c r="G47" s="15"/>
      <c r="H47" s="14">
        <f>ROUND(((+H82+H83+H84+H85+H86-H87+H88-H90-H91)/(+H89-H87)),3)</f>
        <v>1.71</v>
      </c>
      <c r="I47" s="15"/>
      <c r="J47" s="14">
        <f>ROUND(((+J82+J83+J84+J85+J86-J87+J88-J90-J91)/(+J89-J87)),3)</f>
        <v>1.444</v>
      </c>
      <c r="K47" s="15"/>
      <c r="L47" s="14">
        <f>ROUND(((+L82+L83+L84+L85+L86-L87+L88-L90-L91)/(+L89-L87)),3)</f>
        <v>1.151</v>
      </c>
      <c r="N47" s="6">
        <f t="shared" si="0"/>
        <v>1.1892</v>
      </c>
    </row>
    <row r="48" spans="2:14" ht="18">
      <c r="B48" s="38" t="s">
        <v>94</v>
      </c>
      <c r="D48" s="14">
        <f>ROUND(((+D82+D83+D84+D85+D86-D87+D88)/(AVERAGE(D76,F76)+AVERAGE(D79,F79)+AVERAGE(D80,F80))),3)</f>
        <v>0.202</v>
      </c>
      <c r="E48" s="15"/>
      <c r="F48" s="14">
        <f>ROUND(((+F82+F83+F84+F85+F86-F87+F88)/(AVERAGE(F76,H76)+AVERAGE(F79,H79)+AVERAGE(F80,H80))),3)</f>
        <v>0.264</v>
      </c>
      <c r="G48" s="15"/>
      <c r="H48" s="14">
        <f>ROUND(((+H82+H83+H84+H85+H86-H87+H88)/(AVERAGE(H76,J76)+AVERAGE(H79,J79)+AVERAGE(H80,J80))),3)</f>
        <v>0.416</v>
      </c>
      <c r="I48" s="15"/>
      <c r="J48" s="14">
        <f>ROUND(((+J82+J83+J84+J85+J86-J87+J88)/(AVERAGE(J76,L76)+AVERAGE(J79,L79)+AVERAGE(J80,L80))),3)</f>
        <v>0.467</v>
      </c>
      <c r="K48" s="15"/>
      <c r="L48" s="14">
        <f>ROUND(((+L82+L83+L84+L85+L86-L87+L88)/(AVERAGE(L76,N76)+AVERAGE(L79,N79)+AVERAGE(L80,N80))),3)</f>
        <v>0.357</v>
      </c>
      <c r="N48" s="6">
        <f t="shared" si="0"/>
        <v>0.3412</v>
      </c>
    </row>
    <row r="49" spans="2:15" ht="18">
      <c r="B49" s="38" t="s">
        <v>95</v>
      </c>
      <c r="D49" s="30">
        <f>ROUND(((+D82+D83+D84+D85+D86-D87+D88+D92)/D61),2)</f>
        <v>5.25</v>
      </c>
      <c r="E49" t="s">
        <v>3</v>
      </c>
      <c r="F49" s="30">
        <f>ROUND(((+F82+F83+F84+F85+F86-F87+F88+F92)/F61),2)</f>
        <v>7.44</v>
      </c>
      <c r="G49" t="s">
        <v>3</v>
      </c>
      <c r="H49" s="30">
        <f>ROUND(((+H82+H83+H84+H85+H86-H87+H88+H92)/H61),2)</f>
        <v>11.48</v>
      </c>
      <c r="I49" t="s">
        <v>3</v>
      </c>
      <c r="J49" s="30">
        <f>ROUND(((+J82+J83+J84+J85+J86-J87+J88+J92)/J61),2)</f>
        <v>10.07</v>
      </c>
      <c r="K49" t="s">
        <v>3</v>
      </c>
      <c r="L49" s="30">
        <f>ROUND(((+L82+L83+L84+L85+L86-L87+L88+L92)/L61),2)</f>
        <v>6.56</v>
      </c>
      <c r="M49" t="s">
        <v>3</v>
      </c>
      <c r="N49" s="31">
        <f t="shared" si="0"/>
        <v>8.16</v>
      </c>
      <c r="O49" t="s">
        <v>3</v>
      </c>
    </row>
    <row r="50" spans="2:15" ht="18">
      <c r="B50" s="38" t="s">
        <v>96</v>
      </c>
      <c r="D50" s="30">
        <f>ROUND(((+D82+D83+D84+D85+D86-D87+D88-D91)/+D90),2)</f>
        <v>2.59</v>
      </c>
      <c r="E50" t="s">
        <v>3</v>
      </c>
      <c r="F50" s="30">
        <f>ROUND(((+F82+F83+F84+F85+F86-F87+F88-F91)/+F90),2)</f>
        <v>3.31</v>
      </c>
      <c r="G50" t="s">
        <v>3</v>
      </c>
      <c r="H50" s="30">
        <f>ROUND(((+H82+H83+H84+H85+H86-H87+H88-H91)/+H90),2)</f>
        <v>4.79</v>
      </c>
      <c r="I50" t="s">
        <v>3</v>
      </c>
      <c r="J50" s="30">
        <f>ROUND(((+J82+J83+J84+J85+J86-J87+J88-J91)/+J90),2)</f>
        <v>4.44</v>
      </c>
      <c r="K50" t="s">
        <v>3</v>
      </c>
      <c r="L50" s="30">
        <f>ROUND(((+L82+L83+L84+L85+L86-L87+L88-L91)/+L90),2)</f>
        <v>3.71</v>
      </c>
      <c r="M50" t="s">
        <v>3</v>
      </c>
      <c r="N50" s="31">
        <f t="shared" si="0"/>
        <v>3.7680000000000007</v>
      </c>
      <c r="O50" t="s">
        <v>3</v>
      </c>
    </row>
    <row r="52" ht="15">
      <c r="A52" t="s">
        <v>4</v>
      </c>
    </row>
    <row r="54" spans="1:14" ht="15.75">
      <c r="A54" s="21" t="s">
        <v>79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3357.8</v>
      </c>
      <c r="E56" s="24"/>
      <c r="F56" s="24">
        <v>2739.7</v>
      </c>
      <c r="G56" s="24"/>
      <c r="H56" s="24">
        <v>2662.7</v>
      </c>
      <c r="I56" s="24"/>
      <c r="J56" s="24">
        <v>1897.4</v>
      </c>
      <c r="K56" s="24"/>
      <c r="L56" s="24">
        <v>2366.3</v>
      </c>
      <c r="M56" s="24"/>
      <c r="N56" s="24">
        <v>2298.1</v>
      </c>
    </row>
    <row r="57" spans="1:14" ht="15">
      <c r="A57" s="22" t="s">
        <v>23</v>
      </c>
      <c r="B57" s="22"/>
      <c r="C57" s="22"/>
      <c r="D57" s="24">
        <v>34.7</v>
      </c>
      <c r="E57" s="24"/>
      <c r="F57" s="24">
        <v>30.2</v>
      </c>
      <c r="G57" s="24"/>
      <c r="H57" s="24">
        <v>59.6</v>
      </c>
      <c r="I57" s="24"/>
      <c r="J57" s="24">
        <v>57.6</v>
      </c>
      <c r="K57" s="24"/>
      <c r="L57" s="24">
        <v>59.1</v>
      </c>
      <c r="M57" s="24"/>
      <c r="N57" s="24">
        <v>14.4</v>
      </c>
    </row>
    <row r="58" spans="1:14" ht="15">
      <c r="A58" s="22" t="s">
        <v>24</v>
      </c>
      <c r="B58" s="22"/>
      <c r="C58" s="22"/>
      <c r="D58" s="24">
        <v>3220.7</v>
      </c>
      <c r="E58" s="24"/>
      <c r="F58" s="24">
        <v>2593.7</v>
      </c>
      <c r="G58" s="24"/>
      <c r="H58" s="24">
        <v>2532.9</v>
      </c>
      <c r="I58" s="24"/>
      <c r="J58" s="24">
        <v>1728.5</v>
      </c>
      <c r="K58" s="24"/>
      <c r="L58" s="24">
        <v>2206.2</v>
      </c>
      <c r="M58" s="24"/>
      <c r="N58" s="24">
        <v>2218.4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183.1</v>
      </c>
      <c r="E60" s="24"/>
      <c r="F60" s="24">
        <v>116.3</v>
      </c>
      <c r="G60" s="24"/>
      <c r="H60" s="24">
        <v>147.1</v>
      </c>
      <c r="I60" s="24"/>
      <c r="J60" s="24">
        <v>166.5</v>
      </c>
      <c r="K60" s="24"/>
      <c r="L60" s="24">
        <v>168.1</v>
      </c>
      <c r="M60" s="24"/>
      <c r="N60" s="24">
        <v>95.3</v>
      </c>
    </row>
    <row r="61" spans="1:14" ht="15">
      <c r="A61" s="22" t="s">
        <v>27</v>
      </c>
      <c r="B61" s="22"/>
      <c r="C61" s="22"/>
      <c r="D61" s="24">
        <v>47.9</v>
      </c>
      <c r="E61" s="24"/>
      <c r="F61" s="24">
        <v>41.6</v>
      </c>
      <c r="G61" s="24"/>
      <c r="H61" s="24">
        <v>37.7</v>
      </c>
      <c r="I61" s="24"/>
      <c r="J61" s="24">
        <v>39</v>
      </c>
      <c r="K61" s="24"/>
      <c r="L61" s="24">
        <v>47.1</v>
      </c>
      <c r="M61" s="24"/>
      <c r="N61" s="24">
        <v>49.7</v>
      </c>
    </row>
    <row r="62" spans="1:14" ht="15">
      <c r="A62" s="22" t="s">
        <v>28</v>
      </c>
      <c r="B62" s="22"/>
      <c r="C62" s="22"/>
      <c r="D62" s="24">
        <v>1.1</v>
      </c>
      <c r="E62" s="24"/>
      <c r="F62" s="24">
        <v>0.4</v>
      </c>
      <c r="G62" s="24"/>
      <c r="H62" s="24">
        <v>0.3</v>
      </c>
      <c r="I62" s="24"/>
      <c r="J62" s="24">
        <v>0.5</v>
      </c>
      <c r="K62" s="24"/>
      <c r="L62" s="24">
        <v>1.1</v>
      </c>
      <c r="M62" s="24"/>
      <c r="N62" s="24">
        <v>1.1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0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0.2</v>
      </c>
      <c r="K64" s="24"/>
      <c r="L64" s="24">
        <v>0.3</v>
      </c>
      <c r="M64" s="24"/>
      <c r="N64" s="24">
        <v>0.3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136.3</v>
      </c>
      <c r="E66" s="24"/>
      <c r="F66" s="24">
        <v>75.1</v>
      </c>
      <c r="G66" s="24"/>
      <c r="H66" s="24">
        <v>109.7</v>
      </c>
      <c r="I66" s="24"/>
      <c r="J66" s="24">
        <v>127.8</v>
      </c>
      <c r="K66" s="24"/>
      <c r="L66" s="24">
        <v>121.8</v>
      </c>
      <c r="M66" s="24"/>
      <c r="N66" s="24">
        <v>46.4</v>
      </c>
    </row>
    <row r="67" spans="1:14" ht="15">
      <c r="A67" s="22" t="s">
        <v>33</v>
      </c>
      <c r="B67" s="22"/>
      <c r="C67" s="22"/>
      <c r="D67" s="24">
        <v>3.08</v>
      </c>
      <c r="E67" s="24"/>
      <c r="F67" s="24">
        <v>1.71</v>
      </c>
      <c r="G67" s="24"/>
      <c r="H67" s="24">
        <v>2.49</v>
      </c>
      <c r="I67" s="24"/>
      <c r="J67" s="24">
        <v>2.9</v>
      </c>
      <c r="K67" s="24"/>
      <c r="L67" s="24">
        <v>2.7</v>
      </c>
      <c r="M67" s="24"/>
      <c r="N67" s="24">
        <v>1.01</v>
      </c>
    </row>
    <row r="68" spans="1:14" ht="15">
      <c r="A68" s="22" t="s">
        <v>34</v>
      </c>
      <c r="B68" s="22"/>
      <c r="C68" s="22"/>
      <c r="D68" s="24">
        <v>811.3</v>
      </c>
      <c r="E68" s="24"/>
      <c r="F68" s="24">
        <v>749.1</v>
      </c>
      <c r="G68" s="24"/>
      <c r="H68" s="24">
        <v>754.6</v>
      </c>
      <c r="I68" s="24"/>
      <c r="J68" s="24">
        <v>728.4</v>
      </c>
      <c r="K68" s="24"/>
      <c r="L68" s="24">
        <v>704.2</v>
      </c>
      <c r="M68" s="24"/>
      <c r="N68" s="24">
        <v>707.8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0</v>
      </c>
      <c r="G69" s="24"/>
      <c r="H69" s="24">
        <v>0</v>
      </c>
      <c r="I69" s="24"/>
      <c r="J69" s="24">
        <v>0</v>
      </c>
      <c r="K69" s="24"/>
      <c r="L69" s="24">
        <v>0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4.3</v>
      </c>
      <c r="K71" s="24"/>
      <c r="L71" s="24">
        <v>6.1</v>
      </c>
      <c r="M71" s="24"/>
      <c r="N71" s="24">
        <v>6.3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486.4</v>
      </c>
      <c r="E76" s="24"/>
      <c r="F76" s="24">
        <v>496.9</v>
      </c>
      <c r="G76" s="24"/>
      <c r="H76" s="24">
        <v>496.9</v>
      </c>
      <c r="I76" s="24"/>
      <c r="J76" s="24">
        <v>396.2</v>
      </c>
      <c r="K76" s="24"/>
      <c r="L76" s="24">
        <v>446.4</v>
      </c>
      <c r="M76" s="24"/>
      <c r="N76" s="24">
        <v>347.1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1297.7</v>
      </c>
      <c r="E78" s="24"/>
      <c r="F78" s="24">
        <v>1246</v>
      </c>
      <c r="G78" s="24"/>
      <c r="H78" s="24">
        <v>1251.5</v>
      </c>
      <c r="I78" s="24"/>
      <c r="J78" s="24">
        <v>1128.9</v>
      </c>
      <c r="K78" s="24"/>
      <c r="L78" s="24">
        <v>1156.7</v>
      </c>
      <c r="M78" s="24"/>
      <c r="N78" s="24">
        <v>1061.2</v>
      </c>
    </row>
    <row r="79" spans="1:14" ht="15">
      <c r="A79" s="22" t="s">
        <v>45</v>
      </c>
      <c r="B79" s="22"/>
      <c r="C79" s="22"/>
      <c r="D79" s="24">
        <v>50</v>
      </c>
      <c r="E79" s="24"/>
      <c r="F79" s="24">
        <v>0.2</v>
      </c>
      <c r="G79" s="24"/>
      <c r="H79" s="24">
        <v>0</v>
      </c>
      <c r="I79" s="24"/>
      <c r="J79" s="24">
        <v>100</v>
      </c>
      <c r="K79" s="24"/>
      <c r="L79" s="24">
        <v>0</v>
      </c>
      <c r="M79" s="24"/>
      <c r="N79" s="24">
        <v>125</v>
      </c>
    </row>
    <row r="80" spans="1:14" ht="15">
      <c r="A80" s="22" t="s">
        <v>46</v>
      </c>
      <c r="B80" s="22"/>
      <c r="C80" s="22"/>
      <c r="D80" s="24">
        <v>586</v>
      </c>
      <c r="E80" s="24"/>
      <c r="F80" s="24">
        <v>490</v>
      </c>
      <c r="G80" s="24"/>
      <c r="H80" s="24">
        <v>575</v>
      </c>
      <c r="I80" s="24"/>
      <c r="J80" s="24">
        <v>315</v>
      </c>
      <c r="K80" s="24"/>
      <c r="L80" s="24">
        <v>277</v>
      </c>
      <c r="M80" s="24"/>
      <c r="N80" s="24">
        <v>442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136.3</v>
      </c>
      <c r="E82" s="24"/>
      <c r="F82" s="24">
        <v>75.1</v>
      </c>
      <c r="G82" s="24"/>
      <c r="H82" s="24">
        <v>109.7</v>
      </c>
      <c r="I82" s="24"/>
      <c r="J82" s="24">
        <v>128</v>
      </c>
      <c r="K82" s="24"/>
      <c r="L82" s="24">
        <v>122.1</v>
      </c>
      <c r="M82" s="24"/>
      <c r="N82" s="24">
        <v>46.7</v>
      </c>
    </row>
    <row r="83" spans="1:14" ht="15">
      <c r="A83" s="22" t="s">
        <v>49</v>
      </c>
      <c r="B83" s="22"/>
      <c r="C83" s="22"/>
      <c r="D83" s="24">
        <v>172.4</v>
      </c>
      <c r="E83" s="24"/>
      <c r="F83" s="24">
        <v>166.6</v>
      </c>
      <c r="G83" s="24"/>
      <c r="H83" s="24">
        <v>161.7</v>
      </c>
      <c r="I83" s="24"/>
      <c r="J83" s="24">
        <v>155</v>
      </c>
      <c r="K83" s="24"/>
      <c r="L83" s="24">
        <v>148.8</v>
      </c>
      <c r="M83" s="24"/>
      <c r="N83" s="24">
        <v>144.3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-102.1</v>
      </c>
      <c r="E85" s="24"/>
      <c r="F85" s="24">
        <v>27.3</v>
      </c>
      <c r="G85" s="24"/>
      <c r="H85" s="24">
        <v>132.6</v>
      </c>
      <c r="I85" s="24"/>
      <c r="J85" s="24">
        <v>68.1</v>
      </c>
      <c r="K85" s="24"/>
      <c r="L85" s="24">
        <v>21.6</v>
      </c>
      <c r="M85" s="24"/>
      <c r="N85" s="24">
        <v>-15.6</v>
      </c>
    </row>
    <row r="86" spans="1:14" ht="15">
      <c r="A86" s="22" t="s">
        <v>52</v>
      </c>
      <c r="B86" s="22"/>
      <c r="C86" s="22"/>
      <c r="D86" s="24">
        <v>0</v>
      </c>
      <c r="E86" s="24"/>
      <c r="F86" s="24">
        <v>0</v>
      </c>
      <c r="G86" s="24"/>
      <c r="H86" s="24">
        <v>0</v>
      </c>
      <c r="I86" s="24"/>
      <c r="J86" s="24">
        <v>0</v>
      </c>
      <c r="K86" s="24"/>
      <c r="L86" s="24">
        <v>0</v>
      </c>
      <c r="M86" s="24"/>
      <c r="N86" s="24">
        <v>0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</v>
      </c>
      <c r="M87" s="24"/>
      <c r="N87" s="24">
        <v>0</v>
      </c>
    </row>
    <row r="88" spans="1:14" ht="15">
      <c r="A88" s="22" t="s">
        <v>69</v>
      </c>
      <c r="B88" s="22"/>
      <c r="C88" s="22"/>
      <c r="D88" s="24">
        <v>6</v>
      </c>
      <c r="E88" s="24"/>
      <c r="F88" s="24">
        <v>2.4</v>
      </c>
      <c r="G88" s="24"/>
      <c r="H88" s="24">
        <v>-12.2</v>
      </c>
      <c r="I88" s="24"/>
      <c r="J88" s="24">
        <v>7.6</v>
      </c>
      <c r="K88" s="24"/>
      <c r="L88" s="24">
        <v>0</v>
      </c>
      <c r="M88" s="24"/>
      <c r="N88" s="24">
        <v>0</v>
      </c>
    </row>
    <row r="89" spans="1:14" ht="15">
      <c r="A89" s="22" t="s">
        <v>54</v>
      </c>
      <c r="B89" s="22"/>
      <c r="C89" s="22"/>
      <c r="D89" s="24">
        <v>201.9</v>
      </c>
      <c r="E89" s="24"/>
      <c r="F89" s="24">
        <v>190.4</v>
      </c>
      <c r="G89" s="24"/>
      <c r="H89" s="24">
        <v>181.3</v>
      </c>
      <c r="I89" s="24"/>
      <c r="J89" s="24">
        <v>192.5</v>
      </c>
      <c r="K89" s="24"/>
      <c r="L89" s="24">
        <v>185.7</v>
      </c>
      <c r="M89" s="24"/>
      <c r="N89" s="24">
        <v>158.4</v>
      </c>
    </row>
    <row r="90" spans="1:14" ht="15">
      <c r="A90" s="22" t="s">
        <v>55</v>
      </c>
      <c r="B90" s="22"/>
      <c r="C90" s="22"/>
      <c r="D90" s="24">
        <v>82.1</v>
      </c>
      <c r="E90" s="24"/>
      <c r="F90" s="24">
        <v>82</v>
      </c>
      <c r="G90" s="24"/>
      <c r="H90" s="24">
        <v>81.8</v>
      </c>
      <c r="I90" s="24"/>
      <c r="J90" s="24">
        <v>80.7</v>
      </c>
      <c r="K90" s="24"/>
      <c r="L90" s="24">
        <v>78.8</v>
      </c>
      <c r="M90" s="24"/>
      <c r="N90" s="24">
        <v>75.9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39.1</v>
      </c>
      <c r="E92" s="24"/>
      <c r="F92" s="24">
        <v>37.9</v>
      </c>
      <c r="G92" s="24"/>
      <c r="H92" s="24">
        <v>41.1</v>
      </c>
      <c r="I92" s="24"/>
      <c r="J92" s="24">
        <v>34</v>
      </c>
      <c r="K92" s="24"/>
      <c r="L92" s="24">
        <v>16.6</v>
      </c>
      <c r="M92" s="24"/>
      <c r="N92" s="24">
        <v>50.6</v>
      </c>
    </row>
    <row r="93" spans="1:14" ht="15">
      <c r="A93" s="22" t="s">
        <v>58</v>
      </c>
      <c r="B93" s="22"/>
      <c r="C93" s="22"/>
      <c r="D93" s="24">
        <v>99.6</v>
      </c>
      <c r="E93" s="24"/>
      <c r="F93" s="24">
        <v>10.4</v>
      </c>
      <c r="G93" s="24"/>
      <c r="H93" s="24">
        <v>-73.3</v>
      </c>
      <c r="I93" s="24"/>
      <c r="J93" s="24">
        <v>-4.4</v>
      </c>
      <c r="K93" s="24"/>
      <c r="L93" s="24">
        <v>46.9</v>
      </c>
      <c r="M93" s="24"/>
      <c r="N93" s="24">
        <v>30.6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</v>
      </c>
      <c r="M94" s="24"/>
      <c r="N94" s="24">
        <v>1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</v>
      </c>
      <c r="M95" s="24"/>
      <c r="N95" s="24">
        <v>1</v>
      </c>
    </row>
    <row r="96" spans="1:14" ht="15">
      <c r="A96" s="22" t="s">
        <v>59</v>
      </c>
      <c r="B96" s="22"/>
      <c r="C96" s="22"/>
      <c r="D96" s="24">
        <v>82.1</v>
      </c>
      <c r="E96" s="24"/>
      <c r="F96" s="24">
        <v>81.9</v>
      </c>
      <c r="G96" s="24"/>
      <c r="H96" s="24">
        <v>81.9</v>
      </c>
      <c r="I96" s="24"/>
      <c r="J96" s="24">
        <v>81.1</v>
      </c>
      <c r="K96" s="24"/>
      <c r="L96" s="24">
        <v>79.1</v>
      </c>
      <c r="M96" s="24"/>
      <c r="N96" s="24">
        <v>76.4</v>
      </c>
    </row>
    <row r="97" spans="1:14" ht="15">
      <c r="A97" s="22" t="s">
        <v>60</v>
      </c>
      <c r="B97" s="22"/>
      <c r="C97" s="22"/>
      <c r="D97" s="24">
        <v>1.86</v>
      </c>
      <c r="E97" s="24"/>
      <c r="F97" s="24">
        <v>1.86</v>
      </c>
      <c r="G97" s="24"/>
      <c r="H97" s="24">
        <v>1.86</v>
      </c>
      <c r="I97" s="24"/>
      <c r="J97" s="24">
        <v>1.84</v>
      </c>
      <c r="K97" s="24"/>
      <c r="L97" s="24">
        <v>1.76</v>
      </c>
      <c r="M97" s="24"/>
      <c r="N97" s="24">
        <v>1.66</v>
      </c>
    </row>
    <row r="98" spans="1:14" ht="15">
      <c r="A98" s="22" t="s">
        <v>61</v>
      </c>
      <c r="B98" s="22"/>
      <c r="C98" s="22"/>
      <c r="D98" s="24">
        <v>1.86</v>
      </c>
      <c r="E98" s="24"/>
      <c r="F98" s="24">
        <v>1.86</v>
      </c>
      <c r="G98" s="24"/>
      <c r="H98" s="24">
        <v>1.855</v>
      </c>
      <c r="I98" s="24"/>
      <c r="J98" s="24">
        <v>1.82</v>
      </c>
      <c r="K98" s="24"/>
      <c r="L98" s="24">
        <v>1.735</v>
      </c>
      <c r="M98" s="24"/>
      <c r="N98" s="24">
        <v>1.635</v>
      </c>
    </row>
    <row r="99" spans="1:14" ht="15">
      <c r="A99" s="22" t="s">
        <v>62</v>
      </c>
      <c r="B99" s="22"/>
      <c r="C99" s="22"/>
      <c r="D99" s="24">
        <v>42.97</v>
      </c>
      <c r="E99" s="24"/>
      <c r="F99" s="24">
        <v>39.65</v>
      </c>
      <c r="G99" s="24"/>
      <c r="H99" s="24">
        <v>39.3</v>
      </c>
      <c r="I99" s="24"/>
      <c r="J99" s="24">
        <v>49</v>
      </c>
      <c r="K99" s="24"/>
      <c r="L99" s="24">
        <v>42.375</v>
      </c>
      <c r="M99" s="24"/>
      <c r="N99" s="24">
        <v>43.875</v>
      </c>
    </row>
    <row r="100" spans="1:14" ht="15">
      <c r="A100" s="22" t="s">
        <v>63</v>
      </c>
      <c r="B100" s="22"/>
      <c r="C100" s="22"/>
      <c r="D100" s="24">
        <v>35.5</v>
      </c>
      <c r="E100" s="24"/>
      <c r="F100" s="24">
        <v>32.04</v>
      </c>
      <c r="G100" s="24"/>
      <c r="H100" s="24">
        <v>23.7</v>
      </c>
      <c r="I100" s="24"/>
      <c r="J100" s="24">
        <v>17.25</v>
      </c>
      <c r="K100" s="24"/>
      <c r="L100" s="24">
        <v>34</v>
      </c>
      <c r="M100" s="24"/>
      <c r="N100" s="24">
        <v>29.375</v>
      </c>
    </row>
    <row r="101" spans="1:14" ht="15">
      <c r="A101" s="22" t="s">
        <v>64</v>
      </c>
      <c r="B101" s="22"/>
      <c r="C101" s="22"/>
      <c r="D101" s="24">
        <v>39.31</v>
      </c>
      <c r="E101" s="24"/>
      <c r="F101" s="24">
        <v>36.94</v>
      </c>
      <c r="G101" s="24"/>
      <c r="H101" s="24">
        <v>34.04</v>
      </c>
      <c r="I101" s="24"/>
      <c r="J101" s="24">
        <v>34.03</v>
      </c>
      <c r="K101" s="24"/>
      <c r="L101" s="24">
        <v>41.64</v>
      </c>
      <c r="M101" s="24"/>
      <c r="N101" s="24">
        <v>43.188</v>
      </c>
    </row>
    <row r="102" spans="1:14" ht="15">
      <c r="A102" s="22" t="s">
        <v>65</v>
      </c>
      <c r="B102" s="22"/>
      <c r="C102" s="22"/>
      <c r="D102" s="24">
        <v>44.18</v>
      </c>
      <c r="E102" s="24"/>
      <c r="F102" s="24">
        <v>44.102</v>
      </c>
      <c r="G102" s="24"/>
      <c r="H102" s="24">
        <v>44.04</v>
      </c>
      <c r="I102" s="24"/>
      <c r="J102" s="24">
        <v>44.011</v>
      </c>
      <c r="K102" s="24"/>
      <c r="L102" s="24">
        <v>44.398</v>
      </c>
      <c r="M102" s="24"/>
      <c r="N102" s="24">
        <v>45.491</v>
      </c>
    </row>
    <row r="103" spans="1:14" ht="15">
      <c r="A103" s="22" t="s">
        <v>84</v>
      </c>
      <c r="B103" s="22"/>
      <c r="C103" s="22"/>
      <c r="D103" s="24">
        <v>-1.6</v>
      </c>
      <c r="E103" s="24"/>
      <c r="F103" s="24">
        <v>-6.8</v>
      </c>
      <c r="G103" s="24"/>
      <c r="H103" s="24">
        <v>-6</v>
      </c>
      <c r="I103" s="24"/>
      <c r="J103" s="24">
        <v>-6.3</v>
      </c>
      <c r="K103" s="24"/>
      <c r="L103" s="24">
        <v>-0.3</v>
      </c>
      <c r="M103" s="24"/>
      <c r="N103" s="24">
        <v>-0.9</v>
      </c>
    </row>
    <row r="104" ht="15">
      <c r="A104" t="s">
        <v>71</v>
      </c>
    </row>
    <row r="105" spans="2:14" ht="15">
      <c r="B105" t="s">
        <v>70</v>
      </c>
      <c r="D105" s="17">
        <f>D67/D94</f>
        <v>3.08</v>
      </c>
      <c r="F105" s="17">
        <f>F67/F94</f>
        <v>1.71</v>
      </c>
      <c r="H105" s="17">
        <f>H67/H94</f>
        <v>2.49</v>
      </c>
      <c r="J105" s="17">
        <f>J67/J94</f>
        <v>2.9</v>
      </c>
      <c r="L105" s="17">
        <f>L67/L94</f>
        <v>2.7</v>
      </c>
      <c r="N105" s="17">
        <f>N67/N94</f>
        <v>1.01</v>
      </c>
    </row>
    <row r="106" spans="2:14" ht="15">
      <c r="B106" t="s">
        <v>60</v>
      </c>
      <c r="D106" s="17">
        <f>D97/D94</f>
        <v>1.86</v>
      </c>
      <c r="F106" s="17">
        <f>F97/F94</f>
        <v>1.86</v>
      </c>
      <c r="H106" s="17">
        <f>H97/H94</f>
        <v>1.86</v>
      </c>
      <c r="J106" s="17">
        <f>J97/J94</f>
        <v>1.84</v>
      </c>
      <c r="L106" s="17">
        <f>L97/L94</f>
        <v>1.76</v>
      </c>
      <c r="N106" s="17">
        <f>N97/N94</f>
        <v>1.66</v>
      </c>
    </row>
    <row r="107" spans="2:14" ht="15">
      <c r="B107" t="s">
        <v>61</v>
      </c>
      <c r="D107" s="17">
        <f>D98/D94</f>
        <v>1.86</v>
      </c>
      <c r="F107" s="17">
        <f>F98/F94</f>
        <v>1.86</v>
      </c>
      <c r="H107" s="17">
        <f>H98/H94</f>
        <v>1.855</v>
      </c>
      <c r="J107" s="17">
        <f>J98/J94</f>
        <v>1.82</v>
      </c>
      <c r="L107" s="17">
        <f>L98/L94</f>
        <v>1.735</v>
      </c>
      <c r="N107" s="17">
        <f>N98/N94</f>
        <v>1.635</v>
      </c>
    </row>
    <row r="108" spans="2:14" ht="15">
      <c r="B108" t="s">
        <v>62</v>
      </c>
      <c r="D108" s="17">
        <f>D99/D94</f>
        <v>42.97</v>
      </c>
      <c r="F108" s="17">
        <f>F99/F94</f>
        <v>39.65</v>
      </c>
      <c r="H108" s="17">
        <f>H99/H94</f>
        <v>39.3</v>
      </c>
      <c r="J108" s="17">
        <f>J99/J94</f>
        <v>49</v>
      </c>
      <c r="L108" s="17">
        <f>L99/L94</f>
        <v>42.375</v>
      </c>
      <c r="N108" s="17">
        <f>N99/N94</f>
        <v>43.875</v>
      </c>
    </row>
    <row r="109" spans="2:14" ht="15">
      <c r="B109" t="s">
        <v>63</v>
      </c>
      <c r="D109" s="17">
        <f>D100/D94</f>
        <v>35.5</v>
      </c>
      <c r="F109" s="17">
        <f>F100/F94</f>
        <v>32.04</v>
      </c>
      <c r="H109" s="17">
        <f>H100/H94</f>
        <v>23.7</v>
      </c>
      <c r="J109" s="17">
        <f>J100/J94</f>
        <v>17.25</v>
      </c>
      <c r="L109" s="17">
        <f>L100/L94</f>
        <v>34</v>
      </c>
      <c r="N109" s="17">
        <f>N100/N94</f>
        <v>29.375</v>
      </c>
    </row>
    <row r="110" spans="2:14" ht="15">
      <c r="B110" t="s">
        <v>64</v>
      </c>
      <c r="D110" s="17">
        <f>D101/D94</f>
        <v>39.31</v>
      </c>
      <c r="F110" s="17">
        <f>F101/F94</f>
        <v>36.94</v>
      </c>
      <c r="H110" s="17">
        <f>H101/H94</f>
        <v>34.04</v>
      </c>
      <c r="J110" s="17">
        <f>J101/J94</f>
        <v>34.03</v>
      </c>
      <c r="L110" s="17">
        <f>L101/L94</f>
        <v>41.64</v>
      </c>
      <c r="N110" s="17">
        <f>N101/N94</f>
        <v>43.188</v>
      </c>
    </row>
    <row r="111" spans="2:14" ht="15">
      <c r="B111" t="s">
        <v>65</v>
      </c>
      <c r="D111" s="18">
        <f>D102*D94</f>
        <v>44.18</v>
      </c>
      <c r="E111" s="18"/>
      <c r="F111" s="18">
        <f>F102*F94</f>
        <v>44.102</v>
      </c>
      <c r="G111" s="18"/>
      <c r="H111" s="18">
        <f>H102*H94</f>
        <v>44.04</v>
      </c>
      <c r="I111" s="18"/>
      <c r="J111" s="18">
        <f>J102*J94</f>
        <v>44.011</v>
      </c>
      <c r="K111" s="18"/>
      <c r="L111" s="18">
        <f>L102*L94</f>
        <v>44.398</v>
      </c>
      <c r="M111" s="18"/>
      <c r="N111" s="18">
        <f>N102*N94</f>
        <v>45.491</v>
      </c>
    </row>
    <row r="112" spans="2:14" ht="15">
      <c r="B112" t="s">
        <v>66</v>
      </c>
      <c r="D112" s="17">
        <f>ROUND(D68/D111,2)</f>
        <v>18.36</v>
      </c>
      <c r="F112" s="17">
        <f>ROUND(F68/F111,2)</f>
        <v>16.99</v>
      </c>
      <c r="H112" s="17">
        <f>ROUND(H68/H111,2)</f>
        <v>17.13</v>
      </c>
      <c r="J112" s="17">
        <f>ROUND(J68/J111,2)</f>
        <v>16.55</v>
      </c>
      <c r="L112" s="17">
        <f>ROUND(L68/L111,2)</f>
        <v>15.86</v>
      </c>
      <c r="N112" s="17">
        <f>ROUND(N68/N111,2)</f>
        <v>15.56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bestFit="1" customWidth="1"/>
    <col min="7" max="7" width="3.77734375" style="0" customWidth="1"/>
    <col min="8" max="8" width="10.21484375" style="0" bestFit="1" customWidth="1"/>
    <col min="9" max="9" width="3.77734375" style="0" customWidth="1"/>
    <col min="10" max="10" width="10.21484375" style="0" bestFit="1" customWidth="1"/>
    <col min="11" max="11" width="3.77734375" style="0" customWidth="1"/>
    <col min="12" max="12" width="10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NORTHWEST NATURAL GAS CO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1118.342</v>
      </c>
      <c r="F8" s="39">
        <f>F78+F79+F81-F103</f>
        <v>1069.362</v>
      </c>
      <c r="H8" s="39">
        <f>H78+H79+H81-H103</f>
        <v>1007.651</v>
      </c>
      <c r="J8" s="39">
        <f>J78+J79+J81-J103</f>
        <v>960.382</v>
      </c>
      <c r="L8" s="39">
        <f>L78+L79+L81-L103</f>
        <v>920.913</v>
      </c>
    </row>
    <row r="9" spans="2:12" ht="15">
      <c r="B9" t="s">
        <v>5</v>
      </c>
      <c r="D9" s="12">
        <f>D80</f>
        <v>126.7</v>
      </c>
      <c r="F9" s="12">
        <f>F80</f>
        <v>102.5</v>
      </c>
      <c r="H9" s="12">
        <f>H80</f>
        <v>85.2</v>
      </c>
      <c r="J9" s="12">
        <f>J80</f>
        <v>69.802</v>
      </c>
      <c r="L9" s="12">
        <f>L80</f>
        <v>108.291</v>
      </c>
    </row>
    <row r="10" spans="2:12" ht="15.75" thickBot="1">
      <c r="B10" t="s">
        <v>7</v>
      </c>
      <c r="D10" s="13">
        <f>D8+D9</f>
        <v>1245.0420000000001</v>
      </c>
      <c r="F10" s="13">
        <f>F8+F9</f>
        <v>1171.862</v>
      </c>
      <c r="H10" s="13">
        <f>H8+H9</f>
        <v>1092.8509999999999</v>
      </c>
      <c r="J10" s="13">
        <f>J8+J9</f>
        <v>1030.184</v>
      </c>
      <c r="L10" s="13">
        <f>L8+L9</f>
        <v>1029.204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17</v>
      </c>
      <c r="E13" s="8" t="s">
        <v>3</v>
      </c>
      <c r="F13" s="34">
        <f>ROUND(AVERAGE(F108:F109)/F105,0)</f>
        <v>16</v>
      </c>
      <c r="G13" s="8" t="s">
        <v>3</v>
      </c>
      <c r="H13" s="34">
        <f>ROUND(AVERAGE(H108:H109)/H105,0)</f>
        <v>16</v>
      </c>
      <c r="I13" s="8" t="s">
        <v>3</v>
      </c>
      <c r="J13" s="34">
        <f>ROUND(AVERAGE(J108:J109)/J105,0)</f>
        <v>17</v>
      </c>
      <c r="K13" s="8" t="s">
        <v>3</v>
      </c>
      <c r="L13" s="34">
        <f>ROUND(AVERAGE(L108:L109)/L105,0)</f>
        <v>13</v>
      </c>
      <c r="M13" s="8" t="s">
        <v>3</v>
      </c>
      <c r="N13" s="35">
        <f>AVERAGE(D13,F13,H13,J13,L13)</f>
        <v>15.8</v>
      </c>
      <c r="O13" s="8" t="s">
        <v>3</v>
      </c>
    </row>
    <row r="14" spans="2:14" ht="15">
      <c r="B14" t="s">
        <v>20</v>
      </c>
      <c r="D14" s="3">
        <f>ROUND(AVERAGE(D108:D109)/AVERAGE(D112,F112),3)</f>
        <v>1.719</v>
      </c>
      <c r="E14" s="3"/>
      <c r="F14" s="3">
        <f>ROUND(AVERAGE(F108:F109)/AVERAGE(F112,H112),3)</f>
        <v>1.534</v>
      </c>
      <c r="G14" s="3"/>
      <c r="H14" s="3">
        <f>ROUND(AVERAGE(H108:H109)/AVERAGE(H112,J112),3)</f>
        <v>1.441</v>
      </c>
      <c r="I14" s="3"/>
      <c r="J14" s="3">
        <f>ROUND(AVERAGE(J108:J109)/AVERAGE(J112,L112),3)</f>
        <v>1.447</v>
      </c>
      <c r="K14" s="3"/>
      <c r="L14" s="3">
        <f>ROUND(AVERAGE(L108:L109)/AVERAGE(L112,N112),3)</f>
        <v>1.326</v>
      </c>
      <c r="M14" s="3"/>
      <c r="N14" s="6">
        <f>AVERAGE(D14,F14,H14,J14,L14)</f>
        <v>1.4934</v>
      </c>
    </row>
    <row r="15" spans="2:14" ht="15">
      <c r="B15" t="s">
        <v>9</v>
      </c>
      <c r="D15" s="3">
        <f>ROUND(D106/AVERAGE(D108:D109),3)</f>
        <v>0.037</v>
      </c>
      <c r="E15" s="3"/>
      <c r="F15" s="3">
        <f>ROUND(F106/AVERAGE(F108:F109),3)</f>
        <v>0.042</v>
      </c>
      <c r="G15" s="3"/>
      <c r="H15" s="3">
        <f>ROUND(H106/AVERAGE(H108:H109),3)</f>
        <v>0.046</v>
      </c>
      <c r="I15" s="3"/>
      <c r="J15" s="3">
        <f>ROUND(J106/AVERAGE(J108:J109),3)</f>
        <v>0.047</v>
      </c>
      <c r="K15" s="3"/>
      <c r="L15" s="3">
        <f>ROUND(L106/AVERAGE(L108:L109),3)</f>
        <v>0.051</v>
      </c>
      <c r="M15" s="3"/>
      <c r="N15" s="6">
        <f>AVERAGE(D15,F15,H15,J15,L15)</f>
        <v>0.044599999999999994</v>
      </c>
    </row>
    <row r="16" spans="2:14" ht="15">
      <c r="B16" t="s">
        <v>10</v>
      </c>
      <c r="D16" s="3">
        <f>ROUND(D96/D66,3)</f>
        <v>0.626</v>
      </c>
      <c r="E16" s="3"/>
      <c r="F16" s="3">
        <f>ROUND(F96/F66,3)</f>
        <v>0.694</v>
      </c>
      <c r="G16" s="3"/>
      <c r="H16" s="3">
        <f>ROUND(H96/H66,3)</f>
        <v>0.715</v>
      </c>
      <c r="I16" s="3"/>
      <c r="J16" s="3">
        <f>ROUND(J96/J66,3)</f>
        <v>0.771</v>
      </c>
      <c r="K16" s="3"/>
      <c r="L16" s="3">
        <f>ROUND(L96/L66,3)</f>
        <v>0.655</v>
      </c>
      <c r="M16" s="3"/>
      <c r="N16" s="6">
        <f>AVERAGE(D16,F16,H16,J16,L16)</f>
        <v>0.6921999999999999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0.473</v>
      </c>
      <c r="E20" s="3"/>
      <c r="F20" s="3">
        <f>ROUND((+F76+F79)/F8,3)</f>
        <v>0.467</v>
      </c>
      <c r="G20" s="3"/>
      <c r="H20" s="3">
        <f>ROUND((+H76+H79)/H8,3)</f>
        <v>0.497</v>
      </c>
      <c r="I20" s="3"/>
      <c r="J20" s="3">
        <f>ROUND((+J76+J79)/J8,3)</f>
        <v>0.485</v>
      </c>
      <c r="K20" s="3"/>
      <c r="L20" s="3">
        <f>ROUND((+L76+L79)/L8,3)</f>
        <v>0.454</v>
      </c>
      <c r="M20" s="3"/>
      <c r="N20" s="6">
        <f>AVERAGE(D20,F20,H20,J20,L20)</f>
        <v>0.47519999999999996</v>
      </c>
    </row>
    <row r="21" spans="2:14" ht="15">
      <c r="B21" s="36" t="s">
        <v>86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0.009</v>
      </c>
      <c r="K21" s="3"/>
      <c r="L21" s="3">
        <f>ROUND((SUM(L69:L75)+L81)/L8,3)</f>
        <v>0.037</v>
      </c>
      <c r="M21" s="3"/>
      <c r="N21" s="6">
        <f>AVERAGE(D21,F21,H21,J21,L21)</f>
        <v>0.0092</v>
      </c>
    </row>
    <row r="22" spans="2:14" ht="18">
      <c r="B22" s="37" t="s">
        <v>87</v>
      </c>
      <c r="D22" s="4">
        <f>ROUND((D68-D103)/D8,3)</f>
        <v>0.527</v>
      </c>
      <c r="E22" s="3"/>
      <c r="F22" s="4">
        <f>ROUND((F68-F103)/F8,3)</f>
        <v>0.533</v>
      </c>
      <c r="G22" s="3"/>
      <c r="H22" s="4">
        <f>ROUND((H68-H103)/H8,3)</f>
        <v>0.503</v>
      </c>
      <c r="I22" s="3"/>
      <c r="J22" s="4">
        <f>ROUND((J68-J103)/J8,3)</f>
        <v>0.506</v>
      </c>
      <c r="K22" s="3"/>
      <c r="L22" s="4">
        <f>ROUND((L68-L103)/L8,3)</f>
        <v>0.509</v>
      </c>
      <c r="M22" s="3"/>
      <c r="N22" s="9">
        <f>AVERAGE(D22,F22,H22,J22,L22)</f>
        <v>0.5156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0.527</v>
      </c>
      <c r="E25" s="3"/>
      <c r="F25" s="3">
        <f>ROUND((+F76+F79+F80)/F10,3)</f>
        <v>0.513</v>
      </c>
      <c r="G25" s="3"/>
      <c r="H25" s="3">
        <f>ROUND((+H76+H79+H80)/H10,3)</f>
        <v>0.536</v>
      </c>
      <c r="I25" s="3"/>
      <c r="J25" s="3">
        <f>ROUND((+J76+J79+J80)/J10,3)</f>
        <v>0.52</v>
      </c>
      <c r="K25" s="3"/>
      <c r="L25" s="3">
        <f>ROUND((+L76+L79+L80)/L10,3)</f>
        <v>0.512</v>
      </c>
      <c r="M25" s="3"/>
      <c r="N25" s="6">
        <f>AVERAGE(D25,F25,H25,J25,L25)</f>
        <v>0.5216000000000001</v>
      </c>
    </row>
    <row r="26" spans="2:14" ht="15">
      <c r="B26" s="36" t="s">
        <v>86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0.008</v>
      </c>
      <c r="K26" s="3"/>
      <c r="L26" s="3">
        <f>ROUND((SUM(L69:L75)+L81)/L10,3)</f>
        <v>0.033</v>
      </c>
      <c r="M26" s="3"/>
      <c r="N26" s="6">
        <f>AVERAGE(D26,F26,H26,J26,L26)</f>
        <v>0.0082</v>
      </c>
    </row>
    <row r="27" spans="2:14" ht="18">
      <c r="B27" s="37" t="s">
        <v>87</v>
      </c>
      <c r="D27" s="4">
        <f>ROUND((D68-D103)/D10,3)</f>
        <v>0.473</v>
      </c>
      <c r="E27" s="3"/>
      <c r="F27" s="4">
        <f>ROUND((F68-F103)/F10,3)</f>
        <v>0.487</v>
      </c>
      <c r="G27" s="3"/>
      <c r="H27" s="4">
        <f>ROUND((H68-H103)/H10,3)</f>
        <v>0.464</v>
      </c>
      <c r="I27" s="3"/>
      <c r="J27" s="4">
        <f>ROUND((J68-J103)/J10,3)</f>
        <v>0.472</v>
      </c>
      <c r="K27" s="3"/>
      <c r="L27" s="4">
        <f>ROUND((L68-L103)/L10,3)</f>
        <v>0.455</v>
      </c>
      <c r="M27" s="3"/>
      <c r="N27" s="9">
        <f>AVERAGE(D27,F27,H27,J27,L27)</f>
        <v>0.4702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</v>
      </c>
      <c r="E30" s="3"/>
      <c r="F30" s="3">
        <f>ROUND(+F66/(((F68-F103)+(H68-H103))/2),3)</f>
        <v>0.094</v>
      </c>
      <c r="G30" s="3"/>
      <c r="H30" s="3">
        <f>ROUND(+H66/(((H68-H103)+(J68-J103))/2),3)</f>
        <v>0.092</v>
      </c>
      <c r="I30" s="3"/>
      <c r="J30" s="3">
        <f>ROUND(+J66/(((J68-J103)+(L68-L103))/2),3)</f>
        <v>0.087</v>
      </c>
      <c r="K30" s="3"/>
      <c r="L30" s="3">
        <f>ROUND(+L66/(((L68-L103)+(N68-N103))/2),3)</f>
        <v>0.104</v>
      </c>
      <c r="M30" s="3"/>
      <c r="N30" s="6">
        <f>AVERAGE(D30,F30,H30,J30,L30)</f>
        <v>0.0954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0.857</v>
      </c>
      <c r="E32" s="3"/>
      <c r="F32" s="3">
        <f>ROUND((+F58-F57)/F56,3)</f>
        <v>0.845</v>
      </c>
      <c r="G32" s="3"/>
      <c r="H32" s="3">
        <f>ROUND((+H58-H57)/H56,3)</f>
        <v>0.833</v>
      </c>
      <c r="I32" s="3"/>
      <c r="J32" s="3">
        <f>ROUND((+J58-J57)/J56,3)</f>
        <v>0.819</v>
      </c>
      <c r="K32" s="3"/>
      <c r="L32" s="3">
        <f>ROUND((+L58-L57)/L56,3)</f>
        <v>0.831</v>
      </c>
      <c r="M32" s="3"/>
      <c r="N32" s="6">
        <f>AVERAGE(D32,F32,H32,J32,L32)</f>
        <v>0.8370000000000001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3.4</v>
      </c>
      <c r="E35" s="8" t="s">
        <v>3</v>
      </c>
      <c r="F35" s="8">
        <f>ROUND(((+F66+F65+F64+F63+F61+F59+F57)/F61),2)</f>
        <v>3.16</v>
      </c>
      <c r="G35" s="8" t="s">
        <v>3</v>
      </c>
      <c r="H35" s="8">
        <f>ROUND(((+H66+H65+H64+H63+H61+H59+H57)/H61),2)</f>
        <v>2.88</v>
      </c>
      <c r="I35" s="8" t="s">
        <v>3</v>
      </c>
      <c r="J35" s="8">
        <f>ROUND(((+J66+J65+J64+J63+J61+J59+J57)/J61),2)</f>
        <v>2.94</v>
      </c>
      <c r="K35" s="8" t="s">
        <v>3</v>
      </c>
      <c r="L35" s="8">
        <f>ROUND(((+L66+L65+L64+L63+L61+L59+L57)/L61),2)</f>
        <v>3.24</v>
      </c>
      <c r="M35" s="8" t="s">
        <v>3</v>
      </c>
      <c r="N35" s="29">
        <f>AVERAGE(D35,F35,H35,J35,L35)</f>
        <v>3.124</v>
      </c>
      <c r="O35" t="s">
        <v>3</v>
      </c>
    </row>
    <row r="36" spans="2:15" ht="15">
      <c r="B36" t="s">
        <v>21</v>
      </c>
      <c r="D36" s="8">
        <f>ROUND(((+D66+D65+D64+D63+D61)/(D61)),2)</f>
        <v>2.54</v>
      </c>
      <c r="E36" s="8" t="s">
        <v>3</v>
      </c>
      <c r="F36" s="8">
        <f>ROUND(((+F66+F65+F64+F63+F61)/(F61)),2)</f>
        <v>2.41</v>
      </c>
      <c r="G36" s="8" t="s">
        <v>3</v>
      </c>
      <c r="H36" s="8">
        <f>ROUND(((+H66+H65+H64+H63+H61)/(H61)),2)</f>
        <v>2.25</v>
      </c>
      <c r="I36" s="8" t="s">
        <v>3</v>
      </c>
      <c r="J36" s="8">
        <f>ROUND(((+J66+J65+J64+J63+J61)/(J61)),2)</f>
        <v>2.26</v>
      </c>
      <c r="K36" s="8" t="s">
        <v>3</v>
      </c>
      <c r="L36" s="8">
        <f>ROUND(((+L66+L65+L64+L63+L61)/(L61)),2)</f>
        <v>2.44</v>
      </c>
      <c r="M36" s="8" t="s">
        <v>3</v>
      </c>
      <c r="N36" s="29">
        <f>AVERAGE(D36,F36,H36,J36,L36)</f>
        <v>2.38</v>
      </c>
      <c r="O36" t="s">
        <v>3</v>
      </c>
    </row>
    <row r="37" spans="2:15" ht="15">
      <c r="B37" t="s">
        <v>14</v>
      </c>
      <c r="D37" s="8">
        <f>ROUND(((+D66+D65+D64+D63+D61)/(D61+D63+D64+D65)),2)</f>
        <v>2.54</v>
      </c>
      <c r="E37" s="8" t="s">
        <v>3</v>
      </c>
      <c r="F37" s="8">
        <f>ROUND(((+F66+F65+F64+F63+F61)/(F61+F63+F64+F65)),2)</f>
        <v>2.41</v>
      </c>
      <c r="G37" s="8" t="s">
        <v>3</v>
      </c>
      <c r="H37" s="8">
        <f>ROUND(((+H66+H65+H64+H63+H61)/(H61+H63+H64+H65)),2)</f>
        <v>2.23</v>
      </c>
      <c r="I37" s="8" t="s">
        <v>3</v>
      </c>
      <c r="J37" s="8">
        <f>ROUND(((+J66+J65+J64+J63+J61)/(J61+J63+J64+J65)),2)</f>
        <v>2.12</v>
      </c>
      <c r="K37" s="8" t="s">
        <v>3</v>
      </c>
      <c r="L37" s="8">
        <f>ROUND(((+L66+L65+L64+L63+L61)/(L61+L63+L64+L65)),2)</f>
        <v>2.29</v>
      </c>
      <c r="M37" s="8" t="s">
        <v>3</v>
      </c>
      <c r="N37" s="29">
        <f>AVERAGE(D37,F37,H37,J37,L37)</f>
        <v>2.318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3.39</v>
      </c>
      <c r="E40" s="8" t="s">
        <v>3</v>
      </c>
      <c r="F40" s="8">
        <f>ROUND(((+F66+F65+F64+F63-F62+F61+F59+F57)/F61),2)</f>
        <v>3.11</v>
      </c>
      <c r="G40" s="8" t="s">
        <v>3</v>
      </c>
      <c r="H40" s="8">
        <f>ROUND(((+H66+H65+H64+H63-H62+H61+H59+H57)/H61),2)</f>
        <v>2.84</v>
      </c>
      <c r="I40" s="8" t="s">
        <v>3</v>
      </c>
      <c r="J40" s="8">
        <f>ROUND(((+J66+J65+J64+J63-J62+J61+J59+J57)/J61),2)</f>
        <v>2.92</v>
      </c>
      <c r="K40" s="8" t="s">
        <v>3</v>
      </c>
      <c r="L40" s="8">
        <f>ROUND(((+L66+L65+L64+L63-L62+L61+L59+L57)/L61),2)</f>
        <v>3.21</v>
      </c>
      <c r="M40" s="8" t="s">
        <v>3</v>
      </c>
      <c r="N40" s="29">
        <f>AVERAGE(D40,F40,H40,J40,L40)</f>
        <v>3.094</v>
      </c>
      <c r="O40" t="s">
        <v>3</v>
      </c>
    </row>
    <row r="41" spans="2:15" ht="15">
      <c r="B41" t="s">
        <v>21</v>
      </c>
      <c r="D41" s="8">
        <f>ROUND(((+D66+D65+D64+D63-D62+D61)/D61),2)</f>
        <v>2.52</v>
      </c>
      <c r="E41" s="8" t="s">
        <v>3</v>
      </c>
      <c r="F41" s="8">
        <f>ROUND(((+F66+F65+F64+F63-F62+F61)/F61),2)</f>
        <v>2.37</v>
      </c>
      <c r="G41" s="8" t="s">
        <v>3</v>
      </c>
      <c r="H41" s="8">
        <f>ROUND(((+H66+H65+H64+H63-H62+H61)/H61),2)</f>
        <v>2.2</v>
      </c>
      <c r="I41" s="8" t="s">
        <v>3</v>
      </c>
      <c r="J41" s="8">
        <f>ROUND(((+J66+J65+J64+J63-J62+J61)/J61),2)</f>
        <v>2.25</v>
      </c>
      <c r="K41" s="8" t="s">
        <v>3</v>
      </c>
      <c r="L41" s="8">
        <f>ROUND(((+L66+L65+L64+L63-L62+L61)/L61),2)</f>
        <v>2.42</v>
      </c>
      <c r="M41" s="8" t="s">
        <v>3</v>
      </c>
      <c r="N41" s="29">
        <f>AVERAGE(D41,F41,H41,J41,L41)</f>
        <v>2.352</v>
      </c>
      <c r="O41" t="s">
        <v>3</v>
      </c>
    </row>
    <row r="42" spans="2:15" ht="15">
      <c r="B42" t="s">
        <v>14</v>
      </c>
      <c r="D42" s="8">
        <f>ROUND(((+D66+D65+D64+D63-D62+D61)/(D61+D63+D64+D65)),2)</f>
        <v>2.52</v>
      </c>
      <c r="E42" s="8" t="s">
        <v>3</v>
      </c>
      <c r="F42" s="8">
        <f>ROUND(((+F66+F65+F64+F63-F62+F61)/(F61+F63+F64+F65)),2)</f>
        <v>2.37</v>
      </c>
      <c r="G42" s="8" t="s">
        <v>3</v>
      </c>
      <c r="H42" s="8">
        <f>ROUND(((+H66+H65+H64+H63-H62+H61)/(H61+H63+H64+H65)),2)</f>
        <v>2.18</v>
      </c>
      <c r="I42" s="8" t="s">
        <v>3</v>
      </c>
      <c r="J42" s="8">
        <f>ROUND(((+J66+J65+J64+J63-J62+J61)/(J61+J63+J64+J65)),2)</f>
        <v>2.11</v>
      </c>
      <c r="K42" s="8" t="s">
        <v>3</v>
      </c>
      <c r="L42" s="8">
        <f>ROUND(((+L66+L65+L64+L63-L62+L61)/(L61+L63+L64+L65)),2)</f>
        <v>2.26</v>
      </c>
      <c r="M42" s="8" t="s">
        <v>3</v>
      </c>
      <c r="N42" s="29">
        <f>AVERAGE(D42,F42,H42,J42,L42)</f>
        <v>2.288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0.009</v>
      </c>
      <c r="E45" s="14"/>
      <c r="F45" s="14">
        <f>ROUND(F62/F66,3)</f>
        <v>0.033</v>
      </c>
      <c r="G45" s="14"/>
      <c r="H45" s="14">
        <f>ROUND(H62/H66,3)</f>
        <v>0.038</v>
      </c>
      <c r="I45" s="14"/>
      <c r="J45" s="14">
        <f>ROUND(J62/J66,3)</f>
        <v>0.013</v>
      </c>
      <c r="K45" s="14"/>
      <c r="L45" s="14">
        <f>ROUND(L62/L66,3)</f>
        <v>0.02</v>
      </c>
      <c r="M45" s="3"/>
      <c r="N45" s="6">
        <f aca="true" t="shared" si="0" ref="N45:N50">AVERAGE(D45,F45,H45,J45,L45)</f>
        <v>0.022600000000000002</v>
      </c>
    </row>
    <row r="46" spans="2:14" ht="15">
      <c r="B46" t="s">
        <v>17</v>
      </c>
      <c r="D46" s="19">
        <f>ROUND((D57+D59)/(D57+D59+D66+D63+D64+D65),3)</f>
        <v>0.36</v>
      </c>
      <c r="E46" s="20"/>
      <c r="F46" s="19">
        <f>ROUND((F57+F59)/(F57+F59+F66+F63+F64+F65),3)</f>
        <v>0.344</v>
      </c>
      <c r="G46" s="20"/>
      <c r="H46" s="19">
        <f>ROUND((H57+H59)/(H57+H59+H66+H63+H64+H65),3)</f>
        <v>0.337</v>
      </c>
      <c r="I46" s="20"/>
      <c r="J46" s="19">
        <f>ROUND((J57+J59)/(J57+J59+J66+J63+J64+J65),3)</f>
        <v>0.349</v>
      </c>
      <c r="K46" s="20"/>
      <c r="L46" s="19">
        <f>ROUND((L57+L59)/(L57+L59+L66+L63+L64+L65),3)</f>
        <v>0.354</v>
      </c>
      <c r="N46" s="6">
        <f t="shared" si="0"/>
        <v>0.34879999999999994</v>
      </c>
    </row>
    <row r="47" spans="2:14" ht="18">
      <c r="B47" s="38" t="s">
        <v>93</v>
      </c>
      <c r="D47" s="14">
        <f>ROUND(((+D82+D83+D84+D85+D86-D87+D88-D90-D91)/(+D89-D87)),3)</f>
        <v>0.659</v>
      </c>
      <c r="E47" s="15"/>
      <c r="F47" s="14">
        <f>ROUND(((+F82+F83+F84+F85+F86-F87+F88-F90-F91)/(+F89-F87)),3)</f>
        <v>0.707</v>
      </c>
      <c r="G47" s="15"/>
      <c r="H47" s="14">
        <f>ROUND(((+H82+H83+H84+H85+H86-H87+H88-H90-H91)/(+H89-H87)),3)</f>
        <v>0.594</v>
      </c>
      <c r="I47" s="15"/>
      <c r="J47" s="14">
        <f>ROUND(((+J82+J83+J84+J85+J86-J87+J88-J90-J91)/(+J89-J87)),3)</f>
        <v>1.093</v>
      </c>
      <c r="K47" s="15"/>
      <c r="L47" s="14">
        <f>ROUND(((+L82+L83+L84+L85+L86-L87+L88-L90-L91)/(+L89-L87)),3)</f>
        <v>0.751</v>
      </c>
      <c r="N47" s="6">
        <f t="shared" si="0"/>
        <v>0.7607999999999999</v>
      </c>
    </row>
    <row r="48" spans="2:14" ht="18">
      <c r="B48" s="38" t="s">
        <v>94</v>
      </c>
      <c r="D48" s="14">
        <f>ROUND(((+D82+D83+D84+D85+D86-D87+D88)/(AVERAGE(D76,F76)+AVERAGE(D79,F79)+AVERAGE(D80,F80))),3)</f>
        <v>0.151</v>
      </c>
      <c r="E48" s="15"/>
      <c r="F48" s="14">
        <f>ROUND(((+F82+F83+F84+F85+F86-F87+F88)/(AVERAGE(F76,H76)+AVERAGE(F79,H79)+AVERAGE(F80,H80))),3)</f>
        <v>0.228</v>
      </c>
      <c r="G48" s="15"/>
      <c r="H48" s="14">
        <f>ROUND(((+H82+H83+H84+H85+H86-H87+H88)/(AVERAGE(H76,J76)+AVERAGE(H79,J79)+AVERAGE(H80,J80))),3)</f>
        <v>0.191</v>
      </c>
      <c r="I48" s="15"/>
      <c r="J48" s="14">
        <f>ROUND(((+J82+J83+J84+J85+J86-J87+J88)/(AVERAGE(J76,L76)+AVERAGE(J79,L79)+AVERAGE(J80,L80))),3)</f>
        <v>0.229</v>
      </c>
      <c r="K48" s="15"/>
      <c r="L48" s="14">
        <f>ROUND(((+L82+L83+L84+L85+L86-L87+L88)/(AVERAGE(L76,N76)+AVERAGE(L79,N79)+AVERAGE(L80,N80))),3)</f>
        <v>0.175</v>
      </c>
      <c r="N48" s="6">
        <f t="shared" si="0"/>
        <v>0.1948</v>
      </c>
    </row>
    <row r="49" spans="2:15" ht="18">
      <c r="B49" s="38" t="s">
        <v>95</v>
      </c>
      <c r="D49" s="30">
        <f>ROUND(((+D82+D83+D84+D85+D86-D87+D88+D92)/D61),2)</f>
        <v>3.49</v>
      </c>
      <c r="E49" t="s">
        <v>3</v>
      </c>
      <c r="F49" s="30">
        <f>ROUND(((+F82+F83+F84+F85+F86-F87+F88+F92)/F61),2)</f>
        <v>4.79</v>
      </c>
      <c r="G49" t="s">
        <v>3</v>
      </c>
      <c r="H49" s="30">
        <f>ROUND(((+H82+H83+H84+H85+H86-H87+H88+H92)/H61),2)</f>
        <v>3.87</v>
      </c>
      <c r="I49" t="s">
        <v>3</v>
      </c>
      <c r="J49" s="30">
        <f>ROUND(((+J82+J83+J84+J85+J86-J87+J88+J92)/J61),2)</f>
        <v>4.5</v>
      </c>
      <c r="K49" t="s">
        <v>3</v>
      </c>
      <c r="L49" s="30">
        <f>ROUND(((+L82+L83+L84+L85+L86-L87+L88+L92)/L61),2)</f>
        <v>3.47</v>
      </c>
      <c r="M49" t="s">
        <v>3</v>
      </c>
      <c r="N49" s="31">
        <f t="shared" si="0"/>
        <v>4.024</v>
      </c>
      <c r="O49" t="s">
        <v>3</v>
      </c>
    </row>
    <row r="50" spans="2:15" ht="18">
      <c r="B50" s="38" t="s">
        <v>96</v>
      </c>
      <c r="D50" s="30">
        <f>ROUND(((+D82+D83+D84+D85+D86-D87+D88-D91)/+D90),2)</f>
        <v>2.62</v>
      </c>
      <c r="E50" t="s">
        <v>3</v>
      </c>
      <c r="F50" s="30">
        <f>ROUND(((+F82+F83+F84+F85+F86-F87+F88-F91)/+F90),2)</f>
        <v>3.85</v>
      </c>
      <c r="G50" t="s">
        <v>3</v>
      </c>
      <c r="H50" s="30">
        <f>ROUND(((+H82+H83+H84+H85+H86-H87+H88-H91)/+H90),2)</f>
        <v>3.27</v>
      </c>
      <c r="I50" t="s">
        <v>3</v>
      </c>
      <c r="J50" s="30">
        <f>ROUND(((+J82+J83+J84+J85+J86-J87+J88-J91)/+J90),2)</f>
        <v>3.71</v>
      </c>
      <c r="K50" t="s">
        <v>3</v>
      </c>
      <c r="L50" s="30">
        <f>ROUND(((+L82+L83+L84+L85+L86-L87+L88-L91)/+L90),2)</f>
        <v>2.73</v>
      </c>
      <c r="M50" t="s">
        <v>3</v>
      </c>
      <c r="N50" s="31">
        <f t="shared" si="0"/>
        <v>3.2359999999999998</v>
      </c>
      <c r="O50" t="s">
        <v>3</v>
      </c>
    </row>
    <row r="52" ht="15">
      <c r="A52" t="s">
        <v>4</v>
      </c>
    </row>
    <row r="54" spans="1:14" ht="15.75">
      <c r="A54" s="21" t="s">
        <v>102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910.486</v>
      </c>
      <c r="E56" s="24"/>
      <c r="F56" s="24">
        <v>707.604</v>
      </c>
      <c r="G56" s="24"/>
      <c r="H56" s="24">
        <v>611.256</v>
      </c>
      <c r="I56" s="24"/>
      <c r="J56" s="24">
        <v>641.376</v>
      </c>
      <c r="K56" s="24"/>
      <c r="L56" s="24">
        <v>650.252</v>
      </c>
      <c r="M56" s="24"/>
      <c r="N56" s="24">
        <v>532.11</v>
      </c>
    </row>
    <row r="57" spans="1:14" ht="15">
      <c r="A57" s="22" t="s">
        <v>23</v>
      </c>
      <c r="B57" s="22"/>
      <c r="C57" s="22"/>
      <c r="D57" s="24">
        <v>32.72</v>
      </c>
      <c r="E57" s="24"/>
      <c r="F57" s="24">
        <v>26.531</v>
      </c>
      <c r="G57" s="24"/>
      <c r="H57" s="24">
        <v>23.34</v>
      </c>
      <c r="I57" s="24"/>
      <c r="J57" s="24">
        <v>23.444</v>
      </c>
      <c r="K57" s="24"/>
      <c r="L57" s="24">
        <v>27.553</v>
      </c>
      <c r="M57" s="24"/>
      <c r="N57" s="24">
        <v>26.829</v>
      </c>
    </row>
    <row r="58" spans="1:14" ht="15">
      <c r="A58" s="22" t="s">
        <v>24</v>
      </c>
      <c r="B58" s="22"/>
      <c r="C58" s="22"/>
      <c r="D58" s="24">
        <v>813.459</v>
      </c>
      <c r="E58" s="24"/>
      <c r="F58" s="24">
        <v>624.109</v>
      </c>
      <c r="G58" s="24"/>
      <c r="H58" s="24">
        <v>532.324</v>
      </c>
      <c r="I58" s="24"/>
      <c r="J58" s="24">
        <v>548.562</v>
      </c>
      <c r="K58" s="24"/>
      <c r="L58" s="24">
        <v>567.594</v>
      </c>
      <c r="M58" s="24"/>
      <c r="N58" s="24">
        <v>454.597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95.432</v>
      </c>
      <c r="E60" s="24"/>
      <c r="F60" s="24">
        <v>86.323</v>
      </c>
      <c r="G60" s="24"/>
      <c r="H60" s="24">
        <v>81.082</v>
      </c>
      <c r="I60" s="24"/>
      <c r="J60" s="24">
        <v>77.924</v>
      </c>
      <c r="K60" s="24"/>
      <c r="L60" s="24">
        <v>83.992</v>
      </c>
      <c r="M60" s="24"/>
      <c r="N60" s="24">
        <v>81.373</v>
      </c>
    </row>
    <row r="61" spans="1:14" ht="15">
      <c r="A61" s="22" t="s">
        <v>27</v>
      </c>
      <c r="B61" s="22"/>
      <c r="C61" s="22"/>
      <c r="D61" s="24">
        <v>37.803</v>
      </c>
      <c r="E61" s="24"/>
      <c r="F61" s="24">
        <v>35.751</v>
      </c>
      <c r="G61" s="24"/>
      <c r="H61" s="24">
        <v>36.833</v>
      </c>
      <c r="I61" s="24"/>
      <c r="J61" s="24">
        <v>34.682</v>
      </c>
      <c r="K61" s="24"/>
      <c r="L61" s="24">
        <v>34.764</v>
      </c>
      <c r="M61" s="24"/>
      <c r="N61" s="24">
        <v>34.35</v>
      </c>
    </row>
    <row r="62" spans="1:14" ht="15">
      <c r="A62" s="22" t="s">
        <v>28</v>
      </c>
      <c r="B62" s="22"/>
      <c r="C62" s="22"/>
      <c r="D62" s="24">
        <v>0.52</v>
      </c>
      <c r="E62" s="24"/>
      <c r="F62" s="24">
        <v>1.69</v>
      </c>
      <c r="G62" s="24"/>
      <c r="H62" s="24">
        <v>1.734</v>
      </c>
      <c r="I62" s="24"/>
      <c r="J62" s="24">
        <v>0.55</v>
      </c>
      <c r="K62" s="24"/>
      <c r="L62" s="24">
        <v>0.959</v>
      </c>
      <c r="M62" s="24"/>
      <c r="N62" s="24">
        <v>0.789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0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0.294</v>
      </c>
      <c r="I64" s="24"/>
      <c r="J64" s="24">
        <v>2.28</v>
      </c>
      <c r="K64" s="24"/>
      <c r="L64" s="24">
        <v>2.401</v>
      </c>
      <c r="M64" s="24"/>
      <c r="N64" s="24">
        <v>2.456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58.149</v>
      </c>
      <c r="E66" s="24"/>
      <c r="F66" s="24">
        <v>50.572</v>
      </c>
      <c r="G66" s="24"/>
      <c r="H66" s="24">
        <v>45.689</v>
      </c>
      <c r="I66" s="24"/>
      <c r="J66" s="24">
        <v>41.512</v>
      </c>
      <c r="K66" s="24"/>
      <c r="L66" s="24">
        <v>47.786</v>
      </c>
      <c r="M66" s="24"/>
      <c r="N66" s="24">
        <v>45.356</v>
      </c>
    </row>
    <row r="67" spans="1:14" ht="15">
      <c r="A67" s="22" t="s">
        <v>33</v>
      </c>
      <c r="B67" s="22"/>
      <c r="C67" s="22"/>
      <c r="D67" s="24">
        <v>2.11</v>
      </c>
      <c r="E67" s="24"/>
      <c r="F67" s="24">
        <v>1.87</v>
      </c>
      <c r="G67" s="24"/>
      <c r="H67" s="24">
        <v>1.77</v>
      </c>
      <c r="I67" s="24"/>
      <c r="J67" s="24">
        <v>1.63</v>
      </c>
      <c r="K67" s="24"/>
      <c r="L67" s="24">
        <v>1.9</v>
      </c>
      <c r="M67" s="24"/>
      <c r="N67" s="24">
        <v>1.8</v>
      </c>
    </row>
    <row r="68" spans="1:14" ht="15">
      <c r="A68" s="22" t="s">
        <v>34</v>
      </c>
      <c r="B68" s="22"/>
      <c r="C68" s="22"/>
      <c r="D68" s="24">
        <v>586.931</v>
      </c>
      <c r="E68" s="24"/>
      <c r="F68" s="24">
        <v>568.517</v>
      </c>
      <c r="G68" s="24"/>
      <c r="H68" s="24">
        <v>506.316</v>
      </c>
      <c r="I68" s="24"/>
      <c r="J68" s="24">
        <v>483.103</v>
      </c>
      <c r="K68" s="24"/>
      <c r="L68" s="24">
        <v>468.161</v>
      </c>
      <c r="M68" s="24"/>
      <c r="N68" s="24">
        <v>452.309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0</v>
      </c>
      <c r="G69" s="24"/>
      <c r="H69" s="24">
        <v>0</v>
      </c>
      <c r="I69" s="24"/>
      <c r="J69" s="24">
        <v>0</v>
      </c>
      <c r="K69" s="24"/>
      <c r="L69" s="24">
        <v>0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8.25</v>
      </c>
      <c r="K71" s="24"/>
      <c r="L71" s="24">
        <v>34</v>
      </c>
      <c r="M71" s="24"/>
      <c r="N71" s="24">
        <v>9.75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25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521.5</v>
      </c>
      <c r="E76" s="24"/>
      <c r="F76" s="24">
        <v>484.027</v>
      </c>
      <c r="G76" s="24"/>
      <c r="H76" s="24">
        <v>500.319</v>
      </c>
      <c r="I76" s="24"/>
      <c r="J76" s="24">
        <v>445.945</v>
      </c>
      <c r="K76" s="24"/>
      <c r="L76" s="24">
        <v>378.377</v>
      </c>
      <c r="M76" s="24"/>
      <c r="N76" s="24">
        <v>400.79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1108.431</v>
      </c>
      <c r="E78" s="24"/>
      <c r="F78" s="24">
        <v>1052.544</v>
      </c>
      <c r="G78" s="24"/>
      <c r="H78" s="24">
        <v>1006.635</v>
      </c>
      <c r="I78" s="24"/>
      <c r="J78" s="24">
        <v>937.298</v>
      </c>
      <c r="K78" s="24"/>
      <c r="L78" s="24">
        <v>880.538</v>
      </c>
      <c r="M78" s="24"/>
      <c r="N78" s="24">
        <v>887.849</v>
      </c>
    </row>
    <row r="79" spans="1:14" ht="15">
      <c r="A79" s="22" t="s">
        <v>45</v>
      </c>
      <c r="B79" s="22"/>
      <c r="C79" s="22"/>
      <c r="D79" s="24">
        <v>8</v>
      </c>
      <c r="E79" s="24"/>
      <c r="F79" s="24">
        <v>15</v>
      </c>
      <c r="G79" s="24"/>
      <c r="H79" s="24">
        <v>0</v>
      </c>
      <c r="I79" s="24"/>
      <c r="J79" s="24">
        <v>20</v>
      </c>
      <c r="K79" s="24"/>
      <c r="L79" s="24">
        <v>40</v>
      </c>
      <c r="M79" s="24"/>
      <c r="N79" s="24">
        <v>20</v>
      </c>
    </row>
    <row r="80" spans="1:14" ht="15">
      <c r="A80" s="22" t="s">
        <v>46</v>
      </c>
      <c r="B80" s="22"/>
      <c r="C80" s="22"/>
      <c r="D80" s="24">
        <v>126.7</v>
      </c>
      <c r="E80" s="24"/>
      <c r="F80" s="24">
        <v>102.5</v>
      </c>
      <c r="G80" s="24"/>
      <c r="H80" s="24">
        <v>85.2</v>
      </c>
      <c r="I80" s="24"/>
      <c r="J80" s="24">
        <v>69.802</v>
      </c>
      <c r="K80" s="24"/>
      <c r="L80" s="24">
        <v>108.291</v>
      </c>
      <c r="M80" s="24"/>
      <c r="N80" s="24">
        <v>56.263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58.149</v>
      </c>
      <c r="E82" s="24"/>
      <c r="F82" s="24">
        <v>50.572</v>
      </c>
      <c r="G82" s="24"/>
      <c r="H82" s="24">
        <v>45.983</v>
      </c>
      <c r="I82" s="24"/>
      <c r="J82" s="24">
        <v>43.792</v>
      </c>
      <c r="K82" s="24"/>
      <c r="L82" s="24">
        <v>50.187</v>
      </c>
      <c r="M82" s="24"/>
      <c r="N82" s="24">
        <v>47.812</v>
      </c>
    </row>
    <row r="83" spans="1:14" ht="15">
      <c r="A83" s="22" t="s">
        <v>49</v>
      </c>
      <c r="B83" s="22"/>
      <c r="C83" s="22"/>
      <c r="D83" s="24">
        <v>61.645</v>
      </c>
      <c r="E83" s="24"/>
      <c r="F83" s="24">
        <v>57.371</v>
      </c>
      <c r="G83" s="24"/>
      <c r="H83" s="24">
        <v>54.249</v>
      </c>
      <c r="I83" s="24"/>
      <c r="J83" s="24">
        <v>52.09</v>
      </c>
      <c r="K83" s="24"/>
      <c r="L83" s="24">
        <v>49.64</v>
      </c>
      <c r="M83" s="24"/>
      <c r="N83" s="24">
        <v>47.44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9.551</v>
      </c>
      <c r="E85" s="24"/>
      <c r="F85" s="24">
        <v>36.713</v>
      </c>
      <c r="G85" s="24"/>
      <c r="H85" s="24">
        <v>29.186</v>
      </c>
      <c r="I85" s="24"/>
      <c r="J85" s="24">
        <v>10.45</v>
      </c>
      <c r="K85" s="24"/>
      <c r="L85" s="24">
        <v>-12.088</v>
      </c>
      <c r="M85" s="24"/>
      <c r="N85" s="24">
        <v>4.651</v>
      </c>
    </row>
    <row r="86" spans="1:14" ht="15">
      <c r="A86" s="22" t="s">
        <v>52</v>
      </c>
      <c r="B86" s="22"/>
      <c r="C86" s="22"/>
      <c r="D86" s="24">
        <v>0</v>
      </c>
      <c r="E86" s="24"/>
      <c r="F86" s="24">
        <v>0</v>
      </c>
      <c r="G86" s="24"/>
      <c r="H86" s="24">
        <v>0</v>
      </c>
      <c r="I86" s="24"/>
      <c r="J86" s="24">
        <v>0</v>
      </c>
      <c r="K86" s="24"/>
      <c r="L86" s="24">
        <v>0</v>
      </c>
      <c r="M86" s="24"/>
      <c r="N86" s="24">
        <v>0</v>
      </c>
    </row>
    <row r="87" spans="1:14" ht="15">
      <c r="A87" s="22" t="s">
        <v>53</v>
      </c>
      <c r="B87" s="22"/>
      <c r="C87" s="22"/>
      <c r="D87" s="24">
        <v>0.52</v>
      </c>
      <c r="E87" s="24"/>
      <c r="F87" s="24">
        <v>1.69</v>
      </c>
      <c r="G87" s="24"/>
      <c r="H87" s="24">
        <v>1.734</v>
      </c>
      <c r="I87" s="24"/>
      <c r="J87" s="24">
        <v>0.55</v>
      </c>
      <c r="K87" s="24"/>
      <c r="L87" s="24">
        <v>0.959</v>
      </c>
      <c r="M87" s="24"/>
      <c r="N87" s="24">
        <v>0.789</v>
      </c>
    </row>
    <row r="88" spans="1:14" ht="15">
      <c r="A88" s="22" t="s">
        <v>69</v>
      </c>
      <c r="B88" s="22"/>
      <c r="C88" s="22"/>
      <c r="D88" s="24">
        <v>-33.617</v>
      </c>
      <c r="E88" s="24"/>
      <c r="F88" s="24">
        <v>-7.819</v>
      </c>
      <c r="G88" s="24"/>
      <c r="H88" s="24">
        <v>-20.531</v>
      </c>
      <c r="I88" s="24"/>
      <c r="J88" s="24">
        <v>15.746</v>
      </c>
      <c r="K88" s="24"/>
      <c r="L88" s="24">
        <v>0.97</v>
      </c>
      <c r="M88" s="24"/>
      <c r="N88" s="24">
        <v>4.333</v>
      </c>
    </row>
    <row r="89" spans="1:14" ht="15">
      <c r="A89" s="22" t="s">
        <v>54</v>
      </c>
      <c r="B89" s="22"/>
      <c r="C89" s="22"/>
      <c r="D89" s="24">
        <v>89.779</v>
      </c>
      <c r="E89" s="24"/>
      <c r="F89" s="24">
        <v>143.175</v>
      </c>
      <c r="G89" s="24"/>
      <c r="H89" s="24">
        <v>126.394</v>
      </c>
      <c r="I89" s="24"/>
      <c r="J89" s="24">
        <v>80.08</v>
      </c>
      <c r="K89" s="24"/>
      <c r="L89" s="24">
        <v>72.902</v>
      </c>
      <c r="M89" s="24"/>
      <c r="N89" s="24">
        <v>81.233</v>
      </c>
    </row>
    <row r="90" spans="1:14" ht="15">
      <c r="A90" s="22" t="s">
        <v>55</v>
      </c>
      <c r="B90" s="22"/>
      <c r="C90" s="22"/>
      <c r="D90" s="24">
        <v>36.376</v>
      </c>
      <c r="E90" s="24"/>
      <c r="F90" s="24">
        <v>35.105</v>
      </c>
      <c r="G90" s="24"/>
      <c r="H90" s="24">
        <v>32.655</v>
      </c>
      <c r="I90" s="24"/>
      <c r="J90" s="24">
        <v>32.024</v>
      </c>
      <c r="K90" s="24"/>
      <c r="L90" s="24">
        <v>31.307</v>
      </c>
      <c r="M90" s="24"/>
      <c r="N90" s="24">
        <v>31.198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0.392</v>
      </c>
      <c r="I91" s="24"/>
      <c r="J91" s="24">
        <v>2.579</v>
      </c>
      <c r="K91" s="24"/>
      <c r="L91" s="24">
        <v>2.41</v>
      </c>
      <c r="M91" s="24"/>
      <c r="N91" s="24">
        <v>2.466</v>
      </c>
    </row>
    <row r="92" spans="1:14" ht="15">
      <c r="A92" s="22" t="s">
        <v>57</v>
      </c>
      <c r="B92" s="22"/>
      <c r="C92" s="22"/>
      <c r="D92" s="24">
        <v>36.874</v>
      </c>
      <c r="E92" s="24"/>
      <c r="F92" s="24">
        <v>36.061</v>
      </c>
      <c r="G92" s="24"/>
      <c r="H92" s="24">
        <v>35.21</v>
      </c>
      <c r="I92" s="24"/>
      <c r="J92" s="24">
        <v>34.64</v>
      </c>
      <c r="K92" s="24"/>
      <c r="L92" s="24">
        <v>33.034</v>
      </c>
      <c r="M92" s="24"/>
      <c r="N92" s="24">
        <v>35.592</v>
      </c>
    </row>
    <row r="93" spans="1:14" ht="15">
      <c r="A93" s="22" t="s">
        <v>58</v>
      </c>
      <c r="B93" s="22"/>
      <c r="C93" s="22"/>
      <c r="D93" s="24">
        <v>28.479</v>
      </c>
      <c r="E93" s="24"/>
      <c r="F93" s="24">
        <v>2.5</v>
      </c>
      <c r="G93" s="24"/>
      <c r="H93" s="24">
        <v>13.94</v>
      </c>
      <c r="I93" s="24"/>
      <c r="J93" s="24">
        <v>33.474</v>
      </c>
      <c r="K93" s="24"/>
      <c r="L93" s="24">
        <v>25.201</v>
      </c>
      <c r="M93" s="24"/>
      <c r="N93" s="24">
        <v>22.552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1</v>
      </c>
      <c r="G94" s="24"/>
      <c r="H94" s="24">
        <v>1</v>
      </c>
      <c r="I94" s="24"/>
      <c r="J94" s="24">
        <v>1</v>
      </c>
      <c r="K94" s="24"/>
      <c r="L94" s="24">
        <v>1</v>
      </c>
      <c r="M94" s="24"/>
      <c r="N94" s="24">
        <v>1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1</v>
      </c>
      <c r="I95" s="24"/>
      <c r="J95" s="24">
        <v>1</v>
      </c>
      <c r="K95" s="24"/>
      <c r="L95" s="24">
        <v>1</v>
      </c>
      <c r="M95" s="24"/>
      <c r="N95" s="24">
        <v>1</v>
      </c>
    </row>
    <row r="96" spans="1:14" ht="15">
      <c r="A96" s="22" t="s">
        <v>59</v>
      </c>
      <c r="B96" s="22"/>
      <c r="C96" s="22"/>
      <c r="D96" s="24">
        <v>36.376</v>
      </c>
      <c r="E96" s="24"/>
      <c r="F96" s="24">
        <v>35.105</v>
      </c>
      <c r="G96" s="24"/>
      <c r="H96" s="24">
        <v>32.655</v>
      </c>
      <c r="I96" s="24"/>
      <c r="J96" s="24">
        <v>32.024</v>
      </c>
      <c r="K96" s="24"/>
      <c r="L96" s="24">
        <v>31.307</v>
      </c>
      <c r="M96" s="24"/>
      <c r="N96" s="24">
        <v>31.198</v>
      </c>
    </row>
    <row r="97" spans="1:14" ht="15">
      <c r="A97" s="22" t="s">
        <v>60</v>
      </c>
      <c r="B97" s="22"/>
      <c r="C97" s="22"/>
      <c r="D97" s="24">
        <v>1.32</v>
      </c>
      <c r="E97" s="24"/>
      <c r="F97" s="24">
        <v>1.3</v>
      </c>
      <c r="G97" s="24"/>
      <c r="H97" s="24">
        <v>1.27</v>
      </c>
      <c r="I97" s="24"/>
      <c r="J97" s="24">
        <v>1.26</v>
      </c>
      <c r="K97" s="24"/>
      <c r="L97" s="24">
        <v>1.245</v>
      </c>
      <c r="M97" s="24"/>
      <c r="N97" s="24">
        <v>1.24</v>
      </c>
    </row>
    <row r="98" spans="1:14" ht="15">
      <c r="A98" s="22" t="s">
        <v>61</v>
      </c>
      <c r="B98" s="22"/>
      <c r="C98" s="22"/>
      <c r="D98" s="24">
        <v>1.32</v>
      </c>
      <c r="E98" s="24"/>
      <c r="F98" s="24">
        <v>1.3</v>
      </c>
      <c r="G98" s="24"/>
      <c r="H98" s="24">
        <v>1.27</v>
      </c>
      <c r="I98" s="24"/>
      <c r="J98" s="24">
        <v>1.26</v>
      </c>
      <c r="K98" s="24"/>
      <c r="L98" s="24">
        <v>1.245</v>
      </c>
      <c r="M98" s="24"/>
      <c r="N98" s="24">
        <v>1.24</v>
      </c>
    </row>
    <row r="99" spans="1:14" ht="15">
      <c r="A99" s="22" t="s">
        <v>62</v>
      </c>
      <c r="B99" s="22"/>
      <c r="C99" s="22"/>
      <c r="D99" s="24">
        <v>39.63</v>
      </c>
      <c r="E99" s="24"/>
      <c r="F99" s="24">
        <v>34.13</v>
      </c>
      <c r="G99" s="24"/>
      <c r="H99" s="24">
        <v>31.3</v>
      </c>
      <c r="I99" s="24"/>
      <c r="J99" s="24">
        <v>30.7</v>
      </c>
      <c r="K99" s="24"/>
      <c r="L99" s="24">
        <v>26.75</v>
      </c>
      <c r="M99" s="24"/>
      <c r="N99" s="24">
        <v>27.5</v>
      </c>
    </row>
    <row r="100" spans="1:14" ht="15">
      <c r="A100" s="22" t="s">
        <v>63</v>
      </c>
      <c r="B100" s="22"/>
      <c r="C100" s="22"/>
      <c r="D100" s="24">
        <v>32.42</v>
      </c>
      <c r="E100" s="24"/>
      <c r="F100" s="24">
        <v>27.46</v>
      </c>
      <c r="G100" s="24"/>
      <c r="H100" s="24">
        <v>24.05</v>
      </c>
      <c r="I100" s="24"/>
      <c r="J100" s="24">
        <v>23.46</v>
      </c>
      <c r="K100" s="24"/>
      <c r="L100" s="24">
        <v>21.65</v>
      </c>
      <c r="M100" s="24"/>
      <c r="N100" s="24">
        <v>17.75</v>
      </c>
    </row>
    <row r="101" spans="1:14" ht="15">
      <c r="A101" s="22" t="s">
        <v>64</v>
      </c>
      <c r="B101" s="22"/>
      <c r="C101" s="22"/>
      <c r="D101" s="24">
        <v>34.18</v>
      </c>
      <c r="E101" s="24"/>
      <c r="F101" s="24">
        <v>33.74</v>
      </c>
      <c r="G101" s="24"/>
      <c r="H101" s="24">
        <v>30.75</v>
      </c>
      <c r="I101" s="24"/>
      <c r="J101" s="24">
        <v>27.06</v>
      </c>
      <c r="K101" s="24"/>
      <c r="L101" s="24">
        <v>25.5</v>
      </c>
      <c r="M101" s="24"/>
      <c r="N101" s="24">
        <v>26.5</v>
      </c>
    </row>
    <row r="102" spans="1:14" ht="15">
      <c r="A102" s="22" t="s">
        <v>65</v>
      </c>
      <c r="B102" s="22"/>
      <c r="C102" s="22"/>
      <c r="D102" s="24">
        <v>27.579</v>
      </c>
      <c r="E102" s="24"/>
      <c r="F102" s="24">
        <v>27.547</v>
      </c>
      <c r="G102" s="24"/>
      <c r="H102" s="24">
        <v>25.938</v>
      </c>
      <c r="I102" s="24"/>
      <c r="J102" s="24">
        <v>25.586</v>
      </c>
      <c r="K102" s="24"/>
      <c r="L102" s="24">
        <v>25.228</v>
      </c>
      <c r="M102" s="24"/>
      <c r="N102" s="24">
        <v>25.233</v>
      </c>
    </row>
    <row r="103" spans="1:14" ht="15">
      <c r="A103" s="22" t="s">
        <v>84</v>
      </c>
      <c r="B103" s="22"/>
      <c r="C103" s="22"/>
      <c r="D103" s="24">
        <v>-1.911</v>
      </c>
      <c r="E103" s="24"/>
      <c r="F103" s="24">
        <v>-1.818</v>
      </c>
      <c r="G103" s="24"/>
      <c r="H103" s="24">
        <v>-1.016</v>
      </c>
      <c r="I103" s="24"/>
      <c r="J103" s="24">
        <v>-3.084</v>
      </c>
      <c r="K103" s="24"/>
      <c r="L103" s="24">
        <v>-0.375</v>
      </c>
      <c r="M103" s="24"/>
      <c r="N103" s="24">
        <v>0</v>
      </c>
    </row>
    <row r="104" ht="15">
      <c r="A104" t="s">
        <v>71</v>
      </c>
    </row>
    <row r="105" spans="2:14" ht="15">
      <c r="B105" t="s">
        <v>70</v>
      </c>
      <c r="D105" s="17">
        <f>D67/D94</f>
        <v>2.11</v>
      </c>
      <c r="F105" s="17">
        <f>F67/F94</f>
        <v>1.87</v>
      </c>
      <c r="H105" s="17">
        <f>H67/H94</f>
        <v>1.77</v>
      </c>
      <c r="J105" s="17">
        <f>J67/J94</f>
        <v>1.63</v>
      </c>
      <c r="L105" s="17">
        <f>L67/L94</f>
        <v>1.9</v>
      </c>
      <c r="N105" s="17">
        <f>N67/N94</f>
        <v>1.8</v>
      </c>
    </row>
    <row r="106" spans="2:14" ht="15">
      <c r="B106" t="s">
        <v>60</v>
      </c>
      <c r="D106" s="17">
        <f>D97/D94</f>
        <v>1.32</v>
      </c>
      <c r="F106" s="17">
        <f>F97/F94</f>
        <v>1.3</v>
      </c>
      <c r="H106" s="17">
        <f>H97/H94</f>
        <v>1.27</v>
      </c>
      <c r="J106" s="17">
        <f>J97/J94</f>
        <v>1.26</v>
      </c>
      <c r="L106" s="17">
        <f>L97/L94</f>
        <v>1.245</v>
      </c>
      <c r="N106" s="17">
        <f>N97/N94</f>
        <v>1.24</v>
      </c>
    </row>
    <row r="107" spans="2:14" ht="15">
      <c r="B107" t="s">
        <v>61</v>
      </c>
      <c r="D107" s="17">
        <f>D98/D94</f>
        <v>1.32</v>
      </c>
      <c r="F107" s="17">
        <f>F98/F94</f>
        <v>1.3</v>
      </c>
      <c r="H107" s="17">
        <f>H98/H94</f>
        <v>1.27</v>
      </c>
      <c r="J107" s="17">
        <f>J98/J94</f>
        <v>1.26</v>
      </c>
      <c r="L107" s="17">
        <f>L98/L94</f>
        <v>1.245</v>
      </c>
      <c r="N107" s="17">
        <f>N98/N94</f>
        <v>1.24</v>
      </c>
    </row>
    <row r="108" spans="2:14" ht="15">
      <c r="B108" t="s">
        <v>62</v>
      </c>
      <c r="D108" s="17">
        <f>D99/D94</f>
        <v>39.63</v>
      </c>
      <c r="F108" s="17">
        <f>F99/F94</f>
        <v>34.13</v>
      </c>
      <c r="H108" s="17">
        <f>H99/H94</f>
        <v>31.3</v>
      </c>
      <c r="J108" s="17">
        <f>J99/J94</f>
        <v>30.7</v>
      </c>
      <c r="L108" s="17">
        <f>L99/L94</f>
        <v>26.75</v>
      </c>
      <c r="N108" s="17">
        <f>N99/N94</f>
        <v>27.5</v>
      </c>
    </row>
    <row r="109" spans="2:14" ht="15">
      <c r="B109" t="s">
        <v>63</v>
      </c>
      <c r="D109" s="17">
        <f>D100/D94</f>
        <v>32.42</v>
      </c>
      <c r="F109" s="17">
        <f>F100/F94</f>
        <v>27.46</v>
      </c>
      <c r="H109" s="17">
        <f>H100/H94</f>
        <v>24.05</v>
      </c>
      <c r="J109" s="17">
        <f>J100/J94</f>
        <v>23.46</v>
      </c>
      <c r="L109" s="17">
        <f>L100/L94</f>
        <v>21.65</v>
      </c>
      <c r="N109" s="17">
        <f>N100/N94</f>
        <v>17.75</v>
      </c>
    </row>
    <row r="110" spans="2:14" ht="15">
      <c r="B110" t="s">
        <v>64</v>
      </c>
      <c r="D110" s="17">
        <f>D101/D94</f>
        <v>34.18</v>
      </c>
      <c r="F110" s="17">
        <f>F101/F94</f>
        <v>33.74</v>
      </c>
      <c r="H110" s="17">
        <f>H101/H94</f>
        <v>30.75</v>
      </c>
      <c r="J110" s="17">
        <f>J101/J94</f>
        <v>27.06</v>
      </c>
      <c r="L110" s="17">
        <f>L101/L94</f>
        <v>25.5</v>
      </c>
      <c r="N110" s="17">
        <f>N101/N94</f>
        <v>26.5</v>
      </c>
    </row>
    <row r="111" spans="2:14" ht="15">
      <c r="B111" t="s">
        <v>65</v>
      </c>
      <c r="D111" s="18">
        <f>D102*D94</f>
        <v>27.579</v>
      </c>
      <c r="E111" s="18"/>
      <c r="F111" s="18">
        <f>F102*F94</f>
        <v>27.547</v>
      </c>
      <c r="G111" s="18"/>
      <c r="H111" s="18">
        <f>H102*H94</f>
        <v>25.938</v>
      </c>
      <c r="I111" s="18"/>
      <c r="J111" s="18">
        <f>J102*J94</f>
        <v>25.586</v>
      </c>
      <c r="K111" s="18"/>
      <c r="L111" s="18">
        <f>L102*L94</f>
        <v>25.228</v>
      </c>
      <c r="M111" s="18"/>
      <c r="N111" s="18">
        <f>N102*N94</f>
        <v>25.233</v>
      </c>
    </row>
    <row r="112" spans="2:14" ht="15">
      <c r="B112" t="s">
        <v>66</v>
      </c>
      <c r="D112" s="17">
        <f>ROUND(D68/D111,2)</f>
        <v>21.28</v>
      </c>
      <c r="F112" s="17">
        <f>ROUND(F68/F111,2)</f>
        <v>20.64</v>
      </c>
      <c r="H112" s="17">
        <f>ROUND(H68/H111,2)</f>
        <v>19.52</v>
      </c>
      <c r="J112" s="17">
        <f>ROUND(J68/J111,2)</f>
        <v>18.88</v>
      </c>
      <c r="L112" s="17">
        <f>ROUND(L68/L111,2)</f>
        <v>18.56</v>
      </c>
      <c r="N112" s="17">
        <f>ROUND(N68/N111,2)</f>
        <v>17.93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9.21484375" style="0" customWidth="1"/>
    <col min="5" max="5" width="3.77734375" style="0" customWidth="1"/>
    <col min="6" max="6" width="9.21484375" style="0" bestFit="1" customWidth="1"/>
    <col min="7" max="7" width="3.77734375" style="0" customWidth="1"/>
    <col min="8" max="8" width="9.21484375" style="0" bestFit="1" customWidth="1"/>
    <col min="9" max="9" width="3.77734375" style="0" customWidth="1"/>
    <col min="10" max="10" width="9.21484375" style="0" bestFit="1" customWidth="1"/>
    <col min="11" max="11" width="3.77734375" style="0" customWidth="1"/>
    <col min="12" max="12" width="9.21484375" style="0" bestFit="1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PIEDMONT NATURAL GAS CO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1546.445</v>
      </c>
      <c r="F8" s="39">
        <f>F78+F79+F81-F103</f>
        <v>1515.0639999999999</v>
      </c>
      <c r="H8" s="39">
        <f>H78+H79+H81-H103</f>
        <v>1094.127</v>
      </c>
      <c r="J8" s="39">
        <f>J78+J79+J81-J103</f>
        <v>1101.579</v>
      </c>
      <c r="L8" s="39">
        <f>L78+L79+L81-L103</f>
        <v>1072.7559999999999</v>
      </c>
    </row>
    <row r="9" spans="2:12" ht="15">
      <c r="B9" t="s">
        <v>5</v>
      </c>
      <c r="D9" s="12">
        <f>D80</f>
        <v>158.5</v>
      </c>
      <c r="F9" s="12">
        <f>F80</f>
        <v>109.5</v>
      </c>
      <c r="H9" s="12">
        <f>H80</f>
        <v>555.059</v>
      </c>
      <c r="J9" s="12">
        <f>J80</f>
        <v>46.5</v>
      </c>
      <c r="L9" s="12">
        <f>L80</f>
        <v>32</v>
      </c>
    </row>
    <row r="10" spans="2:12" ht="15.75" thickBot="1">
      <c r="B10" t="s">
        <v>7</v>
      </c>
      <c r="D10" s="13">
        <f>D8+D9</f>
        <v>1704.945</v>
      </c>
      <c r="F10" s="13">
        <f>F8+F9</f>
        <v>1624.5639999999999</v>
      </c>
      <c r="H10" s="13">
        <f>H8+H9</f>
        <v>1649.186</v>
      </c>
      <c r="J10" s="13">
        <f>J8+J9</f>
        <v>1148.079</v>
      </c>
      <c r="L10" s="13">
        <f>L8+L9</f>
        <v>1104.7559999999999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18</v>
      </c>
      <c r="E13" s="8" t="s">
        <v>3</v>
      </c>
      <c r="F13" s="34">
        <f>ROUND(AVERAGE(F108:F109)/F105,0)</f>
        <v>17</v>
      </c>
      <c r="G13" s="8" t="s">
        <v>3</v>
      </c>
      <c r="H13" s="34">
        <f>ROUND(AVERAGE(H108:H109)/H105,0)</f>
        <v>17</v>
      </c>
      <c r="I13" s="8" t="s">
        <v>3</v>
      </c>
      <c r="J13" s="34">
        <f>ROUND(AVERAGE(J108:J109)/J105,0)</f>
        <v>17</v>
      </c>
      <c r="K13" s="8" t="s">
        <v>3</v>
      </c>
      <c r="L13" s="34">
        <f>ROUND(AVERAGE(L108:L109)/L105,0)</f>
        <v>17</v>
      </c>
      <c r="M13" s="8" t="s">
        <v>3</v>
      </c>
      <c r="N13" s="35">
        <f>AVERAGE(D13,F13,H13,J13,L13)</f>
        <v>17.2</v>
      </c>
      <c r="O13" s="8" t="s">
        <v>3</v>
      </c>
    </row>
    <row r="14" spans="2:14" ht="15">
      <c r="B14" t="s">
        <v>20</v>
      </c>
      <c r="D14" s="3">
        <f>ROUND(AVERAGE(D108:D109)/AVERAGE(D112,F112),3)</f>
        <v>2.075</v>
      </c>
      <c r="E14" s="3"/>
      <c r="F14" s="3">
        <f>ROUND(AVERAGE(F108:F109)/AVERAGE(F112,H112),3)</f>
        <v>2.121</v>
      </c>
      <c r="G14" s="3"/>
      <c r="H14" s="3">
        <f>ROUND(AVERAGE(H108:H109)/AVERAGE(H112,J112),3)</f>
        <v>2.112</v>
      </c>
      <c r="I14" s="3"/>
      <c r="J14" s="3">
        <f>ROUND(AVERAGE(J108:J109)/AVERAGE(J112,L112),3)</f>
        <v>1.863</v>
      </c>
      <c r="K14" s="3"/>
      <c r="L14" s="3">
        <f>ROUND(AVERAGE(L108:L109)/AVERAGE(L112,N112),3)</f>
        <v>1.989</v>
      </c>
      <c r="M14" s="3"/>
      <c r="N14" s="6">
        <f>AVERAGE(D14,F14,H14,J14,L14)</f>
        <v>2.032</v>
      </c>
    </row>
    <row r="15" spans="2:14" ht="15">
      <c r="B15" t="s">
        <v>9</v>
      </c>
      <c r="D15" s="3">
        <f>ROUND(D106/AVERAGE(D108:D109),3)</f>
        <v>0.038</v>
      </c>
      <c r="E15" s="3"/>
      <c r="F15" s="3">
        <f>ROUND(F106/AVERAGE(F108:F109),3)</f>
        <v>0.039</v>
      </c>
      <c r="G15" s="3"/>
      <c r="H15" s="3">
        <f>ROUND(H106/AVERAGE(H108:H109),3)</f>
        <v>0.043</v>
      </c>
      <c r="I15" s="3"/>
      <c r="J15" s="3">
        <f>ROUND(J106/AVERAGE(J108:J109),3)</f>
        <v>0.049</v>
      </c>
      <c r="K15" s="3"/>
      <c r="L15" s="3">
        <f>ROUND(L106/AVERAGE(L108:L109),3)</f>
        <v>0.045</v>
      </c>
      <c r="M15" s="3"/>
      <c r="N15" s="6">
        <f>AVERAGE(D15,F15,H15,J15,L15)</f>
        <v>0.04279999999999999</v>
      </c>
    </row>
    <row r="16" spans="2:14" ht="15">
      <c r="B16" t="s">
        <v>10</v>
      </c>
      <c r="D16" s="3">
        <f>ROUND(D96/D66,3)</f>
        <v>0.685</v>
      </c>
      <c r="E16" s="3"/>
      <c r="F16" s="3">
        <f>ROUND(F96/F66,3)</f>
        <v>0.665</v>
      </c>
      <c r="G16" s="3"/>
      <c r="H16" s="3">
        <f>ROUND(H96/H66,3)</f>
        <v>0.738</v>
      </c>
      <c r="I16" s="3"/>
      <c r="J16" s="3">
        <f>ROUND(J96/J66,3)</f>
        <v>0.834</v>
      </c>
      <c r="K16" s="3"/>
      <c r="L16" s="3">
        <f>ROUND(L96/L66,3)</f>
        <v>0.747</v>
      </c>
      <c r="M16" s="3"/>
      <c r="N16" s="6">
        <f>AVERAGE(D16,F16,H16,J16,L16)</f>
        <v>0.7338</v>
      </c>
    </row>
    <row r="18" ht="15">
      <c r="A18" t="s">
        <v>2</v>
      </c>
    </row>
    <row r="19" ht="15">
      <c r="B19" t="s">
        <v>11</v>
      </c>
    </row>
    <row r="20" spans="2:14" ht="15">
      <c r="B20" s="36" t="s">
        <v>85</v>
      </c>
      <c r="D20" s="3">
        <f>ROUND((+D76+D79)/D8,3)</f>
        <v>0.427</v>
      </c>
      <c r="E20" s="3"/>
      <c r="F20" s="3">
        <f>ROUND((+F76+F79)/F8,3)</f>
        <v>0.436</v>
      </c>
      <c r="G20" s="3"/>
      <c r="H20" s="3">
        <f>ROUND((+H76+H79)/H8,3)</f>
        <v>0.422</v>
      </c>
      <c r="I20" s="3"/>
      <c r="J20" s="3">
        <f>ROUND((+J76+J79)/J8,3)</f>
        <v>0.462</v>
      </c>
      <c r="K20" s="3"/>
      <c r="L20" s="3">
        <f>ROUND((+L76+L79)/L8,3)</f>
        <v>0.476</v>
      </c>
      <c r="M20" s="3"/>
      <c r="N20" s="6">
        <f>AVERAGE(D20,F20,H20,J20,L20)</f>
        <v>0.4446</v>
      </c>
    </row>
    <row r="21" spans="2:14" ht="15">
      <c r="B21" s="36" t="s">
        <v>86</v>
      </c>
      <c r="D21" s="3">
        <f>ROUND((SUM(D69:D75)+D81)/D8,3)</f>
        <v>0</v>
      </c>
      <c r="E21" s="3"/>
      <c r="F21" s="3">
        <f>ROUND((SUM(F69:F75)+F81)/F8,3)</f>
        <v>0</v>
      </c>
      <c r="G21" s="3"/>
      <c r="H21" s="3">
        <f>ROUND((SUM(H69:H75)+H81)/H8,3)</f>
        <v>0</v>
      </c>
      <c r="I21" s="3"/>
      <c r="J21" s="3">
        <f>ROUND((SUM(J69:J75)+J81)/J8,3)</f>
        <v>0</v>
      </c>
      <c r="K21" s="3"/>
      <c r="L21" s="3">
        <f>ROUND((SUM(L69:L75)+L81)/L8,3)</f>
        <v>0</v>
      </c>
      <c r="M21" s="3"/>
      <c r="N21" s="6">
        <f>AVERAGE(D21,F21,H21,J21,L21)</f>
        <v>0</v>
      </c>
    </row>
    <row r="22" spans="2:14" ht="18">
      <c r="B22" s="37" t="s">
        <v>87</v>
      </c>
      <c r="D22" s="4">
        <f>ROUND((D68-D103)/D8,3)</f>
        <v>0.573</v>
      </c>
      <c r="E22" s="3"/>
      <c r="F22" s="4">
        <f>ROUND((F68-F103)/F8,3)</f>
        <v>0.564</v>
      </c>
      <c r="G22" s="3"/>
      <c r="H22" s="4">
        <f>ROUND((H68-H103)/H8,3)</f>
        <v>0.578</v>
      </c>
      <c r="I22" s="3"/>
      <c r="J22" s="4">
        <f>ROUND((J68-J103)/J8,3)</f>
        <v>0.538</v>
      </c>
      <c r="K22" s="3"/>
      <c r="L22" s="4">
        <f>ROUND((L68-L103)/L8,3)</f>
        <v>0.524</v>
      </c>
      <c r="M22" s="3"/>
      <c r="N22" s="9">
        <f>AVERAGE(D22,F22,H22,J22,L22)</f>
        <v>0.5554</v>
      </c>
    </row>
    <row r="23" spans="4:14" ht="15.75" thickBot="1">
      <c r="D23" s="5">
        <f>SUM(D20:D22)</f>
        <v>1</v>
      </c>
      <c r="E23" s="3"/>
      <c r="F23" s="5">
        <f>SUM(F20:F22)</f>
        <v>1</v>
      </c>
      <c r="G23" s="3"/>
      <c r="H23" s="5">
        <f>SUM(H20:H22)</f>
        <v>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0.48</v>
      </c>
      <c r="E25" s="3"/>
      <c r="F25" s="3">
        <f>ROUND((+F76+F79+F80)/F10,3)</f>
        <v>0.474</v>
      </c>
      <c r="G25" s="3"/>
      <c r="H25" s="3">
        <f>ROUND((+H76+H79+H80)/H10,3)</f>
        <v>0.617</v>
      </c>
      <c r="I25" s="3"/>
      <c r="J25" s="3">
        <f>ROUND((+J76+J79+J80)/J10,3)</f>
        <v>0.484</v>
      </c>
      <c r="K25" s="3"/>
      <c r="L25" s="3">
        <f>ROUND((+L76+L79+L80)/L10,3)</f>
        <v>0.492</v>
      </c>
      <c r="M25" s="3"/>
      <c r="N25" s="6">
        <f>AVERAGE(D25,F25,H25,J25,L25)</f>
        <v>0.5094</v>
      </c>
    </row>
    <row r="26" spans="2:14" ht="15">
      <c r="B26" s="36" t="s">
        <v>86</v>
      </c>
      <c r="D26" s="3">
        <f>ROUND((SUM(D69:D75)+D81)/D10,3)</f>
        <v>0</v>
      </c>
      <c r="E26" s="3"/>
      <c r="F26" s="3">
        <f>ROUND((SUM(F69:F75)+F81)/F10,3)</f>
        <v>0</v>
      </c>
      <c r="G26" s="3"/>
      <c r="H26" s="3">
        <f>ROUND((SUM(H69:H75)+H81)/H10,3)</f>
        <v>0</v>
      </c>
      <c r="I26" s="3"/>
      <c r="J26" s="3">
        <f>ROUND((SUM(J69:J75)+J81)/J10,3)</f>
        <v>0</v>
      </c>
      <c r="K26" s="3"/>
      <c r="L26" s="3">
        <f>ROUND((SUM(L69:L75)+L81)/L10,3)</f>
        <v>0</v>
      </c>
      <c r="M26" s="3"/>
      <c r="N26" s="6">
        <f>AVERAGE(D26,F26,H26,J26,L26)</f>
        <v>0</v>
      </c>
    </row>
    <row r="27" spans="2:14" ht="18">
      <c r="B27" s="37" t="s">
        <v>87</v>
      </c>
      <c r="D27" s="4">
        <f>ROUND((D68-D103)/D10,3)</f>
        <v>0.52</v>
      </c>
      <c r="E27" s="3"/>
      <c r="F27" s="4">
        <f>ROUND((F68-F103)/F10,3)</f>
        <v>0.526</v>
      </c>
      <c r="G27" s="3"/>
      <c r="H27" s="4">
        <f>ROUND((H68-H103)/H10,3)</f>
        <v>0.383</v>
      </c>
      <c r="I27" s="3"/>
      <c r="J27" s="4">
        <f>ROUND((J68-J103)/J10,3)</f>
        <v>0.516</v>
      </c>
      <c r="K27" s="3"/>
      <c r="L27" s="4">
        <f>ROUND((L68-L103)/L10,3)</f>
        <v>0.508</v>
      </c>
      <c r="M27" s="3"/>
      <c r="N27" s="9">
        <f>AVERAGE(D27,F27,H27,J27,L27)</f>
        <v>0.49060000000000004</v>
      </c>
    </row>
    <row r="28" spans="4:14" ht="15.75" thickBot="1">
      <c r="D28" s="5">
        <f>SUM(D25:D27)</f>
        <v>1</v>
      </c>
      <c r="E28" s="3"/>
      <c r="F28" s="5">
        <f>SUM(F25:F27)</f>
        <v>1</v>
      </c>
      <c r="G28" s="3"/>
      <c r="H28" s="5">
        <f>SUM(H25:H27)</f>
        <v>1</v>
      </c>
      <c r="I28" s="3"/>
      <c r="J28" s="5">
        <f>SUM(J25:J27)</f>
        <v>1</v>
      </c>
      <c r="K28" s="3"/>
      <c r="L28" s="5">
        <f>SUM(L25:L27)</f>
        <v>1</v>
      </c>
      <c r="M28" s="3"/>
      <c r="N28" s="10">
        <f>AVERAGE(D28,F28,H28,J28,L28)</f>
        <v>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0.116</v>
      </c>
      <c r="E30" s="3"/>
      <c r="F30" s="3">
        <f>ROUND(+F66/(((F68-F103)+(H68-H103))/2),3)</f>
        <v>0.128</v>
      </c>
      <c r="G30" s="3"/>
      <c r="H30" s="3">
        <f>ROUND(+H66/(((H68-H103)+(J68-J103))/2),3)</f>
        <v>0.121</v>
      </c>
      <c r="I30" s="3"/>
      <c r="J30" s="3">
        <f>ROUND(+J66/(((J68-J103)+(L68-L103))/2),3)</f>
        <v>0.108</v>
      </c>
      <c r="K30" s="3"/>
      <c r="L30" s="3">
        <f>ROUND(+L66/(((L68-L103)+(N68-N103))/2),3)</f>
        <v>0.12</v>
      </c>
      <c r="M30" s="3"/>
      <c r="N30" s="6">
        <f>AVERAGE(D30,F30,H30,J30,L30)</f>
        <v>0.1186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0.899</v>
      </c>
      <c r="E32" s="3"/>
      <c r="F32" s="3">
        <f>ROUND((+F58-F57)/F56,3)</f>
        <v>0.883</v>
      </c>
      <c r="G32" s="3"/>
      <c r="H32" s="3">
        <f>ROUND((+H58-H57)/H56,3)</f>
        <v>0.883</v>
      </c>
      <c r="I32" s="3"/>
      <c r="J32" s="3">
        <f>ROUND((+J58-J57)/J56,3)</f>
        <v>0.855</v>
      </c>
      <c r="K32" s="3"/>
      <c r="L32" s="3">
        <f>ROUND((+L58-L57)/L56,3)</f>
        <v>0.884</v>
      </c>
      <c r="M32" s="3"/>
      <c r="N32" s="6">
        <f>AVERAGE(D32,F32,H32,J32,L32)</f>
        <v>0.8808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4.45</v>
      </c>
      <c r="E35" s="8" t="s">
        <v>3</v>
      </c>
      <c r="F35" s="8">
        <f>ROUND(((+F66+F65+F64+F63+F61+F59+F57)/F61),2)</f>
        <v>4.21</v>
      </c>
      <c r="G35" s="8" t="s">
        <v>3</v>
      </c>
      <c r="H35" s="8">
        <f>ROUND(((+H66+H65+H64+H63+H61+H59+H57)/H61),2)</f>
        <v>3.98</v>
      </c>
      <c r="I35" s="8" t="s">
        <v>3</v>
      </c>
      <c r="J35" s="8">
        <f>ROUND(((+J66+J65+J64+J63+J61+J59+J57)/J61),2)</f>
        <v>3.43</v>
      </c>
      <c r="K35" s="8" t="s">
        <v>3</v>
      </c>
      <c r="L35" s="8">
        <f>ROUND(((+L66+L65+L64+L63+L61+L59+L57)/L61),2)</f>
        <v>3.42</v>
      </c>
      <c r="M35" s="8" t="s">
        <v>3</v>
      </c>
      <c r="N35" s="29">
        <f>AVERAGE(D35,F35,H35,J35,L35)</f>
        <v>3.8980000000000006</v>
      </c>
      <c r="O35" t="s">
        <v>3</v>
      </c>
    </row>
    <row r="36" spans="2:15" ht="15">
      <c r="B36" t="s">
        <v>21</v>
      </c>
      <c r="D36" s="8">
        <f>ROUND(((+D66+D65+D64+D63+D61)/(D61)),2)</f>
        <v>3.14</v>
      </c>
      <c r="E36" s="8" t="s">
        <v>3</v>
      </c>
      <c r="F36" s="8">
        <f>ROUND(((+F66+F65+F64+F63+F61)/(F61)),2)</f>
        <v>2.94</v>
      </c>
      <c r="G36" s="8" t="s">
        <v>3</v>
      </c>
      <c r="H36" s="8">
        <f>ROUND(((+H66+H65+H64+H63+H61)/(H61)),2)</f>
        <v>2.8</v>
      </c>
      <c r="I36" s="8" t="s">
        <v>3</v>
      </c>
      <c r="J36" s="8">
        <f>ROUND(((+J66+J65+J64+J63+J61)/(J61)),2)</f>
        <v>2.48</v>
      </c>
      <c r="K36" s="8" t="s">
        <v>3</v>
      </c>
      <c r="L36" s="8">
        <f>ROUND(((+L66+L65+L64+L63+L61)/(L61)),2)</f>
        <v>2.48</v>
      </c>
      <c r="M36" s="8" t="s">
        <v>3</v>
      </c>
      <c r="N36" s="29">
        <f>AVERAGE(D36,F36,H36,J36,L36)</f>
        <v>2.768</v>
      </c>
      <c r="O36" t="s">
        <v>3</v>
      </c>
    </row>
    <row r="37" spans="2:15" ht="15">
      <c r="B37" t="s">
        <v>14</v>
      </c>
      <c r="D37" s="8">
        <f>ROUND(((+D66+D65+D64+D63+D61)/(D61+D63+D64+D65)),2)</f>
        <v>3.14</v>
      </c>
      <c r="E37" s="8" t="s">
        <v>3</v>
      </c>
      <c r="F37" s="8">
        <f>ROUND(((+F66+F65+F64+F63+F61)/(F61+F63+F64+F65)),2)</f>
        <v>2.94</v>
      </c>
      <c r="G37" s="8" t="s">
        <v>3</v>
      </c>
      <c r="H37" s="8">
        <f>ROUND(((+H66+H65+H64+H63+H61)/(H61+H63+H64+H65)),2)</f>
        <v>2.8</v>
      </c>
      <c r="I37" s="8" t="s">
        <v>3</v>
      </c>
      <c r="J37" s="8">
        <f>ROUND(((+J66+J65+J64+J63+J61)/(J61+J63+J64+J65)),2)</f>
        <v>2.48</v>
      </c>
      <c r="K37" s="8" t="s">
        <v>3</v>
      </c>
      <c r="L37" s="8">
        <f>ROUND(((+L66+L65+L64+L63+L61)/(L61+L63+L64+L65)),2)</f>
        <v>2.48</v>
      </c>
      <c r="M37" s="8" t="s">
        <v>3</v>
      </c>
      <c r="N37" s="29">
        <f>AVERAGE(D37,F37,H37,J37,L37)</f>
        <v>2.768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4.39</v>
      </c>
      <c r="E40" s="8" t="s">
        <v>3</v>
      </c>
      <c r="F40" s="8">
        <f>ROUND(((+F66+F65+F64+F63-F62+F61+F59+F57)/F61),2)</f>
        <v>4.15</v>
      </c>
      <c r="G40" s="8" t="s">
        <v>3</v>
      </c>
      <c r="H40" s="8">
        <f>ROUND(((+H66+H65+H64+H63-H62+H61+H59+H57)/H61),2)</f>
        <v>3.92</v>
      </c>
      <c r="I40" s="8" t="s">
        <v>3</v>
      </c>
      <c r="J40" s="8">
        <f>ROUND(((+J66+J65+J64+J63-J62+J61+J59+J57)/J61),2)</f>
        <v>3.34</v>
      </c>
      <c r="K40" s="8" t="s">
        <v>3</v>
      </c>
      <c r="L40" s="8">
        <f>ROUND(((+L66+L65+L64+L63-L62+L61+L59+L57)/L61),2)</f>
        <v>3.27</v>
      </c>
      <c r="M40" s="8" t="s">
        <v>3</v>
      </c>
      <c r="N40" s="29">
        <f>AVERAGE(D40,F40,H40,J40,L40)</f>
        <v>3.814</v>
      </c>
      <c r="O40" t="s">
        <v>3</v>
      </c>
    </row>
    <row r="41" spans="2:15" ht="15">
      <c r="B41" t="s">
        <v>21</v>
      </c>
      <c r="D41" s="8">
        <f>ROUND(((+D66+D65+D64+D63-D62+D61)/D61),2)</f>
        <v>3.07</v>
      </c>
      <c r="E41" s="8" t="s">
        <v>3</v>
      </c>
      <c r="F41" s="8">
        <f>ROUND(((+F66+F65+F64+F63-F62+F61)/F61),2)</f>
        <v>2.89</v>
      </c>
      <c r="G41" s="8" t="s">
        <v>3</v>
      </c>
      <c r="H41" s="8">
        <f>ROUND(((+H66+H65+H64+H63-H62+H61)/H61),2)</f>
        <v>2.74</v>
      </c>
      <c r="I41" s="8" t="s">
        <v>3</v>
      </c>
      <c r="J41" s="8">
        <f>ROUND(((+J66+J65+J64+J63-J62+J61)/J61),2)</f>
        <v>2.4</v>
      </c>
      <c r="K41" s="8" t="s">
        <v>3</v>
      </c>
      <c r="L41" s="8">
        <f>ROUND(((+L66+L65+L64+L63-L62+L61)/L61),2)</f>
        <v>2.33</v>
      </c>
      <c r="M41" s="8" t="s">
        <v>3</v>
      </c>
      <c r="N41" s="29">
        <f>AVERAGE(D41,F41,H41,J41,L41)</f>
        <v>2.686</v>
      </c>
      <c r="O41" t="s">
        <v>3</v>
      </c>
    </row>
    <row r="42" spans="2:15" ht="15">
      <c r="B42" t="s">
        <v>14</v>
      </c>
      <c r="D42" s="8">
        <f>ROUND(((+D66+D65+D64+D63-D62+D61)/(D61+D63+D64+D65)),2)</f>
        <v>3.07</v>
      </c>
      <c r="E42" s="8" t="s">
        <v>3</v>
      </c>
      <c r="F42" s="8">
        <f>ROUND(((+F66+F65+F64+F63-F62+F61)/(F61+F63+F64+F65)),2)</f>
        <v>2.89</v>
      </c>
      <c r="G42" s="8" t="s">
        <v>3</v>
      </c>
      <c r="H42" s="8">
        <f>ROUND(((+H66+H65+H64+H63-H62+H61)/(H61+H63+H64+H65)),2)</f>
        <v>2.74</v>
      </c>
      <c r="I42" s="8" t="s">
        <v>3</v>
      </c>
      <c r="J42" s="8">
        <f>ROUND(((+J66+J65+J64+J63-J62+J61)/(J61+J63+J64+J65)),2)</f>
        <v>2.4</v>
      </c>
      <c r="K42" s="8" t="s">
        <v>3</v>
      </c>
      <c r="L42" s="8">
        <f>ROUND(((+L66+L65+L64+L63-L62+L61)/(L61+L63+L64+L65)),2)</f>
        <v>2.33</v>
      </c>
      <c r="M42" s="8" t="s">
        <v>3</v>
      </c>
      <c r="N42" s="29">
        <f>AVERAGE(D42,F42,H42,J42,L42)</f>
        <v>2.686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0.031</v>
      </c>
      <c r="E45" s="14"/>
      <c r="F45" s="14">
        <f>ROUND(F62/F66,3)</f>
        <v>0.027</v>
      </c>
      <c r="G45" s="14"/>
      <c r="H45" s="14">
        <f>ROUND(H62/H66,3)</f>
        <v>0.03</v>
      </c>
      <c r="I45" s="14"/>
      <c r="J45" s="14">
        <f>ROUND(J62/J66,3)</f>
        <v>0.055</v>
      </c>
      <c r="K45" s="14"/>
      <c r="L45" s="14">
        <f>ROUND(L62/L66,3)</f>
        <v>0.102</v>
      </c>
      <c r="M45" s="3"/>
      <c r="N45" s="6">
        <f aca="true" t="shared" si="0" ref="N45:N50">AVERAGE(D45,F45,H45,J45,L45)</f>
        <v>0.049</v>
      </c>
    </row>
    <row r="46" spans="2:14" ht="15">
      <c r="B46" t="s">
        <v>17</v>
      </c>
      <c r="D46" s="19">
        <f>ROUND((D57+D59)/(D57+D59+D66+D63+D64+D65),3)</f>
        <v>0.381</v>
      </c>
      <c r="E46" s="20"/>
      <c r="F46" s="19">
        <f>ROUND((F57+F59)/(F57+F59+F66+F63+F64+F65),3)</f>
        <v>0.395</v>
      </c>
      <c r="G46" s="20"/>
      <c r="H46" s="19">
        <f>ROUND((H57+H59)/(H57+H59+H66+H63+H64+H65),3)</f>
        <v>0.395</v>
      </c>
      <c r="I46" s="20"/>
      <c r="J46" s="19">
        <f>ROUND((J57+J59)/(J57+J59+J66+J63+J64+J65),3)</f>
        <v>0.39</v>
      </c>
      <c r="K46" s="20"/>
      <c r="L46" s="19">
        <f>ROUND((L57+L59)/(L57+L59+L66+L63+L64+L65),3)</f>
        <v>0.39</v>
      </c>
      <c r="N46" s="6">
        <f t="shared" si="0"/>
        <v>0.3902</v>
      </c>
    </row>
    <row r="47" spans="2:14" ht="18">
      <c r="B47" s="38" t="s">
        <v>93</v>
      </c>
      <c r="D47" s="14">
        <f>ROUND(((+D82+D83+D84+D85+D86-D87+D88-D90-D91)/(+D89-D87)),3)</f>
        <v>0.722</v>
      </c>
      <c r="E47" s="15"/>
      <c r="F47" s="14">
        <f>ROUND(((+F82+F83+F84+F85+F86-F87+F88-F90-F91)/(+F89-F87)),3)</f>
        <v>0.958</v>
      </c>
      <c r="G47" s="15"/>
      <c r="H47" s="14">
        <f>ROUND(((+H82+H83+H84+H85+H86-H87+H88-H90-H91)/(+H89-H87)),3)</f>
        <v>1.624</v>
      </c>
      <c r="I47" s="15"/>
      <c r="J47" s="14">
        <f>ROUND(((+J82+J83+J84+J85+J86-J87+J88-J90-J91)/(+J89-J87)),3)</f>
        <v>0.984</v>
      </c>
      <c r="K47" s="15"/>
      <c r="L47" s="14">
        <f>ROUND(((+L82+L83+L84+L85+L86-L87+L88-L90-L91)/(+L89-L87)),3)</f>
        <v>0.649</v>
      </c>
      <c r="N47" s="6">
        <f t="shared" si="0"/>
        <v>0.9874</v>
      </c>
    </row>
    <row r="48" spans="2:14" ht="18">
      <c r="B48" s="38" t="s">
        <v>94</v>
      </c>
      <c r="D48" s="14">
        <f>ROUND(((+D82+D83+D84+D85+D86-D87+D88)/(AVERAGE(D76,F76)+AVERAGE(D79,F79)+AVERAGE(D80,F80))),3)</f>
        <v>0.262</v>
      </c>
      <c r="E48" s="15"/>
      <c r="F48" s="14">
        <f>ROUND(((+F82+F83+F84+F85+F86-F87+F88)/(AVERAGE(F76,H76)+AVERAGE(F79,H79)+AVERAGE(F80,H80))),3)</f>
        <v>0.223</v>
      </c>
      <c r="G48" s="15"/>
      <c r="H48" s="14">
        <f>ROUND(((+H82+H83+H84+H85+H86-H87+H88)/(AVERAGE(H76,J76)+AVERAGE(H79,J79)+AVERAGE(H80,J80))),3)</f>
        <v>0.231</v>
      </c>
      <c r="I48" s="15"/>
      <c r="J48" s="14">
        <f>ROUND(((+J82+J83+J84+J85+J86-J87+J88)/(AVERAGE(J76,L76)+AVERAGE(J79,L79)+AVERAGE(J80,L80))),3)</f>
        <v>0.238</v>
      </c>
      <c r="K48" s="15"/>
      <c r="L48" s="14">
        <f>ROUND(((+L82+L83+L84+L85+L86-L87+L88)/(AVERAGE(L76,N76)+AVERAGE(L79,N79)+AVERAGE(L80,N80))),3)</f>
        <v>0.183</v>
      </c>
      <c r="N48" s="6">
        <f t="shared" si="0"/>
        <v>0.2274</v>
      </c>
    </row>
    <row r="49" spans="2:15" ht="18">
      <c r="B49" s="38" t="s">
        <v>95</v>
      </c>
      <c r="D49" s="30">
        <f>ROUND(((+D82+D83+D84+D85+D86-D87+D88+D92)/D61),2)</f>
        <v>5.41</v>
      </c>
      <c r="E49" t="s">
        <v>3</v>
      </c>
      <c r="F49" s="30">
        <f>ROUND(((+F82+F83+F84+F85+F86-F87+F88+F92)/F61),2)</f>
        <v>4.95</v>
      </c>
      <c r="G49" t="s">
        <v>3</v>
      </c>
      <c r="H49" s="30">
        <f>ROUND(((+H82+H83+H84+H85+H86-H87+H88+H92)/H61),2)</f>
        <v>5.37</v>
      </c>
      <c r="I49" t="s">
        <v>3</v>
      </c>
      <c r="J49" s="30">
        <f>ROUND(((+J82+J83+J84+J85+J86-J87+J88+J92)/J61),2)</f>
        <v>4.05</v>
      </c>
      <c r="K49" t="s">
        <v>3</v>
      </c>
      <c r="L49" s="30">
        <f>ROUND(((+L82+L83+L84+L85+L86-L87+L88+L92)/L61),2)</f>
        <v>3.23</v>
      </c>
      <c r="M49" t="s">
        <v>3</v>
      </c>
      <c r="N49" s="31">
        <f t="shared" si="0"/>
        <v>4.602</v>
      </c>
      <c r="O49" t="s">
        <v>3</v>
      </c>
    </row>
    <row r="50" spans="2:15" ht="18">
      <c r="B50" s="38" t="s">
        <v>96</v>
      </c>
      <c r="D50" s="30">
        <f>ROUND(((+D82+D83+D84+D85+D86-D87+D88-D91)/+D90),2)</f>
        <v>2.99</v>
      </c>
      <c r="E50" t="s">
        <v>3</v>
      </c>
      <c r="F50" s="30">
        <f>ROUND(((+F82+F83+F84+F85+F86-F87+F88-F91)/+F90),2)</f>
        <v>3.15</v>
      </c>
      <c r="G50" t="s">
        <v>3</v>
      </c>
      <c r="H50" s="30">
        <f>ROUND(((+H82+H83+H84+H85+H86-H87+H88-H91)/+H90),2)</f>
        <v>3.31</v>
      </c>
      <c r="I50" t="s">
        <v>3</v>
      </c>
      <c r="J50" s="30">
        <f>ROUND(((+J82+J83+J84+J85+J86-J87+J88-J91)/+J90),2)</f>
        <v>2.52</v>
      </c>
      <c r="K50" t="s">
        <v>3</v>
      </c>
      <c r="L50" s="30">
        <f>ROUND(((+L82+L83+L84+L85+L86-L87+L88-L91)/+L90),2)</f>
        <v>2.11</v>
      </c>
      <c r="M50" t="s">
        <v>3</v>
      </c>
      <c r="N50" s="31">
        <f t="shared" si="0"/>
        <v>2.816</v>
      </c>
      <c r="O50" t="s">
        <v>3</v>
      </c>
    </row>
    <row r="52" ht="15">
      <c r="A52" t="s">
        <v>4</v>
      </c>
    </row>
    <row r="54" spans="1:14" ht="15.75">
      <c r="A54" s="21" t="s">
        <v>80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1761.091</v>
      </c>
      <c r="E56" s="24"/>
      <c r="F56" s="24">
        <v>1529.739</v>
      </c>
      <c r="G56" s="24"/>
      <c r="H56" s="24">
        <v>1220.822</v>
      </c>
      <c r="I56" s="24"/>
      <c r="J56" s="24">
        <v>832.028</v>
      </c>
      <c r="K56" s="24"/>
      <c r="L56" s="24">
        <v>1107.856</v>
      </c>
      <c r="M56" s="24"/>
      <c r="N56" s="24">
        <v>830.377</v>
      </c>
    </row>
    <row r="57" spans="1:14" ht="15">
      <c r="A57" s="22" t="s">
        <v>23</v>
      </c>
      <c r="B57" s="22"/>
      <c r="C57" s="22"/>
      <c r="D57" s="24">
        <v>51.88</v>
      </c>
      <c r="E57" s="24"/>
      <c r="F57" s="24">
        <v>51.485</v>
      </c>
      <c r="G57" s="24"/>
      <c r="H57" s="24">
        <v>40.093</v>
      </c>
      <c r="I57" s="24"/>
      <c r="J57" s="24">
        <v>30.784</v>
      </c>
      <c r="K57" s="24"/>
      <c r="L57" s="24">
        <v>34.575</v>
      </c>
      <c r="M57" s="24"/>
      <c r="N57" s="24">
        <v>33.975</v>
      </c>
    </row>
    <row r="58" spans="1:14" ht="15">
      <c r="A58" s="22" t="s">
        <v>24</v>
      </c>
      <c r="B58" s="22"/>
      <c r="C58" s="22"/>
      <c r="D58" s="24">
        <v>1635.791</v>
      </c>
      <c r="E58" s="24"/>
      <c r="F58" s="24">
        <v>1402.424</v>
      </c>
      <c r="G58" s="24"/>
      <c r="H58" s="24">
        <v>1117.716</v>
      </c>
      <c r="I58" s="24"/>
      <c r="J58" s="24">
        <v>741.901</v>
      </c>
      <c r="K58" s="24"/>
      <c r="L58" s="24">
        <v>1013.887</v>
      </c>
      <c r="M58" s="24"/>
      <c r="N58" s="24">
        <v>740.677</v>
      </c>
    </row>
    <row r="59" spans="1:14" ht="15">
      <c r="A59" s="22" t="s">
        <v>25</v>
      </c>
      <c r="B59" s="22"/>
      <c r="C59" s="22"/>
      <c r="D59" s="24">
        <v>10.446</v>
      </c>
      <c r="E59" s="24"/>
      <c r="F59" s="24">
        <v>10.562</v>
      </c>
      <c r="G59" s="24"/>
      <c r="H59" s="24">
        <v>8.524</v>
      </c>
      <c r="I59" s="24"/>
      <c r="J59" s="24">
        <v>9.01</v>
      </c>
      <c r="K59" s="24"/>
      <c r="L59" s="24">
        <v>7.3</v>
      </c>
      <c r="M59" s="24"/>
      <c r="N59" s="24">
        <v>7.381</v>
      </c>
    </row>
    <row r="60" spans="1:14" ht="15">
      <c r="A60" s="22" t="s">
        <v>26</v>
      </c>
      <c r="B60" s="22"/>
      <c r="C60" s="22"/>
      <c r="D60" s="24">
        <v>146.128</v>
      </c>
      <c r="E60" s="24"/>
      <c r="F60" s="24">
        <v>142.6</v>
      </c>
      <c r="G60" s="24"/>
      <c r="H60" s="24">
        <v>115.379</v>
      </c>
      <c r="I60" s="24"/>
      <c r="J60" s="24">
        <v>102.821</v>
      </c>
      <c r="K60" s="24"/>
      <c r="L60" s="24">
        <v>104.899</v>
      </c>
      <c r="M60" s="24"/>
      <c r="N60" s="24">
        <v>100.982</v>
      </c>
    </row>
    <row r="61" spans="1:14" ht="15">
      <c r="A61" s="22" t="s">
        <v>27</v>
      </c>
      <c r="B61" s="22"/>
      <c r="C61" s="22"/>
      <c r="D61" s="24">
        <v>47.393</v>
      </c>
      <c r="E61" s="24"/>
      <c r="F61" s="24">
        <v>49.033</v>
      </c>
      <c r="G61" s="24"/>
      <c r="H61" s="24">
        <v>41.332</v>
      </c>
      <c r="I61" s="24"/>
      <c r="J61" s="24">
        <v>42.042</v>
      </c>
      <c r="K61" s="24"/>
      <c r="L61" s="24">
        <v>44.324</v>
      </c>
      <c r="M61" s="24"/>
      <c r="N61" s="24">
        <v>40.272</v>
      </c>
    </row>
    <row r="62" spans="1:14" ht="15">
      <c r="A62" s="22" t="s">
        <v>28</v>
      </c>
      <c r="B62" s="22"/>
      <c r="C62" s="22"/>
      <c r="D62" s="24">
        <v>3.137</v>
      </c>
      <c r="E62" s="24"/>
      <c r="F62" s="24">
        <v>2.615</v>
      </c>
      <c r="G62" s="24"/>
      <c r="H62" s="24">
        <v>2.263</v>
      </c>
      <c r="I62" s="24"/>
      <c r="J62" s="24">
        <v>3.424</v>
      </c>
      <c r="K62" s="24"/>
      <c r="L62" s="24">
        <v>6.677</v>
      </c>
      <c r="M62" s="24"/>
      <c r="N62" s="24">
        <v>3.321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0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</v>
      </c>
      <c r="M64" s="24"/>
      <c r="N64" s="24">
        <v>0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101.27</v>
      </c>
      <c r="E66" s="24"/>
      <c r="F66" s="24">
        <v>95.188</v>
      </c>
      <c r="G66" s="24"/>
      <c r="H66" s="24">
        <v>74.362</v>
      </c>
      <c r="I66" s="24"/>
      <c r="J66" s="24">
        <v>62.217</v>
      </c>
      <c r="K66" s="24"/>
      <c r="L66" s="24">
        <v>65.485</v>
      </c>
      <c r="M66" s="24"/>
      <c r="N66" s="24">
        <v>64.031</v>
      </c>
    </row>
    <row r="67" spans="1:14" ht="15">
      <c r="A67" s="22" t="s">
        <v>33</v>
      </c>
      <c r="B67" s="22"/>
      <c r="C67" s="22"/>
      <c r="D67" s="24">
        <v>1.32</v>
      </c>
      <c r="E67" s="24"/>
      <c r="F67" s="24">
        <v>2.56</v>
      </c>
      <c r="G67" s="24"/>
      <c r="H67" s="24">
        <v>2.23</v>
      </c>
      <c r="I67" s="24"/>
      <c r="J67" s="24">
        <v>1.9</v>
      </c>
      <c r="K67" s="24"/>
      <c r="L67" s="24">
        <v>2.03</v>
      </c>
      <c r="M67" s="24"/>
      <c r="N67" s="24">
        <v>2.03</v>
      </c>
    </row>
    <row r="68" spans="1:14" ht="15">
      <c r="A68" s="22" t="s">
        <v>34</v>
      </c>
      <c r="B68" s="22"/>
      <c r="C68" s="22"/>
      <c r="D68" s="24">
        <v>884.192</v>
      </c>
      <c r="E68" s="24"/>
      <c r="F68" s="24">
        <v>854.898</v>
      </c>
      <c r="G68" s="24"/>
      <c r="H68" s="24">
        <v>630.195</v>
      </c>
      <c r="I68" s="24"/>
      <c r="J68" s="24">
        <v>589.596</v>
      </c>
      <c r="K68" s="24"/>
      <c r="L68" s="24">
        <v>560.379</v>
      </c>
      <c r="M68" s="24"/>
      <c r="N68" s="24">
        <v>527.372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0</v>
      </c>
      <c r="G69" s="24"/>
      <c r="H69" s="24">
        <v>0</v>
      </c>
      <c r="I69" s="24"/>
      <c r="J69" s="24">
        <v>0</v>
      </c>
      <c r="K69" s="24"/>
      <c r="L69" s="24">
        <v>0</v>
      </c>
      <c r="M69" s="24"/>
      <c r="N69" s="24">
        <v>0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0</v>
      </c>
      <c r="M71" s="24"/>
      <c r="N71" s="24">
        <v>0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</v>
      </c>
      <c r="E75" s="24"/>
      <c r="F75" s="24">
        <v>0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625</v>
      </c>
      <c r="E76" s="24"/>
      <c r="F76" s="24">
        <v>660</v>
      </c>
      <c r="G76" s="24"/>
      <c r="H76" s="24">
        <v>460</v>
      </c>
      <c r="I76" s="24"/>
      <c r="J76" s="24">
        <v>462</v>
      </c>
      <c r="K76" s="24"/>
      <c r="L76" s="24">
        <v>509</v>
      </c>
      <c r="M76" s="24"/>
      <c r="N76" s="24">
        <v>451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1509.192</v>
      </c>
      <c r="E78" s="24"/>
      <c r="F78" s="24">
        <v>1514.898</v>
      </c>
      <c r="G78" s="24"/>
      <c r="H78" s="24">
        <v>1090.195</v>
      </c>
      <c r="I78" s="24"/>
      <c r="J78" s="24">
        <v>1051.596</v>
      </c>
      <c r="K78" s="24"/>
      <c r="L78" s="24">
        <v>1069.379</v>
      </c>
      <c r="M78" s="24"/>
      <c r="N78" s="24">
        <v>978.372</v>
      </c>
    </row>
    <row r="79" spans="1:14" ht="15">
      <c r="A79" s="22" t="s">
        <v>45</v>
      </c>
      <c r="B79" s="22"/>
      <c r="C79" s="22"/>
      <c r="D79" s="24">
        <v>35</v>
      </c>
      <c r="E79" s="24"/>
      <c r="F79" s="24">
        <v>0</v>
      </c>
      <c r="G79" s="24"/>
      <c r="H79" s="24">
        <v>2</v>
      </c>
      <c r="I79" s="24"/>
      <c r="J79" s="24">
        <v>47</v>
      </c>
      <c r="K79" s="24"/>
      <c r="L79" s="24">
        <v>2</v>
      </c>
      <c r="M79" s="24"/>
      <c r="N79" s="24">
        <v>32</v>
      </c>
    </row>
    <row r="80" spans="1:14" ht="15">
      <c r="A80" s="22" t="s">
        <v>46</v>
      </c>
      <c r="B80" s="22"/>
      <c r="C80" s="22"/>
      <c r="D80" s="24">
        <v>158.5</v>
      </c>
      <c r="E80" s="24"/>
      <c r="F80" s="24">
        <v>109.5</v>
      </c>
      <c r="G80" s="24"/>
      <c r="H80" s="24">
        <v>555.059</v>
      </c>
      <c r="I80" s="24"/>
      <c r="J80" s="24">
        <v>46.5</v>
      </c>
      <c r="K80" s="24"/>
      <c r="L80" s="24">
        <v>32</v>
      </c>
      <c r="M80" s="24"/>
      <c r="N80" s="24">
        <v>99.5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101.27</v>
      </c>
      <c r="E82" s="24"/>
      <c r="F82" s="24">
        <v>95.188</v>
      </c>
      <c r="G82" s="24"/>
      <c r="H82" s="24">
        <v>74.362</v>
      </c>
      <c r="I82" s="24"/>
      <c r="J82" s="24">
        <v>62.217</v>
      </c>
      <c r="K82" s="24"/>
      <c r="L82" s="24">
        <v>65.485</v>
      </c>
      <c r="M82" s="24"/>
      <c r="N82" s="24">
        <v>64.031</v>
      </c>
    </row>
    <row r="83" spans="1:14" ht="15">
      <c r="A83" s="22" t="s">
        <v>49</v>
      </c>
      <c r="B83" s="22"/>
      <c r="C83" s="22"/>
      <c r="D83" s="24">
        <v>91.677</v>
      </c>
      <c r="E83" s="24"/>
      <c r="F83" s="24">
        <v>87.336</v>
      </c>
      <c r="G83" s="24"/>
      <c r="H83" s="24">
        <v>64.161</v>
      </c>
      <c r="I83" s="24"/>
      <c r="J83" s="24">
        <v>58.393</v>
      </c>
      <c r="K83" s="24"/>
      <c r="L83" s="24">
        <v>53.069</v>
      </c>
      <c r="M83" s="24"/>
      <c r="N83" s="24">
        <v>52.09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18.278</v>
      </c>
      <c r="E85" s="24"/>
      <c r="F85" s="24">
        <v>21.337</v>
      </c>
      <c r="G85" s="24"/>
      <c r="H85" s="24">
        <v>45.792</v>
      </c>
      <c r="I85" s="24"/>
      <c r="J85" s="24">
        <v>14.104</v>
      </c>
      <c r="K85" s="24"/>
      <c r="L85" s="24">
        <v>-8.193</v>
      </c>
      <c r="M85" s="24"/>
      <c r="N85" s="24">
        <v>14.612</v>
      </c>
    </row>
    <row r="86" spans="1:14" ht="15">
      <c r="A86" s="22" t="s">
        <v>52</v>
      </c>
      <c r="B86" s="22"/>
      <c r="C86" s="22"/>
      <c r="D86" s="24">
        <v>-0.541</v>
      </c>
      <c r="E86" s="24"/>
      <c r="F86" s="24">
        <v>-0.55</v>
      </c>
      <c r="G86" s="24"/>
      <c r="H86" s="24">
        <v>-0.55</v>
      </c>
      <c r="I86" s="24"/>
      <c r="J86" s="24">
        <v>-0.556</v>
      </c>
      <c r="K86" s="24"/>
      <c r="L86" s="24">
        <v>-0.558</v>
      </c>
      <c r="M86" s="24"/>
      <c r="N86" s="24">
        <v>-0.558</v>
      </c>
    </row>
    <row r="87" spans="1:14" ht="15">
      <c r="A87" s="22" t="s">
        <v>53</v>
      </c>
      <c r="B87" s="22"/>
      <c r="C87" s="22"/>
      <c r="D87" s="24">
        <v>3.137</v>
      </c>
      <c r="E87" s="24"/>
      <c r="F87" s="24">
        <v>2.615</v>
      </c>
      <c r="G87" s="24"/>
      <c r="H87" s="24">
        <v>2.263</v>
      </c>
      <c r="I87" s="24"/>
      <c r="J87" s="24">
        <v>3.424</v>
      </c>
      <c r="K87" s="24"/>
      <c r="L87" s="24">
        <v>6.677</v>
      </c>
      <c r="M87" s="24"/>
      <c r="N87" s="24">
        <v>3.321</v>
      </c>
    </row>
    <row r="88" spans="1:14" ht="15">
      <c r="A88" s="22" t="s">
        <v>69</v>
      </c>
      <c r="B88" s="22"/>
      <c r="C88" s="22"/>
      <c r="D88" s="24">
        <v>0.102</v>
      </c>
      <c r="E88" s="24"/>
      <c r="F88" s="24">
        <v>-1.658</v>
      </c>
      <c r="G88" s="24"/>
      <c r="H88" s="24">
        <v>0</v>
      </c>
      <c r="I88" s="24"/>
      <c r="J88" s="24">
        <v>0</v>
      </c>
      <c r="K88" s="24"/>
      <c r="L88" s="24">
        <v>0</v>
      </c>
      <c r="M88" s="24"/>
      <c r="N88" s="24">
        <v>-5.063</v>
      </c>
    </row>
    <row r="89" spans="1:14" ht="15">
      <c r="A89" s="22" t="s">
        <v>54</v>
      </c>
      <c r="B89" s="22"/>
      <c r="C89" s="22"/>
      <c r="D89" s="24">
        <v>194.544</v>
      </c>
      <c r="E89" s="24"/>
      <c r="F89" s="24">
        <v>144.376</v>
      </c>
      <c r="G89" s="24"/>
      <c r="H89" s="24">
        <v>80.198</v>
      </c>
      <c r="I89" s="24"/>
      <c r="J89" s="24">
        <v>83.536</v>
      </c>
      <c r="K89" s="24"/>
      <c r="L89" s="24">
        <v>90.213</v>
      </c>
      <c r="M89" s="24"/>
      <c r="N89" s="24">
        <v>108.65</v>
      </c>
    </row>
    <row r="90" spans="1:14" ht="15">
      <c r="A90" s="22" t="s">
        <v>55</v>
      </c>
      <c r="B90" s="22"/>
      <c r="C90" s="22"/>
      <c r="D90" s="24">
        <v>69.366</v>
      </c>
      <c r="E90" s="24"/>
      <c r="F90" s="24">
        <v>63.267</v>
      </c>
      <c r="G90" s="24"/>
      <c r="H90" s="24">
        <v>54.912</v>
      </c>
      <c r="I90" s="24"/>
      <c r="J90" s="24">
        <v>51.909</v>
      </c>
      <c r="K90" s="24"/>
      <c r="L90" s="24">
        <v>48.909</v>
      </c>
      <c r="M90" s="24"/>
      <c r="N90" s="24">
        <v>45.487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48.888</v>
      </c>
      <c r="E92" s="24"/>
      <c r="F92" s="24">
        <v>43.868</v>
      </c>
      <c r="G92" s="24"/>
      <c r="H92" s="24">
        <v>40.268</v>
      </c>
      <c r="I92" s="24"/>
      <c r="J92" s="24">
        <v>39.696</v>
      </c>
      <c r="K92" s="24"/>
      <c r="L92" s="24">
        <v>39.977</v>
      </c>
      <c r="M92" s="24"/>
      <c r="N92" s="24">
        <v>37.971</v>
      </c>
    </row>
    <row r="93" spans="1:14" ht="15">
      <c r="A93" s="22" t="s">
        <v>58</v>
      </c>
      <c r="B93" s="22"/>
      <c r="C93" s="22"/>
      <c r="D93" s="24">
        <v>35.888</v>
      </c>
      <c r="E93" s="24"/>
      <c r="F93" s="24">
        <v>44.396</v>
      </c>
      <c r="G93" s="24"/>
      <c r="H93" s="24">
        <v>30.554</v>
      </c>
      <c r="I93" s="24"/>
      <c r="J93" s="24">
        <v>34.166</v>
      </c>
      <c r="K93" s="24"/>
      <c r="L93" s="24">
        <v>51.43</v>
      </c>
      <c r="M93" s="24"/>
      <c r="N93" s="24">
        <v>85.848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2</v>
      </c>
      <c r="G94" s="24"/>
      <c r="H94" s="24">
        <v>2</v>
      </c>
      <c r="I94" s="24"/>
      <c r="J94" s="24">
        <v>2</v>
      </c>
      <c r="K94" s="24"/>
      <c r="L94" s="24">
        <v>2</v>
      </c>
      <c r="M94" s="24"/>
      <c r="N94" s="24">
        <v>2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1</v>
      </c>
      <c r="G95" s="24"/>
      <c r="H95" s="24">
        <v>2</v>
      </c>
      <c r="I95" s="24"/>
      <c r="J95" s="24">
        <v>2</v>
      </c>
      <c r="K95" s="24"/>
      <c r="L95" s="24">
        <v>2</v>
      </c>
      <c r="M95" s="24"/>
      <c r="N95" s="24">
        <v>2</v>
      </c>
    </row>
    <row r="96" spans="1:14" ht="15">
      <c r="A96" s="22" t="s">
        <v>59</v>
      </c>
      <c r="B96" s="22"/>
      <c r="C96" s="22"/>
      <c r="D96" s="24">
        <v>69.366</v>
      </c>
      <c r="E96" s="24"/>
      <c r="F96" s="24">
        <v>63.267</v>
      </c>
      <c r="G96" s="24"/>
      <c r="H96" s="24">
        <v>54.912</v>
      </c>
      <c r="I96" s="24"/>
      <c r="J96" s="24">
        <v>51.909</v>
      </c>
      <c r="K96" s="24"/>
      <c r="L96" s="24">
        <v>48.909</v>
      </c>
      <c r="M96" s="24"/>
      <c r="N96" s="24">
        <v>45.487</v>
      </c>
    </row>
    <row r="97" spans="1:14" ht="15">
      <c r="A97" s="22" t="s">
        <v>60</v>
      </c>
      <c r="B97" s="22"/>
      <c r="C97" s="22"/>
      <c r="D97" s="24">
        <v>0.905</v>
      </c>
      <c r="E97" s="24"/>
      <c r="F97" s="24">
        <v>1.705</v>
      </c>
      <c r="G97" s="24"/>
      <c r="H97" s="24">
        <v>1.645</v>
      </c>
      <c r="I97" s="24"/>
      <c r="J97" s="24">
        <v>1.585</v>
      </c>
      <c r="K97" s="24"/>
      <c r="L97" s="24">
        <v>1.52</v>
      </c>
      <c r="M97" s="24"/>
      <c r="N97" s="24">
        <v>1.44</v>
      </c>
    </row>
    <row r="98" spans="1:14" ht="15">
      <c r="A98" s="22" t="s">
        <v>61</v>
      </c>
      <c r="B98" s="22"/>
      <c r="C98" s="22"/>
      <c r="D98" s="24">
        <v>0.905</v>
      </c>
      <c r="E98" s="24"/>
      <c r="F98" s="24">
        <v>1.068</v>
      </c>
      <c r="G98" s="24"/>
      <c r="H98" s="24">
        <v>1.645</v>
      </c>
      <c r="I98" s="24"/>
      <c r="J98" s="24">
        <v>1.585</v>
      </c>
      <c r="K98" s="24"/>
      <c r="L98" s="24">
        <v>1.52</v>
      </c>
      <c r="M98" s="24"/>
      <c r="N98" s="24">
        <v>1.44</v>
      </c>
    </row>
    <row r="99" spans="1:14" ht="15">
      <c r="A99" s="22" t="s">
        <v>62</v>
      </c>
      <c r="B99" s="22"/>
      <c r="C99" s="22"/>
      <c r="D99" s="24">
        <v>25.8</v>
      </c>
      <c r="E99" s="24"/>
      <c r="F99" s="24">
        <v>48.7</v>
      </c>
      <c r="G99" s="24"/>
      <c r="H99" s="24">
        <v>43.95</v>
      </c>
      <c r="I99" s="24"/>
      <c r="J99" s="24">
        <v>38</v>
      </c>
      <c r="K99" s="24"/>
      <c r="L99" s="24">
        <v>38</v>
      </c>
      <c r="M99" s="24"/>
      <c r="N99" s="24">
        <v>39.438</v>
      </c>
    </row>
    <row r="100" spans="1:14" ht="15">
      <c r="A100" s="22" t="s">
        <v>63</v>
      </c>
      <c r="B100" s="22"/>
      <c r="C100" s="22"/>
      <c r="D100" s="24">
        <v>21.26</v>
      </c>
      <c r="E100" s="24"/>
      <c r="F100" s="24">
        <v>38.32</v>
      </c>
      <c r="G100" s="24"/>
      <c r="H100" s="24">
        <v>33.22</v>
      </c>
      <c r="I100" s="24"/>
      <c r="J100" s="24">
        <v>27.35</v>
      </c>
      <c r="K100" s="24"/>
      <c r="L100" s="24">
        <v>29.19</v>
      </c>
      <c r="M100" s="24"/>
      <c r="N100" s="24">
        <v>23.688</v>
      </c>
    </row>
    <row r="101" spans="1:14" ht="15">
      <c r="A101" s="22" t="s">
        <v>64</v>
      </c>
      <c r="B101" s="22"/>
      <c r="C101" s="22"/>
      <c r="D101" s="24">
        <v>24.16</v>
      </c>
      <c r="E101" s="24"/>
      <c r="F101" s="24">
        <v>46.48</v>
      </c>
      <c r="G101" s="24"/>
      <c r="H101" s="24">
        <v>43.46</v>
      </c>
      <c r="I101" s="24"/>
      <c r="J101" s="24">
        <v>35.35</v>
      </c>
      <c r="K101" s="24"/>
      <c r="L101" s="24">
        <v>35.8</v>
      </c>
      <c r="M101" s="24"/>
      <c r="N101" s="24">
        <v>38.188</v>
      </c>
    </row>
    <row r="102" spans="1:14" ht="15">
      <c r="A102" s="22" t="s">
        <v>65</v>
      </c>
      <c r="B102" s="22"/>
      <c r="C102" s="22"/>
      <c r="D102" s="24">
        <v>76.698</v>
      </c>
      <c r="E102" s="24"/>
      <c r="F102" s="24">
        <v>38.335</v>
      </c>
      <c r="G102" s="24"/>
      <c r="H102" s="24">
        <v>33.655</v>
      </c>
      <c r="I102" s="24"/>
      <c r="J102" s="24">
        <v>33.09</v>
      </c>
      <c r="K102" s="24"/>
      <c r="L102" s="24">
        <v>32.463</v>
      </c>
      <c r="M102" s="24"/>
      <c r="N102" s="24">
        <v>31.914</v>
      </c>
    </row>
    <row r="103" spans="1:14" ht="15">
      <c r="A103" s="22" t="s">
        <v>84</v>
      </c>
      <c r="B103" s="22"/>
      <c r="C103" s="22"/>
      <c r="D103" s="24">
        <v>-2.253</v>
      </c>
      <c r="E103" s="24"/>
      <c r="F103" s="24">
        <v>-0.166</v>
      </c>
      <c r="G103" s="24"/>
      <c r="H103" s="24">
        <v>-1.932</v>
      </c>
      <c r="I103" s="24"/>
      <c r="J103" s="24">
        <v>-2.983</v>
      </c>
      <c r="K103" s="24"/>
      <c r="L103" s="24">
        <v>-1.377</v>
      </c>
      <c r="M103" s="24"/>
      <c r="N103" s="24">
        <v>0</v>
      </c>
    </row>
    <row r="104" ht="15">
      <c r="A104" t="s">
        <v>71</v>
      </c>
    </row>
    <row r="105" spans="2:14" ht="15">
      <c r="B105" t="s">
        <v>70</v>
      </c>
      <c r="D105" s="7">
        <f>D67/D94</f>
        <v>1.32</v>
      </c>
      <c r="F105" s="7">
        <f>F67/F94</f>
        <v>1.28</v>
      </c>
      <c r="H105" s="7">
        <f>H67/H94</f>
        <v>1.115</v>
      </c>
      <c r="J105" s="7">
        <f>J67/J94</f>
        <v>0.95</v>
      </c>
      <c r="L105" s="7">
        <f>L67/L94</f>
        <v>1.015</v>
      </c>
      <c r="N105" s="7">
        <f>N67/N94</f>
        <v>1.015</v>
      </c>
    </row>
    <row r="106" spans="2:14" ht="15">
      <c r="B106" t="s">
        <v>60</v>
      </c>
      <c r="D106" s="7">
        <f>D97/D94</f>
        <v>0.905</v>
      </c>
      <c r="F106" s="7">
        <f>F97/F94</f>
        <v>0.8525</v>
      </c>
      <c r="H106" s="7">
        <f>H97/H94</f>
        <v>0.8225</v>
      </c>
      <c r="J106" s="7">
        <f>J97/J94</f>
        <v>0.7925</v>
      </c>
      <c r="L106" s="7">
        <f>L97/L94</f>
        <v>0.76</v>
      </c>
      <c r="N106" s="7">
        <f>N97/N94</f>
        <v>0.72</v>
      </c>
    </row>
    <row r="107" spans="2:14" ht="15">
      <c r="B107" t="s">
        <v>61</v>
      </c>
      <c r="D107" s="7">
        <f>D98/D94</f>
        <v>0.905</v>
      </c>
      <c r="F107" s="7">
        <f>F98/F94</f>
        <v>0.534</v>
      </c>
      <c r="H107" s="7">
        <f>H98/H94</f>
        <v>0.8225</v>
      </c>
      <c r="J107" s="7">
        <f>J98/J94</f>
        <v>0.7925</v>
      </c>
      <c r="L107" s="7">
        <f>L98/L94</f>
        <v>0.76</v>
      </c>
      <c r="N107" s="7">
        <f>N98/N94</f>
        <v>0.72</v>
      </c>
    </row>
    <row r="108" spans="2:14" ht="15">
      <c r="B108" t="s">
        <v>62</v>
      </c>
      <c r="D108" s="7">
        <f>D99/D94</f>
        <v>25.8</v>
      </c>
      <c r="F108" s="7">
        <f>F99/F94</f>
        <v>24.35</v>
      </c>
      <c r="H108" s="7">
        <f>H99/H94</f>
        <v>21.975</v>
      </c>
      <c r="J108" s="7">
        <f>J99/J94</f>
        <v>19</v>
      </c>
      <c r="L108" s="7">
        <f>L99/L94</f>
        <v>19</v>
      </c>
      <c r="N108" s="7">
        <f>N99/N94</f>
        <v>19.719</v>
      </c>
    </row>
    <row r="109" spans="2:14" ht="15">
      <c r="B109" t="s">
        <v>63</v>
      </c>
      <c r="D109" s="7">
        <f>D100/D94</f>
        <v>21.26</v>
      </c>
      <c r="F109" s="7">
        <f>F100/F94</f>
        <v>19.16</v>
      </c>
      <c r="H109" s="7">
        <f>H100/H94</f>
        <v>16.61</v>
      </c>
      <c r="J109" s="7">
        <f>J100/J94</f>
        <v>13.675</v>
      </c>
      <c r="L109" s="7">
        <f>L100/L94</f>
        <v>14.595</v>
      </c>
      <c r="N109" s="7">
        <f>N100/N94</f>
        <v>11.844</v>
      </c>
    </row>
    <row r="110" spans="2:14" ht="15">
      <c r="B110" t="s">
        <v>64</v>
      </c>
      <c r="D110" s="7">
        <f>D101/D94</f>
        <v>24.16</v>
      </c>
      <c r="F110" s="7">
        <f>F101/F94</f>
        <v>23.24</v>
      </c>
      <c r="H110" s="7">
        <f>H101/H94</f>
        <v>21.73</v>
      </c>
      <c r="J110" s="7">
        <f>J101/J94</f>
        <v>17.675</v>
      </c>
      <c r="L110" s="7">
        <f>L101/L94</f>
        <v>17.9</v>
      </c>
      <c r="N110" s="7">
        <f>N101/N94</f>
        <v>19.094</v>
      </c>
    </row>
    <row r="111" spans="2:14" ht="15">
      <c r="B111" t="s">
        <v>65</v>
      </c>
      <c r="D111" s="16">
        <f>D102*D94</f>
        <v>76.698</v>
      </c>
      <c r="E111" s="16"/>
      <c r="F111" s="16">
        <f>F102*F94</f>
        <v>76.67</v>
      </c>
      <c r="G111" s="16"/>
      <c r="H111" s="16">
        <f>H102*H94</f>
        <v>67.31</v>
      </c>
      <c r="I111" s="16"/>
      <c r="J111" s="16">
        <f>J102*J94</f>
        <v>66.18</v>
      </c>
      <c r="K111" s="16"/>
      <c r="L111" s="16">
        <f>L102*L94</f>
        <v>64.926</v>
      </c>
      <c r="M111" s="16"/>
      <c r="N111" s="16">
        <f>N102*N94</f>
        <v>63.828</v>
      </c>
    </row>
    <row r="112" spans="2:14" ht="15">
      <c r="B112" t="s">
        <v>66</v>
      </c>
      <c r="D112" s="7">
        <f>ROUND(D68/D111,2)</f>
        <v>11.53</v>
      </c>
      <c r="F112" s="7">
        <f>ROUND(F68/F111,2)</f>
        <v>11.15</v>
      </c>
      <c r="H112" s="7">
        <f>ROUND(H68/H111,2)</f>
        <v>9.36</v>
      </c>
      <c r="J112" s="7">
        <f>ROUND(J68/J111,2)</f>
        <v>8.91</v>
      </c>
      <c r="L112" s="7">
        <f>ROUND(L68/L111,2)</f>
        <v>8.63</v>
      </c>
      <c r="N112" s="7">
        <f>ROUND(N68/N111,2)</f>
        <v>8.26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3" r:id="rId1"/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O112"/>
  <sheetViews>
    <sheetView zoomScale="75" zoomScaleNormal="75" workbookViewId="0" topLeftCell="A1">
      <selection activeCell="A1" sqref="A1:O1"/>
    </sheetView>
  </sheetViews>
  <sheetFormatPr defaultColWidth="8.88671875" defaultRowHeight="15"/>
  <cols>
    <col min="1" max="1" width="2.6640625" style="0" customWidth="1"/>
    <col min="2" max="2" width="24.77734375" style="0" customWidth="1"/>
    <col min="4" max="4" width="10.21484375" style="0" customWidth="1"/>
    <col min="5" max="5" width="3.77734375" style="0" customWidth="1"/>
    <col min="6" max="6" width="10.21484375" style="0" customWidth="1"/>
    <col min="7" max="7" width="3.77734375" style="0" customWidth="1"/>
    <col min="8" max="8" width="10.21484375" style="0" customWidth="1"/>
    <col min="9" max="9" width="3.77734375" style="0" customWidth="1"/>
    <col min="10" max="10" width="10.21484375" style="0" customWidth="1"/>
    <col min="11" max="11" width="3.77734375" style="0" customWidth="1"/>
    <col min="12" max="12" width="10.21484375" style="0" customWidth="1"/>
    <col min="13" max="13" width="3.77734375" style="0" customWidth="1"/>
    <col min="14" max="14" width="8.77734375" style="0" customWidth="1"/>
    <col min="15" max="15" width="2.77734375" style="0" customWidth="1"/>
  </cols>
  <sheetData>
    <row r="1" spans="1:15" ht="15.75">
      <c r="A1" s="46" t="str">
        <f>A54</f>
        <v>SOUTH JERSEY INDUSTRIES INC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1" t="str">
        <f>'Page 1'!A3:N3</f>
        <v>2001-2005, Inclusive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4:12" s="1" customFormat="1" ht="15">
      <c r="D5" s="2">
        <f>D55</f>
        <v>2005</v>
      </c>
      <c r="F5" s="2">
        <f>F55</f>
        <v>2004</v>
      </c>
      <c r="H5" s="2">
        <f>H55</f>
        <v>2003</v>
      </c>
      <c r="J5" s="2">
        <f>J55</f>
        <v>2002</v>
      </c>
      <c r="L5" s="2">
        <f>L55</f>
        <v>2001</v>
      </c>
    </row>
    <row r="6" spans="4:12" s="1" customFormat="1" ht="15">
      <c r="D6" s="45" t="s">
        <v>18</v>
      </c>
      <c r="E6" s="45"/>
      <c r="F6" s="45"/>
      <c r="G6" s="45"/>
      <c r="H6" s="45"/>
      <c r="I6" s="45"/>
      <c r="J6" s="45"/>
      <c r="K6" s="45"/>
      <c r="L6" s="45"/>
    </row>
    <row r="7" ht="15">
      <c r="A7" t="s">
        <v>1</v>
      </c>
    </row>
    <row r="8" spans="2:12" ht="15">
      <c r="B8" t="s">
        <v>6</v>
      </c>
      <c r="D8" s="39">
        <f>D78+D79+D81-D103</f>
        <v>724.27</v>
      </c>
      <c r="F8" s="39">
        <f>F78+F79+F81-F103</f>
        <v>677.138</v>
      </c>
      <c r="H8" s="39">
        <f>H78+H79+H81-H103</f>
        <v>610.234</v>
      </c>
      <c r="J8" s="39">
        <f>J78+J79+J81-J103</f>
        <v>529.0960000000001</v>
      </c>
      <c r="L8" s="39">
        <f>L78+L79+L81-L103</f>
        <v>527.6429999999999</v>
      </c>
    </row>
    <row r="9" spans="2:12" ht="15">
      <c r="B9" t="s">
        <v>5</v>
      </c>
      <c r="D9" s="12">
        <f>D80</f>
        <v>147.3</v>
      </c>
      <c r="F9" s="12">
        <f>F80</f>
        <v>92.3</v>
      </c>
      <c r="H9" s="12">
        <f>H80</f>
        <v>112.8</v>
      </c>
      <c r="J9" s="12">
        <f>J80</f>
        <v>166.5</v>
      </c>
      <c r="L9" s="12">
        <f>L80</f>
        <v>152.36</v>
      </c>
    </row>
    <row r="10" spans="2:12" ht="15.75" thickBot="1">
      <c r="B10" t="s">
        <v>7</v>
      </c>
      <c r="D10" s="13">
        <f>D8+D9</f>
        <v>871.5699999999999</v>
      </c>
      <c r="F10" s="13">
        <f>F8+F9</f>
        <v>769.438</v>
      </c>
      <c r="H10" s="13">
        <f>H8+H9</f>
        <v>723.034</v>
      </c>
      <c r="J10" s="13">
        <f>J8+J9</f>
        <v>695.5960000000001</v>
      </c>
      <c r="L10" s="13">
        <f>L8+L9</f>
        <v>680.0029999999999</v>
      </c>
    </row>
    <row r="11" ht="15.75" thickTop="1"/>
    <row r="12" spans="1:14" ht="15">
      <c r="A12" t="s">
        <v>8</v>
      </c>
      <c r="N12" s="2" t="s">
        <v>19</v>
      </c>
    </row>
    <row r="13" spans="2:15" ht="15">
      <c r="B13" s="26" t="s">
        <v>73</v>
      </c>
      <c r="D13" s="34">
        <f>ROUND(AVERAGE(D108:D109)/D105,0)</f>
        <v>17</v>
      </c>
      <c r="E13" s="8" t="s">
        <v>3</v>
      </c>
      <c r="F13" s="34">
        <f>ROUND(AVERAGE(F108:F109)/F105,0)</f>
        <v>15</v>
      </c>
      <c r="G13" s="8" t="s">
        <v>3</v>
      </c>
      <c r="H13" s="34">
        <f>ROUND(AVERAGE(H108:H109)/H105,0)</f>
        <v>13</v>
      </c>
      <c r="I13" s="8" t="s">
        <v>3</v>
      </c>
      <c r="J13" s="34">
        <f>ROUND(AVERAGE(J108:J109)/J105,0)</f>
        <v>13</v>
      </c>
      <c r="K13" s="8" t="s">
        <v>3</v>
      </c>
      <c r="L13" s="34">
        <f>ROUND(AVERAGE(L108:L109)/L105,0)</f>
        <v>13</v>
      </c>
      <c r="M13" s="8" t="s">
        <v>3</v>
      </c>
      <c r="N13" s="35">
        <f>AVERAGE(D13,F13,H13,J13,L13)</f>
        <v>14.2</v>
      </c>
      <c r="O13" s="8" t="s">
        <v>3</v>
      </c>
    </row>
    <row r="14" spans="2:14" ht="15">
      <c r="B14" t="s">
        <v>20</v>
      </c>
      <c r="D14" s="3">
        <f>ROUND(AVERAGE(D108:D109)/AVERAGE(D112,F112),3)</f>
        <v>2.212</v>
      </c>
      <c r="E14" s="3"/>
      <c r="F14" s="3">
        <f>ROUND(AVERAGE(F108:F109)/AVERAGE(F112,H112),3)</f>
        <v>1.953</v>
      </c>
      <c r="G14" s="3"/>
      <c r="H14" s="3">
        <f>ROUND(AVERAGE(H108:H109)/AVERAGE(H112,J112),3)</f>
        <v>1.696</v>
      </c>
      <c r="I14" s="3"/>
      <c r="J14" s="3">
        <f>ROUND(AVERAGE(J108:J109)/AVERAGE(J112,L112),3)</f>
        <v>1.704</v>
      </c>
      <c r="K14" s="3"/>
      <c r="L14" s="3">
        <f>ROUND(AVERAGE(L108:L109)/AVERAGE(L112,N112),3)</f>
        <v>1.708</v>
      </c>
      <c r="M14" s="3"/>
      <c r="N14" s="6">
        <f>AVERAGE(D14,F14,H14,J14,L14)</f>
        <v>1.8546</v>
      </c>
    </row>
    <row r="15" spans="2:14" ht="15">
      <c r="B15" t="s">
        <v>9</v>
      </c>
      <c r="D15" s="3">
        <f>ROUND(D106/AVERAGE(D108:D109),3)</f>
        <v>0.03</v>
      </c>
      <c r="E15" s="3"/>
      <c r="F15" s="3">
        <f>ROUND(F106/AVERAGE(F108:F109),3)</f>
        <v>0.035</v>
      </c>
      <c r="G15" s="3"/>
      <c r="H15" s="3">
        <f>ROUND(H106/AVERAGE(H108:H109),3)</f>
        <v>0.044</v>
      </c>
      <c r="I15" s="3"/>
      <c r="J15" s="3">
        <f>ROUND(J106/AVERAGE(J108:J109),3)</f>
        <v>0.047</v>
      </c>
      <c r="K15" s="3"/>
      <c r="L15" s="3">
        <f>ROUND(L106/AVERAGE(L108:L109),3)</f>
        <v>0.048</v>
      </c>
      <c r="M15" s="3"/>
      <c r="N15" s="6">
        <f>AVERAGE(D15,F15,H15,J15,L15)</f>
        <v>0.0408</v>
      </c>
    </row>
    <row r="16" spans="2:14" ht="15">
      <c r="B16" t="s">
        <v>10</v>
      </c>
      <c r="D16" s="3">
        <f>ROUND(D96/D66,3)</f>
        <v>0.502</v>
      </c>
      <c r="E16" s="3"/>
      <c r="F16" s="3">
        <f>ROUND(F96/F66,3)</f>
        <v>0.524</v>
      </c>
      <c r="G16" s="3"/>
      <c r="H16" s="3">
        <f>ROUND(H96/H66,3)</f>
        <v>0.571</v>
      </c>
      <c r="I16" s="3"/>
      <c r="J16" s="3">
        <f>ROUND(J96/J66,3)</f>
        <v>0.619</v>
      </c>
      <c r="K16" s="3"/>
      <c r="L16" s="3">
        <f>ROUND(L96/L66,3)</f>
        <v>0.646</v>
      </c>
      <c r="M16" s="3"/>
      <c r="N16" s="6">
        <f>AVERAGE(D16,F16,H16,J16,L16)</f>
        <v>0.5724</v>
      </c>
    </row>
    <row r="18" ht="15">
      <c r="A18" t="s">
        <v>2</v>
      </c>
    </row>
    <row r="19" ht="15">
      <c r="B19" t="s">
        <v>72</v>
      </c>
    </row>
    <row r="20" spans="2:14" ht="15">
      <c r="B20" s="36" t="s">
        <v>85</v>
      </c>
      <c r="D20" s="3">
        <f>ROUND((+D76+D79)/D8,3)</f>
        <v>0.444</v>
      </c>
      <c r="E20" s="3"/>
      <c r="F20" s="3">
        <f>ROUND((+F76+F79)/F8,3)</f>
        <v>0.494</v>
      </c>
      <c r="G20" s="3"/>
      <c r="H20" s="3">
        <f>ROUND((+H76+H79)/H8,3)</f>
        <v>0.515</v>
      </c>
      <c r="I20" s="3"/>
      <c r="J20" s="3">
        <f>ROUND((+J76+J79)/J8,3)</f>
        <v>0.536</v>
      </c>
      <c r="K20" s="3"/>
      <c r="L20" s="3">
        <f>ROUND((+L76+L79)/L8,3)</f>
        <v>0.576</v>
      </c>
      <c r="M20" s="3"/>
      <c r="N20" s="6">
        <f>AVERAGE(D20,F20,H20,J20,L20)</f>
        <v>0.513</v>
      </c>
    </row>
    <row r="21" spans="2:14" ht="15">
      <c r="B21" s="36" t="s">
        <v>86</v>
      </c>
      <c r="D21" s="3">
        <f>ROUND((SUM(D69:D75)+D81)/D8,3)</f>
        <v>0.001</v>
      </c>
      <c r="E21" s="3"/>
      <c r="F21" s="3">
        <f>ROUND((SUM(F69:F75)+F81)/F8,3)</f>
        <v>0.003</v>
      </c>
      <c r="G21" s="3"/>
      <c r="H21" s="3">
        <f>ROUND((SUM(H69:H75)+H81)/H8,3)</f>
        <v>0.003</v>
      </c>
      <c r="I21" s="3"/>
      <c r="J21" s="3">
        <f>ROUND((SUM(J69:J75)+J81)/J8,3)</f>
        <v>0.003</v>
      </c>
      <c r="K21" s="3"/>
      <c r="L21" s="3">
        <f>ROUND((SUM(L69:L75)+L81)/L8,3)</f>
        <v>0.003</v>
      </c>
      <c r="M21" s="3"/>
      <c r="N21" s="6">
        <f>AVERAGE(D21,F21,H21,J21,L21)</f>
        <v>0.0026000000000000003</v>
      </c>
    </row>
    <row r="22" spans="2:14" ht="18">
      <c r="B22" s="37" t="s">
        <v>87</v>
      </c>
      <c r="D22" s="4">
        <f>ROUND((D68-D103)/D8,3)</f>
        <v>0.556</v>
      </c>
      <c r="E22" s="3"/>
      <c r="F22" s="4">
        <f>ROUND((F68-F103)/F8,3)</f>
        <v>0.504</v>
      </c>
      <c r="G22" s="3"/>
      <c r="H22" s="4">
        <f>ROUND((H68-H103)/H8,3)</f>
        <v>0.483</v>
      </c>
      <c r="I22" s="3"/>
      <c r="J22" s="4">
        <f>ROUND((J68-J103)/J8,3)</f>
        <v>0.461</v>
      </c>
      <c r="K22" s="3"/>
      <c r="L22" s="4">
        <f>ROUND((L68-L103)/L8,3)</f>
        <v>0.421</v>
      </c>
      <c r="M22" s="3"/>
      <c r="N22" s="9">
        <f>AVERAGE(D22,F22,H22,J22,L22)</f>
        <v>0.485</v>
      </c>
    </row>
    <row r="23" spans="4:14" ht="15.75" thickBot="1">
      <c r="D23" s="5">
        <f>SUM(D20:D22)</f>
        <v>1.0010000000000001</v>
      </c>
      <c r="E23" s="3"/>
      <c r="F23" s="5">
        <f>SUM(F20:F22)</f>
        <v>1.001</v>
      </c>
      <c r="G23" s="3"/>
      <c r="H23" s="5">
        <f>SUM(H20:H22)</f>
        <v>1.001</v>
      </c>
      <c r="I23" s="3"/>
      <c r="J23" s="5">
        <f>SUM(J20:J22)</f>
        <v>1</v>
      </c>
      <c r="K23" s="3"/>
      <c r="L23" s="5">
        <f>SUM(L20:L22)</f>
        <v>1</v>
      </c>
      <c r="M23" s="3"/>
      <c r="N23" s="10">
        <f>AVERAGE(D23,F23,H23,J23,L23)</f>
        <v>1.0006</v>
      </c>
    </row>
    <row r="24" spans="2:14" ht="15.75" thickTop="1">
      <c r="B24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36" t="s">
        <v>88</v>
      </c>
      <c r="D25" s="3">
        <f>ROUND((+D76+D79+D80)/D10,3)</f>
        <v>0.538</v>
      </c>
      <c r="E25" s="3"/>
      <c r="F25" s="3">
        <f>ROUND((+F76+F79+F80)/F10,3)</f>
        <v>0.554</v>
      </c>
      <c r="G25" s="3"/>
      <c r="H25" s="3">
        <f>ROUND((+H76+H79+H80)/H10,3)</f>
        <v>0.59</v>
      </c>
      <c r="I25" s="3"/>
      <c r="J25" s="3">
        <f>ROUND((+J76+J79+J80)/J10,3)</f>
        <v>0.647</v>
      </c>
      <c r="K25" s="3"/>
      <c r="L25" s="3">
        <f>ROUND((+L76+L79+L80)/L10,3)</f>
        <v>0.671</v>
      </c>
      <c r="M25" s="3"/>
      <c r="N25" s="6">
        <f>AVERAGE(D25,F25,H25,J25,L25)</f>
        <v>0.6</v>
      </c>
    </row>
    <row r="26" spans="2:14" ht="15">
      <c r="B26" s="36" t="s">
        <v>86</v>
      </c>
      <c r="D26" s="3">
        <f>ROUND((SUM(D69:D75)+D81)/D10,3)</f>
        <v>0</v>
      </c>
      <c r="E26" s="3"/>
      <c r="F26" s="3">
        <f>ROUND((SUM(F69:F75)+F81)/F10,3)</f>
        <v>0.002</v>
      </c>
      <c r="G26" s="3"/>
      <c r="H26" s="3">
        <f>ROUND((SUM(H69:H75)+H81)/H10,3)</f>
        <v>0.002</v>
      </c>
      <c r="I26" s="3"/>
      <c r="J26" s="3">
        <f>ROUND((SUM(J69:J75)+J81)/J10,3)</f>
        <v>0.002</v>
      </c>
      <c r="K26" s="3"/>
      <c r="L26" s="3">
        <f>ROUND((SUM(L69:L75)+L81)/L10,3)</f>
        <v>0.002</v>
      </c>
      <c r="M26" s="3"/>
      <c r="N26" s="6">
        <f>AVERAGE(D26,F26,H26,J26,L26)</f>
        <v>0.0016</v>
      </c>
    </row>
    <row r="27" spans="2:14" ht="18">
      <c r="B27" s="37" t="s">
        <v>87</v>
      </c>
      <c r="D27" s="4">
        <f>ROUND((D68-D103)/D10,3)</f>
        <v>0.462</v>
      </c>
      <c r="E27" s="3"/>
      <c r="F27" s="4">
        <f>ROUND((F68-F103)/F10,3)</f>
        <v>0.443</v>
      </c>
      <c r="G27" s="3"/>
      <c r="H27" s="4">
        <f>ROUND((H68-H103)/H10,3)</f>
        <v>0.407</v>
      </c>
      <c r="I27" s="3"/>
      <c r="J27" s="4">
        <f>ROUND((J68-J103)/J10,3)</f>
        <v>0.35</v>
      </c>
      <c r="K27" s="3"/>
      <c r="L27" s="4">
        <f>ROUND((L68-L103)/L10,3)</f>
        <v>0.326</v>
      </c>
      <c r="M27" s="3"/>
      <c r="N27" s="9">
        <f>AVERAGE(D27,F27,H27,J27,L27)</f>
        <v>0.3976</v>
      </c>
    </row>
    <row r="28" spans="4:14" ht="15.75" thickBot="1">
      <c r="D28" s="5">
        <f>SUM(D25:D27)</f>
        <v>1</v>
      </c>
      <c r="E28" s="3"/>
      <c r="F28" s="5">
        <f>SUM(F25:F27)</f>
        <v>0.9990000000000001</v>
      </c>
      <c r="G28" s="3"/>
      <c r="H28" s="5">
        <f>SUM(H25:H27)</f>
        <v>0.9989999999999999</v>
      </c>
      <c r="I28" s="3"/>
      <c r="J28" s="5">
        <f>SUM(J25:J27)</f>
        <v>0.999</v>
      </c>
      <c r="K28" s="3"/>
      <c r="L28" s="5">
        <f>SUM(L25:L27)</f>
        <v>0.9990000000000001</v>
      </c>
      <c r="M28" s="3"/>
      <c r="N28" s="10">
        <f>AVERAGE(D28,F28,H28,J28,L28)</f>
        <v>0.9992000000000001</v>
      </c>
    </row>
    <row r="29" spans="4:14" ht="15.75" thickTop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">
      <c r="A30" s="38" t="s">
        <v>89</v>
      </c>
      <c r="D30" s="3">
        <f>ROUND(+D66/(((D68-D103)+(F68-F103))/2),3)</f>
        <v>0.131</v>
      </c>
      <c r="E30" s="3"/>
      <c r="F30" s="3">
        <f>ROUND(+F66/(((F68-F103)+(H68-H103))/2),3)</f>
        <v>0.135</v>
      </c>
      <c r="G30" s="3"/>
      <c r="H30" s="3">
        <f>ROUND(+H66/(((H68-H103)+(J68-J103))/2),3)</f>
        <v>0.128</v>
      </c>
      <c r="I30" s="3"/>
      <c r="J30" s="3">
        <f>ROUND(+J66/(((J68-J103)+(L68-L103))/2),3)</f>
        <v>0.126</v>
      </c>
      <c r="K30" s="3"/>
      <c r="L30" s="3">
        <f>ROUND(+L66/(((L68-L103)+(N68-N103))/2),3)</f>
        <v>0.127</v>
      </c>
      <c r="M30" s="3"/>
      <c r="N30" s="6">
        <f>AVERAGE(D30,F30,H30,J30,L30)</f>
        <v>0.12940000000000002</v>
      </c>
    </row>
    <row r="31" spans="4:14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">
      <c r="A32" s="38" t="s">
        <v>90</v>
      </c>
      <c r="D32" s="3">
        <f>ROUND((+D58-D57)/D56,3)</f>
        <v>0.889</v>
      </c>
      <c r="E32" s="3"/>
      <c r="F32" s="3">
        <f>ROUND((+F58-F57)/F56,3)</f>
        <v>0.889</v>
      </c>
      <c r="G32" s="3"/>
      <c r="H32" s="3">
        <f>ROUND((+H58-H57)/H56,3)</f>
        <v>0.888</v>
      </c>
      <c r="I32" s="3"/>
      <c r="J32" s="3">
        <f>ROUND((+J58-J57)/J56,3)</f>
        <v>0.863</v>
      </c>
      <c r="K32" s="3"/>
      <c r="L32" s="3">
        <f>ROUND((+L58-L57)/L56,3)</f>
        <v>0.918</v>
      </c>
      <c r="M32" s="3"/>
      <c r="N32" s="6">
        <f>AVERAGE(D32,F32,H32,J32,L32)</f>
        <v>0.8894</v>
      </c>
    </row>
    <row r="34" ht="18">
      <c r="A34" s="38" t="s">
        <v>91</v>
      </c>
    </row>
    <row r="35" spans="2:15" ht="15">
      <c r="B35" t="s">
        <v>13</v>
      </c>
      <c r="D35" s="8">
        <f>ROUND(((+D66+D65+D64+D63+D61+D59+D57)/D61),2)</f>
        <v>4.93</v>
      </c>
      <c r="E35" s="8" t="s">
        <v>3</v>
      </c>
      <c r="F35" s="8">
        <f>ROUND(((+F66+F65+F64+F63+F61+F59+F57)/F61),2)</f>
        <v>4.5</v>
      </c>
      <c r="G35" s="8" t="s">
        <v>3</v>
      </c>
      <c r="H35" s="8">
        <f>ROUND(((+H66+H65+H64+H63+H61+H59+H57)/H61),2)</f>
        <v>3.82</v>
      </c>
      <c r="I35" s="8" t="s">
        <v>3</v>
      </c>
      <c r="J35" s="8">
        <f>ROUND(((+J66+J65+J64+J63+J61+J59+J57)/J61),2)</f>
        <v>3.4</v>
      </c>
      <c r="K35" s="8" t="s">
        <v>3</v>
      </c>
      <c r="L35" s="8">
        <f>ROUND(((+L66+L65+L64+L63+L61+L59+L57)/L61),2)</f>
        <v>2.96</v>
      </c>
      <c r="M35" s="8" t="s">
        <v>3</v>
      </c>
      <c r="N35" s="29">
        <f>AVERAGE(D35,F35,H35,J35,L35)</f>
        <v>3.9219999999999997</v>
      </c>
      <c r="O35" t="s">
        <v>3</v>
      </c>
    </row>
    <row r="36" spans="2:15" ht="15">
      <c r="B36" t="s">
        <v>21</v>
      </c>
      <c r="D36" s="8">
        <f>ROUND(((+D66+D65+D64+D63+D61)/(D61)),2)</f>
        <v>3.32</v>
      </c>
      <c r="E36" s="8" t="s">
        <v>3</v>
      </c>
      <c r="F36" s="8">
        <f>ROUND(((+F66+F65+F64+F63+F61)/(F61)),2)</f>
        <v>3.09</v>
      </c>
      <c r="G36" s="8" t="s">
        <v>3</v>
      </c>
      <c r="H36" s="8">
        <f>ROUND(((+H66+H65+H64+H63+H61)/(H61)),2)</f>
        <v>2.68</v>
      </c>
      <c r="I36" s="8" t="s">
        <v>3</v>
      </c>
      <c r="J36" s="8">
        <f>ROUND(((+J66+J65+J64+J63+J61)/(J61)),2)</f>
        <v>2.42</v>
      </c>
      <c r="K36" s="8" t="s">
        <v>3</v>
      </c>
      <c r="L36" s="8">
        <f>ROUND(((+L66+L65+L64+L63+L61)/(L61)),2)</f>
        <v>2.14</v>
      </c>
      <c r="M36" s="8" t="s">
        <v>3</v>
      </c>
      <c r="N36" s="29">
        <f>AVERAGE(D36,F36,H36,J36,L36)</f>
        <v>2.73</v>
      </c>
      <c r="O36" t="s">
        <v>3</v>
      </c>
    </row>
    <row r="37" spans="2:15" ht="15">
      <c r="B37" t="s">
        <v>14</v>
      </c>
      <c r="D37" s="8">
        <f>ROUND(((+D66+D65+D64+D63+D61)/(D61+D63+D64+D65)),2)</f>
        <v>3.32</v>
      </c>
      <c r="E37" s="8" t="s">
        <v>3</v>
      </c>
      <c r="F37" s="8">
        <f>ROUND(((+F66+F65+F64+F63+F61)/(F61+F63+F64+F65)),2)</f>
        <v>3.09</v>
      </c>
      <c r="G37" s="8" t="s">
        <v>3</v>
      </c>
      <c r="H37" s="8">
        <f>ROUND(((+H66+H65+H64+H63+H61)/(H61+H63+H64+H65)),2)</f>
        <v>2.68</v>
      </c>
      <c r="I37" s="8" t="s">
        <v>3</v>
      </c>
      <c r="J37" s="8">
        <f>ROUND(((+J66+J65+J64+J63+J61)/(J61+J63+J64+J65)),2)</f>
        <v>2.42</v>
      </c>
      <c r="K37" s="8" t="s">
        <v>3</v>
      </c>
      <c r="L37" s="8">
        <f>ROUND(((+L66+L65+L64+L63+L61)/(L61+L63+L64+L65)),2)</f>
        <v>2.14</v>
      </c>
      <c r="M37" s="8" t="s">
        <v>3</v>
      </c>
      <c r="N37" s="29">
        <f>AVERAGE(D37,F37,H37,J37,L37)</f>
        <v>2.73</v>
      </c>
      <c r="O37" t="s">
        <v>3</v>
      </c>
    </row>
    <row r="38" spans="4:14" ht="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">
      <c r="A39" s="38" t="s">
        <v>92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5">
      <c r="B40" t="s">
        <v>13</v>
      </c>
      <c r="D40" s="8">
        <f>ROUND(((+D66+D65+D64+D63-D62+D61+D59+D57)/D61),2)</f>
        <v>4.93</v>
      </c>
      <c r="E40" s="8" t="s">
        <v>3</v>
      </c>
      <c r="F40" s="8">
        <f>ROUND(((+F66+F65+F64+F63-F62+F61+F59+F57)/F61),2)</f>
        <v>4.5</v>
      </c>
      <c r="G40" s="8" t="s">
        <v>3</v>
      </c>
      <c r="H40" s="8">
        <f>ROUND(((+H66+H65+H64+H63-H62+H61+H59+H57)/H61),2)</f>
        <v>3.82</v>
      </c>
      <c r="I40" s="8" t="s">
        <v>3</v>
      </c>
      <c r="J40" s="8">
        <f>ROUND(((+J66+J65+J64+J63-J62+J61+J59+J57)/J61),2)</f>
        <v>3.4</v>
      </c>
      <c r="K40" s="8" t="s">
        <v>3</v>
      </c>
      <c r="L40" s="8">
        <f>ROUND(((+L66+L65+L64+L63-L62+L61+L59+L57)/L61),2)</f>
        <v>2.96</v>
      </c>
      <c r="M40" s="8" t="s">
        <v>3</v>
      </c>
      <c r="N40" s="29">
        <f>AVERAGE(D40,F40,H40,J40,L40)</f>
        <v>3.9219999999999997</v>
      </c>
      <c r="O40" t="s">
        <v>3</v>
      </c>
    </row>
    <row r="41" spans="2:15" ht="15">
      <c r="B41" t="s">
        <v>21</v>
      </c>
      <c r="D41" s="8">
        <f>ROUND(((+D66+D65+D64+D63-D62+D61)/D61),2)</f>
        <v>3.32</v>
      </c>
      <c r="E41" s="8" t="s">
        <v>3</v>
      </c>
      <c r="F41" s="8">
        <f>ROUND(((+F66+F65+F64+F63-F62+F61)/F61),2)</f>
        <v>3.09</v>
      </c>
      <c r="G41" s="8" t="s">
        <v>3</v>
      </c>
      <c r="H41" s="8">
        <f>ROUND(((+H66+H65+H64+H63-H62+H61)/H61),2)</f>
        <v>2.68</v>
      </c>
      <c r="I41" s="8" t="s">
        <v>3</v>
      </c>
      <c r="J41" s="8">
        <f>ROUND(((+J66+J65+J64+J63-J62+J61)/J61),2)</f>
        <v>2.42</v>
      </c>
      <c r="K41" s="8" t="s">
        <v>3</v>
      </c>
      <c r="L41" s="8">
        <f>ROUND(((+L66+L65+L64+L63-L62+L61)/L61),2)</f>
        <v>2.14</v>
      </c>
      <c r="M41" s="8" t="s">
        <v>3</v>
      </c>
      <c r="N41" s="29">
        <f>AVERAGE(D41,F41,H41,J41,L41)</f>
        <v>2.73</v>
      </c>
      <c r="O41" t="s">
        <v>3</v>
      </c>
    </row>
    <row r="42" spans="2:15" ht="15">
      <c r="B42" t="s">
        <v>14</v>
      </c>
      <c r="D42" s="8">
        <f>ROUND(((+D66+D65+D64+D63-D62+D61)/(D61+D63+D64+D65)),2)</f>
        <v>3.32</v>
      </c>
      <c r="E42" s="8" t="s">
        <v>3</v>
      </c>
      <c r="F42" s="8">
        <f>ROUND(((+F66+F65+F64+F63-F62+F61)/(F61+F63+F64+F65)),2)</f>
        <v>3.09</v>
      </c>
      <c r="G42" s="8" t="s">
        <v>3</v>
      </c>
      <c r="H42" s="8">
        <f>ROUND(((+H66+H65+H64+H63-H62+H61)/(H61+H63+H64+H65)),2)</f>
        <v>2.68</v>
      </c>
      <c r="I42" s="8" t="s">
        <v>3</v>
      </c>
      <c r="J42" s="8">
        <f>ROUND(((+J66+J65+J64+J63-J62+J61)/(J61+J63+J64+J65)),2)</f>
        <v>2.42</v>
      </c>
      <c r="K42" s="8" t="s">
        <v>3</v>
      </c>
      <c r="L42" s="8">
        <f>ROUND(((+L66+L65+L64+L63-L62+L61)/(L61+L63+L64+L65)),2)</f>
        <v>2.14</v>
      </c>
      <c r="M42" s="8" t="s">
        <v>3</v>
      </c>
      <c r="N42" s="29">
        <f>AVERAGE(D42,F42,H42,J42,L42)</f>
        <v>2.73</v>
      </c>
      <c r="O42" t="s">
        <v>3</v>
      </c>
    </row>
    <row r="44" ht="15">
      <c r="A44" t="s">
        <v>15</v>
      </c>
    </row>
    <row r="45" spans="2:14" ht="15">
      <c r="B45" t="s">
        <v>16</v>
      </c>
      <c r="D45" s="14">
        <f>ROUND(D62/D66,3)</f>
        <v>0</v>
      </c>
      <c r="E45" s="14"/>
      <c r="F45" s="14">
        <f>ROUND(F62/F66,3)</f>
        <v>0</v>
      </c>
      <c r="G45" s="14"/>
      <c r="H45" s="14">
        <f>ROUND(H62/H66,3)</f>
        <v>0</v>
      </c>
      <c r="I45" s="14"/>
      <c r="J45" s="14">
        <f>ROUND(J62/J66,3)</f>
        <v>0</v>
      </c>
      <c r="K45" s="14"/>
      <c r="L45" s="14">
        <f>ROUND(L62/L66,3)</f>
        <v>0</v>
      </c>
      <c r="M45" s="3"/>
      <c r="N45" s="6">
        <f aca="true" t="shared" si="0" ref="N45:N50">AVERAGE(D45,F45,H45,J45,L45)</f>
        <v>0</v>
      </c>
    </row>
    <row r="46" spans="2:14" ht="15">
      <c r="B46" t="s">
        <v>17</v>
      </c>
      <c r="D46" s="19">
        <f>ROUND((D57+D59)/(D57+D59+D66+D63+D64+D65),3)</f>
        <v>0.41</v>
      </c>
      <c r="E46" s="20"/>
      <c r="F46" s="19">
        <f>ROUND((F57+F59)/(F57+F59+F66+F63+F64+F65),3)</f>
        <v>0.404</v>
      </c>
      <c r="G46" s="20"/>
      <c r="H46" s="19">
        <f>ROUND((H57+H59)/(H57+H59+H66+H63+H64+H65),3)</f>
        <v>0.406</v>
      </c>
      <c r="I46" s="20"/>
      <c r="J46" s="19">
        <f>ROUND((J57+J59)/(J57+J59+J66+J63+J64+J65),3)</f>
        <v>0.41</v>
      </c>
      <c r="K46" s="20"/>
      <c r="L46" s="19">
        <f>ROUND((L57+L59)/(L57+L59+L66+L63+L64+L65),3)</f>
        <v>0.418</v>
      </c>
      <c r="N46" s="6">
        <f t="shared" si="0"/>
        <v>0.4096</v>
      </c>
    </row>
    <row r="47" spans="2:14" ht="18">
      <c r="B47" s="38" t="s">
        <v>93</v>
      </c>
      <c r="D47" s="14">
        <f>ROUND(((+D82+D83+D84+D85+D86-D87+D88-D90-D91)/(+D89-D87)),3)</f>
        <v>0.47</v>
      </c>
      <c r="E47" s="15"/>
      <c r="F47" s="14">
        <f>ROUND(((+F82+F83+F84+F85+F86-F87+F88-F90-F91)/(+F89-F87)),3)</f>
        <v>0.896</v>
      </c>
      <c r="G47" s="15"/>
      <c r="H47" s="14">
        <f>ROUND(((+H82+H83+H84+H85+H86-H87+H88-H90-H91)/(+H89-H87)),3)</f>
        <v>1.189</v>
      </c>
      <c r="I47" s="15"/>
      <c r="J47" s="14">
        <f>ROUND(((+J82+J83+J84+J85+J86-J87+J88-J90-J91)/(+J89-J87)),3)</f>
        <v>0.598</v>
      </c>
      <c r="K47" s="15"/>
      <c r="L47" s="14">
        <f>ROUND(((+L82+L83+L84+L85+L86-L87+L88-L90-L91)/(+L89-L87)),3)</f>
        <v>0.529</v>
      </c>
      <c r="N47" s="6">
        <f t="shared" si="0"/>
        <v>0.7363999999999999</v>
      </c>
    </row>
    <row r="48" spans="2:14" ht="18">
      <c r="B48" s="38" t="s">
        <v>94</v>
      </c>
      <c r="D48" s="14">
        <f>ROUND(((+D82+D83+D84+D85+D86-D87+D88)/(AVERAGE(D76,F76)+AVERAGE(D79,F79)+AVERAGE(D80,F80))),3)</f>
        <v>0.152</v>
      </c>
      <c r="E48" s="15"/>
      <c r="F48" s="14">
        <f>ROUND(((+F82+F83+F84+F85+F86-F87+F88)/(AVERAGE(F76,H76)+AVERAGE(F79,H79)+AVERAGE(F80,H80))),3)</f>
        <v>0.209</v>
      </c>
      <c r="G48" s="15"/>
      <c r="H48" s="14">
        <f>ROUND(((+H82+H83+H84+H85+H86-H87+H88)/(AVERAGE(H76,J76)+AVERAGE(H79,J79)+AVERAGE(H80,J80))),3)</f>
        <v>0.214</v>
      </c>
      <c r="I48" s="15"/>
      <c r="J48" s="14">
        <f>ROUND(((+J82+J83+J84+J85+J86-J87+J88)/(AVERAGE(J76,L76)+AVERAGE(J79,L79)+AVERAGE(J80,L80))),3)</f>
        <v>0.152</v>
      </c>
      <c r="K48" s="15"/>
      <c r="L48" s="14">
        <f>ROUND(((+L82+L83+L84+L85+L86-L87+L88)/(AVERAGE(L76,N76)+AVERAGE(L79,N79)+AVERAGE(L80,N80))),3)</f>
        <v>0.127</v>
      </c>
      <c r="N48" s="6">
        <f t="shared" si="0"/>
        <v>0.1708</v>
      </c>
    </row>
    <row r="49" spans="2:15" ht="18">
      <c r="B49" s="38" t="s">
        <v>95</v>
      </c>
      <c r="D49" s="30">
        <f>ROUND(((+D82+D83+D84+D85+D86-D87+D88+D92)/D61),2)</f>
        <v>4.28</v>
      </c>
      <c r="E49" t="s">
        <v>3</v>
      </c>
      <c r="F49" s="30">
        <f>ROUND(((+F82+F83+F84+F85+F86-F87+F88+F92)/F61),2)</f>
        <v>5.3</v>
      </c>
      <c r="G49" t="s">
        <v>3</v>
      </c>
      <c r="H49" s="30">
        <f>ROUND(((+H82+H83+H84+H85+H86-H87+H88+H92)/H61),2)</f>
        <v>5.58</v>
      </c>
      <c r="I49" t="s">
        <v>3</v>
      </c>
      <c r="J49" s="30">
        <f>ROUND(((+J82+J83+J84+J85+J86-J87+J88+J92)/J61),2)</f>
        <v>4.18</v>
      </c>
      <c r="K49" t="s">
        <v>3</v>
      </c>
      <c r="L49" s="30">
        <f>ROUND(((+L82+L83+L84+L85+L86-L87+L88+L92)/L61),2)</f>
        <v>3.11</v>
      </c>
      <c r="M49" t="s">
        <v>3</v>
      </c>
      <c r="N49" s="31">
        <f t="shared" si="0"/>
        <v>4.49</v>
      </c>
      <c r="O49" t="s">
        <v>3</v>
      </c>
    </row>
    <row r="50" spans="2:15" ht="18">
      <c r="B50" s="38" t="s">
        <v>96</v>
      </c>
      <c r="D50" s="30">
        <f>ROUND(((+D82+D83+D84+D85+D86-D87+D88-D91)/+D90),2)</f>
        <v>2.79</v>
      </c>
      <c r="E50" t="s">
        <v>3</v>
      </c>
      <c r="F50" s="30">
        <f>ROUND(((+F82+F83+F84+F85+F86-F87+F88-F91)/+F90),2)</f>
        <v>3.95</v>
      </c>
      <c r="G50" t="s">
        <v>3</v>
      </c>
      <c r="H50" s="30">
        <f>ROUND(((+H82+H83+H84+H85+H86-H87+H88-H91)/+H90),2)</f>
        <v>4.77</v>
      </c>
      <c r="I50" t="s">
        <v>3</v>
      </c>
      <c r="J50" s="30">
        <f>ROUND(((+J82+J83+J84+J85+J86-J87+J88-J91)/+J90),2)</f>
        <v>3.78</v>
      </c>
      <c r="K50" t="s">
        <v>3</v>
      </c>
      <c r="L50" s="30">
        <f>ROUND(((+L82+L83+L84+L85+L86-L87+L88-L91)/+L90),2)</f>
        <v>3.04</v>
      </c>
      <c r="M50" t="s">
        <v>3</v>
      </c>
      <c r="N50" s="31">
        <f t="shared" si="0"/>
        <v>3.6659999999999995</v>
      </c>
      <c r="O50" t="s">
        <v>3</v>
      </c>
    </row>
    <row r="52" ht="15">
      <c r="A52" t="s">
        <v>4</v>
      </c>
    </row>
    <row r="54" spans="1:14" ht="15.75">
      <c r="A54" s="21" t="s">
        <v>81</v>
      </c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5.75">
      <c r="A55" s="22"/>
      <c r="B55" s="22"/>
      <c r="C55" s="22"/>
      <c r="D55" s="23">
        <v>2005</v>
      </c>
      <c r="E55" s="21"/>
      <c r="F55" s="23">
        <v>2004</v>
      </c>
      <c r="G55" s="21"/>
      <c r="H55" s="23">
        <v>2003</v>
      </c>
      <c r="I55" s="21"/>
      <c r="J55" s="23">
        <v>2002</v>
      </c>
      <c r="K55" s="21"/>
      <c r="L55" s="23">
        <v>2001</v>
      </c>
      <c r="M55" s="21"/>
      <c r="N55" s="23">
        <v>2000</v>
      </c>
    </row>
    <row r="56" spans="1:14" ht="15">
      <c r="A56" s="22" t="s">
        <v>22</v>
      </c>
      <c r="B56" s="22"/>
      <c r="C56" s="22"/>
      <c r="D56" s="24">
        <v>920.982</v>
      </c>
      <c r="E56" s="24"/>
      <c r="F56" s="24">
        <v>819.076</v>
      </c>
      <c r="G56" s="24"/>
      <c r="H56" s="24">
        <v>696.82</v>
      </c>
      <c r="I56" s="24"/>
      <c r="J56" s="24">
        <v>505.126</v>
      </c>
      <c r="K56" s="24"/>
      <c r="L56" s="24">
        <v>837.341</v>
      </c>
      <c r="M56" s="24"/>
      <c r="N56" s="24">
        <v>515.928</v>
      </c>
    </row>
    <row r="57" spans="1:14" ht="15">
      <c r="A57" s="22" t="s">
        <v>23</v>
      </c>
      <c r="B57" s="22"/>
      <c r="C57" s="22"/>
      <c r="D57" s="24">
        <v>33.767</v>
      </c>
      <c r="E57" s="24"/>
      <c r="F57" s="24">
        <v>29.079</v>
      </c>
      <c r="G57" s="24"/>
      <c r="H57" s="24">
        <v>23.596</v>
      </c>
      <c r="I57" s="24"/>
      <c r="J57" s="24">
        <v>20.404</v>
      </c>
      <c r="K57" s="24"/>
      <c r="L57" s="24">
        <v>19.295</v>
      </c>
      <c r="M57" s="24"/>
      <c r="N57" s="24">
        <v>18.658</v>
      </c>
    </row>
    <row r="58" spans="1:14" ht="15">
      <c r="A58" s="22" t="s">
        <v>24</v>
      </c>
      <c r="B58" s="22"/>
      <c r="C58" s="22"/>
      <c r="D58" s="24">
        <v>852.965</v>
      </c>
      <c r="E58" s="24"/>
      <c r="F58" s="24">
        <v>757.416</v>
      </c>
      <c r="G58" s="24"/>
      <c r="H58" s="24">
        <v>642.573</v>
      </c>
      <c r="I58" s="24"/>
      <c r="J58" s="24">
        <v>456.455</v>
      </c>
      <c r="K58" s="24"/>
      <c r="L58" s="24">
        <v>787.575</v>
      </c>
      <c r="M58" s="24"/>
      <c r="N58" s="24">
        <v>466.897</v>
      </c>
    </row>
    <row r="59" spans="1:14" ht="15">
      <c r="A59" s="22" t="s">
        <v>25</v>
      </c>
      <c r="B59" s="22"/>
      <c r="C59" s="22"/>
      <c r="D59" s="24">
        <v>0</v>
      </c>
      <c r="E59" s="24"/>
      <c r="F59" s="24">
        <v>0</v>
      </c>
      <c r="G59" s="24"/>
      <c r="H59" s="24">
        <v>0</v>
      </c>
      <c r="I59" s="24"/>
      <c r="J59" s="24">
        <v>0</v>
      </c>
      <c r="K59" s="24"/>
      <c r="L59" s="24">
        <v>0</v>
      </c>
      <c r="M59" s="24"/>
      <c r="N59" s="24">
        <v>0</v>
      </c>
    </row>
    <row r="60" spans="1:14" ht="15">
      <c r="A60" s="22" t="s">
        <v>26</v>
      </c>
      <c r="B60" s="22"/>
      <c r="C60" s="22"/>
      <c r="D60" s="24">
        <v>69.538</v>
      </c>
      <c r="E60" s="24"/>
      <c r="F60" s="24">
        <v>63.546</v>
      </c>
      <c r="G60" s="24"/>
      <c r="H60" s="24">
        <v>55.169</v>
      </c>
      <c r="I60" s="24"/>
      <c r="J60" s="24">
        <v>50.146</v>
      </c>
      <c r="K60" s="24"/>
      <c r="L60" s="24">
        <v>50.47</v>
      </c>
      <c r="M60" s="24"/>
      <c r="N60" s="24">
        <v>49.031</v>
      </c>
    </row>
    <row r="61" spans="1:14" ht="15">
      <c r="A61" s="22" t="s">
        <v>27</v>
      </c>
      <c r="B61" s="22"/>
      <c r="C61" s="22"/>
      <c r="D61" s="24">
        <v>20.95</v>
      </c>
      <c r="E61" s="24"/>
      <c r="F61" s="24">
        <v>20.573</v>
      </c>
      <c r="G61" s="24"/>
      <c r="H61" s="24">
        <v>20.616</v>
      </c>
      <c r="I61" s="24"/>
      <c r="J61" s="24">
        <v>20.734</v>
      </c>
      <c r="K61" s="24"/>
      <c r="L61" s="24">
        <v>23.601</v>
      </c>
      <c r="M61" s="24"/>
      <c r="N61" s="24">
        <v>24.366</v>
      </c>
    </row>
    <row r="62" spans="1:14" ht="15">
      <c r="A62" s="22" t="s">
        <v>28</v>
      </c>
      <c r="B62" s="22"/>
      <c r="C62" s="22"/>
      <c r="D62" s="24">
        <v>0</v>
      </c>
      <c r="E62" s="24"/>
      <c r="F62" s="24">
        <v>0</v>
      </c>
      <c r="G62" s="24"/>
      <c r="H62" s="24">
        <v>0</v>
      </c>
      <c r="I62" s="24"/>
      <c r="J62" s="24">
        <v>0</v>
      </c>
      <c r="K62" s="24"/>
      <c r="L62" s="24">
        <v>0</v>
      </c>
      <c r="M62" s="24"/>
      <c r="N62" s="24">
        <v>0</v>
      </c>
    </row>
    <row r="63" spans="1:14" ht="15">
      <c r="A63" s="22" t="s">
        <v>29</v>
      </c>
      <c r="B63" s="22"/>
      <c r="C63" s="22"/>
      <c r="D63" s="24">
        <v>0</v>
      </c>
      <c r="E63" s="24"/>
      <c r="F63" s="24">
        <v>0</v>
      </c>
      <c r="G63" s="24"/>
      <c r="H63" s="24">
        <v>0</v>
      </c>
      <c r="I63" s="24"/>
      <c r="J63" s="24">
        <v>0</v>
      </c>
      <c r="K63" s="24"/>
      <c r="L63" s="24">
        <v>0</v>
      </c>
      <c r="M63" s="24"/>
      <c r="N63" s="24">
        <v>0</v>
      </c>
    </row>
    <row r="64" spans="1:14" ht="15">
      <c r="A64" s="22" t="s">
        <v>30</v>
      </c>
      <c r="B64" s="22"/>
      <c r="C64" s="22"/>
      <c r="D64" s="24">
        <v>0</v>
      </c>
      <c r="E64" s="24"/>
      <c r="F64" s="24">
        <v>0</v>
      </c>
      <c r="G64" s="24"/>
      <c r="H64" s="24">
        <v>0</v>
      </c>
      <c r="I64" s="24"/>
      <c r="J64" s="24">
        <v>0</v>
      </c>
      <c r="K64" s="24"/>
      <c r="L64" s="24">
        <v>0</v>
      </c>
      <c r="M64" s="24"/>
      <c r="N64" s="24">
        <v>0</v>
      </c>
    </row>
    <row r="65" spans="1:14" ht="15">
      <c r="A65" s="22" t="s">
        <v>31</v>
      </c>
      <c r="B65" s="22"/>
      <c r="C65" s="22"/>
      <c r="D65" s="24">
        <v>0</v>
      </c>
      <c r="E65" s="24"/>
      <c r="F65" s="24">
        <v>0</v>
      </c>
      <c r="G65" s="24"/>
      <c r="H65" s="24">
        <v>0</v>
      </c>
      <c r="I65" s="24"/>
      <c r="J65" s="24">
        <v>0</v>
      </c>
      <c r="K65" s="24"/>
      <c r="L65" s="24">
        <v>0</v>
      </c>
      <c r="M65" s="24"/>
      <c r="N65" s="24">
        <v>0</v>
      </c>
    </row>
    <row r="66" spans="1:14" ht="15">
      <c r="A66" s="22" t="s">
        <v>32</v>
      </c>
      <c r="B66" s="22"/>
      <c r="C66" s="22"/>
      <c r="D66" s="24">
        <v>48.588</v>
      </c>
      <c r="E66" s="24"/>
      <c r="F66" s="24">
        <v>42.973</v>
      </c>
      <c r="G66" s="24"/>
      <c r="H66" s="24">
        <v>34.553</v>
      </c>
      <c r="I66" s="24"/>
      <c r="J66" s="24">
        <v>29.412</v>
      </c>
      <c r="K66" s="24"/>
      <c r="L66" s="24">
        <v>26.869</v>
      </c>
      <c r="M66" s="24"/>
      <c r="N66" s="24">
        <v>24.665</v>
      </c>
    </row>
    <row r="67" spans="1:14" ht="15">
      <c r="A67" s="22" t="s">
        <v>33</v>
      </c>
      <c r="B67" s="22"/>
      <c r="C67" s="22"/>
      <c r="D67" s="24">
        <v>1.72</v>
      </c>
      <c r="E67" s="24"/>
      <c r="F67" s="24">
        <v>3.14</v>
      </c>
      <c r="G67" s="24"/>
      <c r="H67" s="24">
        <v>2.75</v>
      </c>
      <c r="I67" s="24"/>
      <c r="J67" s="24">
        <v>2.44</v>
      </c>
      <c r="K67" s="24"/>
      <c r="L67" s="24">
        <v>2.29</v>
      </c>
      <c r="M67" s="24"/>
      <c r="N67" s="24">
        <v>2.16</v>
      </c>
    </row>
    <row r="68" spans="1:14" ht="15">
      <c r="A68" s="22" t="s">
        <v>34</v>
      </c>
      <c r="B68" s="22"/>
      <c r="C68" s="22"/>
      <c r="D68" s="24">
        <v>391.185</v>
      </c>
      <c r="E68" s="24"/>
      <c r="F68" s="24">
        <v>344.412</v>
      </c>
      <c r="G68" s="24"/>
      <c r="H68" s="24">
        <v>297.961</v>
      </c>
      <c r="I68" s="24"/>
      <c r="J68" s="24">
        <v>237.792</v>
      </c>
      <c r="K68" s="24"/>
      <c r="L68" s="24">
        <v>220.286</v>
      </c>
      <c r="M68" s="24"/>
      <c r="N68" s="24">
        <v>201.739</v>
      </c>
    </row>
    <row r="69" spans="1:14" ht="15">
      <c r="A69" s="22" t="s">
        <v>35</v>
      </c>
      <c r="B69" s="22"/>
      <c r="C69" s="22"/>
      <c r="D69" s="24">
        <v>0</v>
      </c>
      <c r="E69" s="24"/>
      <c r="F69" s="24">
        <v>1.69</v>
      </c>
      <c r="G69" s="24"/>
      <c r="H69" s="24">
        <v>1.69</v>
      </c>
      <c r="I69" s="24"/>
      <c r="J69" s="24">
        <v>1.69</v>
      </c>
      <c r="K69" s="24"/>
      <c r="L69" s="24">
        <v>1.69</v>
      </c>
      <c r="M69" s="24"/>
      <c r="N69" s="24">
        <v>1.804</v>
      </c>
    </row>
    <row r="70" spans="1:14" ht="15">
      <c r="A70" s="22" t="s">
        <v>36</v>
      </c>
      <c r="B70" s="22"/>
      <c r="C70" s="22"/>
      <c r="D70" s="24">
        <v>0</v>
      </c>
      <c r="E70" s="24"/>
      <c r="F70" s="24">
        <v>0</v>
      </c>
      <c r="G70" s="24"/>
      <c r="H70" s="24">
        <v>0</v>
      </c>
      <c r="I70" s="24"/>
      <c r="J70" s="24">
        <v>0</v>
      </c>
      <c r="K70" s="24"/>
      <c r="L70" s="24">
        <v>0</v>
      </c>
      <c r="M70" s="24"/>
      <c r="N70" s="24">
        <v>0</v>
      </c>
    </row>
    <row r="71" spans="1:14" ht="15">
      <c r="A71" s="22" t="s">
        <v>37</v>
      </c>
      <c r="B71" s="22"/>
      <c r="C71" s="22"/>
      <c r="D71" s="24">
        <v>0</v>
      </c>
      <c r="E71" s="24"/>
      <c r="F71" s="24">
        <v>0</v>
      </c>
      <c r="G71" s="24"/>
      <c r="H71" s="24">
        <v>0</v>
      </c>
      <c r="I71" s="24"/>
      <c r="J71" s="24">
        <v>0</v>
      </c>
      <c r="K71" s="24"/>
      <c r="L71" s="24">
        <v>0</v>
      </c>
      <c r="M71" s="24"/>
      <c r="N71" s="24">
        <v>0</v>
      </c>
    </row>
    <row r="72" spans="1:14" ht="15">
      <c r="A72" s="22" t="s">
        <v>38</v>
      </c>
      <c r="B72" s="22"/>
      <c r="C72" s="22"/>
      <c r="D72" s="24">
        <v>0</v>
      </c>
      <c r="E72" s="24"/>
      <c r="F72" s="24">
        <v>0</v>
      </c>
      <c r="G72" s="24"/>
      <c r="H72" s="24">
        <v>0</v>
      </c>
      <c r="I72" s="24"/>
      <c r="J72" s="24">
        <v>0</v>
      </c>
      <c r="K72" s="24"/>
      <c r="L72" s="24">
        <v>0</v>
      </c>
      <c r="M72" s="24"/>
      <c r="N72" s="24">
        <v>0</v>
      </c>
    </row>
    <row r="73" spans="1:14" ht="15">
      <c r="A73" s="22" t="s">
        <v>39</v>
      </c>
      <c r="B73" s="22"/>
      <c r="C73" s="22"/>
      <c r="D73" s="24">
        <v>0</v>
      </c>
      <c r="E73" s="24"/>
      <c r="F73" s="24">
        <v>0</v>
      </c>
      <c r="G73" s="24"/>
      <c r="H73" s="24">
        <v>0</v>
      </c>
      <c r="I73" s="24"/>
      <c r="J73" s="24">
        <v>0</v>
      </c>
      <c r="K73" s="24"/>
      <c r="L73" s="24">
        <v>0</v>
      </c>
      <c r="M73" s="24"/>
      <c r="N73" s="24">
        <v>0</v>
      </c>
    </row>
    <row r="74" spans="1:14" ht="15">
      <c r="A74" s="22" t="s">
        <v>40</v>
      </c>
      <c r="B74" s="22"/>
      <c r="C74" s="22"/>
      <c r="D74" s="24">
        <v>0</v>
      </c>
      <c r="E74" s="24"/>
      <c r="F74" s="24">
        <v>0</v>
      </c>
      <c r="G74" s="24"/>
      <c r="H74" s="24">
        <v>0</v>
      </c>
      <c r="I74" s="24"/>
      <c r="J74" s="24">
        <v>0</v>
      </c>
      <c r="K74" s="24"/>
      <c r="L74" s="24">
        <v>0</v>
      </c>
      <c r="M74" s="24"/>
      <c r="N74" s="24">
        <v>0</v>
      </c>
    </row>
    <row r="75" spans="1:14" ht="15">
      <c r="A75" s="22" t="s">
        <v>41</v>
      </c>
      <c r="B75" s="22"/>
      <c r="C75" s="22"/>
      <c r="D75" s="24">
        <v>0.394</v>
      </c>
      <c r="E75" s="24"/>
      <c r="F75" s="24">
        <v>0.227</v>
      </c>
      <c r="G75" s="24"/>
      <c r="H75" s="24">
        <v>0</v>
      </c>
      <c r="I75" s="24"/>
      <c r="J75" s="24">
        <v>0</v>
      </c>
      <c r="K75" s="24"/>
      <c r="L75" s="24">
        <v>0</v>
      </c>
      <c r="M75" s="24"/>
      <c r="N75" s="24">
        <v>0</v>
      </c>
    </row>
    <row r="76" spans="1:14" ht="15">
      <c r="A76" s="22" t="s">
        <v>42</v>
      </c>
      <c r="B76" s="22"/>
      <c r="C76" s="22"/>
      <c r="D76" s="24">
        <v>319.066</v>
      </c>
      <c r="E76" s="24"/>
      <c r="F76" s="24">
        <v>328.914</v>
      </c>
      <c r="G76" s="24"/>
      <c r="H76" s="24">
        <v>308.781</v>
      </c>
      <c r="I76" s="24"/>
      <c r="J76" s="24">
        <v>273.016</v>
      </c>
      <c r="K76" s="24"/>
      <c r="L76" s="24">
        <v>294.247</v>
      </c>
      <c r="M76" s="24"/>
      <c r="N76" s="24">
        <v>239.981</v>
      </c>
    </row>
    <row r="77" spans="1:14" ht="15">
      <c r="A77" s="22" t="s">
        <v>43</v>
      </c>
      <c r="B77" s="22"/>
      <c r="C77" s="22"/>
      <c r="D77" s="24">
        <v>0</v>
      </c>
      <c r="E77" s="24"/>
      <c r="F77" s="24">
        <v>0</v>
      </c>
      <c r="G77" s="24"/>
      <c r="H77" s="24">
        <v>0</v>
      </c>
      <c r="I77" s="24"/>
      <c r="J77" s="24">
        <v>0</v>
      </c>
      <c r="K77" s="24"/>
      <c r="L77" s="24">
        <v>0</v>
      </c>
      <c r="M77" s="24"/>
      <c r="N77" s="24">
        <v>0</v>
      </c>
    </row>
    <row r="78" spans="1:14" ht="15">
      <c r="A78" s="22" t="s">
        <v>44</v>
      </c>
      <c r="B78" s="22"/>
      <c r="C78" s="22"/>
      <c r="D78" s="24">
        <v>710.645</v>
      </c>
      <c r="E78" s="24"/>
      <c r="F78" s="24">
        <v>675.243</v>
      </c>
      <c r="G78" s="24"/>
      <c r="H78" s="24">
        <v>608.432</v>
      </c>
      <c r="I78" s="24"/>
      <c r="J78" s="24">
        <v>512.498</v>
      </c>
      <c r="K78" s="24"/>
      <c r="L78" s="24">
        <v>516.223</v>
      </c>
      <c r="M78" s="24"/>
      <c r="N78" s="24">
        <v>443.524</v>
      </c>
    </row>
    <row r="79" spans="1:14" ht="15">
      <c r="A79" s="22" t="s">
        <v>45</v>
      </c>
      <c r="B79" s="22"/>
      <c r="C79" s="22"/>
      <c r="D79" s="24">
        <v>2.364</v>
      </c>
      <c r="E79" s="24"/>
      <c r="F79" s="24">
        <v>5.348</v>
      </c>
      <c r="G79" s="24"/>
      <c r="H79" s="24">
        <v>5.273</v>
      </c>
      <c r="I79" s="24"/>
      <c r="J79" s="24">
        <v>10.696</v>
      </c>
      <c r="K79" s="24"/>
      <c r="L79" s="24">
        <v>9.733</v>
      </c>
      <c r="M79" s="24"/>
      <c r="N79" s="24">
        <v>11.876</v>
      </c>
    </row>
    <row r="80" spans="1:14" ht="15">
      <c r="A80" s="22" t="s">
        <v>46</v>
      </c>
      <c r="B80" s="22"/>
      <c r="C80" s="22"/>
      <c r="D80" s="24">
        <v>147.3</v>
      </c>
      <c r="E80" s="24"/>
      <c r="F80" s="24">
        <v>92.3</v>
      </c>
      <c r="G80" s="24"/>
      <c r="H80" s="24">
        <v>112.8</v>
      </c>
      <c r="I80" s="24"/>
      <c r="J80" s="24">
        <v>166.5</v>
      </c>
      <c r="K80" s="24"/>
      <c r="L80" s="24">
        <v>152.36</v>
      </c>
      <c r="M80" s="24"/>
      <c r="N80" s="24">
        <v>121.2</v>
      </c>
    </row>
    <row r="81" spans="1:14" ht="15">
      <c r="A81" s="22" t="s">
        <v>47</v>
      </c>
      <c r="B81" s="22"/>
      <c r="C81" s="22"/>
      <c r="D81" s="24">
        <v>0</v>
      </c>
      <c r="E81" s="24"/>
      <c r="F81" s="24">
        <v>0</v>
      </c>
      <c r="G81" s="24"/>
      <c r="H81" s="24">
        <v>0</v>
      </c>
      <c r="I81" s="24"/>
      <c r="J81" s="24">
        <v>0</v>
      </c>
      <c r="K81" s="24"/>
      <c r="L81" s="24">
        <v>0</v>
      </c>
      <c r="M81" s="24"/>
      <c r="N81" s="24">
        <v>0</v>
      </c>
    </row>
    <row r="82" spans="1:14" ht="15">
      <c r="A82" s="22" t="s">
        <v>48</v>
      </c>
      <c r="B82" s="22"/>
      <c r="C82" s="22"/>
      <c r="D82" s="24">
        <v>48.588</v>
      </c>
      <c r="E82" s="24"/>
      <c r="F82" s="24">
        <v>42.973</v>
      </c>
      <c r="G82" s="24"/>
      <c r="H82" s="24">
        <v>34.553</v>
      </c>
      <c r="I82" s="24"/>
      <c r="J82" s="24">
        <v>29.412</v>
      </c>
      <c r="K82" s="24"/>
      <c r="L82" s="24">
        <v>26.869</v>
      </c>
      <c r="M82" s="24"/>
      <c r="N82" s="24">
        <v>24.665</v>
      </c>
    </row>
    <row r="83" spans="1:14" ht="15">
      <c r="A83" s="22" t="s">
        <v>49</v>
      </c>
      <c r="B83" s="22"/>
      <c r="C83" s="22"/>
      <c r="D83" s="24">
        <v>26.842</v>
      </c>
      <c r="E83" s="24"/>
      <c r="F83" s="24">
        <v>27.72</v>
      </c>
      <c r="G83" s="24"/>
      <c r="H83" s="24">
        <v>27.64</v>
      </c>
      <c r="I83" s="24"/>
      <c r="J83" s="24">
        <v>24.864</v>
      </c>
      <c r="K83" s="24"/>
      <c r="L83" s="24">
        <v>23.446</v>
      </c>
      <c r="M83" s="24"/>
      <c r="N83" s="24">
        <v>23.104</v>
      </c>
    </row>
    <row r="84" spans="1:14" ht="15">
      <c r="A84" s="22" t="s">
        <v>50</v>
      </c>
      <c r="B84" s="22"/>
      <c r="C84" s="22"/>
      <c r="D84" s="24">
        <v>0</v>
      </c>
      <c r="E84" s="24"/>
      <c r="F84" s="24">
        <v>0</v>
      </c>
      <c r="G84" s="24"/>
      <c r="H84" s="24">
        <v>0</v>
      </c>
      <c r="I84" s="24"/>
      <c r="J84" s="24">
        <v>0</v>
      </c>
      <c r="K84" s="24"/>
      <c r="L84" s="24">
        <v>0</v>
      </c>
      <c r="M84" s="24"/>
      <c r="N84" s="24">
        <v>0</v>
      </c>
    </row>
    <row r="85" spans="1:14" ht="15">
      <c r="A85" s="22" t="s">
        <v>51</v>
      </c>
      <c r="B85" s="22"/>
      <c r="C85" s="22"/>
      <c r="D85" s="24">
        <v>25.179</v>
      </c>
      <c r="E85" s="24"/>
      <c r="F85" s="24">
        <v>15.272</v>
      </c>
      <c r="G85" s="24"/>
      <c r="H85" s="24">
        <v>4.622</v>
      </c>
      <c r="I85" s="24"/>
      <c r="J85" s="24">
        <v>14.69</v>
      </c>
      <c r="K85" s="24"/>
      <c r="L85" s="24">
        <v>7.657</v>
      </c>
      <c r="M85" s="24"/>
      <c r="N85" s="24">
        <v>13.845</v>
      </c>
    </row>
    <row r="86" spans="1:14" ht="15">
      <c r="A86" s="22" t="s">
        <v>52</v>
      </c>
      <c r="B86" s="22"/>
      <c r="C86" s="22"/>
      <c r="D86" s="24">
        <v>0</v>
      </c>
      <c r="E86" s="24"/>
      <c r="F86" s="24">
        <v>-0.342</v>
      </c>
      <c r="G86" s="24"/>
      <c r="H86" s="24">
        <v>-0.348</v>
      </c>
      <c r="I86" s="24"/>
      <c r="J86" s="24">
        <v>-0.347</v>
      </c>
      <c r="K86" s="24"/>
      <c r="L86" s="24">
        <v>-0.347</v>
      </c>
      <c r="M86" s="24"/>
      <c r="N86" s="24">
        <v>0</v>
      </c>
    </row>
    <row r="87" spans="1:14" ht="15">
      <c r="A87" s="22" t="s">
        <v>53</v>
      </c>
      <c r="B87" s="22"/>
      <c r="C87" s="22"/>
      <c r="D87" s="24">
        <v>0</v>
      </c>
      <c r="E87" s="24"/>
      <c r="F87" s="24">
        <v>0</v>
      </c>
      <c r="G87" s="24"/>
      <c r="H87" s="24">
        <v>0</v>
      </c>
      <c r="I87" s="24"/>
      <c r="J87" s="24">
        <v>0</v>
      </c>
      <c r="K87" s="24"/>
      <c r="L87" s="24">
        <v>0</v>
      </c>
      <c r="M87" s="24"/>
      <c r="N87" s="24">
        <v>0</v>
      </c>
    </row>
    <row r="88" spans="1:14" ht="15">
      <c r="A88" s="22" t="s">
        <v>69</v>
      </c>
      <c r="B88" s="22"/>
      <c r="C88" s="22"/>
      <c r="D88" s="24">
        <v>-32.576</v>
      </c>
      <c r="E88" s="24"/>
      <c r="F88" s="24">
        <v>3.36</v>
      </c>
      <c r="G88" s="24"/>
      <c r="H88" s="24">
        <v>27.519</v>
      </c>
      <c r="I88" s="24"/>
      <c r="J88" s="24">
        <v>0.27</v>
      </c>
      <c r="K88" s="24"/>
      <c r="L88" s="24">
        <v>-4.938</v>
      </c>
      <c r="M88" s="24"/>
      <c r="N88" s="24">
        <v>-3.718</v>
      </c>
    </row>
    <row r="89" spans="1:14" ht="15">
      <c r="A89" s="22" t="s">
        <v>54</v>
      </c>
      <c r="B89" s="22"/>
      <c r="C89" s="22"/>
      <c r="D89" s="24">
        <v>92.906</v>
      </c>
      <c r="E89" s="24"/>
      <c r="F89" s="24">
        <v>74.148</v>
      </c>
      <c r="G89" s="24"/>
      <c r="H89" s="24">
        <v>62.488</v>
      </c>
      <c r="I89" s="24"/>
      <c r="J89" s="24">
        <v>84.74</v>
      </c>
      <c r="K89" s="24"/>
      <c r="L89" s="24">
        <v>66.859</v>
      </c>
      <c r="M89" s="24"/>
      <c r="N89" s="24">
        <v>50.834</v>
      </c>
    </row>
    <row r="90" spans="1:14" ht="15">
      <c r="A90" s="22" t="s">
        <v>55</v>
      </c>
      <c r="B90" s="22"/>
      <c r="C90" s="22"/>
      <c r="D90" s="24">
        <v>24.397</v>
      </c>
      <c r="E90" s="24"/>
      <c r="F90" s="24">
        <v>22.534</v>
      </c>
      <c r="G90" s="24"/>
      <c r="H90" s="24">
        <v>19.717</v>
      </c>
      <c r="I90" s="24"/>
      <c r="J90" s="24">
        <v>18.204</v>
      </c>
      <c r="K90" s="24"/>
      <c r="L90" s="24">
        <v>17.348</v>
      </c>
      <c r="M90" s="24"/>
      <c r="N90" s="24">
        <v>16.647</v>
      </c>
    </row>
    <row r="91" spans="1:14" ht="15">
      <c r="A91" s="22" t="s">
        <v>56</v>
      </c>
      <c r="B91" s="22"/>
      <c r="C91" s="22"/>
      <c r="D91" s="24">
        <v>0</v>
      </c>
      <c r="E91" s="24"/>
      <c r="F91" s="24">
        <v>0</v>
      </c>
      <c r="G91" s="24"/>
      <c r="H91" s="24">
        <v>0</v>
      </c>
      <c r="I91" s="24"/>
      <c r="J91" s="24">
        <v>0</v>
      </c>
      <c r="K91" s="24"/>
      <c r="L91" s="24">
        <v>0</v>
      </c>
      <c r="M91" s="24"/>
      <c r="N91" s="24">
        <v>0</v>
      </c>
    </row>
    <row r="92" spans="1:14" ht="15">
      <c r="A92" s="22" t="s">
        <v>57</v>
      </c>
      <c r="B92" s="22"/>
      <c r="C92" s="22"/>
      <c r="D92" s="24">
        <v>21.608</v>
      </c>
      <c r="E92" s="24"/>
      <c r="F92" s="24">
        <v>20.084</v>
      </c>
      <c r="G92" s="24"/>
      <c r="H92" s="24">
        <v>21.056</v>
      </c>
      <c r="I92" s="24"/>
      <c r="J92" s="24">
        <v>17.811</v>
      </c>
      <c r="K92" s="24"/>
      <c r="L92" s="24">
        <v>20.662</v>
      </c>
      <c r="M92" s="24"/>
      <c r="N92" s="24">
        <v>24.219</v>
      </c>
    </row>
    <row r="93" spans="1:14" ht="15">
      <c r="A93" s="22" t="s">
        <v>58</v>
      </c>
      <c r="B93" s="22"/>
      <c r="C93" s="22"/>
      <c r="D93" s="24">
        <v>15.054</v>
      </c>
      <c r="E93" s="24"/>
      <c r="F93" s="24">
        <v>17.551</v>
      </c>
      <c r="G93" s="24"/>
      <c r="H93" s="24">
        <v>8.699</v>
      </c>
      <c r="I93" s="24"/>
      <c r="J93" s="24">
        <v>8.433</v>
      </c>
      <c r="K93" s="24"/>
      <c r="L93" s="24">
        <v>6.48</v>
      </c>
      <c r="M93" s="24"/>
      <c r="N93" s="24">
        <v>4.838</v>
      </c>
    </row>
    <row r="94" spans="1:14" ht="15">
      <c r="A94" s="22" t="s">
        <v>67</v>
      </c>
      <c r="B94" s="22"/>
      <c r="C94" s="22"/>
      <c r="D94" s="24">
        <v>1</v>
      </c>
      <c r="E94" s="24"/>
      <c r="F94" s="24">
        <v>2</v>
      </c>
      <c r="G94" s="24"/>
      <c r="H94" s="24">
        <v>2</v>
      </c>
      <c r="I94" s="24"/>
      <c r="J94" s="24">
        <v>2</v>
      </c>
      <c r="K94" s="24"/>
      <c r="L94" s="24">
        <v>2</v>
      </c>
      <c r="M94" s="24"/>
      <c r="N94" s="24">
        <v>2</v>
      </c>
    </row>
    <row r="95" spans="1:14" ht="15">
      <c r="A95" s="22" t="s">
        <v>68</v>
      </c>
      <c r="B95" s="22"/>
      <c r="C95" s="22"/>
      <c r="D95" s="24">
        <v>1</v>
      </c>
      <c r="E95" s="24"/>
      <c r="F95" s="24">
        <v>2</v>
      </c>
      <c r="G95" s="24"/>
      <c r="H95" s="24">
        <v>2</v>
      </c>
      <c r="I95" s="24"/>
      <c r="J95" s="24">
        <v>2</v>
      </c>
      <c r="K95" s="24"/>
      <c r="L95" s="24">
        <v>2</v>
      </c>
      <c r="M95" s="24"/>
      <c r="N95" s="24">
        <v>2</v>
      </c>
    </row>
    <row r="96" spans="1:14" ht="15">
      <c r="A96" s="22" t="s">
        <v>59</v>
      </c>
      <c r="B96" s="22"/>
      <c r="C96" s="22"/>
      <c r="D96" s="24">
        <v>24.397</v>
      </c>
      <c r="E96" s="24"/>
      <c r="F96" s="24">
        <v>22.534</v>
      </c>
      <c r="G96" s="24"/>
      <c r="H96" s="24">
        <v>19.717</v>
      </c>
      <c r="I96" s="24"/>
      <c r="J96" s="24">
        <v>18.204</v>
      </c>
      <c r="K96" s="24"/>
      <c r="L96" s="24">
        <v>17.348</v>
      </c>
      <c r="M96" s="24"/>
      <c r="N96" s="24">
        <v>16.647</v>
      </c>
    </row>
    <row r="97" spans="1:14" ht="15">
      <c r="A97" s="22" t="s">
        <v>60</v>
      </c>
      <c r="B97" s="22"/>
      <c r="C97" s="22"/>
      <c r="D97" s="24">
        <v>0.863</v>
      </c>
      <c r="E97" s="24"/>
      <c r="F97" s="24">
        <v>1.64</v>
      </c>
      <c r="G97" s="24"/>
      <c r="H97" s="24">
        <v>1.56</v>
      </c>
      <c r="I97" s="24"/>
      <c r="J97" s="24">
        <v>1.51</v>
      </c>
      <c r="K97" s="24"/>
      <c r="L97" s="24">
        <v>1.48</v>
      </c>
      <c r="M97" s="24"/>
      <c r="N97" s="24">
        <v>1.46</v>
      </c>
    </row>
    <row r="98" spans="1:14" ht="15">
      <c r="A98" s="22" t="s">
        <v>61</v>
      </c>
      <c r="B98" s="22"/>
      <c r="C98" s="22"/>
      <c r="D98" s="24">
        <v>0.863</v>
      </c>
      <c r="E98" s="24"/>
      <c r="F98" s="24">
        <v>1.64</v>
      </c>
      <c r="G98" s="24"/>
      <c r="H98" s="24">
        <v>1.56</v>
      </c>
      <c r="I98" s="24"/>
      <c r="J98" s="24">
        <v>1.88</v>
      </c>
      <c r="K98" s="24"/>
      <c r="L98" s="24">
        <v>1.475</v>
      </c>
      <c r="M98" s="24"/>
      <c r="N98" s="24">
        <v>1.455</v>
      </c>
    </row>
    <row r="99" spans="1:14" ht="15">
      <c r="A99" s="22" t="s">
        <v>62</v>
      </c>
      <c r="B99" s="22"/>
      <c r="C99" s="22"/>
      <c r="D99" s="24">
        <v>32.38</v>
      </c>
      <c r="E99" s="24"/>
      <c r="F99" s="24">
        <v>53.1</v>
      </c>
      <c r="G99" s="24"/>
      <c r="H99" s="24">
        <v>40.7</v>
      </c>
      <c r="I99" s="24"/>
      <c r="J99" s="24">
        <v>36.65</v>
      </c>
      <c r="K99" s="24"/>
      <c r="L99" s="24">
        <v>34.1</v>
      </c>
      <c r="M99" s="24"/>
      <c r="N99" s="24">
        <v>30.125</v>
      </c>
    </row>
    <row r="100" spans="1:14" ht="15">
      <c r="A100" s="22" t="s">
        <v>63</v>
      </c>
      <c r="B100" s="22"/>
      <c r="C100" s="22"/>
      <c r="D100" s="24">
        <v>24.94</v>
      </c>
      <c r="E100" s="24"/>
      <c r="F100" s="24">
        <v>39.36</v>
      </c>
      <c r="G100" s="24"/>
      <c r="H100" s="24">
        <v>30.55</v>
      </c>
      <c r="I100" s="24"/>
      <c r="J100" s="24">
        <v>28.2</v>
      </c>
      <c r="K100" s="24"/>
      <c r="L100" s="24">
        <v>27.6</v>
      </c>
      <c r="M100" s="24"/>
      <c r="N100" s="24">
        <v>24.5</v>
      </c>
    </row>
    <row r="101" spans="1:14" ht="15">
      <c r="A101" s="22" t="s">
        <v>64</v>
      </c>
      <c r="B101" s="22"/>
      <c r="C101" s="22"/>
      <c r="D101" s="24">
        <v>29.14</v>
      </c>
      <c r="E101" s="24"/>
      <c r="F101" s="24">
        <v>52.56</v>
      </c>
      <c r="G101" s="24"/>
      <c r="H101" s="24">
        <v>40.5</v>
      </c>
      <c r="I101" s="24"/>
      <c r="J101" s="24">
        <v>33.02</v>
      </c>
      <c r="K101" s="24"/>
      <c r="L101" s="24">
        <v>32.6</v>
      </c>
      <c r="M101" s="24"/>
      <c r="N101" s="24">
        <v>29.75</v>
      </c>
    </row>
    <row r="102" spans="1:14" ht="15">
      <c r="A102" s="22" t="s">
        <v>65</v>
      </c>
      <c r="B102" s="22"/>
      <c r="C102" s="22"/>
      <c r="D102" s="24">
        <v>28.982</v>
      </c>
      <c r="E102" s="24"/>
      <c r="F102" s="24">
        <v>13.88</v>
      </c>
      <c r="G102" s="24"/>
      <c r="H102" s="24">
        <v>13.229</v>
      </c>
      <c r="I102" s="24"/>
      <c r="J102" s="24">
        <v>12.206</v>
      </c>
      <c r="K102" s="24"/>
      <c r="L102" s="24">
        <v>11.861</v>
      </c>
      <c r="M102" s="24"/>
      <c r="N102" s="24">
        <v>11.5</v>
      </c>
    </row>
    <row r="103" spans="1:14" ht="15">
      <c r="A103" s="22" t="s">
        <v>84</v>
      </c>
      <c r="B103" s="22"/>
      <c r="C103" s="22"/>
      <c r="D103" s="24">
        <v>-11.261</v>
      </c>
      <c r="E103" s="24"/>
      <c r="F103" s="24">
        <v>3.453</v>
      </c>
      <c r="G103" s="24"/>
      <c r="H103" s="24">
        <v>3.471</v>
      </c>
      <c r="I103" s="24"/>
      <c r="J103" s="24">
        <v>-5.902</v>
      </c>
      <c r="K103" s="24"/>
      <c r="L103" s="24">
        <v>-1.687</v>
      </c>
      <c r="M103" s="24"/>
      <c r="N103" s="24">
        <v>0</v>
      </c>
    </row>
    <row r="104" ht="15">
      <c r="A104" t="s">
        <v>71</v>
      </c>
    </row>
    <row r="105" spans="2:14" ht="15">
      <c r="B105" t="s">
        <v>70</v>
      </c>
      <c r="D105" s="17">
        <f>D67/D94</f>
        <v>1.72</v>
      </c>
      <c r="F105" s="17">
        <f>F67/F94</f>
        <v>1.57</v>
      </c>
      <c r="H105" s="17">
        <f>H67/H94</f>
        <v>1.375</v>
      </c>
      <c r="J105" s="17">
        <f>J67/J94</f>
        <v>1.22</v>
      </c>
      <c r="L105" s="17">
        <f>L67/L94</f>
        <v>1.145</v>
      </c>
      <c r="N105" s="17">
        <f>N67/N94</f>
        <v>1.08</v>
      </c>
    </row>
    <row r="106" spans="2:14" ht="15">
      <c r="B106" t="s">
        <v>60</v>
      </c>
      <c r="D106" s="17">
        <f>D97/D94</f>
        <v>0.863</v>
      </c>
      <c r="F106" s="17">
        <f>F97/F94</f>
        <v>0.82</v>
      </c>
      <c r="H106" s="17">
        <f>H97/H94</f>
        <v>0.78</v>
      </c>
      <c r="J106" s="17">
        <f>J97/J94</f>
        <v>0.755</v>
      </c>
      <c r="L106" s="17">
        <f>L97/L94</f>
        <v>0.74</v>
      </c>
      <c r="N106" s="17">
        <f>N97/N94</f>
        <v>0.73</v>
      </c>
    </row>
    <row r="107" spans="2:14" ht="15">
      <c r="B107" t="s">
        <v>61</v>
      </c>
      <c r="D107" s="17">
        <f>D98/D94</f>
        <v>0.863</v>
      </c>
      <c r="F107" s="17">
        <f>F98/F94</f>
        <v>0.82</v>
      </c>
      <c r="H107" s="17">
        <f>H98/H94</f>
        <v>0.78</v>
      </c>
      <c r="J107" s="17">
        <f>J98/J94</f>
        <v>0.94</v>
      </c>
      <c r="L107" s="17">
        <f>L98/L94</f>
        <v>0.7375</v>
      </c>
      <c r="N107" s="17">
        <f>N98/N94</f>
        <v>0.7275</v>
      </c>
    </row>
    <row r="108" spans="2:14" ht="15">
      <c r="B108" t="s">
        <v>62</v>
      </c>
      <c r="D108" s="17">
        <f>D99/D94</f>
        <v>32.38</v>
      </c>
      <c r="F108" s="17">
        <f>F99/F94</f>
        <v>26.55</v>
      </c>
      <c r="H108" s="17">
        <f>H99/H94</f>
        <v>20.35</v>
      </c>
      <c r="J108" s="17">
        <f>J99/J94</f>
        <v>18.325</v>
      </c>
      <c r="L108" s="17">
        <f>L99/L94</f>
        <v>17.05</v>
      </c>
      <c r="N108" s="17">
        <f>N99/N94</f>
        <v>15.0625</v>
      </c>
    </row>
    <row r="109" spans="2:14" ht="15">
      <c r="B109" t="s">
        <v>63</v>
      </c>
      <c r="D109" s="17">
        <f>D100/D94</f>
        <v>24.94</v>
      </c>
      <c r="F109" s="17">
        <f>F100/F94</f>
        <v>19.68</v>
      </c>
      <c r="H109" s="17">
        <f>H100/H94</f>
        <v>15.275</v>
      </c>
      <c r="J109" s="17">
        <f>J100/J94</f>
        <v>14.1</v>
      </c>
      <c r="L109" s="17">
        <f>L100/L94</f>
        <v>13.8</v>
      </c>
      <c r="N109" s="17">
        <f>N100/N94</f>
        <v>12.25</v>
      </c>
    </row>
    <row r="110" spans="2:14" ht="15">
      <c r="B110" t="s">
        <v>64</v>
      </c>
      <c r="D110" s="17">
        <f>D101/D94</f>
        <v>29.14</v>
      </c>
      <c r="F110" s="17">
        <f>F101/F94</f>
        <v>26.28</v>
      </c>
      <c r="H110" s="17">
        <f>H101/H94</f>
        <v>20.25</v>
      </c>
      <c r="J110" s="17">
        <f>J101/J94</f>
        <v>16.51</v>
      </c>
      <c r="L110" s="17">
        <f>L101/L94</f>
        <v>16.3</v>
      </c>
      <c r="N110" s="17">
        <f>N101/N94</f>
        <v>14.875</v>
      </c>
    </row>
    <row r="111" spans="2:14" ht="15">
      <c r="B111" t="s">
        <v>65</v>
      </c>
      <c r="D111" s="18">
        <f>D102*D94</f>
        <v>28.982</v>
      </c>
      <c r="E111" s="18"/>
      <c r="F111" s="18">
        <f>F102*F94</f>
        <v>27.76</v>
      </c>
      <c r="G111" s="18"/>
      <c r="H111" s="18">
        <f>H102*H94</f>
        <v>26.458</v>
      </c>
      <c r="I111" s="18"/>
      <c r="J111" s="18">
        <f>J102*J94</f>
        <v>24.412</v>
      </c>
      <c r="K111" s="18"/>
      <c r="L111" s="18">
        <f>L102*L94</f>
        <v>23.722</v>
      </c>
      <c r="M111" s="18"/>
      <c r="N111" s="18">
        <f>N102*N94</f>
        <v>23</v>
      </c>
    </row>
    <row r="112" spans="2:14" ht="15">
      <c r="B112" t="s">
        <v>66</v>
      </c>
      <c r="D112" s="17">
        <f>ROUND(D68/D111,2)</f>
        <v>13.5</v>
      </c>
      <c r="F112" s="17">
        <f>ROUND(F68/F111,2)</f>
        <v>12.41</v>
      </c>
      <c r="H112" s="17">
        <f>ROUND(H68/H111,2)</f>
        <v>11.26</v>
      </c>
      <c r="J112" s="17">
        <f>ROUND(J68/J111,2)</f>
        <v>9.74</v>
      </c>
      <c r="L112" s="17">
        <f>ROUND(L68/L111,2)</f>
        <v>9.29</v>
      </c>
      <c r="N112" s="17">
        <f>ROUND(N68/N111,2)</f>
        <v>8.77</v>
      </c>
    </row>
  </sheetData>
  <mergeCells count="4">
    <mergeCell ref="D6:L6"/>
    <mergeCell ref="A1:O1"/>
    <mergeCell ref="A2:O2"/>
    <mergeCell ref="A3:O3"/>
  </mergeCells>
  <printOptions/>
  <pageMargins left="1.25" right="0" top="1.5" bottom="1" header="0.5" footer="0.5"/>
  <pageSetup horizontalDpi="600" verticalDpi="600" orientation="portrait" scale="6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2005-08-25T15:04:48Z</cp:lastPrinted>
  <dcterms:created xsi:type="dcterms:W3CDTF">2001-03-03T20:55:32Z</dcterms:created>
  <dcterms:modified xsi:type="dcterms:W3CDTF">2007-05-01T12:23:56Z</dcterms:modified>
  <cp:category/>
  <cp:version/>
  <cp:contentType/>
  <cp:contentStatus/>
</cp:coreProperties>
</file>