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835" activeTab="0"/>
  </bookViews>
  <sheets>
    <sheet name="3a 1" sheetId="1" r:id="rId1"/>
    <sheet name="3a2 pg 1-5" sheetId="2" r:id="rId2"/>
    <sheet name="3a2 pg 6" sheetId="3" r:id="rId3"/>
    <sheet name="Summary" sheetId="4" r:id="rId4"/>
  </sheets>
  <definedNames/>
  <calcPr fullCalcOnLoad="1"/>
</workbook>
</file>

<file path=xl/sharedStrings.xml><?xml version="1.0" encoding="utf-8"?>
<sst xmlns="http://schemas.openxmlformats.org/spreadsheetml/2006/main" count="539" uniqueCount="182">
  <si>
    <t>Rate 12; 15</t>
  </si>
  <si>
    <t>Existing</t>
  </si>
  <si>
    <t>Proposed</t>
  </si>
  <si>
    <t>$ Increase</t>
  </si>
  <si>
    <t>% Increase</t>
  </si>
  <si>
    <t>Billing</t>
  </si>
  <si>
    <t>Current</t>
  </si>
  <si>
    <t>Annualized</t>
  </si>
  <si>
    <t>Determinants</t>
  </si>
  <si>
    <t>Rate</t>
  </si>
  <si>
    <t>Revenues</t>
  </si>
  <si>
    <t>Metering Charge</t>
  </si>
  <si>
    <t>Substation Charge</t>
  </si>
  <si>
    <t>Demand Charge:</t>
  </si>
  <si>
    <t xml:space="preserve">      Contract demand</t>
  </si>
  <si>
    <t xml:space="preserve">      Exess demand</t>
  </si>
  <si>
    <t xml:space="preserve">      Interuptible discount</t>
  </si>
  <si>
    <t>Energy charge per kWh</t>
  </si>
  <si>
    <t>Total from base rates</t>
  </si>
  <si>
    <t>Fuel adjustment</t>
  </si>
  <si>
    <t>Environmental surcharge</t>
  </si>
  <si>
    <t>Total revenues</t>
  </si>
  <si>
    <t>Average Bill</t>
  </si>
  <si>
    <t>for the 12 months ended September 30, 2006</t>
  </si>
  <si>
    <t>Schedule A</t>
  </si>
  <si>
    <t>Residential, Farm and Non-Farm Service</t>
  </si>
  <si>
    <t>Rate 1; 3; 18</t>
  </si>
  <si>
    <t>Customer Charge</t>
  </si>
  <si>
    <t>Billing Analysis</t>
  </si>
  <si>
    <t>Rate 6</t>
  </si>
  <si>
    <t>Energy charge per ETS kWh</t>
  </si>
  <si>
    <t>Schedule B</t>
  </si>
  <si>
    <t>Small Commercial Rate</t>
  </si>
  <si>
    <t>Rate 2</t>
  </si>
  <si>
    <t>Rate 7</t>
  </si>
  <si>
    <t>Large Power Rate</t>
  </si>
  <si>
    <t>Rate 4;  16</t>
  </si>
  <si>
    <t>Demand Charge</t>
  </si>
  <si>
    <t>Schedule LP-1</t>
  </si>
  <si>
    <t>Large Power Rate (500 KW to 4,999 KW)</t>
  </si>
  <si>
    <t>Rate  9</t>
  </si>
  <si>
    <t>Schedule LP-2</t>
  </si>
  <si>
    <t>Large Power Rate (5,000 KW to 9,999 KW)</t>
  </si>
  <si>
    <t>Rate 10</t>
  </si>
  <si>
    <t>First 400 kwh per KW (to 5,000 kwh):</t>
  </si>
  <si>
    <t>All remaining kwh:</t>
  </si>
  <si>
    <t>Total kwh</t>
  </si>
  <si>
    <t>Schedule LP-3</t>
  </si>
  <si>
    <t>Large Power Rate (500 KW to 2,999 KW)</t>
  </si>
  <si>
    <t>Special Contract</t>
  </si>
  <si>
    <t>Casey Stone Company</t>
  </si>
  <si>
    <t>Rate 11</t>
  </si>
  <si>
    <t>Consumer Charge</t>
  </si>
  <si>
    <t>Monthly minimum bill</t>
  </si>
  <si>
    <t xml:space="preserve">      First        3,500 kwh per month</t>
  </si>
  <si>
    <t xml:space="preserve">      Next        6,500 kwh per month</t>
  </si>
  <si>
    <t xml:space="preserve">      Next    140,000 kwh per month</t>
  </si>
  <si>
    <t xml:space="preserve">      Next    150,000 kwh per month</t>
  </si>
  <si>
    <t xml:space="preserve">      Over    300,000 kwh per month</t>
  </si>
  <si>
    <t>Schedule OPS</t>
  </si>
  <si>
    <t>Optional Power Service</t>
  </si>
  <si>
    <t>Rate 5</t>
  </si>
  <si>
    <t>Schedule AES</t>
  </si>
  <si>
    <t>All Electric Schools</t>
  </si>
  <si>
    <t>Rate 17</t>
  </si>
  <si>
    <t>Schedule  STL, DSTL &amp; OL</t>
  </si>
  <si>
    <t>Security, Street and Outdoor Lighting Service</t>
  </si>
  <si>
    <t>Rate 8</t>
  </si>
  <si>
    <t>Environmental Surcharge</t>
  </si>
  <si>
    <t>South Kentucky Rural Electric</t>
  </si>
  <si>
    <t>Avg Customers</t>
  </si>
  <si>
    <t>Note - these are the same customers on Schedule A</t>
  </si>
  <si>
    <t>Energy charge per kWh+A265</t>
  </si>
  <si>
    <t>Dmd $</t>
  </si>
  <si>
    <t>Energy $</t>
  </si>
  <si>
    <t>Present</t>
  </si>
  <si>
    <t>Energy</t>
  </si>
  <si>
    <t>Demand</t>
  </si>
  <si>
    <t>Customer</t>
  </si>
  <si>
    <t>Total Base $</t>
  </si>
  <si>
    <t>FAC</t>
  </si>
  <si>
    <t>ES</t>
  </si>
  <si>
    <t>Total</t>
  </si>
  <si>
    <t>Per kWh</t>
  </si>
  <si>
    <t>Residential, Farm and Non-Farm Service ETS)</t>
  </si>
  <si>
    <t>Schedule B ETS</t>
  </si>
  <si>
    <t>Rev Req</t>
  </si>
  <si>
    <t>Less Dmd</t>
  </si>
  <si>
    <t>South Kentucky RECC</t>
  </si>
  <si>
    <t>Small Commercial Rate Sch B ETS</t>
  </si>
  <si>
    <t xml:space="preserve">Small Commercial Rate Sch B </t>
  </si>
  <si>
    <t>Large Power Rate Sch LP</t>
  </si>
  <si>
    <t>Large Power Rate Sch LP 1</t>
  </si>
  <si>
    <t>Large Power Rate Sch LP 2</t>
  </si>
  <si>
    <t>Large Power Rate Sch LP 3</t>
  </si>
  <si>
    <t>Special Contract - Casey Stone Co</t>
  </si>
  <si>
    <t>Optional Power Service Sch OPS</t>
  </si>
  <si>
    <t>All Elec Schools Sch AES</t>
  </si>
  <si>
    <t>Residential, Farm and Non-Farm Service (ETS)</t>
  </si>
  <si>
    <t xml:space="preserve">Schedule LP - Excess of 50 kVA </t>
  </si>
  <si>
    <t>E-Based kWh</t>
  </si>
  <si>
    <t>Billing Units for Test Year</t>
  </si>
  <si>
    <t>Proposed Rate / kWh</t>
  </si>
  <si>
    <t>Proposed Rate/ Mo</t>
  </si>
  <si>
    <t>Test Yr Revenue</t>
  </si>
  <si>
    <t>DSTL</t>
  </si>
  <si>
    <t>STL</t>
  </si>
  <si>
    <t>Existing Rate/ Mo</t>
  </si>
  <si>
    <t>Cobra Head Light Existing Pole</t>
  </si>
  <si>
    <t xml:space="preserve">  7000 - 10000 Lumens 39 kWh - Unmetered</t>
  </si>
  <si>
    <t xml:space="preserve">  7000 - 10000 Lumens 39 kWh - Metered</t>
  </si>
  <si>
    <t>Cobra Head Light Installed on 30' Aluminum Pole &amp; Arm</t>
  </si>
  <si>
    <t>Lexington Light Installed on 16' Aluminum Pole</t>
  </si>
  <si>
    <t xml:space="preserve">  Sodium 7000 - 10000 Lumens 39 kWh - Unmetered</t>
  </si>
  <si>
    <t xml:space="preserve">  Sodium 7000 - 10000 Lumens 39 kWh - Metered</t>
  </si>
  <si>
    <t>Acorn Light Installed on 16' Fluted Pole</t>
  </si>
  <si>
    <t>Metal Halide Lamp</t>
  </si>
  <si>
    <t xml:space="preserve">  100 Watt Metal Halide - Acorn @ 44 kWh Mo. - Unmetered</t>
  </si>
  <si>
    <t xml:space="preserve">  100 Watt Metal Halide - Acorn @ 44 kWh Mo. - Metered</t>
  </si>
  <si>
    <t xml:space="preserve">  100 Watt Metal Halide - Lexington @ 44 kWh Mo. - Unmetered</t>
  </si>
  <si>
    <t xml:space="preserve">  100 Watt Metal Halide - Lexington @ 44 kWh Mo. - Metered</t>
  </si>
  <si>
    <t xml:space="preserve">  400 Watt Metal Halide Galleria @ 167 kWh Mo - Unmetered</t>
  </si>
  <si>
    <t xml:space="preserve">  400 Watt Metal Halide Galleria @ 167 kWh Mo - Metered</t>
  </si>
  <si>
    <t xml:space="preserve">  1000 Watt Metal Halide Galleria @ 395 kWh Mo - Unmetered</t>
  </si>
  <si>
    <t xml:space="preserve">  1000 Watt Metal Halide Galleria @ 395 kWh Mo - Metered</t>
  </si>
  <si>
    <t xml:space="preserve">  250 Watt Cobra Head w/ 30' Aluminum Pole - Unmetered</t>
  </si>
  <si>
    <t xml:space="preserve">  400 Watt Cobra Head Mercury Vapor With 8' Arm - Unmetered</t>
  </si>
  <si>
    <t xml:space="preserve">  400 Watt Cobra Head Mercury Vapor With 8' Arm - Metered</t>
  </si>
  <si>
    <t xml:space="preserve">  400 Watt Cobra Head Mercury Vapor With 12' Arm - Unmetered</t>
  </si>
  <si>
    <t xml:space="preserve">  400 Watt Cobra Head Mercury Vapor With 12' Arm - Metered</t>
  </si>
  <si>
    <t xml:space="preserve">  400 Watt Cobra Head Mercury Vapor With 16' Arm - Unmetered</t>
  </si>
  <si>
    <t xml:space="preserve">  400 Watt Cobra Head Mercury Vapor With 16' Arm - Metered</t>
  </si>
  <si>
    <t xml:space="preserve">  Mercury Vapor - 7000 - 10000 Lumens</t>
  </si>
  <si>
    <t>kWh Lamp</t>
  </si>
  <si>
    <t xml:space="preserve">  Sodium - 7000 - 10000 Lumens</t>
  </si>
  <si>
    <t xml:space="preserve">  Mercury Vapor - 15,000 - 28,000 Lumens</t>
  </si>
  <si>
    <t xml:space="preserve">  Sodium - 15,000 - 28,000 Lumens</t>
  </si>
  <si>
    <t>OL</t>
  </si>
  <si>
    <t xml:space="preserve">  Mercury Vapor - 7000 - 10000 Lumens - Unmetered</t>
  </si>
  <si>
    <t xml:space="preserve">  Mercury Vapor - 7000 - 10000 Lumens - Metered</t>
  </si>
  <si>
    <t xml:space="preserve">  Sodium - 7000 - 10000 Lumens - Unmetered</t>
  </si>
  <si>
    <t xml:space="preserve">  Sodium - 7000 - 10000 Lumens - Metered</t>
  </si>
  <si>
    <t xml:space="preserve">  Directional Flood - 250 Watt Sodium - Unmetered</t>
  </si>
  <si>
    <t xml:space="preserve">  Directional Flood - 250 Watt Sodium - Metered</t>
  </si>
  <si>
    <t xml:space="preserve">  Directional Flood - 250 Watt Metal Halide - Unmetered</t>
  </si>
  <si>
    <t xml:space="preserve">  Directional Flood - 250 Watt Metal Halide - Metered</t>
  </si>
  <si>
    <t xml:space="preserve">  Directional Flood - 400 Watt Metal Halide - Unmetered</t>
  </si>
  <si>
    <t xml:space="preserve">  Directional Flood - 400 Watt Metal Halide - Metered</t>
  </si>
  <si>
    <t xml:space="preserve">  Directional Flood - 1000 Watt Metal Halide - Unmetered</t>
  </si>
  <si>
    <t xml:space="preserve">  Directional Flood - 1000 Watt Metal Halide - Metered</t>
  </si>
  <si>
    <t xml:space="preserve">  15000 - 28000 Lumens 100 kWh - Unmetered</t>
  </si>
  <si>
    <t xml:space="preserve">  15000 - 28000 Lumens 100 kWh - Metered</t>
  </si>
  <si>
    <t>Proposed Revenue</t>
  </si>
  <si>
    <t>Total DSTL</t>
  </si>
  <si>
    <t>Total OL</t>
  </si>
  <si>
    <t>Total Lighting</t>
  </si>
  <si>
    <t>Total kWh</t>
  </si>
  <si>
    <t>Total FAC</t>
  </si>
  <si>
    <t>Total ES</t>
  </si>
  <si>
    <t>Total $</t>
  </si>
  <si>
    <t>Total STL</t>
  </si>
  <si>
    <t>Per Customer</t>
  </si>
  <si>
    <t>South Kentucky Lighting Rates Analysis</t>
  </si>
  <si>
    <t>Lighting kWh</t>
  </si>
  <si>
    <t>Total Sch E kWh</t>
  </si>
  <si>
    <t>STL - Street Lighting</t>
  </si>
  <si>
    <t>DSTL - Decorative Street Lighting</t>
  </si>
  <si>
    <t>OL - Outdoor Lighting</t>
  </si>
  <si>
    <t>Cust Chg</t>
  </si>
  <si>
    <t>30' Al Pole</t>
  </si>
  <si>
    <t>Request 3a 1</t>
  </si>
  <si>
    <t>Page 1 of 1</t>
  </si>
  <si>
    <t>Attachment</t>
  </si>
  <si>
    <t>% of Total</t>
  </si>
  <si>
    <t>Page 1 of 6</t>
  </si>
  <si>
    <t>Request 3a 2</t>
  </si>
  <si>
    <t>Page 2 of 6</t>
  </si>
  <si>
    <t>Page 3 of 6</t>
  </si>
  <si>
    <t>Page 4 of 6</t>
  </si>
  <si>
    <t>Page 5 of 6</t>
  </si>
  <si>
    <t>% of</t>
  </si>
  <si>
    <t>Page 6 of 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</si>
</sst>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_);_(* \(#,##0.00000\);_(* &quot;-&quot;?????_);_(@_)"/>
    <numFmt numFmtId="171" formatCode="_(* #,##0.0_);_(* \(#,##0.0\);_(* &quot;-&quot;??_);_(@_)"/>
    <numFmt numFmtId="172" formatCode="_(* #,##0_);_(* \(#,##0\);_(* &quot;-&quot;??_);_(@_)"/>
    <numFmt numFmtId="173" formatCode="0.0"/>
    <numFmt numFmtId="174" formatCode="_(* #,##0.000000_);_(* \(#,##0.000000\);_(* &quot;-&quot;??_);_(@_)"/>
    <numFmt numFmtId="175" formatCode="&quot;$&quot;#,##0.000000_);\(&quot;$&quot;#,##0.000000\)"/>
    <numFmt numFmtId="176" formatCode="&quot;$&quot;#,##0.0_);\(&quot;$&quot;#,##0.0\)"/>
    <numFmt numFmtId="177" formatCode="_(&quot;$&quot;* #,##0.0_);_(&quot;$&quot;* \(#,##0.0\);_(&quot;$&quot;* &quot;-&quot;??_);_(@_)"/>
    <numFmt numFmtId="178" formatCode="_(* #,##0.000000_);_(* \(#,##0.000000\);_(* &quot;-&quot;??????_);_(@_)"/>
    <numFmt numFmtId="179" formatCode="0.0000000"/>
    <numFmt numFmtId="180" formatCode="0.000000"/>
    <numFmt numFmtId="181" formatCode="0.00000"/>
  </numFmts>
  <fonts count="12">
    <font>
      <sz val="10"/>
      <name val="Arial"/>
      <family val="0"/>
    </font>
    <font>
      <sz val="11"/>
      <color indexed="8"/>
      <name val="P-TIMES"/>
      <family val="0"/>
    </font>
    <font>
      <sz val="12"/>
      <color indexed="8"/>
      <name val="P-TIMES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name val="P-TIMES"/>
      <family val="0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P-TIMES"/>
      <family val="0"/>
    </font>
    <font>
      <sz val="10"/>
      <name val="P-TIMES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1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 horizontal="center"/>
    </xf>
    <xf numFmtId="172" fontId="1" fillId="0" borderId="0" xfId="15" applyNumberFormat="1" applyFont="1" applyAlignment="1" applyProtection="1">
      <alignment horizontal="center"/>
      <protection/>
    </xf>
    <xf numFmtId="10" fontId="1" fillId="0" borderId="0" xfId="19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172" fontId="6" fillId="0" borderId="0" xfId="15" applyNumberFormat="1" applyFont="1" applyAlignment="1" applyProtection="1">
      <alignment horizontal="center"/>
      <protection/>
    </xf>
    <xf numFmtId="172" fontId="6" fillId="0" borderId="2" xfId="15" applyNumberFormat="1" applyFont="1" applyBorder="1" applyAlignment="1" applyProtection="1">
      <alignment horizontal="center"/>
      <protection/>
    </xf>
    <xf numFmtId="172" fontId="6" fillId="0" borderId="0" xfId="15" applyNumberFormat="1" applyFont="1" applyBorder="1" applyAlignment="1" applyProtection="1">
      <alignment horizontal="center"/>
      <protection/>
    </xf>
    <xf numFmtId="172" fontId="1" fillId="0" borderId="0" xfId="15" applyNumberFormat="1" applyFont="1" applyBorder="1" applyAlignment="1" applyProtection="1">
      <alignment horizontal="center"/>
      <protection/>
    </xf>
    <xf numFmtId="172" fontId="1" fillId="0" borderId="2" xfId="15" applyNumberFormat="1" applyFont="1" applyBorder="1" applyAlignment="1" applyProtection="1">
      <alignment horizontal="center"/>
      <protection/>
    </xf>
    <xf numFmtId="10" fontId="1" fillId="0" borderId="2" xfId="19" applyNumberFormat="1" applyFont="1" applyBorder="1" applyAlignment="1" applyProtection="1">
      <alignment horizontal="center"/>
      <protection/>
    </xf>
    <xf numFmtId="172" fontId="0" fillId="0" borderId="0" xfId="15" applyNumberFormat="1" applyAlignment="1">
      <alignment/>
    </xf>
    <xf numFmtId="10" fontId="0" fillId="0" borderId="0" xfId="19" applyNumberFormat="1" applyAlignment="1">
      <alignment/>
    </xf>
    <xf numFmtId="172" fontId="0" fillId="0" borderId="0" xfId="0" applyNumberFormat="1" applyAlignment="1">
      <alignment/>
    </xf>
    <xf numFmtId="172" fontId="0" fillId="0" borderId="1" xfId="15" applyNumberFormat="1" applyFon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2" fontId="0" fillId="0" borderId="0" xfId="15" applyNumberFormat="1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7" fontId="4" fillId="0" borderId="0" xfId="0" applyNumberFormat="1" applyFont="1" applyAlignment="1" applyProtection="1">
      <alignment/>
      <protection/>
    </xf>
    <xf numFmtId="5" fontId="4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164" fontId="4" fillId="2" borderId="0" xfId="0" applyNumberFormat="1" applyFont="1" applyFill="1" applyAlignment="1" applyProtection="1">
      <alignment/>
      <protection/>
    </xf>
    <xf numFmtId="10" fontId="0" fillId="0" borderId="0" xfId="19" applyNumberFormat="1" applyFont="1" applyAlignment="1">
      <alignment/>
    </xf>
    <xf numFmtId="37" fontId="4" fillId="0" borderId="3" xfId="0" applyNumberFormat="1" applyFont="1" applyBorder="1" applyAlignment="1" applyProtection="1">
      <alignment/>
      <protection/>
    </xf>
    <xf numFmtId="37" fontId="4" fillId="0" borderId="4" xfId="0" applyNumberFormat="1" applyFont="1" applyBorder="1" applyAlignment="1" applyProtection="1">
      <alignment/>
      <protection/>
    </xf>
    <xf numFmtId="5" fontId="4" fillId="0" borderId="5" xfId="0" applyNumberFormat="1" applyFont="1" applyBorder="1" applyAlignment="1" applyProtection="1">
      <alignment/>
      <protection/>
    </xf>
    <xf numFmtId="165" fontId="0" fillId="0" borderId="6" xfId="17" applyNumberFormat="1" applyFont="1" applyBorder="1" applyAlignment="1">
      <alignment/>
    </xf>
    <xf numFmtId="7" fontId="0" fillId="0" borderId="0" xfId="0" applyNumberFormat="1" applyFont="1" applyAlignment="1">
      <alignment/>
    </xf>
    <xf numFmtId="43" fontId="0" fillId="0" borderId="0" xfId="15" applyFont="1" applyAlignment="1">
      <alignment/>
    </xf>
    <xf numFmtId="0" fontId="3" fillId="0" borderId="0" xfId="0" applyFont="1" applyAlignment="1" applyProtection="1">
      <alignment/>
      <protection/>
    </xf>
    <xf numFmtId="172" fontId="0" fillId="0" borderId="6" xfId="15" applyNumberFormat="1" applyFont="1" applyBorder="1" applyAlignment="1">
      <alignment/>
    </xf>
    <xf numFmtId="0" fontId="4" fillId="0" borderId="0" xfId="0" applyNumberFormat="1" applyFont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2" fontId="0" fillId="0" borderId="3" xfId="15" applyNumberFormat="1" applyFont="1" applyBorder="1" applyAlignment="1">
      <alignment/>
    </xf>
    <xf numFmtId="0" fontId="0" fillId="0" borderId="3" xfId="0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2" xfId="15" applyNumberFormat="1" applyFont="1" applyBorder="1" applyAlignment="1">
      <alignment/>
    </xf>
    <xf numFmtId="172" fontId="0" fillId="0" borderId="2" xfId="0" applyNumberFormat="1" applyFont="1" applyBorder="1" applyAlignment="1">
      <alignment/>
    </xf>
    <xf numFmtId="10" fontId="0" fillId="0" borderId="6" xfId="19" applyNumberFormat="1" applyFont="1" applyBorder="1" applyAlignment="1">
      <alignment/>
    </xf>
    <xf numFmtId="44" fontId="4" fillId="0" borderId="0" xfId="17" applyFont="1" applyAlignment="1" applyProtection="1">
      <alignment/>
      <protection/>
    </xf>
    <xf numFmtId="44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5" fontId="0" fillId="0" borderId="3" xfId="0" applyNumberFormat="1" applyFont="1" applyBorder="1" applyAlignment="1">
      <alignment/>
    </xf>
    <xf numFmtId="10" fontId="0" fillId="0" borderId="3" xfId="19" applyNumberFormat="1" applyFont="1" applyBorder="1" applyAlignment="1">
      <alignment/>
    </xf>
    <xf numFmtId="5" fontId="0" fillId="0" borderId="2" xfId="0" applyNumberFormat="1" applyFont="1" applyBorder="1" applyAlignment="1">
      <alignment/>
    </xf>
    <xf numFmtId="10" fontId="0" fillId="0" borderId="2" xfId="19" applyNumberFormat="1" applyFont="1" applyBorder="1" applyAlignment="1">
      <alignment/>
    </xf>
    <xf numFmtId="165" fontId="4" fillId="0" borderId="5" xfId="17" applyNumberFormat="1" applyFont="1" applyBorder="1" applyAlignment="1" applyProtection="1">
      <alignment/>
      <protection/>
    </xf>
    <xf numFmtId="165" fontId="0" fillId="0" borderId="0" xfId="17" applyNumberFormat="1" applyFont="1" applyAlignment="1">
      <alignment/>
    </xf>
    <xf numFmtId="165" fontId="4" fillId="0" borderId="0" xfId="17" applyNumberFormat="1" applyFont="1" applyAlignment="1" applyProtection="1">
      <alignment/>
      <protection/>
    </xf>
    <xf numFmtId="44" fontId="0" fillId="0" borderId="0" xfId="17" applyFont="1" applyAlignment="1">
      <alignment/>
    </xf>
    <xf numFmtId="0" fontId="0" fillId="0" borderId="0" xfId="0" applyNumberFormat="1" applyFont="1" applyAlignment="1">
      <alignment/>
    </xf>
    <xf numFmtId="7" fontId="4" fillId="0" borderId="0" xfId="0" applyNumberFormat="1" applyFont="1" applyFill="1" applyAlignment="1" applyProtection="1">
      <alignment/>
      <protection/>
    </xf>
    <xf numFmtId="5" fontId="0" fillId="0" borderId="6" xfId="0" applyNumberFormat="1" applyFont="1" applyBorder="1" applyAlignment="1">
      <alignment/>
    </xf>
    <xf numFmtId="7" fontId="4" fillId="2" borderId="0" xfId="0" applyNumberFormat="1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165" fontId="0" fillId="0" borderId="0" xfId="0" applyNumberFormat="1" applyFont="1" applyAlignment="1">
      <alignment/>
    </xf>
    <xf numFmtId="39" fontId="4" fillId="0" borderId="0" xfId="0" applyNumberFormat="1" applyFont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172" fontId="0" fillId="0" borderId="0" xfId="15" applyNumberFormat="1" applyFont="1" applyBorder="1" applyAlignment="1">
      <alignment/>
    </xf>
    <xf numFmtId="10" fontId="0" fillId="0" borderId="0" xfId="19" applyNumberFormat="1" applyFont="1" applyBorder="1" applyAlignment="1">
      <alignment/>
    </xf>
    <xf numFmtId="5" fontId="4" fillId="0" borderId="6" xfId="0" applyNumberFormat="1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72" fontId="0" fillId="0" borderId="0" xfId="15" applyNumberFormat="1" applyFont="1" applyFill="1" applyBorder="1" applyAlignment="1">
      <alignment/>
    </xf>
    <xf numFmtId="10" fontId="0" fillId="0" borderId="0" xfId="19" applyNumberFormat="1" applyFont="1" applyFill="1" applyBorder="1" applyAlignment="1">
      <alignment/>
    </xf>
    <xf numFmtId="172" fontId="0" fillId="0" borderId="3" xfId="15" applyNumberFormat="1" applyFont="1" applyFill="1" applyBorder="1" applyAlignment="1">
      <alignment/>
    </xf>
    <xf numFmtId="10" fontId="0" fillId="0" borderId="3" xfId="19" applyNumberFormat="1" applyFont="1" applyFill="1" applyBorder="1" applyAlignment="1">
      <alignment/>
    </xf>
    <xf numFmtId="172" fontId="0" fillId="0" borderId="2" xfId="15" applyNumberFormat="1" applyFont="1" applyFill="1" applyBorder="1" applyAlignment="1">
      <alignment/>
    </xf>
    <xf numFmtId="10" fontId="0" fillId="0" borderId="2" xfId="19" applyNumberFormat="1" applyFont="1" applyFill="1" applyBorder="1" applyAlignment="1">
      <alignment/>
    </xf>
    <xf numFmtId="10" fontId="0" fillId="0" borderId="6" xfId="19" applyNumberFormat="1" applyFont="1" applyFill="1" applyBorder="1" applyAlignment="1">
      <alignment/>
    </xf>
    <xf numFmtId="172" fontId="4" fillId="0" borderId="0" xfId="15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7" fontId="0" fillId="0" borderId="0" xfId="0" applyNumberFormat="1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>
      <alignment/>
    </xf>
    <xf numFmtId="2" fontId="0" fillId="0" borderId="3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169" fontId="4" fillId="0" borderId="0" xfId="15" applyNumberFormat="1" applyFont="1" applyAlignment="1" applyProtection="1">
      <alignment/>
      <protection/>
    </xf>
    <xf numFmtId="37" fontId="0" fillId="0" borderId="0" xfId="0" applyNumberFormat="1" applyFont="1" applyAlignment="1">
      <alignment/>
    </xf>
    <xf numFmtId="37" fontId="4" fillId="0" borderId="7" xfId="0" applyNumberFormat="1" applyFont="1" applyBorder="1" applyAlignment="1" applyProtection="1">
      <alignment/>
      <protection/>
    </xf>
    <xf numFmtId="174" fontId="0" fillId="0" borderId="0" xfId="15" applyNumberFormat="1" applyFont="1" applyAlignment="1">
      <alignment/>
    </xf>
    <xf numFmtId="172" fontId="0" fillId="0" borderId="0" xfId="15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169" fontId="0" fillId="0" borderId="0" xfId="0" applyNumberFormat="1" applyAlignment="1">
      <alignment/>
    </xf>
    <xf numFmtId="43" fontId="0" fillId="0" borderId="0" xfId="15" applyAlignment="1">
      <alignment horizontal="center" wrapText="1"/>
    </xf>
    <xf numFmtId="43" fontId="0" fillId="0" borderId="0" xfId="15" applyFont="1" applyAlignment="1">
      <alignment horizontal="center" wrapText="1"/>
    </xf>
    <xf numFmtId="0" fontId="7" fillId="0" borderId="0" xfId="0" applyFont="1" applyAlignment="1">
      <alignment/>
    </xf>
    <xf numFmtId="43" fontId="0" fillId="0" borderId="8" xfId="15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174" fontId="0" fillId="0" borderId="0" xfId="0" applyNumberFormat="1" applyAlignment="1">
      <alignment/>
    </xf>
    <xf numFmtId="43" fontId="4" fillId="0" borderId="0" xfId="0" applyNumberFormat="1" applyFont="1" applyAlignment="1" applyProtection="1">
      <alignment/>
      <protection/>
    </xf>
    <xf numFmtId="4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10" fontId="0" fillId="0" borderId="0" xfId="19" applyNumberFormat="1" applyBorder="1" applyAlignment="1">
      <alignment/>
    </xf>
    <xf numFmtId="172" fontId="0" fillId="0" borderId="3" xfId="15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15" applyBorder="1" applyAlignment="1">
      <alignment/>
    </xf>
    <xf numFmtId="169" fontId="0" fillId="0" borderId="3" xfId="0" applyNumberFormat="1" applyBorder="1" applyAlignment="1">
      <alignment/>
    </xf>
    <xf numFmtId="0" fontId="0" fillId="0" borderId="0" xfId="0" applyFill="1" applyAlignment="1">
      <alignment/>
    </xf>
    <xf numFmtId="172" fontId="0" fillId="2" borderId="0" xfId="15" applyNumberFormat="1" applyFont="1" applyFill="1" applyAlignment="1">
      <alignment/>
    </xf>
    <xf numFmtId="43" fontId="0" fillId="0" borderId="0" xfId="15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15" applyNumberFormat="1" applyFont="1" applyAlignment="1">
      <alignment/>
    </xf>
    <xf numFmtId="43" fontId="0" fillId="0" borderId="0" xfId="15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0" fontId="0" fillId="0" borderId="0" xfId="19" applyNumberFormat="1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10" fontId="0" fillId="0" borderId="0" xfId="19" applyNumberFormat="1" applyFont="1" applyAlignment="1">
      <alignment/>
    </xf>
    <xf numFmtId="0" fontId="1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10" fontId="10" fillId="0" borderId="0" xfId="19" applyNumberFormat="1" applyFont="1" applyAlignment="1" applyProtection="1">
      <alignment horizontal="center"/>
      <protection/>
    </xf>
    <xf numFmtId="172" fontId="10" fillId="0" borderId="0" xfId="15" applyNumberFormat="1" applyFont="1" applyAlignment="1" applyProtection="1">
      <alignment horizontal="center"/>
      <protection/>
    </xf>
    <xf numFmtId="172" fontId="11" fillId="0" borderId="0" xfId="15" applyNumberFormat="1" applyFont="1" applyAlignment="1" applyProtection="1">
      <alignment horizontal="center"/>
      <protection/>
    </xf>
    <xf numFmtId="172" fontId="11" fillId="0" borderId="0" xfId="15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172" fontId="10" fillId="0" borderId="0" xfId="15" applyNumberFormat="1" applyFont="1" applyBorder="1" applyAlignment="1" applyProtection="1">
      <alignment horizontal="center"/>
      <protection/>
    </xf>
    <xf numFmtId="10" fontId="10" fillId="0" borderId="0" xfId="19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>
      <alignment/>
    </xf>
    <xf numFmtId="10" fontId="0" fillId="0" borderId="0" xfId="19" applyNumberFormat="1" applyFont="1" applyBorder="1" applyAlignment="1">
      <alignment/>
    </xf>
    <xf numFmtId="10" fontId="0" fillId="0" borderId="0" xfId="19" applyNumberFormat="1" applyFont="1" applyAlignment="1">
      <alignment/>
    </xf>
    <xf numFmtId="172" fontId="0" fillId="0" borderId="0" xfId="15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9" xfId="0" applyFont="1" applyBorder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10" fontId="4" fillId="0" borderId="0" xfId="19" applyNumberFormat="1" applyFont="1" applyBorder="1" applyAlignment="1" applyProtection="1">
      <alignment horizontal="centerContinuous"/>
      <protection/>
    </xf>
    <xf numFmtId="10" fontId="4" fillId="0" borderId="0" xfId="19" applyNumberFormat="1" applyFont="1" applyAlignment="1" applyProtection="1">
      <alignment horizontal="center"/>
      <protection/>
    </xf>
    <xf numFmtId="10" fontId="4" fillId="0" borderId="0" xfId="19" applyNumberFormat="1" applyFont="1" applyAlignment="1" applyProtection="1">
      <alignment horizontal="centerContinuous"/>
      <protection/>
    </xf>
    <xf numFmtId="10" fontId="4" fillId="0" borderId="15" xfId="19" applyNumberFormat="1" applyFont="1" applyBorder="1" applyAlignment="1" applyProtection="1">
      <alignment horizontal="center"/>
      <protection/>
    </xf>
    <xf numFmtId="10" fontId="4" fillId="0" borderId="16" xfId="19" applyNumberFormat="1" applyFont="1" applyBorder="1" applyAlignment="1" applyProtection="1">
      <alignment/>
      <protection/>
    </xf>
    <xf numFmtId="10" fontId="4" fillId="0" borderId="13" xfId="19" applyNumberFormat="1" applyFont="1" applyBorder="1" applyAlignment="1" applyProtection="1">
      <alignment horizontal="center"/>
      <protection/>
    </xf>
    <xf numFmtId="10" fontId="4" fillId="0" borderId="14" xfId="19" applyNumberFormat="1" applyFont="1" applyBorder="1" applyAlignment="1" applyProtection="1">
      <alignment horizontal="center"/>
      <protection/>
    </xf>
    <xf numFmtId="10" fontId="4" fillId="0" borderId="0" xfId="19" applyNumberFormat="1" applyFont="1" applyAlignment="1" applyProtection="1">
      <alignment/>
      <protection/>
    </xf>
    <xf numFmtId="10" fontId="4" fillId="0" borderId="0" xfId="19" applyNumberFormat="1" applyFont="1" applyBorder="1" applyAlignment="1" applyProtection="1">
      <alignment/>
      <protection/>
    </xf>
    <xf numFmtId="10" fontId="3" fillId="0" borderId="0" xfId="19" applyNumberFormat="1" applyFont="1" applyAlignment="1" applyProtection="1">
      <alignment horizontal="center"/>
      <protection/>
    </xf>
    <xf numFmtId="10" fontId="0" fillId="0" borderId="0" xfId="19" applyNumberFormat="1" applyFont="1" applyAlignment="1" applyProtection="1">
      <alignment/>
      <protection/>
    </xf>
    <xf numFmtId="10" fontId="0" fillId="0" borderId="3" xfId="19" applyNumberFormat="1" applyBorder="1" applyAlignment="1">
      <alignment/>
    </xf>
    <xf numFmtId="10" fontId="0" fillId="0" borderId="0" xfId="19" applyNumberFormat="1" applyFont="1" applyAlignment="1">
      <alignment/>
    </xf>
    <xf numFmtId="0" fontId="1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75" zoomScaleNormal="75" workbookViewId="0" topLeftCell="A1">
      <selection activeCell="C5" sqref="C5"/>
    </sheetView>
  </sheetViews>
  <sheetFormatPr defaultColWidth="9.140625" defaultRowHeight="12.75"/>
  <cols>
    <col min="1" max="1" width="41.28125" style="135" bestFit="1" customWidth="1"/>
    <col min="2" max="2" width="11.421875" style="135" bestFit="1" customWidth="1"/>
    <col min="3" max="3" width="9.28125" style="145" bestFit="1" customWidth="1"/>
    <col min="4" max="4" width="2.28125" style="135" customWidth="1"/>
    <col min="5" max="5" width="11.421875" style="135" bestFit="1" customWidth="1"/>
    <col min="6" max="6" width="9.28125" style="145" bestFit="1" customWidth="1"/>
    <col min="7" max="7" width="2.57421875" style="135" customWidth="1"/>
    <col min="8" max="8" width="10.421875" style="135" bestFit="1" customWidth="1"/>
    <col min="9" max="9" width="14.00390625" style="135" bestFit="1" customWidth="1"/>
    <col min="10" max="16384" width="9.140625" style="135" customWidth="1"/>
  </cols>
  <sheetData>
    <row r="1" spans="1:9" s="132" customFormat="1" ht="12.75">
      <c r="A1" s="129"/>
      <c r="B1" s="129"/>
      <c r="C1" s="130"/>
      <c r="D1" s="129"/>
      <c r="E1" s="129"/>
      <c r="F1" s="130"/>
      <c r="G1" s="129"/>
      <c r="H1" s="129"/>
      <c r="I1" s="131" t="s">
        <v>170</v>
      </c>
    </row>
    <row r="2" spans="3:9" s="132" customFormat="1" ht="12.75">
      <c r="C2" s="133"/>
      <c r="F2" s="133"/>
      <c r="I2" s="131" t="s">
        <v>172</v>
      </c>
    </row>
    <row r="3" spans="3:9" s="132" customFormat="1" ht="12.75">
      <c r="C3" s="133"/>
      <c r="F3" s="133"/>
      <c r="I3" s="131" t="s">
        <v>171</v>
      </c>
    </row>
    <row r="4" spans="3:6" s="132" customFormat="1" ht="12.75">
      <c r="C4" s="133"/>
      <c r="F4" s="133"/>
    </row>
    <row r="5" spans="3:6" s="132" customFormat="1" ht="12.75">
      <c r="C5" s="133"/>
      <c r="F5" s="133"/>
    </row>
    <row r="6" spans="1:9" ht="12.75">
      <c r="A6" s="168" t="s">
        <v>88</v>
      </c>
      <c r="B6" s="168"/>
      <c r="C6" s="168"/>
      <c r="D6" s="168"/>
      <c r="E6" s="168"/>
      <c r="F6" s="168"/>
      <c r="G6" s="168"/>
      <c r="H6" s="168"/>
      <c r="I6" s="168"/>
    </row>
    <row r="7" spans="1:9" ht="12.75">
      <c r="A7" s="168" t="s">
        <v>28</v>
      </c>
      <c r="B7" s="168"/>
      <c r="C7" s="168"/>
      <c r="D7" s="168"/>
      <c r="E7" s="168"/>
      <c r="F7" s="168"/>
      <c r="G7" s="168"/>
      <c r="H7" s="168"/>
      <c r="I7" s="168"/>
    </row>
    <row r="8" spans="1:9" ht="12.75">
      <c r="A8" s="168" t="s">
        <v>23</v>
      </c>
      <c r="B8" s="168"/>
      <c r="C8" s="168"/>
      <c r="D8" s="168"/>
      <c r="E8" s="168"/>
      <c r="F8" s="168"/>
      <c r="G8" s="168"/>
      <c r="H8" s="168"/>
      <c r="I8" s="168"/>
    </row>
    <row r="9" spans="1:9" ht="12.75">
      <c r="A9" s="134"/>
      <c r="B9" s="134"/>
      <c r="C9" s="136"/>
      <c r="D9" s="134"/>
      <c r="E9" s="134"/>
      <c r="F9" s="136"/>
      <c r="G9" s="134"/>
      <c r="H9" s="134"/>
      <c r="I9" s="134"/>
    </row>
    <row r="10" spans="1:9" ht="12.75">
      <c r="A10" s="134"/>
      <c r="B10" s="134"/>
      <c r="C10" s="136"/>
      <c r="D10" s="134"/>
      <c r="E10" s="134"/>
      <c r="F10" s="136"/>
      <c r="G10" s="134"/>
      <c r="H10" s="134"/>
      <c r="I10" s="134"/>
    </row>
    <row r="11" spans="1:9" ht="12.75">
      <c r="A11" s="134"/>
      <c r="B11" s="134"/>
      <c r="C11" s="136"/>
      <c r="D11" s="134"/>
      <c r="E11" s="134"/>
      <c r="F11" s="136"/>
      <c r="G11" s="134"/>
      <c r="H11" s="134"/>
      <c r="I11" s="134"/>
    </row>
    <row r="12" spans="1:9" ht="12.75">
      <c r="A12" s="134"/>
      <c r="B12" s="134" t="s">
        <v>82</v>
      </c>
      <c r="C12" s="136" t="s">
        <v>173</v>
      </c>
      <c r="D12" s="134"/>
      <c r="E12" s="134" t="s">
        <v>82</v>
      </c>
      <c r="F12" s="136" t="s">
        <v>173</v>
      </c>
      <c r="G12" s="134"/>
      <c r="H12" s="134" t="s">
        <v>3</v>
      </c>
      <c r="I12" s="134" t="s">
        <v>4</v>
      </c>
    </row>
    <row r="13" spans="1:9" ht="12.75">
      <c r="A13" s="134" t="str">
        <f>Summary!A10</f>
        <v>Residential, Farm and Non-Farm Service</v>
      </c>
      <c r="B13" s="137">
        <f>Summary!H10</f>
        <v>62332725.946</v>
      </c>
      <c r="C13" s="136">
        <f>B13/$B$28</f>
        <v>0.6713953808001708</v>
      </c>
      <c r="D13" s="137"/>
      <c r="E13" s="137">
        <f>Summary!P10</f>
        <v>65221771.40101005</v>
      </c>
      <c r="F13" s="136">
        <f>E13/$E$28</f>
        <v>0.6703326137323982</v>
      </c>
      <c r="G13" s="137"/>
      <c r="H13" s="137">
        <f aca="true" t="shared" si="0" ref="H13:H26">E13-B13</f>
        <v>2889045.455010049</v>
      </c>
      <c r="I13" s="136">
        <f aca="true" t="shared" si="1" ref="I13:I28">H13/B13</f>
        <v>0.046348774438533025</v>
      </c>
    </row>
    <row r="14" spans="1:9" ht="12.75">
      <c r="A14" s="134" t="str">
        <f>Summary!A11</f>
        <v>Residential, Farm and Non-Farm Service (ETS)</v>
      </c>
      <c r="B14" s="137">
        <f>Summary!H11</f>
        <v>568476.0962100001</v>
      </c>
      <c r="C14" s="136">
        <f aca="true" t="shared" si="2" ref="C14:C26">B14/$B$28</f>
        <v>0.0061231434900080785</v>
      </c>
      <c r="D14" s="137"/>
      <c r="E14" s="137">
        <f>Summary!P11</f>
        <v>595182.0657761069</v>
      </c>
      <c r="F14" s="136">
        <f aca="true" t="shared" si="3" ref="F14:F26">E14/$E$28</f>
        <v>0.00611712839483178</v>
      </c>
      <c r="G14" s="137"/>
      <c r="H14" s="137">
        <f t="shared" si="0"/>
        <v>26705.969566106796</v>
      </c>
      <c r="I14" s="136">
        <f t="shared" si="1"/>
        <v>0.04697817506163245</v>
      </c>
    </row>
    <row r="15" spans="1:9" ht="12.75">
      <c r="A15" s="134" t="str">
        <f>Summary!A12</f>
        <v>Small Commercial Rate Sch B </v>
      </c>
      <c r="B15" s="137">
        <f>Summary!H12</f>
        <v>6146495.99194</v>
      </c>
      <c r="C15" s="136">
        <f t="shared" si="2"/>
        <v>0.06620485394253962</v>
      </c>
      <c r="D15" s="137"/>
      <c r="E15" s="137">
        <f>Summary!P12</f>
        <v>6391199.095467885</v>
      </c>
      <c r="F15" s="136">
        <f t="shared" si="3"/>
        <v>0.065687102673246</v>
      </c>
      <c r="G15" s="137"/>
      <c r="H15" s="137">
        <f t="shared" si="0"/>
        <v>244703.10352788493</v>
      </c>
      <c r="I15" s="136">
        <f t="shared" si="1"/>
        <v>0.03981180559602871</v>
      </c>
    </row>
    <row r="16" spans="1:9" ht="12.75">
      <c r="A16" s="134" t="str">
        <f>Summary!A13</f>
        <v>Small Commercial Rate Sch B ETS</v>
      </c>
      <c r="B16" s="137">
        <f>Summary!H13</f>
        <v>1211.3696</v>
      </c>
      <c r="C16" s="136">
        <f t="shared" si="2"/>
        <v>1.3047848325875149E-05</v>
      </c>
      <c r="D16" s="137"/>
      <c r="E16" s="137">
        <f>Summary!P13</f>
        <v>1262.5870590712884</v>
      </c>
      <c r="F16" s="136">
        <f t="shared" si="3"/>
        <v>1.2976545487675172E-05</v>
      </c>
      <c r="G16" s="137"/>
      <c r="H16" s="137">
        <f t="shared" si="0"/>
        <v>51.21745907128843</v>
      </c>
      <c r="I16" s="136">
        <f t="shared" si="1"/>
        <v>0.04228062110134548</v>
      </c>
    </row>
    <row r="17" spans="1:9" ht="12.75">
      <c r="A17" s="134" t="str">
        <f>Summary!A14</f>
        <v>Large Power Rate Sch LP</v>
      </c>
      <c r="B17" s="137">
        <f>Summary!H14</f>
        <v>10774237.63468</v>
      </c>
      <c r="C17" s="136">
        <f t="shared" si="2"/>
        <v>0.11605097113568018</v>
      </c>
      <c r="D17" s="137"/>
      <c r="E17" s="137">
        <f>Summary!P14</f>
        <v>11344566.498032358</v>
      </c>
      <c r="F17" s="136">
        <f t="shared" si="3"/>
        <v>0.11659654052525874</v>
      </c>
      <c r="G17" s="137"/>
      <c r="H17" s="137">
        <f t="shared" si="0"/>
        <v>570328.8633523583</v>
      </c>
      <c r="I17" s="136">
        <f t="shared" si="1"/>
        <v>0.052934498262465456</v>
      </c>
    </row>
    <row r="18" spans="1:9" ht="12.75">
      <c r="A18" s="134" t="str">
        <f>Summary!A15</f>
        <v>Large Power Rate Sch LP 1</v>
      </c>
      <c r="B18" s="137">
        <f>Summary!H15</f>
        <v>2381886.9992500003</v>
      </c>
      <c r="C18" s="136">
        <f t="shared" si="2"/>
        <v>0.025655671312527488</v>
      </c>
      <c r="D18" s="137"/>
      <c r="E18" s="137">
        <f>Summary!P15</f>
        <v>2505661.5872500003</v>
      </c>
      <c r="F18" s="136">
        <f t="shared" si="3"/>
        <v>0.025752546194784138</v>
      </c>
      <c r="G18" s="137"/>
      <c r="H18" s="137">
        <f t="shared" si="0"/>
        <v>123774.58799999999</v>
      </c>
      <c r="I18" s="136">
        <f t="shared" si="1"/>
        <v>0.05196492866327146</v>
      </c>
    </row>
    <row r="19" spans="1:9" ht="12.75">
      <c r="A19" s="134" t="str">
        <f>Summary!A16</f>
        <v>Large Power Rate Sch LP 2</v>
      </c>
      <c r="B19" s="137">
        <f>Summary!H16</f>
        <v>2592616.2629400003</v>
      </c>
      <c r="C19" s="136">
        <f t="shared" si="2"/>
        <v>0.027925468631570718</v>
      </c>
      <c r="D19" s="137"/>
      <c r="E19" s="137">
        <f>Summary!P16</f>
        <v>2767875.92994</v>
      </c>
      <c r="F19" s="136">
        <f t="shared" si="3"/>
        <v>0.028447517857126757</v>
      </c>
      <c r="G19" s="137"/>
      <c r="H19" s="137">
        <f t="shared" si="0"/>
        <v>175259.6669999999</v>
      </c>
      <c r="I19" s="136">
        <f t="shared" si="1"/>
        <v>0.06759954008822626</v>
      </c>
    </row>
    <row r="20" spans="1:9" ht="12.75">
      <c r="A20" s="134" t="str">
        <f>Summary!A17</f>
        <v>Large Power Rate Sch LP 3</v>
      </c>
      <c r="B20" s="137">
        <f>Summary!H17</f>
        <v>3041632.1837299997</v>
      </c>
      <c r="C20" s="136">
        <f t="shared" si="2"/>
        <v>0.032761888193668924</v>
      </c>
      <c r="D20" s="137"/>
      <c r="E20" s="137">
        <f>Summary!P17</f>
        <v>3279611.72473</v>
      </c>
      <c r="F20" s="136">
        <f t="shared" si="3"/>
        <v>0.03370700691259719</v>
      </c>
      <c r="G20" s="137"/>
      <c r="H20" s="137">
        <f t="shared" si="0"/>
        <v>237979.5410000002</v>
      </c>
      <c r="I20" s="136">
        <f t="shared" si="1"/>
        <v>0.0782407360998404</v>
      </c>
    </row>
    <row r="21" spans="1:9" ht="12.75">
      <c r="A21" s="134" t="str">
        <f>Summary!A18</f>
        <v>Special Contract - Casey Stone Co</v>
      </c>
      <c r="B21" s="137">
        <f>Summary!H18</f>
        <v>45463.851</v>
      </c>
      <c r="C21" s="136">
        <f t="shared" si="2"/>
        <v>0.0004896981335491557</v>
      </c>
      <c r="D21" s="138"/>
      <c r="E21" s="137">
        <f>Summary!P18</f>
        <v>46534.930063252665</v>
      </c>
      <c r="F21" s="136">
        <f t="shared" si="3"/>
        <v>0.00047827405832573616</v>
      </c>
      <c r="G21" s="138"/>
      <c r="H21" s="137">
        <f t="shared" si="0"/>
        <v>1071.0790632526623</v>
      </c>
      <c r="I21" s="136">
        <f t="shared" si="1"/>
        <v>0.023558916363082886</v>
      </c>
    </row>
    <row r="22" spans="1:9" ht="12.75">
      <c r="A22" s="134" t="str">
        <f>Summary!A19</f>
        <v>Optional Power Service Sch OPS</v>
      </c>
      <c r="B22" s="137">
        <f>Summary!H19</f>
        <v>1571839.6208000001</v>
      </c>
      <c r="C22" s="136">
        <f t="shared" si="2"/>
        <v>0.016930526376755295</v>
      </c>
      <c r="D22" s="138"/>
      <c r="E22" s="137">
        <f>Summary!P19</f>
        <v>1637512.2051442557</v>
      </c>
      <c r="F22" s="136">
        <f t="shared" si="3"/>
        <v>0.016829929836527757</v>
      </c>
      <c r="G22" s="138"/>
      <c r="H22" s="137">
        <f t="shared" si="0"/>
        <v>65672.5843442555</v>
      </c>
      <c r="I22" s="136">
        <f t="shared" si="1"/>
        <v>0.04178071571375133</v>
      </c>
    </row>
    <row r="23" spans="1:9" ht="12.75">
      <c r="A23" s="134" t="str">
        <f>Summary!A20</f>
        <v>All Elec Schools Sch AES</v>
      </c>
      <c r="B23" s="137">
        <f>Summary!H20</f>
        <v>774666.6208</v>
      </c>
      <c r="C23" s="136">
        <f t="shared" si="2"/>
        <v>0.008344053351938698</v>
      </c>
      <c r="D23" s="138"/>
      <c r="E23" s="137">
        <f>Summary!P20</f>
        <v>818242.8598786383</v>
      </c>
      <c r="F23" s="136">
        <f t="shared" si="3"/>
        <v>0.008409689941690633</v>
      </c>
      <c r="G23" s="138"/>
      <c r="H23" s="137">
        <f t="shared" si="0"/>
        <v>43576.23907863826</v>
      </c>
      <c r="I23" s="136">
        <f t="shared" si="1"/>
        <v>0.05625160282966236</v>
      </c>
    </row>
    <row r="24" spans="1:9" ht="12.75">
      <c r="A24" s="134" t="str">
        <f>Summary!A21</f>
        <v>STL - Street Lighting</v>
      </c>
      <c r="B24" s="137">
        <f>Summary!H21</f>
        <v>67905.55568998789</v>
      </c>
      <c r="C24" s="136">
        <f t="shared" si="2"/>
        <v>0.0007314211873298043</v>
      </c>
      <c r="D24" s="139"/>
      <c r="E24" s="137">
        <f>Summary!P21</f>
        <v>70746.4956899879</v>
      </c>
      <c r="F24" s="136">
        <f t="shared" si="3"/>
        <v>0.0007271143109054382</v>
      </c>
      <c r="G24" s="138"/>
      <c r="H24" s="137">
        <f t="shared" si="0"/>
        <v>2840.940000000017</v>
      </c>
      <c r="I24" s="136">
        <f t="shared" si="1"/>
        <v>0.041836635767622324</v>
      </c>
    </row>
    <row r="25" spans="1:11" ht="12.75">
      <c r="A25" s="134" t="str">
        <f>Summary!A22</f>
        <v>DSTL - Decorative Street Lighting</v>
      </c>
      <c r="B25" s="137">
        <f>Summary!H22</f>
        <v>26770.62892924128</v>
      </c>
      <c r="C25" s="136">
        <f t="shared" si="2"/>
        <v>0.00028835056274899556</v>
      </c>
      <c r="D25" s="139"/>
      <c r="E25" s="137">
        <f>Summary!P22</f>
        <v>27436.70572766137</v>
      </c>
      <c r="F25" s="136">
        <f t="shared" si="3"/>
        <v>0.00028198741413430983</v>
      </c>
      <c r="G25" s="139"/>
      <c r="H25" s="137">
        <f t="shared" si="0"/>
        <v>666.0767984200902</v>
      </c>
      <c r="I25" s="136">
        <f t="shared" si="1"/>
        <v>0.024880879720107787</v>
      </c>
      <c r="J25" s="140"/>
      <c r="K25" s="140"/>
    </row>
    <row r="26" spans="1:11" ht="12.75">
      <c r="A26" s="134" t="str">
        <f>Summary!A23</f>
        <v>OL - Outdoor Lighting</v>
      </c>
      <c r="B26" s="137">
        <f>Summary!H23</f>
        <v>2514635.42538077</v>
      </c>
      <c r="C26" s="136">
        <f t="shared" si="2"/>
        <v>0.02708552503318626</v>
      </c>
      <c r="D26" s="141"/>
      <c r="E26" s="137">
        <f>Summary!P23</f>
        <v>2590021.100414901</v>
      </c>
      <c r="F26" s="136">
        <f t="shared" si="3"/>
        <v>0.02661957160268566</v>
      </c>
      <c r="G26" s="141"/>
      <c r="H26" s="137">
        <f t="shared" si="0"/>
        <v>75385.67503413092</v>
      </c>
      <c r="I26" s="136">
        <f t="shared" si="1"/>
        <v>0.02997876919781161</v>
      </c>
      <c r="J26" s="140"/>
      <c r="K26" s="140"/>
    </row>
    <row r="27" spans="1:11" ht="12.75">
      <c r="A27" s="134"/>
      <c r="B27" s="141"/>
      <c r="C27" s="142"/>
      <c r="D27" s="141"/>
      <c r="E27" s="141"/>
      <c r="F27" s="142"/>
      <c r="G27" s="141"/>
      <c r="H27" s="141"/>
      <c r="I27" s="136"/>
      <c r="J27" s="140"/>
      <c r="K27" s="140"/>
    </row>
    <row r="28" spans="2:11" ht="12.75">
      <c r="B28" s="143">
        <f>SUM(B13:B27)</f>
        <v>92840564.18695001</v>
      </c>
      <c r="C28" s="144">
        <f>SUM(C13:C27)</f>
        <v>0.9999999999999999</v>
      </c>
      <c r="D28" s="143"/>
      <c r="E28" s="143">
        <f>SUM(E13:E27)</f>
        <v>97297625.18618417</v>
      </c>
      <c r="F28" s="144">
        <f>SUM(F13:F27)</f>
        <v>1</v>
      </c>
      <c r="G28" s="143">
        <f>SUM(G13:G27)</f>
        <v>0</v>
      </c>
      <c r="H28" s="143">
        <f>SUM(H13:H27)</f>
        <v>4457060.999234169</v>
      </c>
      <c r="I28" s="136">
        <f t="shared" si="1"/>
        <v>0.04800768972341799</v>
      </c>
      <c r="J28" s="140"/>
      <c r="K28" s="140"/>
    </row>
    <row r="29" spans="2:11" ht="12.75">
      <c r="B29" s="140"/>
      <c r="D29" s="140"/>
      <c r="E29" s="140"/>
      <c r="F29" s="144"/>
      <c r="G29" s="140"/>
      <c r="H29" s="140"/>
      <c r="I29" s="140"/>
      <c r="J29" s="140"/>
      <c r="K29" s="140"/>
    </row>
    <row r="30" ht="12.75">
      <c r="B30" s="146"/>
    </row>
    <row r="32" ht="12.75">
      <c r="B32" s="145"/>
    </row>
    <row r="34" ht="12.75">
      <c r="B34" s="146"/>
    </row>
    <row r="35" ht="12.75">
      <c r="B35" s="147"/>
    </row>
    <row r="37" ht="12.75">
      <c r="B37" s="145"/>
    </row>
  </sheetData>
  <mergeCells count="3">
    <mergeCell ref="A6:I6"/>
    <mergeCell ref="A7:I7"/>
    <mergeCell ref="A8:I8"/>
  </mergeCells>
  <printOptions horizontalCentered="1"/>
  <pageMargins left="0.53" right="0.22" top="1" bottom="1" header="0.5" footer="0.5"/>
  <pageSetup fitToHeight="1" fitToWidth="1" horizontalDpi="600" verticalDpi="600" orientation="portrait" scale="89" r:id="rId1"/>
  <headerFooter alignWithMargins="0">
    <oddFooter>&amp;C&amp;P of &amp;N&amp;R&amp;A,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9"/>
  <sheetViews>
    <sheetView view="pageBreakPreview" zoomScale="60" zoomScaleNormal="75" workbookViewId="0" topLeftCell="A321">
      <selection activeCell="F369" sqref="F369"/>
    </sheetView>
  </sheetViews>
  <sheetFormatPr defaultColWidth="9.140625" defaultRowHeight="12.75"/>
  <cols>
    <col min="1" max="1" width="36.28125" style="25" bestFit="1" customWidth="1"/>
    <col min="2" max="2" width="16.140625" style="25" hidden="1" customWidth="1"/>
    <col min="3" max="3" width="15.140625" style="25" bestFit="1" customWidth="1"/>
    <col min="4" max="4" width="11.140625" style="25" bestFit="1" customWidth="1"/>
    <col min="5" max="5" width="14.28125" style="25" bestFit="1" customWidth="1"/>
    <col min="6" max="6" width="8.7109375" style="35" bestFit="1" customWidth="1"/>
    <col min="7" max="7" width="3.28125" style="25" customWidth="1"/>
    <col min="8" max="8" width="15.00390625" style="25" bestFit="1" customWidth="1"/>
    <col min="9" max="9" width="13.00390625" style="25" bestFit="1" customWidth="1"/>
    <col min="10" max="10" width="14.140625" style="25" bestFit="1" customWidth="1"/>
    <col min="11" max="11" width="8.7109375" style="35" bestFit="1" customWidth="1"/>
    <col min="12" max="12" width="2.8515625" style="25" customWidth="1"/>
    <col min="13" max="13" width="14.8515625" style="25" bestFit="1" customWidth="1"/>
    <col min="14" max="14" width="15.140625" style="25" customWidth="1"/>
    <col min="15" max="15" width="4.57421875" style="25" hidden="1" customWidth="1"/>
    <col min="16" max="16" width="10.421875" style="26" hidden="1" customWidth="1"/>
    <col min="17" max="17" width="13.140625" style="26" hidden="1" customWidth="1"/>
    <col min="18" max="18" width="10.421875" style="25" hidden="1" customWidth="1"/>
    <col min="19" max="19" width="8.7109375" style="25" hidden="1" customWidth="1"/>
    <col min="20" max="16384" width="8.7109375" style="25" customWidth="1"/>
  </cols>
  <sheetData>
    <row r="1" spans="1:14" ht="14.25">
      <c r="A1" s="3"/>
      <c r="B1" s="3"/>
      <c r="C1" s="3"/>
      <c r="D1" s="3"/>
      <c r="E1" s="3"/>
      <c r="F1" s="155"/>
      <c r="G1" s="24"/>
      <c r="H1" s="24"/>
      <c r="I1" s="24"/>
      <c r="J1" s="24"/>
      <c r="K1" s="74"/>
      <c r="L1" s="24"/>
      <c r="M1" s="24"/>
      <c r="N1" s="128" t="s">
        <v>175</v>
      </c>
    </row>
    <row r="2" spans="1:14" ht="14.25">
      <c r="A2" s="3"/>
      <c r="B2" s="3"/>
      <c r="C2" s="3"/>
      <c r="D2" s="3"/>
      <c r="E2" s="3"/>
      <c r="F2" s="155"/>
      <c r="G2" s="24"/>
      <c r="H2" s="24"/>
      <c r="I2" s="24"/>
      <c r="J2" s="24"/>
      <c r="K2" s="74"/>
      <c r="L2" s="24"/>
      <c r="M2" s="24"/>
      <c r="N2" s="128" t="s">
        <v>172</v>
      </c>
    </row>
    <row r="3" spans="1:14" ht="14.25">
      <c r="A3" s="3"/>
      <c r="B3" s="3"/>
      <c r="C3" s="3"/>
      <c r="D3" s="3"/>
      <c r="E3" s="3"/>
      <c r="F3" s="155"/>
      <c r="G3" s="24"/>
      <c r="H3" s="24"/>
      <c r="I3" s="24"/>
      <c r="J3" s="24"/>
      <c r="K3" s="74"/>
      <c r="L3" s="24"/>
      <c r="M3" s="24"/>
      <c r="N3" s="128" t="s">
        <v>174</v>
      </c>
    </row>
    <row r="4" spans="2:14" ht="12.75">
      <c r="B4" s="22"/>
      <c r="C4" s="22"/>
      <c r="D4" s="22"/>
      <c r="E4" s="22"/>
      <c r="F4" s="156"/>
      <c r="G4" s="22"/>
      <c r="H4" s="22" t="s">
        <v>69</v>
      </c>
      <c r="I4" s="22"/>
      <c r="J4" s="22"/>
      <c r="K4" s="156"/>
      <c r="L4" s="22"/>
      <c r="M4" s="22"/>
      <c r="N4" s="22"/>
    </row>
    <row r="5" spans="2:14" ht="12.75">
      <c r="B5" s="22"/>
      <c r="C5" s="22"/>
      <c r="D5" s="22"/>
      <c r="E5" s="22"/>
      <c r="F5" s="156"/>
      <c r="G5" s="22"/>
      <c r="H5" s="22" t="s">
        <v>28</v>
      </c>
      <c r="I5" s="22"/>
      <c r="J5" s="22"/>
      <c r="K5" s="156"/>
      <c r="L5" s="22"/>
      <c r="M5" s="22"/>
      <c r="N5" s="22"/>
    </row>
    <row r="6" spans="2:14" ht="12.75">
      <c r="B6" s="22"/>
      <c r="C6" s="22"/>
      <c r="D6" s="22"/>
      <c r="E6" s="22"/>
      <c r="F6" s="156"/>
      <c r="G6" s="22"/>
      <c r="H6" s="22" t="s">
        <v>23</v>
      </c>
      <c r="I6" s="22"/>
      <c r="J6" s="22"/>
      <c r="K6" s="156"/>
      <c r="L6" s="22"/>
      <c r="M6" s="22"/>
      <c r="N6" s="22"/>
    </row>
    <row r="7" spans="2:8" ht="12.75">
      <c r="B7" s="4"/>
      <c r="C7" s="4"/>
      <c r="D7" s="4"/>
      <c r="E7" s="4"/>
      <c r="F7" s="157"/>
      <c r="H7" s="4"/>
    </row>
    <row r="8" spans="2:14" ht="12.75">
      <c r="B8" s="22"/>
      <c r="C8" s="22"/>
      <c r="D8" s="22"/>
      <c r="E8" s="22"/>
      <c r="F8" s="156"/>
      <c r="G8" s="22"/>
      <c r="H8" s="22" t="s">
        <v>24</v>
      </c>
      <c r="I8" s="22"/>
      <c r="J8" s="22"/>
      <c r="K8" s="156"/>
      <c r="L8" s="22"/>
      <c r="M8" s="22"/>
      <c r="N8" s="22"/>
    </row>
    <row r="9" spans="2:14" ht="12.75">
      <c r="B9" s="22"/>
      <c r="C9" s="22"/>
      <c r="D9" s="22"/>
      <c r="E9" s="22"/>
      <c r="F9" s="156"/>
      <c r="G9" s="22"/>
      <c r="H9" s="22" t="s">
        <v>25</v>
      </c>
      <c r="I9" s="22"/>
      <c r="J9" s="22"/>
      <c r="K9" s="156"/>
      <c r="L9" s="22"/>
      <c r="M9" s="22"/>
      <c r="N9" s="22"/>
    </row>
    <row r="10" spans="2:14" ht="12.75">
      <c r="B10" s="22"/>
      <c r="C10" s="22"/>
      <c r="D10" s="22"/>
      <c r="E10" s="22"/>
      <c r="F10" s="156"/>
      <c r="G10" s="22"/>
      <c r="H10" s="22" t="s">
        <v>26</v>
      </c>
      <c r="I10" s="22"/>
      <c r="J10" s="22"/>
      <c r="K10" s="156"/>
      <c r="L10" s="22"/>
      <c r="M10" s="22"/>
      <c r="N10" s="22"/>
    </row>
    <row r="11" spans="1:6" ht="12.75">
      <c r="A11" s="4"/>
      <c r="B11" s="4"/>
      <c r="C11" s="4"/>
      <c r="D11" s="4"/>
      <c r="E11" s="4"/>
      <c r="F11" s="157"/>
    </row>
    <row r="12" spans="2:17" ht="12.75">
      <c r="B12" s="148" t="s">
        <v>100</v>
      </c>
      <c r="C12" s="149" t="s">
        <v>1</v>
      </c>
      <c r="D12" s="150"/>
      <c r="E12" s="150"/>
      <c r="F12" s="158"/>
      <c r="H12" s="149" t="s">
        <v>2</v>
      </c>
      <c r="I12" s="150"/>
      <c r="J12" s="150"/>
      <c r="K12" s="158"/>
      <c r="M12" s="2" t="s">
        <v>3</v>
      </c>
      <c r="N12" s="5" t="s">
        <v>4</v>
      </c>
      <c r="P12" s="21" t="s">
        <v>73</v>
      </c>
      <c r="Q12" s="21" t="s">
        <v>74</v>
      </c>
    </row>
    <row r="13" spans="1:11" ht="12.75">
      <c r="A13" s="27"/>
      <c r="B13" s="27"/>
      <c r="C13" s="151"/>
      <c r="D13" s="152"/>
      <c r="E13" s="152"/>
      <c r="F13" s="159"/>
      <c r="H13" s="151"/>
      <c r="I13" s="152"/>
      <c r="J13" s="152"/>
      <c r="K13" s="159"/>
    </row>
    <row r="14" spans="1:11" ht="12.75">
      <c r="A14" s="27"/>
      <c r="B14" s="27"/>
      <c r="C14" s="153" t="s">
        <v>5</v>
      </c>
      <c r="D14" s="153" t="s">
        <v>6</v>
      </c>
      <c r="E14" s="153" t="s">
        <v>7</v>
      </c>
      <c r="F14" s="160" t="s">
        <v>180</v>
      </c>
      <c r="H14" s="153" t="s">
        <v>5</v>
      </c>
      <c r="I14" s="153" t="s">
        <v>2</v>
      </c>
      <c r="J14" s="153" t="s">
        <v>7</v>
      </c>
      <c r="K14" s="160" t="s">
        <v>180</v>
      </c>
    </row>
    <row r="15" spans="1:11" ht="12.75">
      <c r="A15" s="28"/>
      <c r="B15" s="28"/>
      <c r="C15" s="154" t="s">
        <v>8</v>
      </c>
      <c r="D15" s="154" t="s">
        <v>9</v>
      </c>
      <c r="E15" s="154" t="s">
        <v>10</v>
      </c>
      <c r="F15" s="161" t="s">
        <v>82</v>
      </c>
      <c r="H15" s="154" t="s">
        <v>8</v>
      </c>
      <c r="I15" s="154" t="s">
        <v>9</v>
      </c>
      <c r="J15" s="154" t="s">
        <v>10</v>
      </c>
      <c r="K15" s="161" t="s">
        <v>82</v>
      </c>
    </row>
    <row r="17" spans="1:11" ht="12.75">
      <c r="A17" s="27"/>
      <c r="B17" s="27"/>
      <c r="C17" s="29"/>
      <c r="D17" s="27"/>
      <c r="E17" s="30"/>
      <c r="F17" s="162"/>
      <c r="H17" s="29"/>
      <c r="I17" s="27"/>
      <c r="J17" s="27"/>
      <c r="K17" s="162"/>
    </row>
    <row r="18" spans="1:13" ht="12.75">
      <c r="A18" s="27" t="s">
        <v>27</v>
      </c>
      <c r="B18" s="27"/>
      <c r="C18" s="29">
        <v>675814</v>
      </c>
      <c r="D18" s="30">
        <v>8</v>
      </c>
      <c r="E18" s="31">
        <f>C18*D18</f>
        <v>5406512</v>
      </c>
      <c r="F18" s="162">
        <f>E18/E22</f>
        <v>0.10347094946557094</v>
      </c>
      <c r="H18" s="29">
        <v>675814</v>
      </c>
      <c r="I18" s="30">
        <v>8</v>
      </c>
      <c r="J18" s="31">
        <f>I18*H18</f>
        <v>5406512</v>
      </c>
      <c r="K18" s="162">
        <f>J18/J22</f>
        <v>0.09804967025317046</v>
      </c>
      <c r="M18" s="26">
        <f>J18-E18</f>
        <v>0</v>
      </c>
    </row>
    <row r="19" spans="1:13" ht="12.75">
      <c r="A19" s="27"/>
      <c r="B19" s="27"/>
      <c r="C19" s="29"/>
      <c r="D19" s="30"/>
      <c r="E19" s="30"/>
      <c r="F19" s="162"/>
      <c r="H19" s="29"/>
      <c r="I19" s="30"/>
      <c r="J19" s="27"/>
      <c r="K19" s="162"/>
      <c r="M19" s="26">
        <f aca="true" t="shared" si="0" ref="M19:M27">J19-E19</f>
        <v>0</v>
      </c>
    </row>
    <row r="20" spans="1:17" ht="12.75">
      <c r="A20" s="27" t="s">
        <v>17</v>
      </c>
      <c r="B20" s="29">
        <f>C20</f>
        <v>726842280</v>
      </c>
      <c r="C20" s="29">
        <v>726842280</v>
      </c>
      <c r="D20" s="32">
        <v>0.06445000000000001</v>
      </c>
      <c r="E20" s="33">
        <f>D20*C20</f>
        <v>46844984.946</v>
      </c>
      <c r="F20" s="163">
        <f>E20/E22</f>
        <v>0.8965290505344291</v>
      </c>
      <c r="H20" s="29">
        <v>726842280</v>
      </c>
      <c r="I20" s="34">
        <f>D20+$R$382+((17677.45+188.32)/($B$20+($B$47*0.6)+$B$73+($B$104*0.6)))</f>
        <v>0.06842479003974569</v>
      </c>
      <c r="J20" s="33">
        <f>I20*H20</f>
        <v>49734030.40101005</v>
      </c>
      <c r="K20" s="163">
        <f>J20/J22</f>
        <v>0.9019503297468295</v>
      </c>
      <c r="M20" s="26">
        <f t="shared" si="0"/>
        <v>2889045.455010049</v>
      </c>
      <c r="N20" s="35">
        <f>M20/E20</f>
        <v>0.06167245988744285</v>
      </c>
      <c r="Q20" s="26">
        <f>M20</f>
        <v>2889045.455010049</v>
      </c>
    </row>
    <row r="21" spans="1:14" ht="12.75">
      <c r="A21" s="27"/>
      <c r="B21" s="27"/>
      <c r="C21" s="29"/>
      <c r="D21" s="32"/>
      <c r="E21" s="29"/>
      <c r="F21" s="162"/>
      <c r="H21" s="29"/>
      <c r="I21" s="32"/>
      <c r="J21" s="29"/>
      <c r="K21" s="162"/>
      <c r="M21" s="26">
        <f t="shared" si="0"/>
        <v>0</v>
      </c>
      <c r="N21" s="35"/>
    </row>
    <row r="22" spans="1:14" ht="12.75">
      <c r="A22" s="27" t="s">
        <v>18</v>
      </c>
      <c r="B22" s="27"/>
      <c r="C22" s="29"/>
      <c r="D22" s="27"/>
      <c r="E22" s="36">
        <f>E18+E20</f>
        <v>52251496.946</v>
      </c>
      <c r="F22" s="163">
        <f>SUM(F18:F20)</f>
        <v>1</v>
      </c>
      <c r="H22" s="29"/>
      <c r="I22" s="27"/>
      <c r="J22" s="36">
        <f>J18+J20</f>
        <v>55140542.40101005</v>
      </c>
      <c r="K22" s="163">
        <f>SUM(K18:K20)</f>
        <v>1</v>
      </c>
      <c r="M22" s="26">
        <f t="shared" si="0"/>
        <v>2889045.455010049</v>
      </c>
      <c r="N22" s="35">
        <f aca="true" t="shared" si="1" ref="N22:N29">M22/E22</f>
        <v>0.055291151907011796</v>
      </c>
    </row>
    <row r="23" spans="1:14" ht="12.75">
      <c r="A23" s="27"/>
      <c r="B23" s="27"/>
      <c r="C23" s="29"/>
      <c r="D23" s="32"/>
      <c r="E23" s="27"/>
      <c r="F23" s="162"/>
      <c r="H23" s="29"/>
      <c r="I23" s="32"/>
      <c r="J23" s="27"/>
      <c r="K23" s="162"/>
      <c r="M23" s="26">
        <f t="shared" si="0"/>
        <v>0</v>
      </c>
      <c r="N23" s="35"/>
    </row>
    <row r="24" spans="1:14" ht="12.75">
      <c r="A24" s="27" t="s">
        <v>19</v>
      </c>
      <c r="B24" s="27"/>
      <c r="C24" s="29"/>
      <c r="D24" s="32"/>
      <c r="E24" s="29">
        <v>6063317</v>
      </c>
      <c r="F24" s="162"/>
      <c r="H24" s="29"/>
      <c r="I24" s="32"/>
      <c r="J24" s="29">
        <v>6063317</v>
      </c>
      <c r="K24" s="162"/>
      <c r="M24" s="26">
        <f t="shared" si="0"/>
        <v>0</v>
      </c>
      <c r="N24" s="35">
        <f t="shared" si="1"/>
        <v>0</v>
      </c>
    </row>
    <row r="25" spans="1:14" ht="12.75">
      <c r="A25" s="27" t="s">
        <v>20</v>
      </c>
      <c r="B25" s="27"/>
      <c r="C25" s="29"/>
      <c r="D25" s="32"/>
      <c r="E25" s="37">
        <v>4017912</v>
      </c>
      <c r="F25" s="163"/>
      <c r="H25" s="29"/>
      <c r="I25" s="32"/>
      <c r="J25" s="37">
        <v>4017912</v>
      </c>
      <c r="K25" s="163"/>
      <c r="M25" s="26">
        <f t="shared" si="0"/>
        <v>0</v>
      </c>
      <c r="N25" s="35">
        <f t="shared" si="1"/>
        <v>0</v>
      </c>
    </row>
    <row r="26" spans="1:14" ht="12.75">
      <c r="A26" s="27"/>
      <c r="B26" s="27"/>
      <c r="C26" s="29"/>
      <c r="D26" s="27"/>
      <c r="E26" s="27"/>
      <c r="F26" s="162"/>
      <c r="H26" s="29"/>
      <c r="I26" s="27"/>
      <c r="J26" s="27"/>
      <c r="K26" s="162"/>
      <c r="M26" s="26">
        <f t="shared" si="0"/>
        <v>0</v>
      </c>
      <c r="N26" s="35"/>
    </row>
    <row r="27" spans="1:14" ht="13.5" thickBot="1">
      <c r="A27" s="27" t="s">
        <v>21</v>
      </c>
      <c r="B27" s="27"/>
      <c r="C27" s="29"/>
      <c r="D27" s="27"/>
      <c r="E27" s="38">
        <f>SUM(E22:E25)</f>
        <v>62332725.946</v>
      </c>
      <c r="F27" s="163"/>
      <c r="H27" s="29"/>
      <c r="I27" s="27"/>
      <c r="J27" s="38">
        <f>SUM(J22:J25)</f>
        <v>65221771.40101005</v>
      </c>
      <c r="K27" s="163"/>
      <c r="M27" s="39">
        <f t="shared" si="0"/>
        <v>2889045.455010049</v>
      </c>
      <c r="N27" s="35">
        <f t="shared" si="1"/>
        <v>0.046348774438533025</v>
      </c>
    </row>
    <row r="28" spans="1:14" ht="13.5" thickTop="1">
      <c r="A28" s="27"/>
      <c r="B28" s="27"/>
      <c r="C28" s="27"/>
      <c r="D28" s="27"/>
      <c r="E28" s="27"/>
      <c r="F28" s="162"/>
      <c r="N28" s="35"/>
    </row>
    <row r="29" spans="1:14" ht="12.75">
      <c r="A29" s="27" t="s">
        <v>22</v>
      </c>
      <c r="B29" s="27"/>
      <c r="E29" s="40">
        <f>E27/C18</f>
        <v>92.23355234724347</v>
      </c>
      <c r="J29" s="40">
        <f>J27/H18</f>
        <v>96.50846446065049</v>
      </c>
      <c r="M29" s="40">
        <f>J29-E29</f>
        <v>4.274912113407012</v>
      </c>
      <c r="N29" s="35">
        <f t="shared" si="1"/>
        <v>0.04634877443853298</v>
      </c>
    </row>
    <row r="30" spans="1:14" ht="12.75">
      <c r="A30" s="27"/>
      <c r="B30" s="27"/>
      <c r="E30" s="40"/>
      <c r="J30" s="40"/>
      <c r="M30" s="40"/>
      <c r="N30" s="35"/>
    </row>
    <row r="31" spans="2:14" ht="12.75" hidden="1">
      <c r="B31" s="22"/>
      <c r="C31" s="22"/>
      <c r="D31" s="22"/>
      <c r="E31" s="22"/>
      <c r="F31" s="156"/>
      <c r="G31" s="22"/>
      <c r="H31" s="22" t="str">
        <f>H4</f>
        <v>South Kentucky Rural Electric</v>
      </c>
      <c r="I31" s="22"/>
      <c r="J31" s="22"/>
      <c r="K31" s="156"/>
      <c r="L31" s="22"/>
      <c r="M31" s="22"/>
      <c r="N31" s="22"/>
    </row>
    <row r="32" spans="2:14" ht="12.75" hidden="1">
      <c r="B32" s="22"/>
      <c r="C32" s="22"/>
      <c r="D32" s="22"/>
      <c r="E32" s="22"/>
      <c r="F32" s="156"/>
      <c r="G32" s="22"/>
      <c r="H32" s="22" t="s">
        <v>28</v>
      </c>
      <c r="I32" s="22"/>
      <c r="J32" s="22"/>
      <c r="K32" s="156"/>
      <c r="L32" s="22"/>
      <c r="M32" s="22"/>
      <c r="N32" s="22"/>
    </row>
    <row r="33" spans="2:14" ht="12.75" hidden="1">
      <c r="B33" s="22"/>
      <c r="C33" s="22"/>
      <c r="D33" s="22"/>
      <c r="E33" s="22"/>
      <c r="F33" s="156"/>
      <c r="G33" s="22"/>
      <c r="H33" s="22" t="str">
        <f>H6</f>
        <v>for the 12 months ended September 30, 2006</v>
      </c>
      <c r="I33" s="22"/>
      <c r="J33" s="22"/>
      <c r="K33" s="156"/>
      <c r="L33" s="22"/>
      <c r="M33" s="22"/>
      <c r="N33" s="22"/>
    </row>
    <row r="34" spans="2:8" ht="12.75" hidden="1">
      <c r="B34" s="4"/>
      <c r="C34" s="4"/>
      <c r="D34" s="4"/>
      <c r="E34" s="4"/>
      <c r="F34" s="157"/>
      <c r="H34" s="4"/>
    </row>
    <row r="35" spans="2:14" ht="12.75">
      <c r="B35" s="22"/>
      <c r="C35" s="22"/>
      <c r="D35" s="22"/>
      <c r="E35" s="22"/>
      <c r="F35" s="156"/>
      <c r="G35" s="22"/>
      <c r="H35" s="22" t="s">
        <v>24</v>
      </c>
      <c r="I35" s="22"/>
      <c r="J35" s="22"/>
      <c r="K35" s="156"/>
      <c r="L35" s="22"/>
      <c r="M35" s="22"/>
      <c r="N35" s="22"/>
    </row>
    <row r="36" spans="2:14" ht="12.75">
      <c r="B36" s="23"/>
      <c r="C36" s="23"/>
      <c r="D36" s="23"/>
      <c r="E36" s="23"/>
      <c r="F36" s="164"/>
      <c r="G36" s="23"/>
      <c r="H36" s="127" t="s">
        <v>84</v>
      </c>
      <c r="I36" s="23"/>
      <c r="J36" s="23"/>
      <c r="K36" s="164"/>
      <c r="L36" s="23"/>
      <c r="M36" s="23"/>
      <c r="N36" s="23"/>
    </row>
    <row r="37" spans="2:14" ht="12.75">
      <c r="B37" s="22"/>
      <c r="C37" s="22"/>
      <c r="D37" s="22"/>
      <c r="E37" s="22"/>
      <c r="F37" s="156"/>
      <c r="G37" s="22"/>
      <c r="H37" s="22" t="s">
        <v>29</v>
      </c>
      <c r="I37" s="22"/>
      <c r="J37" s="22"/>
      <c r="K37" s="156"/>
      <c r="L37" s="22"/>
      <c r="M37" s="22"/>
      <c r="N37" s="22"/>
    </row>
    <row r="38" spans="1:6" ht="12.75">
      <c r="A38" s="4"/>
      <c r="B38" s="4"/>
      <c r="C38" s="4"/>
      <c r="D38" s="4"/>
      <c r="E38" s="4"/>
      <c r="F38" s="157"/>
    </row>
    <row r="39" spans="3:14" ht="12.75">
      <c r="C39" s="149" t="s">
        <v>1</v>
      </c>
      <c r="D39" s="150"/>
      <c r="E39" s="150"/>
      <c r="F39" s="158"/>
      <c r="H39" s="149" t="s">
        <v>2</v>
      </c>
      <c r="I39" s="150"/>
      <c r="J39" s="150"/>
      <c r="K39" s="158"/>
      <c r="M39" s="2" t="s">
        <v>3</v>
      </c>
      <c r="N39" s="5" t="s">
        <v>4</v>
      </c>
    </row>
    <row r="40" spans="1:11" ht="12.75">
      <c r="A40" s="27"/>
      <c r="B40" s="27"/>
      <c r="C40" s="151"/>
      <c r="D40" s="152"/>
      <c r="E40" s="152"/>
      <c r="F40" s="159"/>
      <c r="H40" s="151"/>
      <c r="I40" s="152"/>
      <c r="J40" s="152"/>
      <c r="K40" s="159"/>
    </row>
    <row r="41" spans="1:11" ht="12.75">
      <c r="A41" s="27"/>
      <c r="B41" s="27"/>
      <c r="C41" s="153" t="s">
        <v>5</v>
      </c>
      <c r="D41" s="153" t="s">
        <v>6</v>
      </c>
      <c r="E41" s="153" t="s">
        <v>7</v>
      </c>
      <c r="F41" s="160" t="s">
        <v>180</v>
      </c>
      <c r="H41" s="153" t="s">
        <v>5</v>
      </c>
      <c r="I41" s="153" t="s">
        <v>2</v>
      </c>
      <c r="J41" s="153" t="s">
        <v>7</v>
      </c>
      <c r="K41" s="160" t="s">
        <v>180</v>
      </c>
    </row>
    <row r="42" spans="1:11" ht="12.75">
      <c r="A42" s="28"/>
      <c r="B42" s="28"/>
      <c r="C42" s="154" t="s">
        <v>8</v>
      </c>
      <c r="D42" s="154" t="s">
        <v>9</v>
      </c>
      <c r="E42" s="154" t="s">
        <v>10</v>
      </c>
      <c r="F42" s="161" t="s">
        <v>82</v>
      </c>
      <c r="H42" s="154" t="s">
        <v>8</v>
      </c>
      <c r="I42" s="154" t="s">
        <v>9</v>
      </c>
      <c r="J42" s="154" t="s">
        <v>10</v>
      </c>
      <c r="K42" s="161" t="s">
        <v>82</v>
      </c>
    </row>
    <row r="44" spans="1:13" ht="12.75">
      <c r="A44" s="27"/>
      <c r="B44" s="27"/>
      <c r="C44" s="29"/>
      <c r="D44" s="27"/>
      <c r="E44" s="27"/>
      <c r="F44" s="162"/>
      <c r="H44" s="29"/>
      <c r="I44" s="27"/>
      <c r="J44" s="27"/>
      <c r="K44" s="162"/>
      <c r="M44" s="41"/>
    </row>
    <row r="45" spans="1:14" ht="12.75">
      <c r="A45" s="27" t="s">
        <v>27</v>
      </c>
      <c r="B45" s="27"/>
      <c r="C45" s="29">
        <f>1739*12</f>
        <v>20868</v>
      </c>
      <c r="D45" s="30">
        <v>8</v>
      </c>
      <c r="E45" s="31">
        <v>0</v>
      </c>
      <c r="F45" s="162">
        <f>E45/E52</f>
        <v>0</v>
      </c>
      <c r="H45" s="29">
        <f>C45</f>
        <v>20868</v>
      </c>
      <c r="I45" s="30">
        <v>8</v>
      </c>
      <c r="J45" s="31">
        <v>0</v>
      </c>
      <c r="K45" s="162">
        <f>J45/J52</f>
        <v>0</v>
      </c>
      <c r="M45" s="41">
        <f>J45-E45</f>
        <v>0</v>
      </c>
      <c r="N45" s="35" t="e">
        <f>M45/E45</f>
        <v>#DIV/0!</v>
      </c>
    </row>
    <row r="46" spans="1:14" ht="12.75">
      <c r="A46" s="42"/>
      <c r="B46" s="42"/>
      <c r="C46" s="29"/>
      <c r="D46" s="30"/>
      <c r="E46" s="27"/>
      <c r="F46" s="162"/>
      <c r="H46" s="29"/>
      <c r="I46" s="30"/>
      <c r="J46" s="27"/>
      <c r="K46" s="162"/>
      <c r="M46" s="41"/>
      <c r="N46" s="35"/>
    </row>
    <row r="47" spans="1:17" ht="12.75">
      <c r="A47" s="27" t="s">
        <v>30</v>
      </c>
      <c r="B47" s="29">
        <f>C47</f>
        <v>11198063</v>
      </c>
      <c r="C47" s="29">
        <v>11198063</v>
      </c>
      <c r="D47" s="32">
        <v>0.03867</v>
      </c>
      <c r="E47" s="29">
        <f>D47*C47</f>
        <v>433029.09621000005</v>
      </c>
      <c r="F47" s="162">
        <f>E47/E52</f>
        <v>0.7617366835597521</v>
      </c>
      <c r="H47" s="29">
        <v>11198063</v>
      </c>
      <c r="I47" s="34">
        <f>I20*0.6</f>
        <v>0.041054874023847415</v>
      </c>
      <c r="J47" s="29">
        <f>H47*I47</f>
        <v>459735.06577610684</v>
      </c>
      <c r="K47" s="162">
        <f>J47/J52</f>
        <v>0.7724276187264152</v>
      </c>
      <c r="M47" s="41">
        <f aca="true" t="shared" si="2" ref="M47:M52">J47-E47</f>
        <v>26705.969566106796</v>
      </c>
      <c r="N47" s="35">
        <f aca="true" t="shared" si="3" ref="N47:N54">M47/E47</f>
        <v>0.06167245988744271</v>
      </c>
      <c r="Q47" s="26">
        <f>M47</f>
        <v>26705.969566106796</v>
      </c>
    </row>
    <row r="48" spans="3:14" ht="12.75">
      <c r="C48" s="29"/>
      <c r="D48" s="32"/>
      <c r="E48" s="27"/>
      <c r="F48" s="162"/>
      <c r="H48" s="29"/>
      <c r="I48" s="32"/>
      <c r="J48" s="27"/>
      <c r="K48" s="162"/>
      <c r="M48" s="41"/>
      <c r="N48" s="35"/>
    </row>
    <row r="49" spans="1:14" ht="12.75">
      <c r="A49" s="27" t="s">
        <v>19</v>
      </c>
      <c r="B49" s="27"/>
      <c r="C49" s="29"/>
      <c r="D49" s="32"/>
      <c r="E49" s="29">
        <v>101097</v>
      </c>
      <c r="F49" s="162">
        <f>E49/E52</f>
        <v>0.17783861216682342</v>
      </c>
      <c r="H49" s="29"/>
      <c r="I49" s="32"/>
      <c r="J49" s="29">
        <v>101097</v>
      </c>
      <c r="K49" s="162">
        <f>J49/J52</f>
        <v>0.16985894873725957</v>
      </c>
      <c r="M49" s="41">
        <f t="shared" si="2"/>
        <v>0</v>
      </c>
      <c r="N49" s="35">
        <f t="shared" si="3"/>
        <v>0</v>
      </c>
    </row>
    <row r="50" spans="1:14" ht="12.75">
      <c r="A50" s="27" t="s">
        <v>20</v>
      </c>
      <c r="B50" s="27"/>
      <c r="C50" s="29"/>
      <c r="D50" s="32"/>
      <c r="E50" s="37">
        <v>34350</v>
      </c>
      <c r="F50" s="163">
        <f>E50/E52</f>
        <v>0.060424704273424376</v>
      </c>
      <c r="H50" s="29"/>
      <c r="I50" s="32"/>
      <c r="J50" s="37">
        <v>34350</v>
      </c>
      <c r="K50" s="163">
        <f>J50/J52</f>
        <v>0.05771343253632518</v>
      </c>
      <c r="M50" s="41">
        <f t="shared" si="2"/>
        <v>0</v>
      </c>
      <c r="N50" s="35">
        <f t="shared" si="3"/>
        <v>0</v>
      </c>
    </row>
    <row r="51" spans="1:14" ht="12.75">
      <c r="A51" s="27"/>
      <c r="B51" s="27"/>
      <c r="C51" s="29"/>
      <c r="D51" s="27"/>
      <c r="E51" s="27"/>
      <c r="F51" s="162"/>
      <c r="H51" s="29"/>
      <c r="I51" s="27"/>
      <c r="J51" s="27"/>
      <c r="K51" s="162"/>
      <c r="M51" s="41"/>
      <c r="N51" s="35"/>
    </row>
    <row r="52" spans="1:14" ht="13.5" thickBot="1">
      <c r="A52" s="27" t="s">
        <v>21</v>
      </c>
      <c r="B52" s="27"/>
      <c r="C52" s="29"/>
      <c r="D52" s="27"/>
      <c r="E52" s="38">
        <f>SUM(E47:E50)</f>
        <v>568476.0962100001</v>
      </c>
      <c r="F52" s="163">
        <f>SUM(F45:F50)</f>
        <v>0.9999999999999999</v>
      </c>
      <c r="H52" s="29"/>
      <c r="I52" s="27"/>
      <c r="J52" s="38">
        <f>SUM(J45:J50)</f>
        <v>595182.0657761069</v>
      </c>
      <c r="K52" s="163">
        <f>SUM(K45:K50)</f>
        <v>1</v>
      </c>
      <c r="M52" s="43">
        <f t="shared" si="2"/>
        <v>26705.969566106796</v>
      </c>
      <c r="N52" s="35">
        <f t="shared" si="3"/>
        <v>0.04697817506163245</v>
      </c>
    </row>
    <row r="53" spans="1:14" ht="13.5" thickTop="1">
      <c r="A53" s="27"/>
      <c r="B53" s="27"/>
      <c r="C53" s="27"/>
      <c r="D53" s="27"/>
      <c r="E53" s="27"/>
      <c r="F53" s="162"/>
      <c r="M53" s="41"/>
      <c r="N53" s="35"/>
    </row>
    <row r="54" spans="1:14" ht="12.75">
      <c r="A54" s="27" t="s">
        <v>22</v>
      </c>
      <c r="B54" s="27"/>
      <c r="C54" s="29"/>
      <c r="D54" s="29"/>
      <c r="E54" s="53">
        <f>E52/C45</f>
        <v>27.241522724266826</v>
      </c>
      <c r="F54" s="162"/>
      <c r="J54" s="44">
        <f>J52/H45</f>
        <v>28.52127974775287</v>
      </c>
      <c r="K54" s="162"/>
      <c r="M54" s="41">
        <f>J54-E54</f>
        <v>1.2797570234860451</v>
      </c>
      <c r="N54" s="35">
        <f t="shared" si="3"/>
        <v>0.04697817506163244</v>
      </c>
    </row>
    <row r="55" spans="1:14" ht="12.75">
      <c r="A55" s="27" t="s">
        <v>71</v>
      </c>
      <c r="B55" s="27"/>
      <c r="C55" s="29"/>
      <c r="D55" s="29"/>
      <c r="E55" s="44"/>
      <c r="F55" s="162"/>
      <c r="J55" s="44"/>
      <c r="K55" s="162"/>
      <c r="M55" s="41"/>
      <c r="N55" s="35"/>
    </row>
    <row r="56" spans="1:14" ht="12.75" hidden="1">
      <c r="A56" s="27"/>
      <c r="B56" s="27"/>
      <c r="C56" s="29"/>
      <c r="D56" s="29"/>
      <c r="E56" s="44"/>
      <c r="F56" s="162"/>
      <c r="J56" s="44"/>
      <c r="K56" s="162"/>
      <c r="N56" s="35"/>
    </row>
    <row r="57" spans="2:14" ht="12.75" hidden="1">
      <c r="B57" s="22"/>
      <c r="C57" s="22"/>
      <c r="D57" s="22"/>
      <c r="E57" s="22"/>
      <c r="F57" s="156"/>
      <c r="G57" s="22"/>
      <c r="H57" s="22" t="str">
        <f>H4</f>
        <v>South Kentucky Rural Electric</v>
      </c>
      <c r="I57" s="22"/>
      <c r="J57" s="22"/>
      <c r="K57" s="156"/>
      <c r="L57" s="22"/>
      <c r="M57" s="22"/>
      <c r="N57" s="22"/>
    </row>
    <row r="58" spans="2:14" ht="12.75" hidden="1">
      <c r="B58" s="22"/>
      <c r="C58" s="22"/>
      <c r="D58" s="22"/>
      <c r="E58" s="22"/>
      <c r="F58" s="156"/>
      <c r="G58" s="22"/>
      <c r="H58" s="22" t="s">
        <v>28</v>
      </c>
      <c r="I58" s="22"/>
      <c r="J58" s="22"/>
      <c r="K58" s="156"/>
      <c r="L58" s="22"/>
      <c r="M58" s="22"/>
      <c r="N58" s="22"/>
    </row>
    <row r="59" spans="2:14" ht="12.75" hidden="1">
      <c r="B59" s="22"/>
      <c r="C59" s="22"/>
      <c r="D59" s="22"/>
      <c r="E59" s="22"/>
      <c r="F59" s="156"/>
      <c r="G59" s="22"/>
      <c r="H59" s="22" t="str">
        <f>H6</f>
        <v>for the 12 months ended September 30, 2006</v>
      </c>
      <c r="I59" s="22"/>
      <c r="J59" s="22"/>
      <c r="K59" s="156"/>
      <c r="L59" s="22"/>
      <c r="M59" s="22"/>
      <c r="N59" s="22"/>
    </row>
    <row r="60" spans="2:8" ht="12.75">
      <c r="B60" s="4"/>
      <c r="C60" s="4"/>
      <c r="D60" s="4"/>
      <c r="E60" s="4"/>
      <c r="F60" s="157"/>
      <c r="H60" s="4"/>
    </row>
    <row r="61" spans="2:14" ht="12.75">
      <c r="B61" s="22"/>
      <c r="C61" s="22"/>
      <c r="D61" s="22"/>
      <c r="E61" s="22"/>
      <c r="F61" s="156"/>
      <c r="G61" s="22"/>
      <c r="H61" s="22" t="s">
        <v>31</v>
      </c>
      <c r="I61" s="22"/>
      <c r="J61" s="22"/>
      <c r="K61" s="156"/>
      <c r="L61" s="22"/>
      <c r="M61" s="22"/>
      <c r="N61" s="22"/>
    </row>
    <row r="62" spans="2:14" ht="12.75">
      <c r="B62" s="22"/>
      <c r="C62" s="22"/>
      <c r="D62" s="22"/>
      <c r="E62" s="22"/>
      <c r="F62" s="156"/>
      <c r="G62" s="22"/>
      <c r="H62" s="22" t="s">
        <v>32</v>
      </c>
      <c r="I62" s="22"/>
      <c r="J62" s="22"/>
      <c r="K62" s="156"/>
      <c r="L62" s="22"/>
      <c r="M62" s="22"/>
      <c r="N62" s="22"/>
    </row>
    <row r="63" spans="2:14" ht="12.75">
      <c r="B63" s="22"/>
      <c r="C63" s="22"/>
      <c r="D63" s="22"/>
      <c r="E63" s="22"/>
      <c r="F63" s="156"/>
      <c r="G63" s="22"/>
      <c r="H63" s="22" t="s">
        <v>33</v>
      </c>
      <c r="I63" s="22"/>
      <c r="J63" s="22"/>
      <c r="K63" s="156"/>
      <c r="L63" s="22"/>
      <c r="M63" s="22"/>
      <c r="N63" s="22"/>
    </row>
    <row r="64" spans="1:6" ht="12.75">
      <c r="A64" s="4"/>
      <c r="B64" s="4"/>
      <c r="C64" s="4"/>
      <c r="D64" s="4"/>
      <c r="E64" s="4"/>
      <c r="F64" s="157"/>
    </row>
    <row r="65" spans="3:14" ht="12.75">
      <c r="C65" s="149" t="s">
        <v>1</v>
      </c>
      <c r="D65" s="150"/>
      <c r="E65" s="150"/>
      <c r="F65" s="158"/>
      <c r="H65" s="149" t="s">
        <v>2</v>
      </c>
      <c r="I65" s="150"/>
      <c r="J65" s="150"/>
      <c r="K65" s="158"/>
      <c r="M65" s="2" t="s">
        <v>3</v>
      </c>
      <c r="N65" s="5" t="s">
        <v>4</v>
      </c>
    </row>
    <row r="66" spans="1:11" ht="12.75">
      <c r="A66" s="27"/>
      <c r="B66" s="27"/>
      <c r="C66" s="151"/>
      <c r="D66" s="152"/>
      <c r="E66" s="152"/>
      <c r="F66" s="159"/>
      <c r="H66" s="151"/>
      <c r="I66" s="152"/>
      <c r="J66" s="152"/>
      <c r="K66" s="159"/>
    </row>
    <row r="67" spans="1:11" ht="12.75">
      <c r="A67" s="27"/>
      <c r="B67" s="27"/>
      <c r="C67" s="153" t="s">
        <v>5</v>
      </c>
      <c r="D67" s="153" t="s">
        <v>6</v>
      </c>
      <c r="E67" s="153" t="s">
        <v>7</v>
      </c>
      <c r="F67" s="160" t="s">
        <v>180</v>
      </c>
      <c r="H67" s="153" t="s">
        <v>5</v>
      </c>
      <c r="I67" s="153" t="s">
        <v>2</v>
      </c>
      <c r="J67" s="153" t="s">
        <v>7</v>
      </c>
      <c r="K67" s="160" t="s">
        <v>180</v>
      </c>
    </row>
    <row r="68" spans="1:11" ht="12.75">
      <c r="A68" s="28"/>
      <c r="B68" s="28"/>
      <c r="C68" s="154" t="s">
        <v>8</v>
      </c>
      <c r="D68" s="154" t="s">
        <v>9</v>
      </c>
      <c r="E68" s="154" t="s">
        <v>10</v>
      </c>
      <c r="F68" s="161" t="s">
        <v>82</v>
      </c>
      <c r="H68" s="154" t="s">
        <v>8</v>
      </c>
      <c r="I68" s="154" t="s">
        <v>9</v>
      </c>
      <c r="J68" s="154" t="s">
        <v>10</v>
      </c>
      <c r="K68" s="161" t="s">
        <v>82</v>
      </c>
    </row>
    <row r="70" spans="1:11" ht="12.75">
      <c r="A70" s="27"/>
      <c r="B70" s="27"/>
      <c r="C70" s="29"/>
      <c r="D70" s="27"/>
      <c r="E70" s="27"/>
      <c r="F70" s="162"/>
      <c r="H70" s="29"/>
      <c r="I70" s="27"/>
      <c r="J70" s="27"/>
      <c r="K70" s="162"/>
    </row>
    <row r="71" spans="1:13" ht="12.75">
      <c r="A71" s="27" t="s">
        <v>27</v>
      </c>
      <c r="B71" s="27"/>
      <c r="C71" s="29">
        <v>44557</v>
      </c>
      <c r="D71" s="30">
        <v>15</v>
      </c>
      <c r="E71" s="31">
        <f>D71*C71</f>
        <v>668355</v>
      </c>
      <c r="F71" s="162">
        <f>E71/E76</f>
        <v>0.1268314373797376</v>
      </c>
      <c r="H71" s="29">
        <v>44557</v>
      </c>
      <c r="I71" s="30">
        <v>15</v>
      </c>
      <c r="J71" s="31">
        <f>I71*H71</f>
        <v>668355</v>
      </c>
      <c r="K71" s="162">
        <f>J71/J76</f>
        <v>0.1212031892202755</v>
      </c>
      <c r="M71" s="26">
        <f>J71-E71</f>
        <v>0</v>
      </c>
    </row>
    <row r="72" spans="1:13" ht="12.75">
      <c r="A72" s="27"/>
      <c r="B72" s="27"/>
      <c r="C72" s="29"/>
      <c r="D72" s="30"/>
      <c r="E72" s="27"/>
      <c r="F72" s="162"/>
      <c r="H72" s="29"/>
      <c r="I72" s="30"/>
      <c r="J72" s="27"/>
      <c r="K72" s="162"/>
      <c r="M72" s="26"/>
    </row>
    <row r="73" spans="1:17" ht="12.75">
      <c r="A73" s="27" t="s">
        <v>17</v>
      </c>
      <c r="B73" s="29">
        <f>C73</f>
        <v>61563781</v>
      </c>
      <c r="C73" s="29">
        <v>61563781</v>
      </c>
      <c r="D73" s="32">
        <v>0.07474</v>
      </c>
      <c r="E73" s="29">
        <f>D73*C73</f>
        <v>4601276.99194</v>
      </c>
      <c r="F73" s="162">
        <f>E73/E76</f>
        <v>0.8731685626202624</v>
      </c>
      <c r="H73" s="29">
        <v>61563781</v>
      </c>
      <c r="I73" s="34">
        <f>D73+$R$382+((17677.45+188.32)/($B$20+($B$47*0.6)+$B$73+($B$104*0.6)))</f>
        <v>0.07871479003974569</v>
      </c>
      <c r="J73" s="29">
        <f>I73*H73</f>
        <v>4845980.095467885</v>
      </c>
      <c r="K73" s="162">
        <f>J73/J76</f>
        <v>0.8787968107797245</v>
      </c>
      <c r="M73" s="26">
        <f aca="true" t="shared" si="4" ref="M73:M81">J73-E73</f>
        <v>244703.10352788493</v>
      </c>
      <c r="Q73" s="26">
        <f>M73</f>
        <v>244703.10352788493</v>
      </c>
    </row>
    <row r="74" spans="1:13" ht="12.75">
      <c r="A74" s="27"/>
      <c r="B74" s="27"/>
      <c r="C74" s="29"/>
      <c r="D74" s="27"/>
      <c r="E74" s="45"/>
      <c r="F74" s="163"/>
      <c r="G74" s="24"/>
      <c r="H74" s="45"/>
      <c r="I74" s="46"/>
      <c r="J74" s="45"/>
      <c r="K74" s="163"/>
      <c r="M74" s="26"/>
    </row>
    <row r="75" spans="5:13" ht="12.75">
      <c r="E75" s="24"/>
      <c r="F75" s="74"/>
      <c r="G75" s="24"/>
      <c r="H75" s="24"/>
      <c r="I75" s="24"/>
      <c r="J75" s="24"/>
      <c r="K75" s="74"/>
      <c r="M75" s="26"/>
    </row>
    <row r="76" spans="1:14" ht="12.75">
      <c r="A76" s="27" t="s">
        <v>18</v>
      </c>
      <c r="B76" s="27"/>
      <c r="C76" s="29"/>
      <c r="D76" s="27"/>
      <c r="E76" s="36">
        <f>E73+E71</f>
        <v>5269631.99194</v>
      </c>
      <c r="F76" s="163">
        <f>SUM(F71:F75)</f>
        <v>1</v>
      </c>
      <c r="H76" s="29"/>
      <c r="I76" s="27"/>
      <c r="J76" s="36">
        <f>SUM(J71:J73)</f>
        <v>5514335.095467885</v>
      </c>
      <c r="K76" s="163">
        <f>SUM(K71:K75)</f>
        <v>1</v>
      </c>
      <c r="M76" s="47">
        <f t="shared" si="4"/>
        <v>244703.10352788493</v>
      </c>
      <c r="N76" s="48"/>
    </row>
    <row r="77" spans="1:13" ht="12.75">
      <c r="A77" s="27"/>
      <c r="B77" s="27"/>
      <c r="C77" s="29"/>
      <c r="D77" s="32"/>
      <c r="E77" s="27"/>
      <c r="F77" s="162"/>
      <c r="H77" s="29"/>
      <c r="I77" s="32"/>
      <c r="J77" s="27"/>
      <c r="K77" s="162"/>
      <c r="M77" s="26"/>
    </row>
    <row r="78" spans="1:14" ht="12.75">
      <c r="A78" s="27" t="s">
        <v>19</v>
      </c>
      <c r="B78" s="27"/>
      <c r="C78" s="29"/>
      <c r="D78" s="32"/>
      <c r="E78" s="29">
        <v>504412</v>
      </c>
      <c r="F78" s="162"/>
      <c r="H78" s="29"/>
      <c r="I78" s="32"/>
      <c r="J78" s="29">
        <v>504412</v>
      </c>
      <c r="K78" s="162"/>
      <c r="M78" s="26">
        <f t="shared" si="4"/>
        <v>0</v>
      </c>
      <c r="N78" s="49">
        <f>M78/E78</f>
        <v>0</v>
      </c>
    </row>
    <row r="79" spans="1:14" ht="12.75">
      <c r="A79" s="27" t="s">
        <v>20</v>
      </c>
      <c r="B79" s="27"/>
      <c r="C79" s="29"/>
      <c r="D79" s="32"/>
      <c r="E79" s="37">
        <v>372452</v>
      </c>
      <c r="F79" s="163"/>
      <c r="H79" s="29"/>
      <c r="I79" s="32"/>
      <c r="J79" s="37">
        <v>372452</v>
      </c>
      <c r="K79" s="163"/>
      <c r="M79" s="50">
        <f t="shared" si="4"/>
        <v>0</v>
      </c>
      <c r="N79" s="51">
        <f>M79/E79</f>
        <v>0</v>
      </c>
    </row>
    <row r="80" spans="1:13" ht="12.75">
      <c r="A80" s="27"/>
      <c r="B80" s="27"/>
      <c r="C80" s="29"/>
      <c r="D80" s="27"/>
      <c r="E80" s="27"/>
      <c r="F80" s="162"/>
      <c r="H80" s="29"/>
      <c r="I80" s="27"/>
      <c r="J80" s="27"/>
      <c r="K80" s="162"/>
      <c r="M80" s="26"/>
    </row>
    <row r="81" spans="1:14" ht="13.5" thickBot="1">
      <c r="A81" s="27" t="s">
        <v>21</v>
      </c>
      <c r="B81" s="27"/>
      <c r="C81" s="29"/>
      <c r="D81" s="27"/>
      <c r="E81" s="38">
        <f>SUM(E76:E79)</f>
        <v>6146495.99194</v>
      </c>
      <c r="F81" s="163"/>
      <c r="H81" s="29"/>
      <c r="I81" s="27"/>
      <c r="J81" s="38">
        <f>SUM(J76:J79)</f>
        <v>6391199.095467885</v>
      </c>
      <c r="K81" s="163"/>
      <c r="M81" s="43">
        <f t="shared" si="4"/>
        <v>244703.10352788493</v>
      </c>
      <c r="N81" s="52">
        <f>M81/E81</f>
        <v>0.03981180559602871</v>
      </c>
    </row>
    <row r="82" spans="1:6" ht="13.5" thickTop="1">
      <c r="A82" s="27"/>
      <c r="B82" s="27"/>
      <c r="C82" s="27"/>
      <c r="D82" s="27"/>
      <c r="E82" s="27"/>
      <c r="F82" s="162"/>
    </row>
    <row r="83" spans="1:14" ht="12.75">
      <c r="A83" s="27" t="s">
        <v>22</v>
      </c>
      <c r="B83" s="27"/>
      <c r="C83" s="29"/>
      <c r="D83" s="29"/>
      <c r="E83" s="53">
        <f>E81/C71</f>
        <v>137.94680952353167</v>
      </c>
      <c r="F83" s="162"/>
      <c r="J83" s="53">
        <f>J81/H71</f>
        <v>143.4387210868749</v>
      </c>
      <c r="K83" s="162"/>
      <c r="M83" s="54">
        <f>J83-E83</f>
        <v>5.491911563343223</v>
      </c>
      <c r="N83" s="35">
        <f>M83/E83</f>
        <v>0.03981180559602855</v>
      </c>
    </row>
    <row r="84" spans="1:14" ht="14.25">
      <c r="A84" s="27"/>
      <c r="B84" s="27"/>
      <c r="C84" s="29"/>
      <c r="D84" s="29"/>
      <c r="E84" s="53"/>
      <c r="F84" s="162"/>
      <c r="J84" s="53"/>
      <c r="K84" s="162"/>
      <c r="M84" s="54"/>
      <c r="N84" s="128" t="s">
        <v>175</v>
      </c>
    </row>
    <row r="85" spans="1:14" ht="14.25">
      <c r="A85" s="27"/>
      <c r="B85" s="27"/>
      <c r="C85" s="29"/>
      <c r="D85" s="29"/>
      <c r="E85" s="53"/>
      <c r="F85" s="162"/>
      <c r="J85" s="53"/>
      <c r="K85" s="162"/>
      <c r="M85" s="54"/>
      <c r="N85" s="128" t="s">
        <v>172</v>
      </c>
    </row>
    <row r="86" spans="1:14" ht="14.25">
      <c r="A86" s="27"/>
      <c r="B86" s="27"/>
      <c r="C86" s="29"/>
      <c r="D86" s="29"/>
      <c r="E86" s="53"/>
      <c r="F86" s="162"/>
      <c r="J86" s="53"/>
      <c r="K86" s="162"/>
      <c r="M86" s="54"/>
      <c r="N86" s="128" t="s">
        <v>176</v>
      </c>
    </row>
    <row r="87" spans="1:14" ht="12.75">
      <c r="A87" s="27"/>
      <c r="B87" s="27"/>
      <c r="C87" s="29"/>
      <c r="D87" s="29"/>
      <c r="E87" s="53"/>
      <c r="F87" s="162"/>
      <c r="J87" s="53"/>
      <c r="K87" s="162"/>
      <c r="M87" s="54"/>
      <c r="N87" s="35"/>
    </row>
    <row r="88" spans="2:14" ht="12.75">
      <c r="B88" s="22"/>
      <c r="C88" s="22"/>
      <c r="D88" s="22"/>
      <c r="E88" s="22"/>
      <c r="F88" s="156"/>
      <c r="G88" s="22"/>
      <c r="H88" s="22" t="str">
        <f>H4</f>
        <v>South Kentucky Rural Electric</v>
      </c>
      <c r="I88" s="22"/>
      <c r="J88" s="22"/>
      <c r="K88" s="156"/>
      <c r="L88" s="22"/>
      <c r="M88" s="22"/>
      <c r="N88" s="22"/>
    </row>
    <row r="89" spans="2:14" ht="12.75">
      <c r="B89" s="22"/>
      <c r="C89" s="22"/>
      <c r="D89" s="22"/>
      <c r="E89" s="22"/>
      <c r="F89" s="156"/>
      <c r="G89" s="22"/>
      <c r="H89" s="22" t="str">
        <f>H5</f>
        <v>Billing Analysis</v>
      </c>
      <c r="I89" s="22"/>
      <c r="J89" s="22"/>
      <c r="K89" s="156"/>
      <c r="L89" s="22"/>
      <c r="M89" s="22"/>
      <c r="N89" s="22"/>
    </row>
    <row r="90" spans="2:14" ht="12.75">
      <c r="B90" s="22"/>
      <c r="C90" s="22"/>
      <c r="D90" s="22"/>
      <c r="E90" s="22"/>
      <c r="F90" s="156"/>
      <c r="G90" s="22"/>
      <c r="H90" s="22" t="str">
        <f>H6</f>
        <v>for the 12 months ended September 30, 2006</v>
      </c>
      <c r="I90" s="22"/>
      <c r="J90" s="22"/>
      <c r="K90" s="156"/>
      <c r="L90" s="22"/>
      <c r="M90" s="22"/>
      <c r="N90" s="22"/>
    </row>
    <row r="91" spans="2:8" ht="12.75">
      <c r="B91" s="4"/>
      <c r="C91" s="4"/>
      <c r="D91" s="4"/>
      <c r="E91" s="4"/>
      <c r="F91" s="157"/>
      <c r="H91" s="4"/>
    </row>
    <row r="92" spans="2:14" ht="12.75">
      <c r="B92" s="23"/>
      <c r="C92" s="23"/>
      <c r="D92" s="23"/>
      <c r="E92" s="23"/>
      <c r="F92" s="164"/>
      <c r="G92" s="23"/>
      <c r="H92" s="127" t="s">
        <v>85</v>
      </c>
      <c r="I92" s="23"/>
      <c r="J92" s="23"/>
      <c r="K92" s="164"/>
      <c r="L92" s="23"/>
      <c r="M92" s="23"/>
      <c r="N92" s="23"/>
    </row>
    <row r="93" spans="2:14" ht="12.75">
      <c r="B93" s="22"/>
      <c r="C93" s="22"/>
      <c r="D93" s="22"/>
      <c r="E93" s="22"/>
      <c r="F93" s="156"/>
      <c r="G93" s="22"/>
      <c r="H93" s="22" t="s">
        <v>32</v>
      </c>
      <c r="I93" s="22"/>
      <c r="J93" s="22"/>
      <c r="K93" s="156"/>
      <c r="L93" s="22"/>
      <c r="M93" s="22"/>
      <c r="N93" s="22"/>
    </row>
    <row r="94" spans="2:14" ht="12.75">
      <c r="B94" s="22"/>
      <c r="C94" s="22"/>
      <c r="D94" s="22"/>
      <c r="E94" s="22"/>
      <c r="F94" s="156"/>
      <c r="G94" s="22"/>
      <c r="H94" s="22" t="s">
        <v>34</v>
      </c>
      <c r="I94" s="22"/>
      <c r="J94" s="22"/>
      <c r="K94" s="156"/>
      <c r="L94" s="22"/>
      <c r="M94" s="22"/>
      <c r="N94" s="22"/>
    </row>
    <row r="96" spans="3:14" ht="12.75">
      <c r="C96" s="149" t="s">
        <v>1</v>
      </c>
      <c r="D96" s="150"/>
      <c r="E96" s="150"/>
      <c r="F96" s="158"/>
      <c r="H96" s="149" t="s">
        <v>2</v>
      </c>
      <c r="I96" s="150"/>
      <c r="J96" s="150"/>
      <c r="K96" s="158"/>
      <c r="M96" s="2" t="s">
        <v>3</v>
      </c>
      <c r="N96" s="5" t="s">
        <v>4</v>
      </c>
    </row>
    <row r="97" spans="1:11" ht="12.75">
      <c r="A97" s="27"/>
      <c r="B97" s="27"/>
      <c r="C97" s="151"/>
      <c r="D97" s="152"/>
      <c r="E97" s="152"/>
      <c r="F97" s="159"/>
      <c r="H97" s="151"/>
      <c r="I97" s="152"/>
      <c r="J97" s="152"/>
      <c r="K97" s="159"/>
    </row>
    <row r="98" spans="1:11" ht="12.75">
      <c r="A98" s="27"/>
      <c r="B98" s="27"/>
      <c r="C98" s="153" t="s">
        <v>5</v>
      </c>
      <c r="D98" s="153" t="s">
        <v>6</v>
      </c>
      <c r="E98" s="153" t="s">
        <v>7</v>
      </c>
      <c r="F98" s="160" t="s">
        <v>180</v>
      </c>
      <c r="H98" s="153" t="s">
        <v>5</v>
      </c>
      <c r="I98" s="153" t="s">
        <v>2</v>
      </c>
      <c r="J98" s="153" t="s">
        <v>7</v>
      </c>
      <c r="K98" s="160" t="s">
        <v>180</v>
      </c>
    </row>
    <row r="99" spans="1:11" ht="12.75">
      <c r="A99" s="28"/>
      <c r="B99" s="28"/>
      <c r="C99" s="154" t="s">
        <v>8</v>
      </c>
      <c r="D99" s="154" t="s">
        <v>9</v>
      </c>
      <c r="E99" s="154" t="s">
        <v>10</v>
      </c>
      <c r="F99" s="161" t="s">
        <v>82</v>
      </c>
      <c r="H99" s="154" t="s">
        <v>8</v>
      </c>
      <c r="I99" s="154" t="s">
        <v>9</v>
      </c>
      <c r="J99" s="154" t="s">
        <v>10</v>
      </c>
      <c r="K99" s="161" t="s">
        <v>82</v>
      </c>
    </row>
    <row r="101" spans="1:14" ht="12.75">
      <c r="A101" s="27"/>
      <c r="B101" s="27"/>
      <c r="C101" s="29"/>
      <c r="D101" s="27"/>
      <c r="E101" s="27"/>
      <c r="F101" s="162"/>
      <c r="H101" s="29"/>
      <c r="I101" s="27"/>
      <c r="J101" s="27"/>
      <c r="K101" s="162"/>
      <c r="N101" s="35"/>
    </row>
    <row r="102" spans="1:14" ht="12.75">
      <c r="A102" s="27" t="s">
        <v>27</v>
      </c>
      <c r="B102" s="27"/>
      <c r="C102" s="29">
        <f>3*12</f>
        <v>36</v>
      </c>
      <c r="D102" s="30">
        <v>15</v>
      </c>
      <c r="E102" s="31">
        <v>0</v>
      </c>
      <c r="F102" s="162">
        <f>E102/E107</f>
        <v>0</v>
      </c>
      <c r="H102" s="29">
        <f>C102</f>
        <v>36</v>
      </c>
      <c r="I102" s="30">
        <v>15</v>
      </c>
      <c r="J102" s="31">
        <v>0</v>
      </c>
      <c r="K102" s="162">
        <f>J102/J107</f>
        <v>0</v>
      </c>
      <c r="M102" s="55">
        <f>J102-E102</f>
        <v>0</v>
      </c>
      <c r="N102" s="35" t="e">
        <f>M102/E102</f>
        <v>#DIV/0!</v>
      </c>
    </row>
    <row r="103" spans="1:14" ht="12.75">
      <c r="A103" s="42"/>
      <c r="B103" s="42"/>
      <c r="C103" s="29"/>
      <c r="D103" s="30"/>
      <c r="E103" s="27"/>
      <c r="F103" s="162"/>
      <c r="H103" s="29"/>
      <c r="I103" s="30"/>
      <c r="J103" s="27"/>
      <c r="K103" s="162"/>
      <c r="M103" s="55"/>
      <c r="N103" s="35"/>
    </row>
    <row r="104" spans="1:17" ht="12.75">
      <c r="A104" s="27" t="s">
        <v>30</v>
      </c>
      <c r="B104" s="29">
        <f>C104</f>
        <v>21440</v>
      </c>
      <c r="C104" s="29">
        <v>21440</v>
      </c>
      <c r="D104" s="32">
        <v>0.04484</v>
      </c>
      <c r="E104" s="29">
        <f>C104*D104</f>
        <v>961.3696</v>
      </c>
      <c r="F104" s="162">
        <f>E104/E107</f>
        <v>1</v>
      </c>
      <c r="H104" s="29">
        <v>21440</v>
      </c>
      <c r="I104" s="34">
        <f>I73*0.6</f>
        <v>0.04722887402384741</v>
      </c>
      <c r="J104" s="29">
        <f>I104*H104</f>
        <v>1012.5870590712884</v>
      </c>
      <c r="K104" s="162">
        <f>J104/J107</f>
        <v>1</v>
      </c>
      <c r="M104" s="55">
        <f aca="true" t="shared" si="5" ref="M104:M112">J104-E104</f>
        <v>51.21745907128843</v>
      </c>
      <c r="N104" s="35">
        <f aca="true" t="shared" si="6" ref="N104:N112">M104/E104</f>
        <v>0.053275513466712936</v>
      </c>
      <c r="Q104" s="26">
        <f>M104</f>
        <v>51.21745907128843</v>
      </c>
    </row>
    <row r="105" spans="1:14" ht="12.75">
      <c r="A105" s="27"/>
      <c r="B105" s="27"/>
      <c r="C105" s="29"/>
      <c r="D105" s="27"/>
      <c r="E105" s="45"/>
      <c r="F105" s="163"/>
      <c r="G105" s="24"/>
      <c r="H105" s="45"/>
      <c r="I105" s="46"/>
      <c r="J105" s="45"/>
      <c r="K105" s="163"/>
      <c r="M105" s="55"/>
      <c r="N105" s="35"/>
    </row>
    <row r="106" spans="5:14" ht="12.75">
      <c r="E106" s="24"/>
      <c r="F106" s="74"/>
      <c r="G106" s="24"/>
      <c r="H106" s="24"/>
      <c r="I106" s="24"/>
      <c r="J106" s="24"/>
      <c r="K106" s="74"/>
      <c r="M106" s="55"/>
      <c r="N106" s="35"/>
    </row>
    <row r="107" spans="1:14" ht="12.75">
      <c r="A107" s="27" t="s">
        <v>18</v>
      </c>
      <c r="B107" s="27"/>
      <c r="C107" s="29"/>
      <c r="D107" s="27"/>
      <c r="E107" s="36">
        <f>E104+E102</f>
        <v>961.3696</v>
      </c>
      <c r="F107" s="163">
        <f>SUM(F102:F106)</f>
        <v>1</v>
      </c>
      <c r="H107" s="29"/>
      <c r="I107" s="27"/>
      <c r="J107" s="36">
        <f>SUM(J102:J104)</f>
        <v>1012.5870590712884</v>
      </c>
      <c r="K107" s="163">
        <f>SUM(K102:K106)</f>
        <v>1</v>
      </c>
      <c r="M107" s="56">
        <f t="shared" si="5"/>
        <v>51.21745907128843</v>
      </c>
      <c r="N107" s="57">
        <f t="shared" si="6"/>
        <v>0.053275513466712936</v>
      </c>
    </row>
    <row r="108" spans="1:14" ht="12.75">
      <c r="A108" s="27"/>
      <c r="B108" s="27"/>
      <c r="C108" s="29"/>
      <c r="D108" s="32"/>
      <c r="E108" s="27"/>
      <c r="F108" s="162"/>
      <c r="H108" s="29"/>
      <c r="I108" s="32"/>
      <c r="J108" s="27"/>
      <c r="K108" s="162"/>
      <c r="M108" s="55"/>
      <c r="N108" s="35"/>
    </row>
    <row r="109" spans="1:14" ht="12.75">
      <c r="A109" s="27" t="s">
        <v>19</v>
      </c>
      <c r="B109" s="27"/>
      <c r="C109" s="29"/>
      <c r="D109" s="32"/>
      <c r="E109" s="29">
        <v>183</v>
      </c>
      <c r="F109" s="162"/>
      <c r="H109" s="29"/>
      <c r="I109" s="32"/>
      <c r="J109" s="29">
        <v>183</v>
      </c>
      <c r="K109" s="162"/>
      <c r="M109" s="55">
        <f t="shared" si="5"/>
        <v>0</v>
      </c>
      <c r="N109" s="35">
        <f t="shared" si="6"/>
        <v>0</v>
      </c>
    </row>
    <row r="110" spans="1:14" ht="12.75">
      <c r="A110" s="27" t="s">
        <v>20</v>
      </c>
      <c r="B110" s="27"/>
      <c r="C110" s="29"/>
      <c r="D110" s="32"/>
      <c r="E110" s="37">
        <v>67</v>
      </c>
      <c r="F110" s="163"/>
      <c r="H110" s="29"/>
      <c r="I110" s="32"/>
      <c r="J110" s="37">
        <v>67</v>
      </c>
      <c r="K110" s="163"/>
      <c r="M110" s="58">
        <f t="shared" si="5"/>
        <v>0</v>
      </c>
      <c r="N110" s="59">
        <f t="shared" si="6"/>
        <v>0</v>
      </c>
    </row>
    <row r="111" spans="1:14" ht="12.75">
      <c r="A111" s="27"/>
      <c r="B111" s="27"/>
      <c r="C111" s="29"/>
      <c r="D111" s="27"/>
      <c r="E111" s="27"/>
      <c r="F111" s="162"/>
      <c r="H111" s="29"/>
      <c r="I111" s="27"/>
      <c r="J111" s="27"/>
      <c r="K111" s="162"/>
      <c r="M111" s="55"/>
      <c r="N111" s="35"/>
    </row>
    <row r="112" spans="1:14" ht="13.5" thickBot="1">
      <c r="A112" s="27" t="s">
        <v>21</v>
      </c>
      <c r="B112" s="27"/>
      <c r="C112" s="29"/>
      <c r="D112" s="27"/>
      <c r="E112" s="60">
        <f>SUM(E107:E110)</f>
        <v>1211.3696</v>
      </c>
      <c r="F112" s="163"/>
      <c r="G112" s="61"/>
      <c r="H112" s="62"/>
      <c r="I112" s="62"/>
      <c r="J112" s="60">
        <f>SUM(J107:J110)</f>
        <v>1262.5870590712884</v>
      </c>
      <c r="K112" s="163"/>
      <c r="L112" s="61"/>
      <c r="M112" s="63">
        <f t="shared" si="5"/>
        <v>51.21745907128843</v>
      </c>
      <c r="N112" s="35">
        <f t="shared" si="6"/>
        <v>0.04228062110134548</v>
      </c>
    </row>
    <row r="113" spans="1:6" ht="13.5" thickTop="1">
      <c r="A113" s="27"/>
      <c r="B113" s="27"/>
      <c r="C113" s="27"/>
      <c r="D113" s="27"/>
      <c r="E113" s="27"/>
      <c r="F113" s="162"/>
    </row>
    <row r="114" spans="1:14" ht="12.75">
      <c r="A114" s="27" t="s">
        <v>22</v>
      </c>
      <c r="B114" s="27"/>
      <c r="C114" s="29"/>
      <c r="D114" s="29"/>
      <c r="E114" s="53">
        <f>E112/C102</f>
        <v>33.64915555555555</v>
      </c>
      <c r="F114" s="162"/>
      <c r="J114" s="63">
        <f>J112/H102</f>
        <v>35.071862751980234</v>
      </c>
      <c r="L114" s="63"/>
      <c r="M114" s="63">
        <f>J114-E114</f>
        <v>1.4227071964246818</v>
      </c>
      <c r="N114" s="35">
        <f>M114/E114</f>
        <v>0.042280621101345575</v>
      </c>
    </row>
    <row r="115" spans="1:14" ht="12.75">
      <c r="A115" s="27"/>
      <c r="B115" s="27"/>
      <c r="C115" s="29"/>
      <c r="D115" s="29"/>
      <c r="E115" s="44"/>
      <c r="F115" s="162"/>
      <c r="J115" s="64"/>
      <c r="N115" s="35"/>
    </row>
    <row r="116" spans="2:14" ht="12.75" hidden="1">
      <c r="B116" s="22"/>
      <c r="C116" s="22"/>
      <c r="D116" s="22"/>
      <c r="E116" s="22"/>
      <c r="F116" s="156"/>
      <c r="G116" s="22"/>
      <c r="H116" s="22" t="str">
        <f>H4</f>
        <v>South Kentucky Rural Electric</v>
      </c>
      <c r="I116" s="22"/>
      <c r="J116" s="22"/>
      <c r="K116" s="156"/>
      <c r="L116" s="22"/>
      <c r="M116" s="22"/>
      <c r="N116" s="22"/>
    </row>
    <row r="117" spans="2:14" ht="12.75" hidden="1">
      <c r="B117" s="22"/>
      <c r="C117" s="22"/>
      <c r="D117" s="22"/>
      <c r="E117" s="22"/>
      <c r="F117" s="156"/>
      <c r="G117" s="22"/>
      <c r="H117" s="22" t="str">
        <f>H5</f>
        <v>Billing Analysis</v>
      </c>
      <c r="I117" s="22"/>
      <c r="J117" s="22"/>
      <c r="K117" s="156"/>
      <c r="L117" s="22"/>
      <c r="M117" s="22"/>
      <c r="N117" s="22"/>
    </row>
    <row r="118" spans="2:14" ht="12.75" hidden="1">
      <c r="B118" s="22"/>
      <c r="C118" s="22"/>
      <c r="D118" s="22"/>
      <c r="E118" s="22"/>
      <c r="F118" s="156"/>
      <c r="G118" s="22"/>
      <c r="H118" s="22" t="str">
        <f>H6</f>
        <v>for the 12 months ended September 30, 2006</v>
      </c>
      <c r="I118" s="22"/>
      <c r="J118" s="22"/>
      <c r="K118" s="156"/>
      <c r="L118" s="22"/>
      <c r="M118" s="22"/>
      <c r="N118" s="22"/>
    </row>
    <row r="119" spans="2:8" ht="12.75" hidden="1">
      <c r="B119" s="4"/>
      <c r="C119" s="4"/>
      <c r="D119" s="4"/>
      <c r="E119" s="4"/>
      <c r="F119" s="157"/>
      <c r="H119" s="4"/>
    </row>
    <row r="120" spans="2:14" ht="12.75">
      <c r="B120" s="22"/>
      <c r="C120" s="22"/>
      <c r="D120" s="22"/>
      <c r="E120" s="22"/>
      <c r="F120" s="156"/>
      <c r="G120" s="22"/>
      <c r="H120" s="22" t="s">
        <v>99</v>
      </c>
      <c r="I120" s="22"/>
      <c r="J120" s="22"/>
      <c r="K120" s="156"/>
      <c r="L120" s="22"/>
      <c r="M120" s="22"/>
      <c r="N120" s="22"/>
    </row>
    <row r="121" spans="2:14" ht="12.75">
      <c r="B121" s="22"/>
      <c r="C121" s="22"/>
      <c r="D121" s="22"/>
      <c r="E121" s="22"/>
      <c r="F121" s="156"/>
      <c r="G121" s="22"/>
      <c r="H121" s="22" t="s">
        <v>35</v>
      </c>
      <c r="I121" s="22"/>
      <c r="J121" s="22"/>
      <c r="K121" s="156"/>
      <c r="L121" s="22"/>
      <c r="M121" s="22"/>
      <c r="N121" s="22"/>
    </row>
    <row r="122" spans="2:14" ht="12.75">
      <c r="B122" s="22"/>
      <c r="C122" s="22"/>
      <c r="D122" s="22"/>
      <c r="E122" s="22"/>
      <c r="F122" s="156"/>
      <c r="G122" s="22"/>
      <c r="H122" s="22" t="s">
        <v>36</v>
      </c>
      <c r="I122" s="22"/>
      <c r="J122" s="22"/>
      <c r="K122" s="156"/>
      <c r="L122" s="22"/>
      <c r="M122" s="22"/>
      <c r="N122" s="22"/>
    </row>
    <row r="124" spans="3:14" ht="12.75">
      <c r="C124" s="149" t="s">
        <v>1</v>
      </c>
      <c r="D124" s="150"/>
      <c r="E124" s="150"/>
      <c r="F124" s="158"/>
      <c r="H124" s="149" t="s">
        <v>2</v>
      </c>
      <c r="I124" s="150"/>
      <c r="J124" s="150"/>
      <c r="K124" s="158"/>
      <c r="M124" s="2" t="s">
        <v>3</v>
      </c>
      <c r="N124" s="5" t="s">
        <v>4</v>
      </c>
    </row>
    <row r="125" spans="1:11" ht="12.75">
      <c r="A125" s="27"/>
      <c r="B125" s="27"/>
      <c r="C125" s="151"/>
      <c r="D125" s="152"/>
      <c r="E125" s="152"/>
      <c r="F125" s="159"/>
      <c r="H125" s="151"/>
      <c r="I125" s="152"/>
      <c r="J125" s="152"/>
      <c r="K125" s="159"/>
    </row>
    <row r="126" spans="1:11" ht="12.75">
      <c r="A126" s="27"/>
      <c r="B126" s="27"/>
      <c r="C126" s="153" t="s">
        <v>5</v>
      </c>
      <c r="D126" s="153" t="s">
        <v>6</v>
      </c>
      <c r="E126" s="153" t="s">
        <v>7</v>
      </c>
      <c r="F126" s="160" t="s">
        <v>180</v>
      </c>
      <c r="H126" s="153" t="s">
        <v>5</v>
      </c>
      <c r="I126" s="153" t="s">
        <v>2</v>
      </c>
      <c r="J126" s="153" t="s">
        <v>7</v>
      </c>
      <c r="K126" s="160" t="s">
        <v>180</v>
      </c>
    </row>
    <row r="127" spans="1:11" ht="12.75">
      <c r="A127" s="28"/>
      <c r="B127" s="28"/>
      <c r="C127" s="154" t="s">
        <v>8</v>
      </c>
      <c r="D127" s="154" t="s">
        <v>9</v>
      </c>
      <c r="E127" s="154" t="s">
        <v>10</v>
      </c>
      <c r="F127" s="161" t="s">
        <v>82</v>
      </c>
      <c r="H127" s="154" t="s">
        <v>8</v>
      </c>
      <c r="I127" s="154" t="s">
        <v>9</v>
      </c>
      <c r="J127" s="154" t="s">
        <v>10</v>
      </c>
      <c r="K127" s="161" t="s">
        <v>82</v>
      </c>
    </row>
    <row r="129" spans="1:11" ht="12.75">
      <c r="A129" s="27"/>
      <c r="B129" s="27"/>
      <c r="C129" s="29"/>
      <c r="D129" s="27"/>
      <c r="E129" s="27"/>
      <c r="F129" s="162"/>
      <c r="H129" s="29"/>
      <c r="I129" s="27"/>
      <c r="J129" s="27"/>
      <c r="K129" s="162"/>
    </row>
    <row r="130" spans="1:14" ht="12.75">
      <c r="A130" s="27" t="s">
        <v>27</v>
      </c>
      <c r="B130" s="27"/>
      <c r="C130" s="29">
        <v>2844</v>
      </c>
      <c r="D130" s="30">
        <v>30</v>
      </c>
      <c r="E130" s="31">
        <f>C130*D130</f>
        <v>85320</v>
      </c>
      <c r="F130" s="162">
        <f>E130/E137</f>
        <v>0.009640098868827425</v>
      </c>
      <c r="H130" s="29">
        <v>2844</v>
      </c>
      <c r="I130" s="65">
        <f>D130</f>
        <v>30</v>
      </c>
      <c r="J130" s="31">
        <f>I130*H130</f>
        <v>85320</v>
      </c>
      <c r="K130" s="162">
        <f>J130/J137</f>
        <v>0.009056497547949039</v>
      </c>
      <c r="M130" s="55">
        <f>J130-E130</f>
        <v>0</v>
      </c>
      <c r="N130" s="35">
        <f>M130/E130</f>
        <v>0</v>
      </c>
    </row>
    <row r="131" spans="1:14" ht="12.75">
      <c r="A131" s="27"/>
      <c r="B131" s="27"/>
      <c r="C131" s="29"/>
      <c r="D131" s="30"/>
      <c r="E131" s="31"/>
      <c r="F131" s="162"/>
      <c r="H131" s="29"/>
      <c r="I131" s="30"/>
      <c r="J131" s="31"/>
      <c r="K131" s="162"/>
      <c r="M131" s="55"/>
      <c r="N131" s="35"/>
    </row>
    <row r="132" spans="1:16" ht="12.75">
      <c r="A132" s="27" t="s">
        <v>37</v>
      </c>
      <c r="B132" s="27"/>
      <c r="C132" s="29">
        <v>461335</v>
      </c>
      <c r="D132" s="30">
        <v>6</v>
      </c>
      <c r="E132" s="31">
        <f>D132*C132</f>
        <v>2768010</v>
      </c>
      <c r="F132" s="162">
        <f>E132/E137</f>
        <v>0.31275070405418426</v>
      </c>
      <c r="H132" s="29">
        <v>461335</v>
      </c>
      <c r="I132" s="65">
        <f>D132</f>
        <v>6</v>
      </c>
      <c r="J132" s="31">
        <f>I132*H132</f>
        <v>2768010</v>
      </c>
      <c r="K132" s="162">
        <f>J132/J137</f>
        <v>0.29381710944325384</v>
      </c>
      <c r="M132" s="55">
        <f aca="true" t="shared" si="7" ref="M132:M140">J132-E132</f>
        <v>0</v>
      </c>
      <c r="N132" s="35">
        <f aca="true" t="shared" si="8" ref="N132:N140">M132/E132</f>
        <v>0</v>
      </c>
      <c r="P132" s="26">
        <f>M132</f>
        <v>0</v>
      </c>
    </row>
    <row r="133" spans="1:14" ht="12.75">
      <c r="A133" s="27"/>
      <c r="B133" s="27"/>
      <c r="C133" s="29"/>
      <c r="D133" s="30"/>
      <c r="E133" s="27"/>
      <c r="F133" s="162"/>
      <c r="H133" s="29"/>
      <c r="I133" s="30"/>
      <c r="J133" s="27"/>
      <c r="K133" s="162"/>
      <c r="M133" s="55"/>
      <c r="N133" s="35"/>
    </row>
    <row r="134" spans="1:17" ht="12.75">
      <c r="A134" s="27" t="s">
        <v>17</v>
      </c>
      <c r="B134" s="29">
        <f>C134</f>
        <v>144302253</v>
      </c>
      <c r="C134" s="29">
        <v>144302253</v>
      </c>
      <c r="D134" s="32">
        <v>0.04156</v>
      </c>
      <c r="E134" s="29">
        <f>D134*C134</f>
        <v>5997201.63468</v>
      </c>
      <c r="F134" s="162">
        <f>E134/E137</f>
        <v>0.6776091970769884</v>
      </c>
      <c r="H134" s="29">
        <v>144302253</v>
      </c>
      <c r="I134" s="34">
        <f>D134+R382</f>
        <v>0.04551232126661499</v>
      </c>
      <c r="J134" s="29">
        <f>I134*H134</f>
        <v>6567530.498032357</v>
      </c>
      <c r="K134" s="162">
        <f>J134/J137</f>
        <v>0.6971263930087971</v>
      </c>
      <c r="M134" s="55">
        <f t="shared" si="7"/>
        <v>570328.8633523565</v>
      </c>
      <c r="N134" s="35">
        <f t="shared" si="8"/>
        <v>0.09509916425926343</v>
      </c>
      <c r="Q134" s="26">
        <f>M134</f>
        <v>570328.8633523565</v>
      </c>
    </row>
    <row r="135" spans="1:14" ht="12.75">
      <c r="A135" s="27"/>
      <c r="B135" s="27"/>
      <c r="C135" s="29"/>
      <c r="D135" s="27"/>
      <c r="E135" s="45"/>
      <c r="F135" s="163"/>
      <c r="G135" s="24"/>
      <c r="H135" s="45"/>
      <c r="I135" s="46"/>
      <c r="J135" s="45"/>
      <c r="K135" s="163"/>
      <c r="M135" s="55"/>
      <c r="N135" s="35"/>
    </row>
    <row r="136" spans="5:14" ht="12.75">
      <c r="E136" s="24"/>
      <c r="F136" s="74"/>
      <c r="G136" s="24"/>
      <c r="H136" s="24"/>
      <c r="I136" s="24"/>
      <c r="J136" s="24"/>
      <c r="K136" s="74"/>
      <c r="M136" s="55"/>
      <c r="N136" s="35"/>
    </row>
    <row r="137" spans="1:14" ht="12.75">
      <c r="A137" s="27" t="s">
        <v>18</v>
      </c>
      <c r="B137" s="27"/>
      <c r="C137" s="29"/>
      <c r="D137" s="27"/>
      <c r="E137" s="36">
        <f>SUM(E130:E134)</f>
        <v>8850531.63468</v>
      </c>
      <c r="F137" s="163">
        <f>SUM(F129:F136)</f>
        <v>1</v>
      </c>
      <c r="G137" s="45"/>
      <c r="H137" s="45"/>
      <c r="I137" s="45"/>
      <c r="J137" s="36">
        <f>SUM(J130:J134)</f>
        <v>9420860.498032358</v>
      </c>
      <c r="K137" s="163">
        <f>SUM(K129:K136)</f>
        <v>1</v>
      </c>
      <c r="L137" s="45"/>
      <c r="M137" s="36">
        <f>SUM(M130:M134)</f>
        <v>570328.8633523565</v>
      </c>
      <c r="N137" s="36">
        <f>SUM(N130:N134)</f>
        <v>0.09509916425926343</v>
      </c>
    </row>
    <row r="138" spans="1:14" ht="12.75">
      <c r="A138" s="27"/>
      <c r="B138" s="27"/>
      <c r="C138" s="29"/>
      <c r="D138" s="32"/>
      <c r="E138" s="27"/>
      <c r="F138" s="162"/>
      <c r="H138" s="29"/>
      <c r="I138" s="32"/>
      <c r="J138" s="27"/>
      <c r="K138" s="162"/>
      <c r="M138" s="55"/>
      <c r="N138" s="35"/>
    </row>
    <row r="139" spans="1:14" ht="12.75">
      <c r="A139" s="27" t="s">
        <v>19</v>
      </c>
      <c r="B139" s="27"/>
      <c r="C139" s="29"/>
      <c r="D139" s="32"/>
      <c r="E139" s="29">
        <v>1190726</v>
      </c>
      <c r="F139" s="162"/>
      <c r="H139" s="29"/>
      <c r="I139" s="32"/>
      <c r="J139" s="29">
        <v>1190726</v>
      </c>
      <c r="K139" s="162"/>
      <c r="M139" s="26">
        <f t="shared" si="7"/>
        <v>0</v>
      </c>
      <c r="N139" s="35">
        <f t="shared" si="8"/>
        <v>0</v>
      </c>
    </row>
    <row r="140" spans="1:14" ht="12.75">
      <c r="A140" s="27" t="s">
        <v>20</v>
      </c>
      <c r="B140" s="27"/>
      <c r="C140" s="29"/>
      <c r="D140" s="32"/>
      <c r="E140" s="37">
        <v>732980</v>
      </c>
      <c r="F140" s="163"/>
      <c r="H140" s="29"/>
      <c r="I140" s="32"/>
      <c r="J140" s="37">
        <v>732980</v>
      </c>
      <c r="K140" s="163"/>
      <c r="M140" s="50">
        <f t="shared" si="7"/>
        <v>0</v>
      </c>
      <c r="N140" s="59">
        <f t="shared" si="8"/>
        <v>0</v>
      </c>
    </row>
    <row r="141" spans="1:11" ht="12.75">
      <c r="A141" s="27"/>
      <c r="B141" s="27"/>
      <c r="C141" s="29"/>
      <c r="D141" s="27"/>
      <c r="E141" s="27"/>
      <c r="F141" s="162"/>
      <c r="H141" s="29"/>
      <c r="I141" s="27"/>
      <c r="J141" s="27"/>
      <c r="K141" s="162"/>
    </row>
    <row r="142" spans="1:14" ht="13.5" thickBot="1">
      <c r="A142" s="27" t="s">
        <v>21</v>
      </c>
      <c r="B142" s="27"/>
      <c r="C142" s="29"/>
      <c r="D142" s="27"/>
      <c r="E142" s="38">
        <f>SUM(E137:E140)</f>
        <v>10774237.63468</v>
      </c>
      <c r="F142" s="163"/>
      <c r="H142" s="29"/>
      <c r="I142" s="27"/>
      <c r="J142" s="38">
        <f>SUM(J137:J140)</f>
        <v>11344566.498032358</v>
      </c>
      <c r="K142" s="163"/>
      <c r="M142" s="66">
        <f>J142-E142</f>
        <v>570328.8633523583</v>
      </c>
      <c r="N142" s="52">
        <f>M142/E142</f>
        <v>0.052934498262465456</v>
      </c>
    </row>
    <row r="143" spans="1:6" ht="13.5" thickTop="1">
      <c r="A143" s="27"/>
      <c r="B143" s="27"/>
      <c r="C143" s="27"/>
      <c r="D143" s="27"/>
      <c r="E143" s="27"/>
      <c r="F143" s="162"/>
    </row>
    <row r="144" spans="1:14" ht="12.75">
      <c r="A144" s="27" t="s">
        <v>22</v>
      </c>
      <c r="B144" s="27"/>
      <c r="E144" s="61">
        <f>E142/C130</f>
        <v>3788.409857482419</v>
      </c>
      <c r="G144" s="61"/>
      <c r="H144" s="61"/>
      <c r="I144" s="61"/>
      <c r="J144" s="61">
        <f>J142/H130</f>
        <v>3988.947432500829</v>
      </c>
      <c r="L144" s="61"/>
      <c r="M144" s="41">
        <f>J144-E144</f>
        <v>200.53757501841028</v>
      </c>
      <c r="N144" s="35">
        <f>M144/E144</f>
        <v>0.052934498262465504</v>
      </c>
    </row>
    <row r="145" spans="1:14" ht="12.75">
      <c r="A145" s="27"/>
      <c r="B145" s="27"/>
      <c r="E145" s="40"/>
      <c r="J145" s="40"/>
      <c r="M145" s="40"/>
      <c r="N145" s="35"/>
    </row>
    <row r="146" spans="2:14" ht="12.75" hidden="1">
      <c r="B146" s="22"/>
      <c r="C146" s="22"/>
      <c r="D146" s="22"/>
      <c r="E146" s="22"/>
      <c r="F146" s="156"/>
      <c r="G146" s="22"/>
      <c r="H146" s="22" t="str">
        <f>H4</f>
        <v>South Kentucky Rural Electric</v>
      </c>
      <c r="I146" s="22"/>
      <c r="J146" s="22"/>
      <c r="K146" s="156"/>
      <c r="L146" s="22"/>
      <c r="M146" s="22"/>
      <c r="N146" s="22"/>
    </row>
    <row r="147" spans="2:14" ht="12.75" hidden="1">
      <c r="B147" s="22"/>
      <c r="C147" s="22"/>
      <c r="D147" s="22"/>
      <c r="E147" s="22"/>
      <c r="F147" s="156"/>
      <c r="G147" s="22"/>
      <c r="H147" s="22" t="str">
        <f>H5</f>
        <v>Billing Analysis</v>
      </c>
      <c r="I147" s="22"/>
      <c r="J147" s="22"/>
      <c r="K147" s="156"/>
      <c r="L147" s="22"/>
      <c r="M147" s="22"/>
      <c r="N147" s="22"/>
    </row>
    <row r="148" spans="2:14" ht="12.75" hidden="1">
      <c r="B148" s="22"/>
      <c r="C148" s="22"/>
      <c r="D148" s="22"/>
      <c r="E148" s="22"/>
      <c r="F148" s="156"/>
      <c r="G148" s="22"/>
      <c r="H148" s="22" t="str">
        <f>H6</f>
        <v>for the 12 months ended September 30, 2006</v>
      </c>
      <c r="I148" s="22"/>
      <c r="J148" s="22"/>
      <c r="K148" s="156"/>
      <c r="L148" s="22"/>
      <c r="M148" s="22"/>
      <c r="N148" s="22"/>
    </row>
    <row r="149" spans="2:8" ht="12.75" hidden="1">
      <c r="B149" s="4"/>
      <c r="C149" s="4"/>
      <c r="D149" s="4"/>
      <c r="E149" s="4"/>
      <c r="F149" s="157"/>
      <c r="H149" s="4"/>
    </row>
    <row r="150" spans="2:14" ht="12.75">
      <c r="B150" s="22"/>
      <c r="C150" s="22"/>
      <c r="D150" s="22"/>
      <c r="E150" s="22"/>
      <c r="F150" s="156"/>
      <c r="G150" s="22"/>
      <c r="H150" s="22" t="s">
        <v>38</v>
      </c>
      <c r="I150" s="22"/>
      <c r="J150" s="22"/>
      <c r="K150" s="156"/>
      <c r="L150" s="22"/>
      <c r="M150" s="22"/>
      <c r="N150" s="22"/>
    </row>
    <row r="151" spans="2:14" ht="12.75">
      <c r="B151" s="22"/>
      <c r="C151" s="22"/>
      <c r="D151" s="22"/>
      <c r="E151" s="22"/>
      <c r="F151" s="156"/>
      <c r="G151" s="22"/>
      <c r="H151" s="22" t="s">
        <v>39</v>
      </c>
      <c r="I151" s="22"/>
      <c r="J151" s="22"/>
      <c r="K151" s="156"/>
      <c r="L151" s="22"/>
      <c r="M151" s="22"/>
      <c r="N151" s="22"/>
    </row>
    <row r="152" spans="2:14" ht="12.75">
      <c r="B152" s="22"/>
      <c r="C152" s="22"/>
      <c r="D152" s="22"/>
      <c r="E152" s="22"/>
      <c r="F152" s="156"/>
      <c r="G152" s="22"/>
      <c r="H152" s="22" t="s">
        <v>40</v>
      </c>
      <c r="I152" s="22"/>
      <c r="J152" s="22"/>
      <c r="K152" s="156"/>
      <c r="L152" s="22"/>
      <c r="M152" s="22"/>
      <c r="N152" s="22"/>
    </row>
    <row r="153" spans="1:6" ht="12.75">
      <c r="A153" s="4"/>
      <c r="B153" s="4"/>
      <c r="C153" s="4"/>
      <c r="D153" s="4"/>
      <c r="E153" s="4"/>
      <c r="F153" s="157"/>
    </row>
    <row r="154" spans="3:14" ht="12.75">
      <c r="C154" s="149" t="s">
        <v>1</v>
      </c>
      <c r="D154" s="150"/>
      <c r="E154" s="150"/>
      <c r="F154" s="158"/>
      <c r="H154" s="149" t="s">
        <v>2</v>
      </c>
      <c r="I154" s="150"/>
      <c r="J154" s="150"/>
      <c r="K154" s="158"/>
      <c r="M154" s="2" t="s">
        <v>3</v>
      </c>
      <c r="N154" s="5" t="s">
        <v>4</v>
      </c>
    </row>
    <row r="155" spans="1:11" ht="12.75">
      <c r="A155" s="27"/>
      <c r="B155" s="27"/>
      <c r="C155" s="151"/>
      <c r="D155" s="152"/>
      <c r="E155" s="152"/>
      <c r="F155" s="159"/>
      <c r="H155" s="151"/>
      <c r="I155" s="152"/>
      <c r="J155" s="152"/>
      <c r="K155" s="159"/>
    </row>
    <row r="156" spans="1:11" ht="12.75">
      <c r="A156" s="27"/>
      <c r="B156" s="27"/>
      <c r="C156" s="153" t="s">
        <v>5</v>
      </c>
      <c r="D156" s="153" t="s">
        <v>6</v>
      </c>
      <c r="E156" s="153" t="s">
        <v>7</v>
      </c>
      <c r="F156" s="160" t="s">
        <v>180</v>
      </c>
      <c r="H156" s="153" t="s">
        <v>5</v>
      </c>
      <c r="I156" s="153" t="s">
        <v>2</v>
      </c>
      <c r="J156" s="153" t="s">
        <v>7</v>
      </c>
      <c r="K156" s="160" t="s">
        <v>180</v>
      </c>
    </row>
    <row r="157" spans="1:11" ht="12.75">
      <c r="A157" s="28"/>
      <c r="B157" s="28"/>
      <c r="C157" s="154" t="s">
        <v>8</v>
      </c>
      <c r="D157" s="154" t="s">
        <v>9</v>
      </c>
      <c r="E157" s="154" t="s">
        <v>10</v>
      </c>
      <c r="F157" s="161" t="s">
        <v>82</v>
      </c>
      <c r="H157" s="154" t="s">
        <v>8</v>
      </c>
      <c r="I157" s="154" t="s">
        <v>9</v>
      </c>
      <c r="J157" s="154" t="s">
        <v>10</v>
      </c>
      <c r="K157" s="161" t="s">
        <v>82</v>
      </c>
    </row>
    <row r="159" spans="1:11" ht="12.75">
      <c r="A159" s="27"/>
      <c r="B159" s="27"/>
      <c r="C159" s="29"/>
      <c r="D159" s="27"/>
      <c r="E159" s="27"/>
      <c r="F159" s="162"/>
      <c r="H159" s="29"/>
      <c r="I159" s="27"/>
      <c r="J159" s="27"/>
      <c r="K159" s="162"/>
    </row>
    <row r="160" spans="1:14" ht="12.75">
      <c r="A160" s="27" t="s">
        <v>11</v>
      </c>
      <c r="B160" s="27"/>
      <c r="C160" s="29">
        <v>24</v>
      </c>
      <c r="D160" s="30">
        <v>125</v>
      </c>
      <c r="E160" s="31">
        <f>D160*C160</f>
        <v>3000</v>
      </c>
      <c r="F160" s="162">
        <f>E160/E170</f>
        <v>0.0015899725736051192</v>
      </c>
      <c r="H160" s="29">
        <v>24</v>
      </c>
      <c r="I160" s="30">
        <v>125</v>
      </c>
      <c r="J160" s="31">
        <f>I160*H160</f>
        <v>3000</v>
      </c>
      <c r="K160" s="162">
        <f>J160/J170</f>
        <v>0.001492092219168936</v>
      </c>
      <c r="M160" s="26">
        <f>J160-E160</f>
        <v>0</v>
      </c>
      <c r="N160" s="35">
        <f>M160/E160</f>
        <v>0</v>
      </c>
    </row>
    <row r="161" spans="1:14" ht="12.75">
      <c r="A161" s="27"/>
      <c r="B161" s="27"/>
      <c r="C161" s="29"/>
      <c r="D161" s="30"/>
      <c r="E161" s="31"/>
      <c r="F161" s="162"/>
      <c r="H161" s="29"/>
      <c r="I161" s="30"/>
      <c r="J161" s="31"/>
      <c r="K161" s="162"/>
      <c r="M161" s="26"/>
      <c r="N161" s="35"/>
    </row>
    <row r="162" spans="1:14" ht="12.75">
      <c r="A162" s="27" t="s">
        <v>12</v>
      </c>
      <c r="B162" s="27"/>
      <c r="C162" s="29">
        <v>12</v>
      </c>
      <c r="D162" s="30">
        <v>944</v>
      </c>
      <c r="E162" s="29">
        <f>D162*C162</f>
        <v>11328</v>
      </c>
      <c r="F162" s="162">
        <f>E162/E170</f>
        <v>0.0060037364379329295</v>
      </c>
      <c r="H162" s="29">
        <v>12</v>
      </c>
      <c r="I162" s="65">
        <f>D162</f>
        <v>944</v>
      </c>
      <c r="J162" s="29">
        <f>I162*H162</f>
        <v>11328</v>
      </c>
      <c r="K162" s="162">
        <f>J162/J170</f>
        <v>0.005634140219581903</v>
      </c>
      <c r="M162" s="26">
        <f aca="true" t="shared" si="9" ref="M162:M175">J162-E162</f>
        <v>0</v>
      </c>
      <c r="N162" s="35">
        <f aca="true" t="shared" si="10" ref="N162:N175">M162/E162</f>
        <v>0</v>
      </c>
    </row>
    <row r="163" spans="1:14" ht="12.75">
      <c r="A163" s="27" t="s">
        <v>12</v>
      </c>
      <c r="B163" s="27"/>
      <c r="C163" s="29">
        <v>12</v>
      </c>
      <c r="D163" s="30">
        <v>2373</v>
      </c>
      <c r="E163" s="29">
        <f>D163*C163</f>
        <v>28476</v>
      </c>
      <c r="F163" s="162">
        <f>E163/E170</f>
        <v>0.01509201966865979</v>
      </c>
      <c r="H163" s="29">
        <v>12</v>
      </c>
      <c r="I163" s="65">
        <f>D163</f>
        <v>2373</v>
      </c>
      <c r="J163" s="29">
        <f>I163*H163</f>
        <v>28476</v>
      </c>
      <c r="K163" s="162">
        <f>J163/J170</f>
        <v>0.014162939344351541</v>
      </c>
      <c r="M163" s="26">
        <f t="shared" si="9"/>
        <v>0</v>
      </c>
      <c r="N163" s="35">
        <f t="shared" si="10"/>
        <v>0</v>
      </c>
    </row>
    <row r="164" spans="1:14" ht="12.75">
      <c r="A164" s="27"/>
      <c r="B164" s="27"/>
      <c r="C164" s="29"/>
      <c r="D164" s="30"/>
      <c r="E164" s="29"/>
      <c r="F164" s="162"/>
      <c r="H164" s="29"/>
      <c r="I164" s="30"/>
      <c r="J164" s="29"/>
      <c r="K164" s="162"/>
      <c r="M164" s="26"/>
      <c r="N164" s="35"/>
    </row>
    <row r="165" spans="1:16" ht="12.75">
      <c r="A165" s="27" t="s">
        <v>37</v>
      </c>
      <c r="B165" s="27"/>
      <c r="C165" s="29">
        <v>65144.52</v>
      </c>
      <c r="D165" s="30">
        <v>5.39</v>
      </c>
      <c r="E165" s="29">
        <f>D165*C165</f>
        <v>351128.9628</v>
      </c>
      <c r="F165" s="162">
        <f>E165/E170</f>
        <v>0.18609514021680404</v>
      </c>
      <c r="H165" s="29">
        <v>65144.52</v>
      </c>
      <c r="I165" s="67">
        <v>7.29</v>
      </c>
      <c r="J165" s="29">
        <f>I165*H165</f>
        <v>474903.55079999997</v>
      </c>
      <c r="K165" s="162">
        <f>J165/J170</f>
        <v>0.23619996433479318</v>
      </c>
      <c r="M165" s="26">
        <f t="shared" si="9"/>
        <v>123774.58799999999</v>
      </c>
      <c r="N165" s="35">
        <f t="shared" si="10"/>
        <v>0.3525046382189239</v>
      </c>
      <c r="P165" s="26">
        <f>M165</f>
        <v>123774.58799999999</v>
      </c>
    </row>
    <row r="166" spans="1:14" ht="12.75">
      <c r="A166" s="27"/>
      <c r="B166" s="27"/>
      <c r="C166" s="29"/>
      <c r="D166" s="30"/>
      <c r="E166" s="29"/>
      <c r="F166" s="162"/>
      <c r="H166" s="29"/>
      <c r="I166" s="30"/>
      <c r="J166" s="29"/>
      <c r="K166" s="162"/>
      <c r="M166" s="26"/>
      <c r="N166" s="35"/>
    </row>
    <row r="167" spans="1:14" ht="12.75">
      <c r="A167" s="27" t="s">
        <v>17</v>
      </c>
      <c r="B167" s="27"/>
      <c r="C167" s="29">
        <v>40207165</v>
      </c>
      <c r="D167" s="32">
        <v>0.03713</v>
      </c>
      <c r="E167" s="29">
        <f>D167*C167</f>
        <v>1492892.0364500002</v>
      </c>
      <c r="F167" s="162">
        <f>E167/E170</f>
        <v>0.791219131102998</v>
      </c>
      <c r="H167" s="29">
        <v>40207165</v>
      </c>
      <c r="I167" s="68">
        <f>D167</f>
        <v>0.03713</v>
      </c>
      <c r="J167" s="29">
        <f>I167*H167</f>
        <v>1492892.0364500002</v>
      </c>
      <c r="K167" s="162">
        <f>J167/J170</f>
        <v>0.7425108638821044</v>
      </c>
      <c r="M167" s="26">
        <f t="shared" si="9"/>
        <v>0</v>
      </c>
      <c r="N167" s="35">
        <f t="shared" si="10"/>
        <v>0</v>
      </c>
    </row>
    <row r="168" spans="1:14" ht="12.75">
      <c r="A168" s="27"/>
      <c r="B168" s="27"/>
      <c r="C168" s="29"/>
      <c r="D168" s="27"/>
      <c r="E168" s="45"/>
      <c r="F168" s="163"/>
      <c r="G168" s="24"/>
      <c r="H168" s="45"/>
      <c r="I168" s="46"/>
      <c r="J168" s="45"/>
      <c r="K168" s="163"/>
      <c r="M168" s="26"/>
      <c r="N168" s="35"/>
    </row>
    <row r="169" spans="5:14" ht="12.75">
      <c r="E169" s="24"/>
      <c r="F169" s="74"/>
      <c r="G169" s="24"/>
      <c r="H169" s="24"/>
      <c r="I169" s="24"/>
      <c r="J169" s="24"/>
      <c r="K169" s="74"/>
      <c r="M169" s="26"/>
      <c r="N169" s="35"/>
    </row>
    <row r="170" spans="1:14" ht="12.75">
      <c r="A170" s="27" t="s">
        <v>18</v>
      </c>
      <c r="B170" s="27"/>
      <c r="C170" s="29"/>
      <c r="D170" s="27"/>
      <c r="E170" s="36">
        <f>SUM(E160:E167)</f>
        <v>1886824.9992500003</v>
      </c>
      <c r="F170" s="163">
        <f>SUM(F160:F168)</f>
        <v>0.9999999999999999</v>
      </c>
      <c r="H170" s="29"/>
      <c r="I170" s="27"/>
      <c r="J170" s="36">
        <f>SUM(J160:J167)</f>
        <v>2010599.5872500003</v>
      </c>
      <c r="K170" s="163">
        <f>SUM(K160:K168)</f>
        <v>1</v>
      </c>
      <c r="M170" s="47">
        <f t="shared" si="9"/>
        <v>123774.58799999999</v>
      </c>
      <c r="N170" s="57">
        <f t="shared" si="10"/>
        <v>0.06559940007642442</v>
      </c>
    </row>
    <row r="171" spans="1:14" ht="12.75">
      <c r="A171" s="27"/>
      <c r="B171" s="27"/>
      <c r="C171" s="29"/>
      <c r="D171" s="32"/>
      <c r="E171" s="27"/>
      <c r="F171" s="162"/>
      <c r="H171" s="29"/>
      <c r="I171" s="32"/>
      <c r="J171" s="27"/>
      <c r="K171" s="162"/>
      <c r="M171" s="26"/>
      <c r="N171" s="35"/>
    </row>
    <row r="172" spans="1:14" ht="12.75">
      <c r="A172" s="27" t="s">
        <v>19</v>
      </c>
      <c r="B172" s="27"/>
      <c r="C172" s="29"/>
      <c r="D172" s="32"/>
      <c r="E172" s="29">
        <v>329448</v>
      </c>
      <c r="F172" s="162"/>
      <c r="H172" s="29"/>
      <c r="I172" s="32"/>
      <c r="J172" s="29">
        <v>329448</v>
      </c>
      <c r="K172" s="162"/>
      <c r="M172" s="26">
        <f t="shared" si="9"/>
        <v>0</v>
      </c>
      <c r="N172" s="35">
        <f t="shared" si="10"/>
        <v>0</v>
      </c>
    </row>
    <row r="173" spans="1:14" ht="12.75">
      <c r="A173" s="27" t="s">
        <v>20</v>
      </c>
      <c r="B173" s="27"/>
      <c r="C173" s="29"/>
      <c r="D173" s="32"/>
      <c r="E173" s="37">
        <v>165614</v>
      </c>
      <c r="F173" s="163"/>
      <c r="H173" s="29"/>
      <c r="I173" s="32"/>
      <c r="J173" s="37">
        <v>165614</v>
      </c>
      <c r="K173" s="163"/>
      <c r="M173" s="50">
        <f t="shared" si="9"/>
        <v>0</v>
      </c>
      <c r="N173" s="59">
        <f t="shared" si="10"/>
        <v>0</v>
      </c>
    </row>
    <row r="174" spans="1:14" ht="12.75">
      <c r="A174" s="27"/>
      <c r="B174" s="27"/>
      <c r="C174" s="29"/>
      <c r="D174" s="27"/>
      <c r="E174" s="27"/>
      <c r="F174" s="162"/>
      <c r="H174" s="29"/>
      <c r="I174" s="27"/>
      <c r="J174" s="27"/>
      <c r="K174" s="162"/>
      <c r="M174" s="26"/>
      <c r="N174" s="35"/>
    </row>
    <row r="175" spans="1:14" ht="13.5" thickBot="1">
      <c r="A175" s="27" t="s">
        <v>21</v>
      </c>
      <c r="B175" s="27"/>
      <c r="C175" s="29"/>
      <c r="D175" s="27"/>
      <c r="E175" s="38">
        <f>SUM(E170:E173)</f>
        <v>2381886.9992500003</v>
      </c>
      <c r="F175" s="163"/>
      <c r="H175" s="29"/>
      <c r="I175" s="27"/>
      <c r="J175" s="38">
        <f>SUM(J170:J173)</f>
        <v>2505661.5872500003</v>
      </c>
      <c r="K175" s="163"/>
      <c r="M175" s="43">
        <f t="shared" si="9"/>
        <v>123774.58799999999</v>
      </c>
      <c r="N175" s="52">
        <f t="shared" si="10"/>
        <v>0.05196492866327146</v>
      </c>
    </row>
    <row r="176" spans="1:6" ht="13.5" thickTop="1">
      <c r="A176" s="27"/>
      <c r="B176" s="27"/>
      <c r="C176" s="27"/>
      <c r="D176" s="27"/>
      <c r="E176" s="27"/>
      <c r="F176" s="162"/>
    </row>
    <row r="177" spans="1:14" ht="12.75">
      <c r="A177" s="27" t="s">
        <v>22</v>
      </c>
      <c r="B177" s="27"/>
      <c r="C177" s="29"/>
      <c r="D177" s="29"/>
      <c r="E177" s="62">
        <f>E175/C160</f>
        <v>99245.29163541668</v>
      </c>
      <c r="F177" s="162"/>
      <c r="J177" s="62">
        <f>J175/H160</f>
        <v>104402.56613541668</v>
      </c>
      <c r="K177" s="162"/>
      <c r="M177" s="41">
        <f>J177-E177</f>
        <v>5157.2744999999995</v>
      </c>
      <c r="N177" s="35">
        <f>M177/E177</f>
        <v>0.05196492866327146</v>
      </c>
    </row>
    <row r="178" spans="1:14" ht="14.25">
      <c r="A178" s="27"/>
      <c r="B178" s="27"/>
      <c r="C178" s="29"/>
      <c r="D178" s="29"/>
      <c r="E178" s="62"/>
      <c r="F178" s="162"/>
      <c r="J178" s="62"/>
      <c r="K178" s="162"/>
      <c r="M178" s="69"/>
      <c r="N178" s="128" t="s">
        <v>175</v>
      </c>
    </row>
    <row r="179" spans="1:14" ht="14.25">
      <c r="A179" s="27"/>
      <c r="B179" s="27"/>
      <c r="C179" s="29"/>
      <c r="D179" s="29"/>
      <c r="E179" s="62"/>
      <c r="F179" s="162"/>
      <c r="J179" s="62"/>
      <c r="K179" s="162"/>
      <c r="M179" s="69"/>
      <c r="N179" s="128" t="s">
        <v>172</v>
      </c>
    </row>
    <row r="180" spans="1:14" ht="14.25">
      <c r="A180" s="27"/>
      <c r="B180" s="27"/>
      <c r="C180" s="29"/>
      <c r="D180" s="29"/>
      <c r="E180" s="62"/>
      <c r="F180" s="162"/>
      <c r="J180" s="62"/>
      <c r="K180" s="162"/>
      <c r="M180" s="69"/>
      <c r="N180" s="128" t="s">
        <v>177</v>
      </c>
    </row>
    <row r="181" spans="2:14" ht="12.75">
      <c r="B181" s="22"/>
      <c r="C181" s="22"/>
      <c r="D181" s="22"/>
      <c r="E181" s="22"/>
      <c r="F181" s="156"/>
      <c r="G181" s="22"/>
      <c r="H181" s="22" t="str">
        <f>H4</f>
        <v>South Kentucky Rural Electric</v>
      </c>
      <c r="I181" s="22"/>
      <c r="J181" s="22"/>
      <c r="K181" s="156"/>
      <c r="L181" s="22"/>
      <c r="M181" s="22"/>
      <c r="N181" s="22"/>
    </row>
    <row r="182" spans="2:14" ht="12.75">
      <c r="B182" s="22"/>
      <c r="C182" s="22"/>
      <c r="D182" s="22"/>
      <c r="E182" s="22"/>
      <c r="F182" s="156"/>
      <c r="G182" s="22"/>
      <c r="H182" s="22" t="str">
        <f>H5</f>
        <v>Billing Analysis</v>
      </c>
      <c r="I182" s="22"/>
      <c r="J182" s="22"/>
      <c r="K182" s="156"/>
      <c r="L182" s="22"/>
      <c r="M182" s="22"/>
      <c r="N182" s="22"/>
    </row>
    <row r="183" spans="2:14" ht="12.75">
      <c r="B183" s="22"/>
      <c r="C183" s="22"/>
      <c r="D183" s="22"/>
      <c r="E183" s="22"/>
      <c r="F183" s="156"/>
      <c r="G183" s="22"/>
      <c r="H183" s="22" t="str">
        <f>H6</f>
        <v>for the 12 months ended September 30, 2006</v>
      </c>
      <c r="I183" s="22"/>
      <c r="J183" s="22"/>
      <c r="K183" s="156"/>
      <c r="L183" s="22"/>
      <c r="M183" s="22"/>
      <c r="N183" s="22"/>
    </row>
    <row r="184" spans="2:8" ht="12.75">
      <c r="B184" s="4"/>
      <c r="C184" s="4"/>
      <c r="D184" s="4"/>
      <c r="E184" s="4"/>
      <c r="F184" s="157"/>
      <c r="H184" s="4"/>
    </row>
    <row r="185" spans="2:14" ht="12.75">
      <c r="B185" s="22"/>
      <c r="C185" s="22"/>
      <c r="D185" s="22"/>
      <c r="E185" s="22"/>
      <c r="F185" s="156"/>
      <c r="G185" s="22"/>
      <c r="H185" s="22" t="s">
        <v>41</v>
      </c>
      <c r="I185" s="22"/>
      <c r="J185" s="22"/>
      <c r="K185" s="156"/>
      <c r="L185" s="22"/>
      <c r="M185" s="22"/>
      <c r="N185" s="22"/>
    </row>
    <row r="186" spans="2:14" ht="12.75">
      <c r="B186" s="22"/>
      <c r="C186" s="22"/>
      <c r="D186" s="22"/>
      <c r="E186" s="22"/>
      <c r="F186" s="156"/>
      <c r="G186" s="22"/>
      <c r="H186" s="22" t="s">
        <v>42</v>
      </c>
      <c r="I186" s="22"/>
      <c r="J186" s="22"/>
      <c r="K186" s="156"/>
      <c r="L186" s="22"/>
      <c r="M186" s="22"/>
      <c r="N186" s="22"/>
    </row>
    <row r="187" spans="2:14" ht="12.75">
      <c r="B187" s="22"/>
      <c r="C187" s="22"/>
      <c r="D187" s="22"/>
      <c r="E187" s="22"/>
      <c r="F187" s="156"/>
      <c r="G187" s="22"/>
      <c r="H187" s="22" t="s">
        <v>43</v>
      </c>
      <c r="I187" s="22"/>
      <c r="J187" s="22"/>
      <c r="K187" s="156"/>
      <c r="L187" s="22"/>
      <c r="M187" s="22"/>
      <c r="N187" s="22"/>
    </row>
    <row r="188" spans="1:6" ht="12.75">
      <c r="A188" s="27"/>
      <c r="B188" s="27"/>
      <c r="C188" s="27"/>
      <c r="D188" s="27"/>
      <c r="E188" s="27"/>
      <c r="F188" s="162"/>
    </row>
    <row r="189" spans="1:14" ht="12.75">
      <c r="A189" s="27"/>
      <c r="B189" s="27"/>
      <c r="C189" s="149" t="s">
        <v>1</v>
      </c>
      <c r="D189" s="150"/>
      <c r="E189" s="150"/>
      <c r="F189" s="158"/>
      <c r="H189" s="149" t="s">
        <v>2</v>
      </c>
      <c r="I189" s="150"/>
      <c r="J189" s="150"/>
      <c r="K189" s="158"/>
      <c r="M189" s="2" t="s">
        <v>3</v>
      </c>
      <c r="N189" s="5" t="s">
        <v>4</v>
      </c>
    </row>
    <row r="190" spans="1:11" ht="12.75">
      <c r="A190" s="27"/>
      <c r="B190" s="27"/>
      <c r="C190" s="151"/>
      <c r="D190" s="152"/>
      <c r="E190" s="152"/>
      <c r="F190" s="159"/>
      <c r="H190" s="151"/>
      <c r="I190" s="152"/>
      <c r="J190" s="152"/>
      <c r="K190" s="159"/>
    </row>
    <row r="191" spans="1:11" ht="12.75">
      <c r="A191" s="27"/>
      <c r="B191" s="27"/>
      <c r="C191" s="153" t="s">
        <v>5</v>
      </c>
      <c r="D191" s="153" t="s">
        <v>6</v>
      </c>
      <c r="E191" s="153" t="s">
        <v>7</v>
      </c>
      <c r="F191" s="160" t="s">
        <v>180</v>
      </c>
      <c r="H191" s="153" t="s">
        <v>5</v>
      </c>
      <c r="I191" s="153" t="s">
        <v>2</v>
      </c>
      <c r="J191" s="153" t="s">
        <v>7</v>
      </c>
      <c r="K191" s="160" t="s">
        <v>180</v>
      </c>
    </row>
    <row r="192" spans="1:11" ht="12.75">
      <c r="A192" s="28"/>
      <c r="B192" s="28"/>
      <c r="C192" s="154" t="s">
        <v>8</v>
      </c>
      <c r="D192" s="154" t="s">
        <v>9</v>
      </c>
      <c r="E192" s="154" t="s">
        <v>10</v>
      </c>
      <c r="F192" s="161" t="s">
        <v>82</v>
      </c>
      <c r="H192" s="154" t="s">
        <v>8</v>
      </c>
      <c r="I192" s="154" t="s">
        <v>9</v>
      </c>
      <c r="J192" s="154" t="s">
        <v>10</v>
      </c>
      <c r="K192" s="161" t="s">
        <v>82</v>
      </c>
    </row>
    <row r="194" spans="1:14" ht="12.75">
      <c r="A194" s="27" t="s">
        <v>11</v>
      </c>
      <c r="B194" s="27"/>
      <c r="C194" s="29">
        <v>14</v>
      </c>
      <c r="D194" s="30">
        <v>125</v>
      </c>
      <c r="E194" s="31">
        <f>D194*C194</f>
        <v>1750</v>
      </c>
      <c r="F194" s="162">
        <f>E194/E210</f>
        <v>0.000854005028112833</v>
      </c>
      <c r="H194" s="29">
        <v>14</v>
      </c>
      <c r="I194" s="30">
        <v>125</v>
      </c>
      <c r="J194" s="31">
        <v>1750</v>
      </c>
      <c r="K194" s="162">
        <f>J194/J210</f>
        <v>0.0007867191273970396</v>
      </c>
      <c r="M194" s="26">
        <f>J194-E194</f>
        <v>0</v>
      </c>
      <c r="N194" s="35">
        <f>M194/E194</f>
        <v>0</v>
      </c>
    </row>
    <row r="195" spans="1:14" ht="12.75">
      <c r="A195" s="27"/>
      <c r="B195" s="27"/>
      <c r="C195" s="29"/>
      <c r="D195" s="30"/>
      <c r="E195" s="31"/>
      <c r="F195" s="162"/>
      <c r="H195" s="29"/>
      <c r="I195" s="30"/>
      <c r="J195" s="31"/>
      <c r="K195" s="162"/>
      <c r="M195" s="26"/>
      <c r="N195" s="35"/>
    </row>
    <row r="196" spans="1:14" ht="12.75">
      <c r="A196" s="27" t="s">
        <v>12</v>
      </c>
      <c r="B196" s="27"/>
      <c r="C196" s="29">
        <v>9</v>
      </c>
      <c r="D196" s="30">
        <v>2373</v>
      </c>
      <c r="E196" s="29">
        <f>D196*C196</f>
        <v>21357</v>
      </c>
      <c r="F196" s="162">
        <f>E196/E210</f>
        <v>0.010422277363089014</v>
      </c>
      <c r="H196" s="29">
        <v>9</v>
      </c>
      <c r="I196" s="65">
        <f>D196</f>
        <v>2373</v>
      </c>
      <c r="J196" s="29">
        <f>I196*H196</f>
        <v>21357</v>
      </c>
      <c r="K196" s="162">
        <f>J196/J210</f>
        <v>0.009601120230753471</v>
      </c>
      <c r="M196" s="26">
        <f>J196-E196</f>
        <v>0</v>
      </c>
      <c r="N196" s="35">
        <f>M196/E196</f>
        <v>0</v>
      </c>
    </row>
    <row r="197" spans="1:14" ht="12.75">
      <c r="A197" s="27" t="s">
        <v>12</v>
      </c>
      <c r="B197" s="27"/>
      <c r="C197" s="29">
        <v>5</v>
      </c>
      <c r="D197" s="30">
        <v>2855</v>
      </c>
      <c r="E197" s="29">
        <f>D197*C197</f>
        <v>14275</v>
      </c>
      <c r="F197" s="162">
        <f>E197/E210</f>
        <v>0.006966241015034681</v>
      </c>
      <c r="H197" s="29">
        <v>5</v>
      </c>
      <c r="I197" s="65">
        <f>D197</f>
        <v>2855</v>
      </c>
      <c r="J197" s="29">
        <f>I197*H197</f>
        <v>14275</v>
      </c>
      <c r="K197" s="162">
        <f>J197/J210</f>
        <v>0.006417380310624422</v>
      </c>
      <c r="M197" s="26">
        <f>J197-E197</f>
        <v>0</v>
      </c>
      <c r="N197" s="35">
        <f>M197/E197</f>
        <v>0</v>
      </c>
    </row>
    <row r="198" spans="1:14" ht="12.75">
      <c r="A198" s="27"/>
      <c r="B198" s="27"/>
      <c r="C198" s="29"/>
      <c r="D198" s="30"/>
      <c r="E198" s="29"/>
      <c r="F198" s="162"/>
      <c r="H198" s="29"/>
      <c r="I198" s="30"/>
      <c r="J198" s="29"/>
      <c r="K198" s="162"/>
      <c r="M198" s="26"/>
      <c r="N198" s="35"/>
    </row>
    <row r="199" spans="1:16" ht="12.75">
      <c r="A199" s="27" t="s">
        <v>37</v>
      </c>
      <c r="B199" s="27"/>
      <c r="C199" s="29">
        <v>92241.93</v>
      </c>
      <c r="D199" s="30">
        <v>5.39</v>
      </c>
      <c r="E199" s="29">
        <f>D199*C199</f>
        <v>497184.00269999995</v>
      </c>
      <c r="F199" s="162">
        <f>E199/E210</f>
        <v>0.24262722183032248</v>
      </c>
      <c r="H199" s="29">
        <v>92241.93</v>
      </c>
      <c r="I199" s="67">
        <v>7.29</v>
      </c>
      <c r="J199" s="29">
        <f>I199*H199</f>
        <v>672443.6697</v>
      </c>
      <c r="K199" s="162">
        <f>J199/J210</f>
        <v>0.30229959831431263</v>
      </c>
      <c r="M199" s="26">
        <f>J199-E199</f>
        <v>175259.66700000002</v>
      </c>
      <c r="N199" s="35">
        <f>M199/E199</f>
        <v>0.35250463821892397</v>
      </c>
      <c r="P199" s="26">
        <f>M199</f>
        <v>175259.66700000002</v>
      </c>
    </row>
    <row r="200" spans="1:14" ht="12.75">
      <c r="A200" s="27"/>
      <c r="B200" s="27"/>
      <c r="C200" s="70"/>
      <c r="D200" s="30"/>
      <c r="E200" s="29"/>
      <c r="F200" s="162"/>
      <c r="H200" s="70"/>
      <c r="I200" s="30"/>
      <c r="J200" s="29"/>
      <c r="K200" s="162"/>
      <c r="M200" s="26"/>
      <c r="N200" s="35"/>
    </row>
    <row r="201" spans="1:14" ht="12.75">
      <c r="A201" s="27" t="s">
        <v>44</v>
      </c>
      <c r="B201" s="27"/>
      <c r="C201" s="29"/>
      <c r="D201" s="30"/>
      <c r="E201" s="29"/>
      <c r="F201" s="162"/>
      <c r="H201" s="29"/>
      <c r="I201" s="30"/>
      <c r="J201" s="29"/>
      <c r="K201" s="162"/>
      <c r="M201" s="26"/>
      <c r="N201" s="35"/>
    </row>
    <row r="202" spans="1:14" ht="12.75">
      <c r="A202" s="27" t="s">
        <v>17</v>
      </c>
      <c r="B202" s="27"/>
      <c r="C202" s="29">
        <v>24000000</v>
      </c>
      <c r="D202" s="32">
        <v>0.03713</v>
      </c>
      <c r="E202" s="29">
        <f>D202*C202</f>
        <v>891120.0000000001</v>
      </c>
      <c r="F202" s="162">
        <f>E202/E210</f>
        <v>0.4348691203725188</v>
      </c>
      <c r="H202" s="29">
        <v>24000000</v>
      </c>
      <c r="I202" s="68">
        <f>D202</f>
        <v>0.03713</v>
      </c>
      <c r="J202" s="29">
        <f>I202*H202</f>
        <v>891120.0000000001</v>
      </c>
      <c r="K202" s="162">
        <f>J202/J210</f>
        <v>0.4006063707463143</v>
      </c>
      <c r="M202" s="26">
        <f>J202-E202</f>
        <v>0</v>
      </c>
      <c r="N202" s="35">
        <f>M202/E202</f>
        <v>0</v>
      </c>
    </row>
    <row r="203" spans="1:14" ht="12.75">
      <c r="A203" s="27"/>
      <c r="B203" s="27"/>
      <c r="C203" s="29"/>
      <c r="D203" s="32"/>
      <c r="E203" s="29"/>
      <c r="F203" s="162"/>
      <c r="H203" s="29"/>
      <c r="I203" s="68"/>
      <c r="J203" s="29"/>
      <c r="K203" s="162"/>
      <c r="M203" s="26"/>
      <c r="N203" s="35"/>
    </row>
    <row r="204" spans="1:14" ht="12.75">
      <c r="A204" s="27" t="s">
        <v>45</v>
      </c>
      <c r="B204" s="27"/>
      <c r="C204" s="29"/>
      <c r="D204" s="30"/>
      <c r="E204" s="27"/>
      <c r="F204" s="162"/>
      <c r="H204" s="29"/>
      <c r="I204" s="65"/>
      <c r="J204" s="27"/>
      <c r="K204" s="162"/>
      <c r="M204" s="26"/>
      <c r="N204" s="35"/>
    </row>
    <row r="205" spans="1:14" ht="12.75">
      <c r="A205" s="27" t="s">
        <v>17</v>
      </c>
      <c r="B205" s="27"/>
      <c r="C205" s="37">
        <v>20034777</v>
      </c>
      <c r="D205" s="32">
        <v>0.03112</v>
      </c>
      <c r="E205" s="29">
        <f>D205*C205</f>
        <v>623482.26024</v>
      </c>
      <c r="F205" s="162">
        <f>E205/E210</f>
        <v>0.3042611343909222</v>
      </c>
      <c r="H205" s="37">
        <v>20034777</v>
      </c>
      <c r="I205" s="68">
        <f>D205</f>
        <v>0.03112</v>
      </c>
      <c r="J205" s="29">
        <f>I205*H205</f>
        <v>623482.26024</v>
      </c>
      <c r="K205" s="162">
        <f>J205/J210</f>
        <v>0.2802888112705981</v>
      </c>
      <c r="M205" s="26">
        <f>J205-E205</f>
        <v>0</v>
      </c>
      <c r="N205" s="35">
        <f>M205/E205</f>
        <v>0</v>
      </c>
    </row>
    <row r="206" spans="1:14" ht="12.75">
      <c r="A206" s="27"/>
      <c r="B206" s="27"/>
      <c r="C206" s="29"/>
      <c r="D206" s="32"/>
      <c r="E206" s="29"/>
      <c r="F206" s="162"/>
      <c r="H206" s="29"/>
      <c r="I206" s="32"/>
      <c r="J206" s="29"/>
      <c r="K206" s="162"/>
      <c r="M206" s="26"/>
      <c r="N206" s="35"/>
    </row>
    <row r="207" spans="1:14" ht="13.5" thickBot="1">
      <c r="A207" s="27" t="s">
        <v>46</v>
      </c>
      <c r="B207" s="27"/>
      <c r="C207" s="71">
        <v>44034777</v>
      </c>
      <c r="D207" s="32"/>
      <c r="E207" s="29"/>
      <c r="F207" s="162"/>
      <c r="H207" s="71">
        <v>44034777</v>
      </c>
      <c r="I207" s="32"/>
      <c r="J207" s="29"/>
      <c r="K207" s="162"/>
      <c r="M207" s="26"/>
      <c r="N207" s="35"/>
    </row>
    <row r="208" spans="1:14" ht="13.5" thickTop="1">
      <c r="A208" s="27"/>
      <c r="B208" s="27"/>
      <c r="C208" s="27"/>
      <c r="D208" s="27"/>
      <c r="E208" s="27"/>
      <c r="F208" s="162"/>
      <c r="H208" s="27"/>
      <c r="I208" s="27"/>
      <c r="J208" s="27"/>
      <c r="K208" s="162"/>
      <c r="M208" s="26"/>
      <c r="N208" s="35"/>
    </row>
    <row r="209" spans="1:14" ht="12.75">
      <c r="A209" s="27"/>
      <c r="B209" s="27"/>
      <c r="C209" s="27"/>
      <c r="D209" s="27"/>
      <c r="E209" s="27"/>
      <c r="F209" s="162"/>
      <c r="H209" s="27"/>
      <c r="I209" s="27"/>
      <c r="J209" s="27"/>
      <c r="K209" s="162"/>
      <c r="M209" s="26"/>
      <c r="N209" s="35"/>
    </row>
    <row r="210" spans="1:14" ht="12.75">
      <c r="A210" s="27" t="s">
        <v>18</v>
      </c>
      <c r="B210" s="27"/>
      <c r="C210" s="29"/>
      <c r="D210" s="27"/>
      <c r="E210" s="36">
        <f>SUM(E194:E208)</f>
        <v>2049168.26294</v>
      </c>
      <c r="F210" s="163">
        <f>SUM(F194:F208)</f>
        <v>1</v>
      </c>
      <c r="H210" s="29"/>
      <c r="I210" s="27"/>
      <c r="J210" s="36">
        <f>SUM(J194:J205)</f>
        <v>2224427.92994</v>
      </c>
      <c r="K210" s="163">
        <f>SUM(K194:K208)</f>
        <v>1</v>
      </c>
      <c r="L210" s="24"/>
      <c r="M210" s="47">
        <f>J210-E210</f>
        <v>175259.66700000013</v>
      </c>
      <c r="N210" s="57">
        <f>M210/E210</f>
        <v>0.0855272210533605</v>
      </c>
    </row>
    <row r="211" spans="1:14" ht="12.75">
      <c r="A211" s="27"/>
      <c r="B211" s="27"/>
      <c r="C211" s="29"/>
      <c r="D211" s="32"/>
      <c r="E211" s="27"/>
      <c r="F211" s="162"/>
      <c r="H211" s="29"/>
      <c r="I211" s="32"/>
      <c r="J211" s="27"/>
      <c r="K211" s="162"/>
      <c r="M211" s="26"/>
      <c r="N211" s="35"/>
    </row>
    <row r="212" spans="1:14" ht="12.75">
      <c r="A212" s="27" t="s">
        <v>19</v>
      </c>
      <c r="B212" s="27"/>
      <c r="C212" s="29"/>
      <c r="D212" s="32"/>
      <c r="E212" s="29">
        <v>360725</v>
      </c>
      <c r="F212" s="162"/>
      <c r="H212" s="29"/>
      <c r="I212" s="32"/>
      <c r="J212" s="29">
        <v>360725</v>
      </c>
      <c r="K212" s="162"/>
      <c r="M212" s="26">
        <f>J212-E212</f>
        <v>0</v>
      </c>
      <c r="N212" s="35">
        <f>M212/E212</f>
        <v>0</v>
      </c>
    </row>
    <row r="213" spans="1:14" ht="12.75">
      <c r="A213" s="27" t="s">
        <v>20</v>
      </c>
      <c r="B213" s="27"/>
      <c r="C213" s="29"/>
      <c r="D213" s="32"/>
      <c r="E213" s="33">
        <v>182723</v>
      </c>
      <c r="F213" s="163"/>
      <c r="H213" s="29"/>
      <c r="I213" s="32"/>
      <c r="J213" s="33">
        <v>182723</v>
      </c>
      <c r="K213" s="163"/>
      <c r="M213" s="50">
        <f>J213-E213</f>
        <v>0</v>
      </c>
      <c r="N213" s="59">
        <f>M213/E213</f>
        <v>0</v>
      </c>
    </row>
    <row r="214" spans="1:14" ht="12.75">
      <c r="A214" s="27"/>
      <c r="B214" s="27"/>
      <c r="C214" s="29"/>
      <c r="D214" s="32"/>
      <c r="E214" s="45"/>
      <c r="F214" s="163"/>
      <c r="G214" s="24"/>
      <c r="H214" s="45"/>
      <c r="I214" s="72"/>
      <c r="J214" s="45"/>
      <c r="K214" s="163"/>
      <c r="L214" s="24"/>
      <c r="M214" s="73"/>
      <c r="N214" s="74"/>
    </row>
    <row r="215" spans="1:14" ht="13.5" thickBot="1">
      <c r="A215" s="27" t="s">
        <v>21</v>
      </c>
      <c r="B215" s="27"/>
      <c r="C215" s="29"/>
      <c r="D215" s="27"/>
      <c r="E215" s="75">
        <f>SUM(E210:E213)</f>
        <v>2592616.26294</v>
      </c>
      <c r="F215" s="163"/>
      <c r="G215" s="24"/>
      <c r="H215" s="45"/>
      <c r="I215" s="46"/>
      <c r="J215" s="75">
        <f>SUM(J210:J213)</f>
        <v>2767875.92994</v>
      </c>
      <c r="K215" s="163"/>
      <c r="L215" s="24"/>
      <c r="M215" s="43">
        <f>J215-E215</f>
        <v>175259.66700000037</v>
      </c>
      <c r="N215" s="52">
        <f>M215/E215</f>
        <v>0.06759954008822645</v>
      </c>
    </row>
    <row r="216" spans="1:14" ht="13.5" thickTop="1">
      <c r="A216" s="27"/>
      <c r="B216" s="27"/>
      <c r="C216" s="27"/>
      <c r="D216" s="27"/>
      <c r="E216" s="27"/>
      <c r="F216" s="162"/>
      <c r="N216" s="35"/>
    </row>
    <row r="217" spans="1:14" ht="12.75">
      <c r="A217" s="27" t="s">
        <v>22</v>
      </c>
      <c r="B217" s="27"/>
      <c r="E217" s="61">
        <f>E215/C194</f>
        <v>185186.8759242857</v>
      </c>
      <c r="G217" s="61"/>
      <c r="H217" s="61"/>
      <c r="I217" s="61"/>
      <c r="J217" s="61">
        <f>J215/H194</f>
        <v>197705.42356714286</v>
      </c>
      <c r="L217" s="61"/>
      <c r="M217" s="41">
        <f>J217-E217</f>
        <v>12518.547642857156</v>
      </c>
      <c r="N217" s="35">
        <f>M217/E217</f>
        <v>0.06759954008822638</v>
      </c>
    </row>
    <row r="218" spans="1:13" ht="12.75" hidden="1">
      <c r="A218" s="27"/>
      <c r="B218" s="27"/>
      <c r="E218" s="40"/>
      <c r="J218" s="40"/>
      <c r="M218" s="40"/>
    </row>
    <row r="219" spans="2:14" ht="12.75" hidden="1">
      <c r="B219" s="22"/>
      <c r="C219" s="22"/>
      <c r="D219" s="22"/>
      <c r="E219" s="22"/>
      <c r="F219" s="156"/>
      <c r="G219" s="22"/>
      <c r="H219" s="22" t="str">
        <f>H4</f>
        <v>South Kentucky Rural Electric</v>
      </c>
      <c r="I219" s="22"/>
      <c r="J219" s="22"/>
      <c r="K219" s="156"/>
      <c r="L219" s="22"/>
      <c r="M219" s="22"/>
      <c r="N219" s="22"/>
    </row>
    <row r="220" spans="2:14" ht="12.75" hidden="1">
      <c r="B220" s="22"/>
      <c r="C220" s="22"/>
      <c r="D220" s="22"/>
      <c r="E220" s="22"/>
      <c r="F220" s="156"/>
      <c r="G220" s="22"/>
      <c r="H220" s="22" t="str">
        <f>H5</f>
        <v>Billing Analysis</v>
      </c>
      <c r="I220" s="22"/>
      <c r="J220" s="22"/>
      <c r="K220" s="156"/>
      <c r="L220" s="22"/>
      <c r="M220" s="22"/>
      <c r="N220" s="22"/>
    </row>
    <row r="221" spans="2:14" ht="12.75" hidden="1">
      <c r="B221" s="22"/>
      <c r="C221" s="22"/>
      <c r="D221" s="22"/>
      <c r="E221" s="22"/>
      <c r="F221" s="156"/>
      <c r="G221" s="22"/>
      <c r="H221" s="22" t="str">
        <f>H6</f>
        <v>for the 12 months ended September 30, 2006</v>
      </c>
      <c r="I221" s="22"/>
      <c r="J221" s="22"/>
      <c r="K221" s="156"/>
      <c r="L221" s="22"/>
      <c r="M221" s="22"/>
      <c r="N221" s="22"/>
    </row>
    <row r="222" spans="2:8" ht="12.75">
      <c r="B222" s="4"/>
      <c r="C222" s="4"/>
      <c r="D222" s="4"/>
      <c r="E222" s="4"/>
      <c r="F222" s="157"/>
      <c r="H222" s="4"/>
    </row>
    <row r="223" spans="2:14" ht="12.75">
      <c r="B223" s="22"/>
      <c r="C223" s="22"/>
      <c r="D223" s="22"/>
      <c r="E223" s="22"/>
      <c r="F223" s="156"/>
      <c r="G223" s="22"/>
      <c r="H223" s="22" t="s">
        <v>47</v>
      </c>
      <c r="I223" s="22"/>
      <c r="J223" s="22"/>
      <c r="K223" s="156"/>
      <c r="L223" s="22"/>
      <c r="M223" s="22"/>
      <c r="N223" s="22"/>
    </row>
    <row r="224" spans="2:14" ht="12.75">
      <c r="B224" s="22"/>
      <c r="C224" s="22"/>
      <c r="D224" s="22"/>
      <c r="E224" s="22"/>
      <c r="F224" s="156"/>
      <c r="G224" s="22"/>
      <c r="H224" s="22" t="s">
        <v>48</v>
      </c>
      <c r="I224" s="22"/>
      <c r="J224" s="22"/>
      <c r="K224" s="156"/>
      <c r="L224" s="22"/>
      <c r="M224" s="22"/>
      <c r="N224" s="22"/>
    </row>
    <row r="225" spans="2:14" ht="12.75">
      <c r="B225" s="22"/>
      <c r="C225" s="22"/>
      <c r="D225" s="22"/>
      <c r="E225" s="22"/>
      <c r="F225" s="156"/>
      <c r="G225" s="22"/>
      <c r="H225" s="22" t="s">
        <v>0</v>
      </c>
      <c r="I225" s="22"/>
      <c r="J225" s="22"/>
      <c r="K225" s="156"/>
      <c r="L225" s="22"/>
      <c r="M225" s="22"/>
      <c r="N225" s="22"/>
    </row>
    <row r="226" spans="1:6" ht="12.75">
      <c r="A226" s="4"/>
      <c r="B226" s="4"/>
      <c r="C226" s="4"/>
      <c r="D226" s="4"/>
      <c r="E226" s="4"/>
      <c r="F226" s="157"/>
    </row>
    <row r="227" spans="1:14" ht="12.75">
      <c r="A227" s="27"/>
      <c r="B227" s="27"/>
      <c r="C227" s="149" t="s">
        <v>1</v>
      </c>
      <c r="D227" s="150"/>
      <c r="E227" s="150"/>
      <c r="F227" s="158"/>
      <c r="H227" s="149" t="s">
        <v>2</v>
      </c>
      <c r="I227" s="150"/>
      <c r="J227" s="150"/>
      <c r="K227" s="158"/>
      <c r="M227" s="6" t="s">
        <v>3</v>
      </c>
      <c r="N227" s="6" t="s">
        <v>4</v>
      </c>
    </row>
    <row r="228" spans="1:14" ht="12.75">
      <c r="A228" s="27"/>
      <c r="B228" s="27"/>
      <c r="C228" s="151"/>
      <c r="D228" s="152"/>
      <c r="E228" s="152"/>
      <c r="F228" s="159"/>
      <c r="H228" s="151"/>
      <c r="I228" s="152"/>
      <c r="J228" s="152"/>
      <c r="K228" s="159"/>
      <c r="M228" s="76"/>
      <c r="N228" s="76"/>
    </row>
    <row r="229" spans="1:14" ht="12.75">
      <c r="A229" s="27"/>
      <c r="B229" s="27"/>
      <c r="C229" s="153" t="s">
        <v>5</v>
      </c>
      <c r="D229" s="153" t="s">
        <v>6</v>
      </c>
      <c r="E229" s="153" t="s">
        <v>7</v>
      </c>
      <c r="F229" s="160" t="s">
        <v>180</v>
      </c>
      <c r="H229" s="153" t="s">
        <v>5</v>
      </c>
      <c r="I229" s="153" t="s">
        <v>2</v>
      </c>
      <c r="J229" s="153" t="s">
        <v>7</v>
      </c>
      <c r="K229" s="160" t="s">
        <v>180</v>
      </c>
      <c r="M229" s="76"/>
      <c r="N229" s="76"/>
    </row>
    <row r="230" spans="1:14" ht="12.75">
      <c r="A230" s="28"/>
      <c r="B230" s="28"/>
      <c r="C230" s="154" t="s">
        <v>8</v>
      </c>
      <c r="D230" s="154" t="s">
        <v>9</v>
      </c>
      <c r="E230" s="154" t="s">
        <v>10</v>
      </c>
      <c r="F230" s="161" t="s">
        <v>82</v>
      </c>
      <c r="H230" s="154" t="s">
        <v>8</v>
      </c>
      <c r="I230" s="154" t="s">
        <v>9</v>
      </c>
      <c r="J230" s="154" t="s">
        <v>10</v>
      </c>
      <c r="K230" s="161" t="s">
        <v>82</v>
      </c>
      <c r="M230" s="76"/>
      <c r="N230" s="76"/>
    </row>
    <row r="231" spans="13:14" ht="12.75">
      <c r="M231" s="76"/>
      <c r="N231" s="76"/>
    </row>
    <row r="232" spans="1:14" ht="12.75">
      <c r="A232" s="27" t="s">
        <v>11</v>
      </c>
      <c r="B232" s="27"/>
      <c r="C232" s="29">
        <v>56</v>
      </c>
      <c r="D232" s="30">
        <v>125</v>
      </c>
      <c r="E232" s="31">
        <f>D232*C232</f>
        <v>7000</v>
      </c>
      <c r="F232" s="162">
        <f>E232/E246</f>
        <v>0.002838566831210335</v>
      </c>
      <c r="H232" s="29">
        <v>56</v>
      </c>
      <c r="I232" s="30">
        <v>125</v>
      </c>
      <c r="J232" s="31">
        <f>I232*H232</f>
        <v>7000</v>
      </c>
      <c r="K232" s="162">
        <f>J232/J246</f>
        <v>0.002588745214096195</v>
      </c>
      <c r="M232" s="77">
        <f>J232-E232</f>
        <v>0</v>
      </c>
      <c r="N232" s="78">
        <f>M232/E232</f>
        <v>0</v>
      </c>
    </row>
    <row r="233" spans="1:14" ht="12.75">
      <c r="A233" s="27"/>
      <c r="B233" s="27"/>
      <c r="C233" s="29"/>
      <c r="D233" s="30"/>
      <c r="E233" s="31"/>
      <c r="F233" s="162"/>
      <c r="H233" s="29"/>
      <c r="I233" s="30"/>
      <c r="J233" s="31"/>
      <c r="K233" s="162"/>
      <c r="M233" s="77"/>
      <c r="N233" s="78"/>
    </row>
    <row r="234" spans="1:14" ht="12.75">
      <c r="A234" s="27" t="s">
        <v>12</v>
      </c>
      <c r="B234" s="27"/>
      <c r="C234" s="29">
        <v>23</v>
      </c>
      <c r="D234" s="30">
        <v>315</v>
      </c>
      <c r="E234" s="29">
        <f>D234*C234</f>
        <v>7245</v>
      </c>
      <c r="F234" s="162">
        <f>E234/E246</f>
        <v>0.002937916670302697</v>
      </c>
      <c r="H234" s="29">
        <v>23</v>
      </c>
      <c r="I234" s="65">
        <f>D234</f>
        <v>315</v>
      </c>
      <c r="J234" s="29">
        <f>I234*H234</f>
        <v>7245</v>
      </c>
      <c r="K234" s="162">
        <f>J234/J246</f>
        <v>0.0026793512965895623</v>
      </c>
      <c r="M234" s="77">
        <f aca="true" t="shared" si="11" ref="M234:M249">J234-E234</f>
        <v>0</v>
      </c>
      <c r="N234" s="78">
        <f aca="true" t="shared" si="12" ref="N234:N251">M234/E234</f>
        <v>0</v>
      </c>
    </row>
    <row r="235" spans="1:14" ht="12.75">
      <c r="A235" s="27" t="s">
        <v>12</v>
      </c>
      <c r="B235" s="27"/>
      <c r="C235" s="29">
        <v>34</v>
      </c>
      <c r="D235" s="30">
        <v>944</v>
      </c>
      <c r="E235" s="29">
        <f>D235*C235</f>
        <v>32096</v>
      </c>
      <c r="F235" s="162">
        <f>E235/E246</f>
        <v>0.013015234430646703</v>
      </c>
      <c r="H235" s="29">
        <v>34</v>
      </c>
      <c r="I235" s="65">
        <f>D235</f>
        <v>944</v>
      </c>
      <c r="J235" s="29">
        <f>I235*H235</f>
        <v>32096</v>
      </c>
      <c r="K235" s="162">
        <f>J235/J246</f>
        <v>0.011869766627375926</v>
      </c>
      <c r="M235" s="77">
        <f t="shared" si="11"/>
        <v>0</v>
      </c>
      <c r="N235" s="78">
        <f t="shared" si="12"/>
        <v>0</v>
      </c>
    </row>
    <row r="236" spans="1:14" ht="12.75">
      <c r="A236" s="27"/>
      <c r="B236" s="27"/>
      <c r="C236" s="29"/>
      <c r="D236" s="30"/>
      <c r="E236" s="29"/>
      <c r="F236" s="162"/>
      <c r="H236" s="29"/>
      <c r="I236" s="30"/>
      <c r="J236" s="29"/>
      <c r="K236" s="162"/>
      <c r="M236" s="77"/>
      <c r="N236" s="78"/>
    </row>
    <row r="237" spans="1:14" ht="12.75">
      <c r="A237" s="27" t="s">
        <v>13</v>
      </c>
      <c r="B237" s="27"/>
      <c r="C237" s="29"/>
      <c r="D237" s="30"/>
      <c r="E237" s="29"/>
      <c r="F237" s="162"/>
      <c r="H237" s="29"/>
      <c r="I237" s="30"/>
      <c r="J237" s="29"/>
      <c r="K237" s="162"/>
      <c r="M237" s="77"/>
      <c r="N237" s="78"/>
    </row>
    <row r="238" spans="1:16" ht="12.75">
      <c r="A238" s="27" t="s">
        <v>14</v>
      </c>
      <c r="B238" s="27"/>
      <c r="C238" s="29">
        <v>90073.6</v>
      </c>
      <c r="D238" s="30">
        <v>5.39</v>
      </c>
      <c r="E238" s="29">
        <f>D238*C238</f>
        <v>485496.704</v>
      </c>
      <c r="F238" s="162">
        <f>E238/E246</f>
        <v>0.1968735486623346</v>
      </c>
      <c r="H238" s="29">
        <v>90073.6</v>
      </c>
      <c r="I238" s="67">
        <v>7.29</v>
      </c>
      <c r="J238" s="29">
        <f>I238*H238</f>
        <v>656636.544</v>
      </c>
      <c r="K238" s="162">
        <f>J238/J246</f>
        <v>0.24283781581152367</v>
      </c>
      <c r="M238" s="77">
        <f t="shared" si="11"/>
        <v>171139.83999999997</v>
      </c>
      <c r="N238" s="78">
        <f t="shared" si="12"/>
        <v>0.35250463821892386</v>
      </c>
      <c r="P238" s="26">
        <f>M238</f>
        <v>171139.83999999997</v>
      </c>
    </row>
    <row r="239" spans="1:16" ht="12.75">
      <c r="A239" s="27" t="s">
        <v>15</v>
      </c>
      <c r="B239" s="27"/>
      <c r="C239" s="29">
        <v>35178.79</v>
      </c>
      <c r="D239" s="30">
        <v>7.82</v>
      </c>
      <c r="E239" s="29">
        <f>D239*C239</f>
        <v>275098.1378</v>
      </c>
      <c r="F239" s="162">
        <f>E239/E246</f>
        <v>0.11155492132668718</v>
      </c>
      <c r="H239" s="29">
        <v>35178.79</v>
      </c>
      <c r="I239" s="67">
        <v>9.72</v>
      </c>
      <c r="J239" s="29">
        <f>I239*H239</f>
        <v>341937.8388</v>
      </c>
      <c r="K239" s="162">
        <f>J239/J246</f>
        <v>0.12645570624455663</v>
      </c>
      <c r="M239" s="77">
        <f t="shared" si="11"/>
        <v>66839.701</v>
      </c>
      <c r="N239" s="78">
        <f t="shared" si="12"/>
        <v>0.24296675191815856</v>
      </c>
      <c r="P239" s="26">
        <f>M239</f>
        <v>66839.701</v>
      </c>
    </row>
    <row r="240" spans="1:14" ht="12.75">
      <c r="A240" s="27"/>
      <c r="B240" s="27"/>
      <c r="C240" s="70"/>
      <c r="D240" s="30"/>
      <c r="E240" s="29"/>
      <c r="F240" s="162"/>
      <c r="H240" s="70"/>
      <c r="I240" s="30"/>
      <c r="J240" s="29"/>
      <c r="K240" s="162"/>
      <c r="M240" s="77"/>
      <c r="N240" s="78"/>
    </row>
    <row r="241" spans="1:14" ht="12.75" hidden="1">
      <c r="A241" s="27" t="s">
        <v>16</v>
      </c>
      <c r="B241" s="27"/>
      <c r="C241" s="70">
        <v>0</v>
      </c>
      <c r="D241" s="30">
        <v>-3.15</v>
      </c>
      <c r="E241" s="29">
        <f>D241*C241</f>
        <v>0</v>
      </c>
      <c r="F241" s="162"/>
      <c r="H241" s="70">
        <v>0</v>
      </c>
      <c r="I241" s="30">
        <v>-3.15</v>
      </c>
      <c r="J241" s="29">
        <f>I241*H241</f>
        <v>0</v>
      </c>
      <c r="K241" s="162"/>
      <c r="M241" s="77"/>
      <c r="N241" s="78"/>
    </row>
    <row r="242" spans="1:14" ht="12.75" hidden="1">
      <c r="A242" s="27"/>
      <c r="B242" s="27"/>
      <c r="C242" s="70"/>
      <c r="D242" s="30"/>
      <c r="E242" s="29"/>
      <c r="F242" s="162"/>
      <c r="H242" s="70"/>
      <c r="I242" s="30"/>
      <c r="J242" s="29"/>
      <c r="K242" s="162"/>
      <c r="M242" s="77"/>
      <c r="N242" s="78"/>
    </row>
    <row r="243" spans="1:14" ht="12.75">
      <c r="A243" s="27" t="s">
        <v>72</v>
      </c>
      <c r="B243" s="27"/>
      <c r="C243" s="29">
        <v>48075843</v>
      </c>
      <c r="D243" s="32">
        <v>0.03451</v>
      </c>
      <c r="E243" s="29">
        <f>D243*C243</f>
        <v>1659097.3419299999</v>
      </c>
      <c r="F243" s="162">
        <f>E243/E246</f>
        <v>0.6727798120788185</v>
      </c>
      <c r="H243" s="29">
        <v>48075843</v>
      </c>
      <c r="I243" s="68">
        <f>D243</f>
        <v>0.03451</v>
      </c>
      <c r="J243" s="29">
        <f>I243*H243</f>
        <v>1659097.3419299999</v>
      </c>
      <c r="K243" s="162">
        <f>J243/J246</f>
        <v>0.613568614805858</v>
      </c>
      <c r="M243" s="77">
        <f t="shared" si="11"/>
        <v>0</v>
      </c>
      <c r="N243" s="78">
        <f t="shared" si="12"/>
        <v>0</v>
      </c>
    </row>
    <row r="244" spans="1:14" ht="12.75">
      <c r="A244" s="27"/>
      <c r="B244" s="27"/>
      <c r="C244" s="29"/>
      <c r="D244" s="27"/>
      <c r="E244" s="45"/>
      <c r="F244" s="163"/>
      <c r="G244" s="24"/>
      <c r="H244" s="45"/>
      <c r="I244" s="46"/>
      <c r="J244" s="45"/>
      <c r="K244" s="163"/>
      <c r="M244" s="77"/>
      <c r="N244" s="78"/>
    </row>
    <row r="245" spans="1:14" ht="12.75">
      <c r="A245" s="27"/>
      <c r="B245" s="27"/>
      <c r="C245" s="27"/>
      <c r="D245" s="27"/>
      <c r="E245" s="46"/>
      <c r="F245" s="163"/>
      <c r="G245" s="24"/>
      <c r="H245" s="46"/>
      <c r="I245" s="46"/>
      <c r="J245" s="46"/>
      <c r="K245" s="163"/>
      <c r="M245" s="77"/>
      <c r="N245" s="78"/>
    </row>
    <row r="246" spans="1:14" ht="12.75">
      <c r="A246" s="27" t="s">
        <v>18</v>
      </c>
      <c r="B246" s="27"/>
      <c r="C246" s="29"/>
      <c r="D246" s="27"/>
      <c r="E246" s="36">
        <f>SUM(E232:E243)</f>
        <v>2466033.1837299997</v>
      </c>
      <c r="F246" s="163">
        <f>SUM(F232:F244)</f>
        <v>1</v>
      </c>
      <c r="H246" s="29"/>
      <c r="I246" s="27"/>
      <c r="J246" s="36">
        <f>SUM(J232:J243)</f>
        <v>2704012.72473</v>
      </c>
      <c r="K246" s="163">
        <f>SUM(K232:K244)</f>
        <v>1</v>
      </c>
      <c r="M246" s="79">
        <f t="shared" si="11"/>
        <v>237979.5410000002</v>
      </c>
      <c r="N246" s="80">
        <f t="shared" si="12"/>
        <v>0.09650297594132295</v>
      </c>
    </row>
    <row r="247" spans="1:14" ht="12.75">
      <c r="A247" s="27"/>
      <c r="B247" s="27"/>
      <c r="C247" s="29"/>
      <c r="D247" s="32"/>
      <c r="E247" s="27"/>
      <c r="F247" s="162"/>
      <c r="H247" s="29"/>
      <c r="I247" s="32"/>
      <c r="J247" s="27"/>
      <c r="K247" s="162"/>
      <c r="M247" s="77"/>
      <c r="N247" s="78"/>
    </row>
    <row r="248" spans="1:14" ht="12.75">
      <c r="A248" s="27" t="s">
        <v>19</v>
      </c>
      <c r="B248" s="27"/>
      <c r="C248" s="29"/>
      <c r="D248" s="32"/>
      <c r="E248" s="29">
        <v>388405</v>
      </c>
      <c r="F248" s="162"/>
      <c r="H248" s="29"/>
      <c r="I248" s="32"/>
      <c r="J248" s="29">
        <v>388405</v>
      </c>
      <c r="K248" s="162"/>
      <c r="M248" s="77">
        <f t="shared" si="11"/>
        <v>0</v>
      </c>
      <c r="N248" s="78">
        <f t="shared" si="12"/>
        <v>0</v>
      </c>
    </row>
    <row r="249" spans="1:14" ht="12.75">
      <c r="A249" s="27" t="s">
        <v>20</v>
      </c>
      <c r="B249" s="27"/>
      <c r="C249" s="29"/>
      <c r="D249" s="32"/>
      <c r="E249" s="37">
        <v>187194</v>
      </c>
      <c r="F249" s="163"/>
      <c r="H249" s="29"/>
      <c r="I249" s="32"/>
      <c r="J249" s="37">
        <v>187194</v>
      </c>
      <c r="K249" s="163"/>
      <c r="M249" s="81">
        <f t="shared" si="11"/>
        <v>0</v>
      </c>
      <c r="N249" s="82">
        <f t="shared" si="12"/>
        <v>0</v>
      </c>
    </row>
    <row r="250" spans="1:14" ht="12.75">
      <c r="A250" s="27"/>
      <c r="B250" s="27"/>
      <c r="C250" s="29"/>
      <c r="D250" s="27"/>
      <c r="E250" s="27"/>
      <c r="F250" s="162"/>
      <c r="H250" s="29"/>
      <c r="I250" s="27"/>
      <c r="J250" s="27"/>
      <c r="K250" s="162"/>
      <c r="M250" s="77"/>
      <c r="N250" s="78"/>
    </row>
    <row r="251" spans="1:14" ht="13.5" thickBot="1">
      <c r="A251" s="27" t="s">
        <v>21</v>
      </c>
      <c r="B251" s="27"/>
      <c r="C251" s="29"/>
      <c r="D251" s="27"/>
      <c r="E251" s="38">
        <f>SUM(E246:E249)</f>
        <v>3041632.1837299997</v>
      </c>
      <c r="F251" s="163"/>
      <c r="H251" s="29"/>
      <c r="I251" s="27"/>
      <c r="J251" s="38">
        <f>SUM(J246:J249)</f>
        <v>3279611.72473</v>
      </c>
      <c r="K251" s="163"/>
      <c r="M251" s="66">
        <f>J251-E251</f>
        <v>237979.5410000002</v>
      </c>
      <c r="N251" s="83">
        <f t="shared" si="12"/>
        <v>0.0782407360998404</v>
      </c>
    </row>
    <row r="252" spans="1:14" ht="13.5" thickTop="1">
      <c r="A252" s="27"/>
      <c r="B252" s="27"/>
      <c r="C252" s="27"/>
      <c r="D252" s="27"/>
      <c r="E252" s="27"/>
      <c r="F252" s="162"/>
      <c r="N252" s="35"/>
    </row>
    <row r="253" spans="1:14" ht="12.75">
      <c r="A253" s="27" t="s">
        <v>22</v>
      </c>
      <c r="B253" s="27"/>
      <c r="E253" s="61">
        <f>E251/C232</f>
        <v>54314.86042375</v>
      </c>
      <c r="G253" s="61"/>
      <c r="H253" s="61"/>
      <c r="I253" s="61"/>
      <c r="J253" s="61">
        <f>J251/H232</f>
        <v>58564.49508446428</v>
      </c>
      <c r="L253" s="61"/>
      <c r="M253" s="41">
        <f>J253-E253</f>
        <v>4249.634660714284</v>
      </c>
      <c r="N253" s="35">
        <f>M253/E253</f>
        <v>0.07824073609984031</v>
      </c>
    </row>
    <row r="254" spans="1:14" ht="14.25">
      <c r="A254" s="27"/>
      <c r="B254" s="27"/>
      <c r="N254" s="128" t="s">
        <v>175</v>
      </c>
    </row>
    <row r="255" spans="1:14" ht="14.25">
      <c r="A255" s="27"/>
      <c r="B255" s="27"/>
      <c r="N255" s="128" t="s">
        <v>172</v>
      </c>
    </row>
    <row r="256" spans="1:14" ht="14.25">
      <c r="A256" s="27"/>
      <c r="B256" s="27"/>
      <c r="N256" s="128" t="s">
        <v>178</v>
      </c>
    </row>
    <row r="257" spans="2:14" ht="12.75">
      <c r="B257" s="22"/>
      <c r="C257" s="22"/>
      <c r="D257" s="22"/>
      <c r="E257" s="22"/>
      <c r="F257" s="156"/>
      <c r="G257" s="22"/>
      <c r="H257" s="22" t="str">
        <f>H4</f>
        <v>South Kentucky Rural Electric</v>
      </c>
      <c r="I257" s="22"/>
      <c r="J257" s="22"/>
      <c r="K257" s="156"/>
      <c r="L257" s="22"/>
      <c r="M257" s="22"/>
      <c r="N257" s="22"/>
    </row>
    <row r="258" spans="2:14" ht="12.75">
      <c r="B258" s="22"/>
      <c r="C258" s="22"/>
      <c r="D258" s="22"/>
      <c r="E258" s="22"/>
      <c r="F258" s="156"/>
      <c r="G258" s="22"/>
      <c r="H258" s="22" t="str">
        <f>H5</f>
        <v>Billing Analysis</v>
      </c>
      <c r="I258" s="22"/>
      <c r="J258" s="22"/>
      <c r="K258" s="156"/>
      <c r="L258" s="22"/>
      <c r="M258" s="22"/>
      <c r="N258" s="22"/>
    </row>
    <row r="259" spans="2:14" ht="12.75">
      <c r="B259" s="22"/>
      <c r="C259" s="22"/>
      <c r="D259" s="22"/>
      <c r="E259" s="22"/>
      <c r="F259" s="156"/>
      <c r="G259" s="22"/>
      <c r="H259" s="22" t="str">
        <f>H6</f>
        <v>for the 12 months ended September 30, 2006</v>
      </c>
      <c r="I259" s="22"/>
      <c r="J259" s="22"/>
      <c r="K259" s="156"/>
      <c r="L259" s="22"/>
      <c r="M259" s="22"/>
      <c r="N259" s="22"/>
    </row>
    <row r="260" spans="2:8" ht="12.75">
      <c r="B260" s="4"/>
      <c r="C260" s="4"/>
      <c r="D260" s="4"/>
      <c r="E260" s="4"/>
      <c r="F260" s="157"/>
      <c r="H260" s="4"/>
    </row>
    <row r="261" spans="2:14" ht="12.75">
      <c r="B261" s="22"/>
      <c r="C261" s="22"/>
      <c r="D261" s="22"/>
      <c r="E261" s="22"/>
      <c r="F261" s="156"/>
      <c r="G261" s="22"/>
      <c r="H261" s="22" t="s">
        <v>49</v>
      </c>
      <c r="I261" s="22"/>
      <c r="J261" s="22"/>
      <c r="K261" s="156"/>
      <c r="L261" s="22"/>
      <c r="M261" s="22"/>
      <c r="N261" s="22"/>
    </row>
    <row r="262" spans="2:14" ht="12.75">
      <c r="B262" s="22"/>
      <c r="C262" s="22"/>
      <c r="D262" s="22"/>
      <c r="E262" s="22"/>
      <c r="F262" s="156"/>
      <c r="G262" s="22"/>
      <c r="H262" s="22" t="s">
        <v>50</v>
      </c>
      <c r="I262" s="22"/>
      <c r="J262" s="22"/>
      <c r="K262" s="156"/>
      <c r="L262" s="22"/>
      <c r="M262" s="22"/>
      <c r="N262" s="22"/>
    </row>
    <row r="263" spans="2:14" ht="12.75">
      <c r="B263" s="22"/>
      <c r="C263" s="22"/>
      <c r="D263" s="22"/>
      <c r="E263" s="22"/>
      <c r="F263" s="156"/>
      <c r="G263" s="22"/>
      <c r="H263" s="22" t="s">
        <v>51</v>
      </c>
      <c r="I263" s="22"/>
      <c r="J263" s="22"/>
      <c r="K263" s="156"/>
      <c r="L263" s="22"/>
      <c r="M263" s="22"/>
      <c r="N263" s="22"/>
    </row>
    <row r="264" spans="1:6" ht="12.75">
      <c r="A264" s="4"/>
      <c r="B264" s="4"/>
      <c r="C264" s="4"/>
      <c r="D264" s="4"/>
      <c r="E264" s="4"/>
      <c r="F264" s="157"/>
    </row>
    <row r="265" spans="3:14" ht="12.75">
      <c r="C265" s="149" t="s">
        <v>1</v>
      </c>
      <c r="D265" s="150"/>
      <c r="E265" s="150"/>
      <c r="F265" s="158"/>
      <c r="H265" s="149" t="s">
        <v>2</v>
      </c>
      <c r="I265" s="150"/>
      <c r="J265" s="150"/>
      <c r="K265" s="158"/>
      <c r="M265" s="2" t="s">
        <v>3</v>
      </c>
      <c r="N265" s="5" t="s">
        <v>4</v>
      </c>
    </row>
    <row r="266" spans="1:11" ht="12.75">
      <c r="A266" s="27"/>
      <c r="B266" s="27"/>
      <c r="C266" s="151"/>
      <c r="D266" s="152"/>
      <c r="E266" s="152"/>
      <c r="F266" s="159"/>
      <c r="H266" s="151"/>
      <c r="I266" s="152"/>
      <c r="J266" s="152"/>
      <c r="K266" s="159"/>
    </row>
    <row r="267" spans="1:11" ht="12.75">
      <c r="A267" s="27"/>
      <c r="B267" s="27"/>
      <c r="C267" s="153" t="s">
        <v>5</v>
      </c>
      <c r="D267" s="153" t="s">
        <v>6</v>
      </c>
      <c r="E267" s="153" t="s">
        <v>7</v>
      </c>
      <c r="F267" s="160" t="s">
        <v>180</v>
      </c>
      <c r="H267" s="153" t="s">
        <v>5</v>
      </c>
      <c r="I267" s="153" t="s">
        <v>2</v>
      </c>
      <c r="J267" s="153" t="s">
        <v>7</v>
      </c>
      <c r="K267" s="160" t="s">
        <v>180</v>
      </c>
    </row>
    <row r="268" spans="1:11" ht="12.75">
      <c r="A268" s="28"/>
      <c r="B268" s="28"/>
      <c r="C268" s="154" t="s">
        <v>8</v>
      </c>
      <c r="D268" s="154" t="s">
        <v>9</v>
      </c>
      <c r="E268" s="154" t="s">
        <v>10</v>
      </c>
      <c r="F268" s="161" t="s">
        <v>82</v>
      </c>
      <c r="H268" s="154" t="s">
        <v>8</v>
      </c>
      <c r="I268" s="154" t="s">
        <v>9</v>
      </c>
      <c r="J268" s="154" t="s">
        <v>10</v>
      </c>
      <c r="K268" s="161" t="s">
        <v>82</v>
      </c>
    </row>
    <row r="270" spans="1:14" ht="12.75">
      <c r="A270" s="27" t="s">
        <v>52</v>
      </c>
      <c r="B270" s="27"/>
      <c r="C270" s="29">
        <v>7</v>
      </c>
      <c r="D270" s="30">
        <v>11.2</v>
      </c>
      <c r="E270" s="84">
        <f>D270*C270</f>
        <v>78.39999999999999</v>
      </c>
      <c r="F270" s="162">
        <f>E270/E286</f>
        <v>0.0019354272829728732</v>
      </c>
      <c r="H270" s="29">
        <v>7</v>
      </c>
      <c r="I270" s="30">
        <f>D270</f>
        <v>11.2</v>
      </c>
      <c r="J270" s="31">
        <f>I270*H270</f>
        <v>78.39999999999999</v>
      </c>
      <c r="K270" s="162">
        <f>J270/J286</f>
        <v>0.0018855704050280428</v>
      </c>
      <c r="M270" s="26">
        <f>J270-E270</f>
        <v>0</v>
      </c>
      <c r="N270" s="35">
        <f>M270/E270</f>
        <v>0</v>
      </c>
    </row>
    <row r="271" spans="1:14" ht="12.75">
      <c r="A271" s="27"/>
      <c r="B271" s="27"/>
      <c r="C271" s="29"/>
      <c r="D271" s="30"/>
      <c r="E271" s="31"/>
      <c r="F271" s="162"/>
      <c r="H271" s="29"/>
      <c r="I271" s="30"/>
      <c r="J271" s="31"/>
      <c r="K271" s="162"/>
      <c r="M271" s="26">
        <f aca="true" t="shared" si="13" ref="M271:M280">J271-E271</f>
        <v>0</v>
      </c>
      <c r="N271" s="35"/>
    </row>
    <row r="272" spans="1:14" ht="12.75">
      <c r="A272" s="85" t="s">
        <v>53</v>
      </c>
      <c r="B272" s="85"/>
      <c r="C272" s="86">
        <v>5</v>
      </c>
      <c r="D272" s="87">
        <v>600</v>
      </c>
      <c r="E272" s="88">
        <f>D272*C272</f>
        <v>3000</v>
      </c>
      <c r="F272" s="165">
        <f>E272/E286</f>
        <v>0.07405971746069669</v>
      </c>
      <c r="H272" s="86">
        <v>5</v>
      </c>
      <c r="I272" s="87">
        <v>600</v>
      </c>
      <c r="J272" s="88">
        <f>I272*H272</f>
        <v>3000</v>
      </c>
      <c r="K272" s="165">
        <f>J272/J286</f>
        <v>0.07215192876382817</v>
      </c>
      <c r="M272" s="26">
        <f t="shared" si="13"/>
        <v>0</v>
      </c>
      <c r="N272" s="35">
        <f aca="true" t="shared" si="14" ref="N272:N278">M272/E272</f>
        <v>0</v>
      </c>
    </row>
    <row r="273" spans="1:14" ht="12.75">
      <c r="A273" s="27"/>
      <c r="B273" s="27"/>
      <c r="C273" s="29"/>
      <c r="D273" s="30"/>
      <c r="E273" s="31"/>
      <c r="F273" s="162"/>
      <c r="H273" s="29"/>
      <c r="I273" s="30"/>
      <c r="J273" s="31"/>
      <c r="K273" s="162"/>
      <c r="M273" s="26">
        <f t="shared" si="13"/>
        <v>0</v>
      </c>
      <c r="N273" s="35"/>
    </row>
    <row r="274" spans="1:16" ht="12.75">
      <c r="A274" s="27" t="s">
        <v>37</v>
      </c>
      <c r="B274" s="27"/>
      <c r="C274" s="29">
        <v>2236.3</v>
      </c>
      <c r="D274" s="30">
        <v>11.49</v>
      </c>
      <c r="E274" s="31">
        <f>D274*C274</f>
        <v>25695.087000000003</v>
      </c>
      <c r="F274" s="162">
        <f>E274/E286</f>
        <v>0.6343236277826736</v>
      </c>
      <c r="H274" s="29">
        <v>2236.3</v>
      </c>
      <c r="I274" s="65">
        <f>D274</f>
        <v>11.49</v>
      </c>
      <c r="J274" s="31">
        <f>I274*H274</f>
        <v>25695.087000000003</v>
      </c>
      <c r="K274" s="162">
        <f>J274/J286</f>
        <v>0.6179833622681226</v>
      </c>
      <c r="M274" s="26">
        <f t="shared" si="13"/>
        <v>0</v>
      </c>
      <c r="N274" s="35">
        <f t="shared" si="14"/>
        <v>0</v>
      </c>
      <c r="P274" s="26">
        <f>M274</f>
        <v>0</v>
      </c>
    </row>
    <row r="275" spans="1:14" ht="12.75">
      <c r="A275" s="27"/>
      <c r="B275" s="27"/>
      <c r="C275" s="29"/>
      <c r="D275" s="30"/>
      <c r="E275" s="27"/>
      <c r="F275" s="162"/>
      <c r="H275" s="29"/>
      <c r="I275" s="30"/>
      <c r="J275" s="27"/>
      <c r="K275" s="162"/>
      <c r="M275" s="26">
        <f t="shared" si="13"/>
        <v>0</v>
      </c>
      <c r="N275" s="35"/>
    </row>
    <row r="276" spans="1:17" ht="12.75">
      <c r="A276" s="27" t="s">
        <v>54</v>
      </c>
      <c r="B276" s="29">
        <f>C276</f>
        <v>35700</v>
      </c>
      <c r="C276" s="29">
        <v>35700</v>
      </c>
      <c r="D276" s="32">
        <v>0.04503</v>
      </c>
      <c r="E276" s="29">
        <f>D276*C276</f>
        <v>1607.571</v>
      </c>
      <c r="F276" s="162">
        <f>E276/E286</f>
        <v>0.039685418019336546</v>
      </c>
      <c r="H276" s="29">
        <v>35700</v>
      </c>
      <c r="I276" s="34">
        <f>D276+R382</f>
        <v>0.04898232126661499</v>
      </c>
      <c r="J276" s="29">
        <f>I276*H276</f>
        <v>1748.6688692181551</v>
      </c>
      <c r="K276" s="162">
        <f>J276/J286</f>
        <v>0.04205661056111743</v>
      </c>
      <c r="M276" s="26">
        <f t="shared" si="13"/>
        <v>141.0978692181552</v>
      </c>
      <c r="N276" s="35">
        <f t="shared" si="14"/>
        <v>0.0877708475819452</v>
      </c>
      <c r="Q276" s="26">
        <f>M276</f>
        <v>141.0978692181552</v>
      </c>
    </row>
    <row r="277" spans="1:17" ht="12.75">
      <c r="A277" s="27" t="s">
        <v>55</v>
      </c>
      <c r="B277" s="29">
        <f>C277</f>
        <v>32200</v>
      </c>
      <c r="C277" s="29">
        <v>32200</v>
      </c>
      <c r="D277" s="32">
        <v>0.04397</v>
      </c>
      <c r="E277" s="29">
        <f>D277*C277</f>
        <v>1415.834</v>
      </c>
      <c r="F277" s="162">
        <f>E277/E286</f>
        <v>0.034952088670416014</v>
      </c>
      <c r="H277" s="29">
        <v>32200</v>
      </c>
      <c r="I277" s="34">
        <f>D277+R382</f>
        <v>0.04792232126661499</v>
      </c>
      <c r="J277" s="29">
        <f>I277*H277</f>
        <v>1543.0987447850027</v>
      </c>
      <c r="K277" s="162">
        <f>J277/J286</f>
        <v>0.0371125169030934</v>
      </c>
      <c r="M277" s="26">
        <f t="shared" si="13"/>
        <v>127.26474478500268</v>
      </c>
      <c r="N277" s="35">
        <f t="shared" si="14"/>
        <v>0.08988676976609028</v>
      </c>
      <c r="Q277" s="26">
        <f>M277</f>
        <v>127.26474478500268</v>
      </c>
    </row>
    <row r="278" spans="1:17" ht="12.75">
      <c r="A278" s="27" t="s">
        <v>56</v>
      </c>
      <c r="B278" s="29">
        <f>C278</f>
        <v>203100</v>
      </c>
      <c r="C278" s="29">
        <v>203100</v>
      </c>
      <c r="D278" s="32">
        <v>0.04289</v>
      </c>
      <c r="E278" s="29">
        <f>D278*C278</f>
        <v>8710.958999999999</v>
      </c>
      <c r="F278" s="162">
        <f>E278/E286</f>
        <v>0.2150437207839043</v>
      </c>
      <c r="H278" s="29">
        <v>203100</v>
      </c>
      <c r="I278" s="34">
        <f>D278+R382</f>
        <v>0.046842321266614986</v>
      </c>
      <c r="J278" s="29">
        <f>I278*H278</f>
        <v>9513.675449249504</v>
      </c>
      <c r="K278" s="162">
        <f>J278/J286</f>
        <v>0.2288100110988104</v>
      </c>
      <c r="M278" s="26">
        <f t="shared" si="13"/>
        <v>802.7164492495049</v>
      </c>
      <c r="N278" s="35">
        <f t="shared" si="14"/>
        <v>0.09215018108218681</v>
      </c>
      <c r="Q278" s="26">
        <f>M278</f>
        <v>802.7164492495049</v>
      </c>
    </row>
    <row r="279" spans="1:14" ht="12.75">
      <c r="A279" s="27" t="s">
        <v>57</v>
      </c>
      <c r="B279" s="29">
        <f>C279</f>
        <v>0</v>
      </c>
      <c r="C279" s="29">
        <v>0</v>
      </c>
      <c r="D279" s="32">
        <v>0.04236</v>
      </c>
      <c r="E279" s="29">
        <f>D279*C279</f>
        <v>0</v>
      </c>
      <c r="F279" s="162">
        <f>E279/E286</f>
        <v>0</v>
      </c>
      <c r="H279" s="29">
        <v>0</v>
      </c>
      <c r="I279" s="34">
        <f>D279+R382</f>
        <v>0.04631232126661499</v>
      </c>
      <c r="J279" s="29">
        <f>I279*H279</f>
        <v>0</v>
      </c>
      <c r="K279" s="162">
        <f>J279/J286</f>
        <v>0</v>
      </c>
      <c r="M279" s="26">
        <f t="shared" si="13"/>
        <v>0</v>
      </c>
      <c r="N279" s="35"/>
    </row>
    <row r="280" spans="1:14" ht="12.75">
      <c r="A280" s="27" t="s">
        <v>58</v>
      </c>
      <c r="B280" s="29">
        <f>C280</f>
        <v>0</v>
      </c>
      <c r="C280" s="29">
        <v>0</v>
      </c>
      <c r="D280" s="32">
        <v>0.04182</v>
      </c>
      <c r="E280" s="29">
        <f>D280*C280</f>
        <v>0</v>
      </c>
      <c r="F280" s="162">
        <f>E280/E286</f>
        <v>0</v>
      </c>
      <c r="H280" s="29">
        <v>0</v>
      </c>
      <c r="I280" s="34">
        <f>D280+R382</f>
        <v>0.04577232126661499</v>
      </c>
      <c r="J280" s="29">
        <f>I280*H280</f>
        <v>0</v>
      </c>
      <c r="K280" s="162">
        <f>J280/J286</f>
        <v>0</v>
      </c>
      <c r="M280" s="26">
        <f t="shared" si="13"/>
        <v>0</v>
      </c>
      <c r="N280" s="35"/>
    </row>
    <row r="281" spans="1:14" ht="12.75">
      <c r="A281" s="27" t="s">
        <v>58</v>
      </c>
      <c r="B281" s="27"/>
      <c r="C281" s="37"/>
      <c r="D281" s="32"/>
      <c r="E281" s="29"/>
      <c r="F281" s="162"/>
      <c r="H281" s="37"/>
      <c r="I281" s="32"/>
      <c r="J281" s="29"/>
      <c r="K281" s="162"/>
      <c r="N281" s="35"/>
    </row>
    <row r="282" spans="1:14" ht="12.75">
      <c r="A282" s="27"/>
      <c r="B282" s="27"/>
      <c r="C282" s="29"/>
      <c r="D282" s="32"/>
      <c r="E282" s="29"/>
      <c r="F282" s="162"/>
      <c r="H282" s="29"/>
      <c r="I282" s="32"/>
      <c r="J282" s="29"/>
      <c r="K282" s="162"/>
      <c r="N282" s="35"/>
    </row>
    <row r="283" spans="1:14" ht="13.5" thickBot="1">
      <c r="A283" s="27" t="s">
        <v>46</v>
      </c>
      <c r="B283" s="27"/>
      <c r="C283" s="71">
        <v>271000</v>
      </c>
      <c r="D283" s="32"/>
      <c r="E283" s="29"/>
      <c r="F283" s="162"/>
      <c r="H283" s="71">
        <v>271000</v>
      </c>
      <c r="I283" s="32"/>
      <c r="J283" s="29"/>
      <c r="K283" s="162"/>
      <c r="N283" s="35"/>
    </row>
    <row r="284" spans="1:14" ht="13.5" thickTop="1">
      <c r="A284" s="27"/>
      <c r="B284" s="27"/>
      <c r="C284" s="29"/>
      <c r="D284" s="27"/>
      <c r="E284" s="27"/>
      <c r="F284" s="162"/>
      <c r="H284" s="29"/>
      <c r="I284" s="27"/>
      <c r="J284" s="27"/>
      <c r="K284" s="162"/>
      <c r="N284" s="35"/>
    </row>
    <row r="285" spans="1:11" ht="12.75">
      <c r="A285" s="27"/>
      <c r="B285" s="27"/>
      <c r="C285" s="27"/>
      <c r="D285" s="27"/>
      <c r="E285" s="46"/>
      <c r="F285" s="163"/>
      <c r="G285" s="24"/>
      <c r="H285" s="46"/>
      <c r="I285" s="46"/>
      <c r="J285" s="46"/>
      <c r="K285" s="163"/>
    </row>
    <row r="286" spans="1:14" ht="12.75">
      <c r="A286" s="27" t="s">
        <v>18</v>
      </c>
      <c r="B286" s="27"/>
      <c r="C286" s="29"/>
      <c r="D286" s="27"/>
      <c r="E286" s="36">
        <f>SUM(E270:E284)</f>
        <v>40507.851</v>
      </c>
      <c r="F286" s="163">
        <f>SUM(F270:F284)</f>
        <v>1</v>
      </c>
      <c r="H286" s="29"/>
      <c r="I286" s="27"/>
      <c r="J286" s="36">
        <f>SUM(J270:J284)</f>
        <v>41578.930063252665</v>
      </c>
      <c r="K286" s="163">
        <f>SUM(K270:K284)</f>
        <v>0.9999999999999999</v>
      </c>
      <c r="L286" s="29"/>
      <c r="M286" s="36">
        <f>SUM(M270:M284)</f>
        <v>1071.0790632526628</v>
      </c>
      <c r="N286" s="57">
        <f>M286/E286</f>
        <v>0.026441270934186627</v>
      </c>
    </row>
    <row r="287" spans="1:11" ht="12.75">
      <c r="A287" s="27"/>
      <c r="B287" s="27"/>
      <c r="C287" s="29"/>
      <c r="D287" s="32"/>
      <c r="E287" s="27"/>
      <c r="F287" s="162"/>
      <c r="H287" s="29"/>
      <c r="I287" s="32"/>
      <c r="J287" s="27"/>
      <c r="K287" s="162"/>
    </row>
    <row r="288" spans="1:14" ht="12.75">
      <c r="A288" s="27" t="s">
        <v>19</v>
      </c>
      <c r="B288" s="27"/>
      <c r="C288" s="29"/>
      <c r="D288" s="32"/>
      <c r="E288" s="29">
        <v>2267</v>
      </c>
      <c r="F288" s="162"/>
      <c r="H288" s="29"/>
      <c r="I288" s="32"/>
      <c r="J288" s="29">
        <v>2267</v>
      </c>
      <c r="K288" s="162"/>
      <c r="M288" s="26">
        <f>J288-E288</f>
        <v>0</v>
      </c>
      <c r="N288" s="35">
        <f>M288/E288</f>
        <v>0</v>
      </c>
    </row>
    <row r="289" spans="1:14" ht="12.75">
      <c r="A289" s="27" t="s">
        <v>20</v>
      </c>
      <c r="B289" s="27"/>
      <c r="C289" s="29"/>
      <c r="D289" s="32"/>
      <c r="E289" s="37">
        <v>2689</v>
      </c>
      <c r="F289" s="163"/>
      <c r="H289" s="29"/>
      <c r="I289" s="32"/>
      <c r="J289" s="37">
        <v>2689</v>
      </c>
      <c r="K289" s="163"/>
      <c r="M289" s="50">
        <f>J289-E289</f>
        <v>0</v>
      </c>
      <c r="N289" s="59">
        <f>M289/E289</f>
        <v>0</v>
      </c>
    </row>
    <row r="290" spans="1:11" ht="12.75">
      <c r="A290" s="27"/>
      <c r="B290" s="27"/>
      <c r="C290" s="29"/>
      <c r="D290" s="27"/>
      <c r="E290" s="27"/>
      <c r="F290" s="162"/>
      <c r="H290" s="29"/>
      <c r="I290" s="27"/>
      <c r="J290" s="27"/>
      <c r="K290" s="162"/>
    </row>
    <row r="291" spans="1:14" ht="13.5" thickBot="1">
      <c r="A291" s="27" t="s">
        <v>21</v>
      </c>
      <c r="B291" s="27"/>
      <c r="C291" s="29"/>
      <c r="D291" s="27"/>
      <c r="E291" s="38">
        <f>SUM(E286:E289)</f>
        <v>45463.851</v>
      </c>
      <c r="F291" s="163"/>
      <c r="H291" s="29"/>
      <c r="I291" s="27"/>
      <c r="J291" s="38">
        <f>SUM(J286:J289)</f>
        <v>46534.930063252665</v>
      </c>
      <c r="K291" s="163"/>
      <c r="M291" s="66">
        <f>J291-E291</f>
        <v>1071.0790632526623</v>
      </c>
      <c r="N291" s="52">
        <f>M291/E291</f>
        <v>0.023558916363082886</v>
      </c>
    </row>
    <row r="292" spans="1:6" ht="13.5" thickTop="1">
      <c r="A292" s="27"/>
      <c r="B292" s="27"/>
      <c r="C292" s="27"/>
      <c r="D292" s="27"/>
      <c r="E292" s="27"/>
      <c r="F292" s="162"/>
    </row>
    <row r="293" spans="1:14" ht="12.75">
      <c r="A293" s="27" t="s">
        <v>22</v>
      </c>
      <c r="B293" s="27"/>
      <c r="E293" s="61">
        <f>E291/C270</f>
        <v>6494.835857142857</v>
      </c>
      <c r="G293" s="61"/>
      <c r="H293" s="61"/>
      <c r="I293" s="61"/>
      <c r="J293" s="61">
        <f>J291/H270</f>
        <v>6647.847151893237</v>
      </c>
      <c r="L293" s="61"/>
      <c r="M293" s="41">
        <f>J293-E293</f>
        <v>153.01129475038033</v>
      </c>
      <c r="N293" s="35">
        <f>M293/E293</f>
        <v>0.02355891636308289</v>
      </c>
    </row>
    <row r="294" spans="1:2" ht="12.75">
      <c r="A294" s="27"/>
      <c r="B294" s="27"/>
    </row>
    <row r="295" spans="2:14" ht="12.75" hidden="1">
      <c r="B295" s="22"/>
      <c r="C295" s="22"/>
      <c r="D295" s="22"/>
      <c r="E295" s="22"/>
      <c r="F295" s="156"/>
      <c r="G295" s="22"/>
      <c r="H295" s="22" t="str">
        <f>H4</f>
        <v>South Kentucky Rural Electric</v>
      </c>
      <c r="I295" s="22"/>
      <c r="J295" s="22"/>
      <c r="K295" s="156"/>
      <c r="L295" s="22"/>
      <c r="M295" s="22"/>
      <c r="N295" s="22"/>
    </row>
    <row r="296" spans="2:14" ht="12.75" hidden="1">
      <c r="B296" s="22"/>
      <c r="C296" s="22"/>
      <c r="D296" s="22"/>
      <c r="E296" s="22"/>
      <c r="F296" s="156"/>
      <c r="G296" s="22"/>
      <c r="H296" s="22" t="str">
        <f>H5</f>
        <v>Billing Analysis</v>
      </c>
      <c r="I296" s="22"/>
      <c r="J296" s="22"/>
      <c r="K296" s="156"/>
      <c r="L296" s="22"/>
      <c r="M296" s="22"/>
      <c r="N296" s="22"/>
    </row>
    <row r="297" spans="2:14" ht="12.75" hidden="1">
      <c r="B297" s="22"/>
      <c r="C297" s="22"/>
      <c r="D297" s="22"/>
      <c r="E297" s="22"/>
      <c r="F297" s="156"/>
      <c r="G297" s="22"/>
      <c r="H297" s="22" t="str">
        <f>H6</f>
        <v>for the 12 months ended September 30, 2006</v>
      </c>
      <c r="I297" s="22"/>
      <c r="J297" s="22"/>
      <c r="K297" s="156"/>
      <c r="L297" s="22"/>
      <c r="M297" s="22"/>
      <c r="N297" s="22"/>
    </row>
    <row r="298" spans="2:8" ht="12.75" hidden="1">
      <c r="B298" s="4"/>
      <c r="C298" s="4"/>
      <c r="D298" s="4"/>
      <c r="E298" s="4"/>
      <c r="F298" s="157"/>
      <c r="H298" s="4"/>
    </row>
    <row r="299" spans="2:14" ht="12.75">
      <c r="B299" s="22"/>
      <c r="C299" s="22"/>
      <c r="D299" s="22"/>
      <c r="E299" s="22"/>
      <c r="F299" s="156"/>
      <c r="G299" s="22"/>
      <c r="H299" s="22" t="s">
        <v>59</v>
      </c>
      <c r="I299" s="22"/>
      <c r="J299" s="22"/>
      <c r="K299" s="156"/>
      <c r="L299" s="22"/>
      <c r="M299" s="22"/>
      <c r="N299" s="22"/>
    </row>
    <row r="300" spans="2:14" ht="12.75">
      <c r="B300" s="22"/>
      <c r="C300" s="22"/>
      <c r="D300" s="22"/>
      <c r="E300" s="22"/>
      <c r="F300" s="156"/>
      <c r="G300" s="22"/>
      <c r="H300" s="22" t="s">
        <v>60</v>
      </c>
      <c r="I300" s="22"/>
      <c r="J300" s="22"/>
      <c r="K300" s="156"/>
      <c r="L300" s="22"/>
      <c r="M300" s="22"/>
      <c r="N300" s="22"/>
    </row>
    <row r="301" spans="2:14" ht="12.75">
      <c r="B301" s="22"/>
      <c r="C301" s="22"/>
      <c r="D301" s="22"/>
      <c r="E301" s="22"/>
      <c r="F301" s="156"/>
      <c r="G301" s="22"/>
      <c r="H301" s="22" t="s">
        <v>61</v>
      </c>
      <c r="I301" s="22"/>
      <c r="J301" s="22"/>
      <c r="K301" s="156"/>
      <c r="L301" s="22"/>
      <c r="M301" s="22"/>
      <c r="N301" s="22"/>
    </row>
    <row r="302" spans="1:6" ht="12.75">
      <c r="A302" s="4"/>
      <c r="B302" s="4"/>
      <c r="C302" s="4"/>
      <c r="D302" s="4"/>
      <c r="E302" s="4"/>
      <c r="F302" s="157"/>
    </row>
    <row r="303" spans="3:14" ht="12.75">
      <c r="C303" s="149" t="s">
        <v>1</v>
      </c>
      <c r="D303" s="150"/>
      <c r="E303" s="150"/>
      <c r="F303" s="158"/>
      <c r="H303" s="149" t="s">
        <v>2</v>
      </c>
      <c r="I303" s="150"/>
      <c r="J303" s="150"/>
      <c r="K303" s="158"/>
      <c r="M303" s="2" t="s">
        <v>3</v>
      </c>
      <c r="N303" s="5" t="s">
        <v>4</v>
      </c>
    </row>
    <row r="304" spans="1:11" ht="12.75">
      <c r="A304" s="27"/>
      <c r="B304" s="27"/>
      <c r="C304" s="151"/>
      <c r="D304" s="152"/>
      <c r="E304" s="152"/>
      <c r="F304" s="159"/>
      <c r="H304" s="151"/>
      <c r="I304" s="152"/>
      <c r="J304" s="152"/>
      <c r="K304" s="159"/>
    </row>
    <row r="305" spans="1:11" ht="12.75">
      <c r="A305" s="27"/>
      <c r="B305" s="27"/>
      <c r="C305" s="153" t="s">
        <v>5</v>
      </c>
      <c r="D305" s="153" t="s">
        <v>6</v>
      </c>
      <c r="E305" s="153" t="s">
        <v>7</v>
      </c>
      <c r="F305" s="160" t="s">
        <v>180</v>
      </c>
      <c r="H305" s="153" t="s">
        <v>5</v>
      </c>
      <c r="I305" s="153" t="s">
        <v>2</v>
      </c>
      <c r="J305" s="153" t="s">
        <v>7</v>
      </c>
      <c r="K305" s="160" t="s">
        <v>180</v>
      </c>
    </row>
    <row r="306" spans="1:11" ht="12.75">
      <c r="A306" s="28"/>
      <c r="B306" s="28"/>
      <c r="C306" s="154" t="s">
        <v>8</v>
      </c>
      <c r="D306" s="154" t="s">
        <v>9</v>
      </c>
      <c r="E306" s="154" t="s">
        <v>10</v>
      </c>
      <c r="F306" s="161" t="s">
        <v>82</v>
      </c>
      <c r="H306" s="154" t="s">
        <v>8</v>
      </c>
      <c r="I306" s="154" t="s">
        <v>9</v>
      </c>
      <c r="J306" s="154" t="s">
        <v>10</v>
      </c>
      <c r="K306" s="161" t="s">
        <v>82</v>
      </c>
    </row>
    <row r="308" spans="1:11" ht="12.75">
      <c r="A308" s="27"/>
      <c r="B308" s="27"/>
      <c r="C308" s="29"/>
      <c r="D308" s="27"/>
      <c r="E308" s="27"/>
      <c r="F308" s="162"/>
      <c r="H308" s="29"/>
      <c r="I308" s="27"/>
      <c r="J308" s="27"/>
      <c r="K308" s="162"/>
    </row>
    <row r="309" spans="1:14" ht="12.75">
      <c r="A309" s="27" t="s">
        <v>27</v>
      </c>
      <c r="B309" s="27"/>
      <c r="C309" s="29">
        <v>1872</v>
      </c>
      <c r="D309" s="30">
        <v>30</v>
      </c>
      <c r="E309" s="31">
        <f>D309*C309</f>
        <v>56160</v>
      </c>
      <c r="F309" s="162">
        <f>E309/E314</f>
        <v>0.04215315490640241</v>
      </c>
      <c r="H309" s="29">
        <v>1872</v>
      </c>
      <c r="I309" s="30">
        <v>30</v>
      </c>
      <c r="J309" s="31">
        <f>I309*H309</f>
        <v>56160</v>
      </c>
      <c r="K309" s="162">
        <f>J309/J314</f>
        <v>0.04017290357196938</v>
      </c>
      <c r="M309" s="55">
        <f>J309-E309</f>
        <v>0</v>
      </c>
      <c r="N309" s="35">
        <f>M309/E309</f>
        <v>0</v>
      </c>
    </row>
    <row r="310" spans="1:14" ht="12.75">
      <c r="A310" s="27"/>
      <c r="B310" s="27"/>
      <c r="C310" s="29"/>
      <c r="D310" s="30"/>
      <c r="E310" s="27"/>
      <c r="F310" s="162"/>
      <c r="H310" s="29"/>
      <c r="I310" s="30"/>
      <c r="J310" s="27"/>
      <c r="K310" s="162"/>
      <c r="M310" s="55"/>
      <c r="N310" s="35"/>
    </row>
    <row r="311" spans="1:17" ht="12.75">
      <c r="A311" s="27" t="s">
        <v>17</v>
      </c>
      <c r="B311" s="29">
        <f>C311</f>
        <v>16616206</v>
      </c>
      <c r="C311" s="29">
        <v>16616206</v>
      </c>
      <c r="D311" s="32">
        <v>0.07680000000000001</v>
      </c>
      <c r="E311" s="29">
        <f>D311*C311</f>
        <v>1276124.6208000001</v>
      </c>
      <c r="F311" s="162">
        <f>E311/E314</f>
        <v>0.9578468450935976</v>
      </c>
      <c r="H311" s="29">
        <v>16616206</v>
      </c>
      <c r="I311" s="34">
        <f>D311+$R$382</f>
        <v>0.080752321266615</v>
      </c>
      <c r="J311" s="29">
        <f>I311*H311</f>
        <v>1341797.2051442557</v>
      </c>
      <c r="K311" s="162">
        <f>J311/J314</f>
        <v>0.9598270964280307</v>
      </c>
      <c r="M311" s="55">
        <f aca="true" t="shared" si="15" ref="M311:M319">J311-E311</f>
        <v>65672.5843442555</v>
      </c>
      <c r="N311" s="35">
        <f aca="true" t="shared" si="16" ref="N311:N319">M311/E311</f>
        <v>0.05146251649238261</v>
      </c>
      <c r="Q311" s="26">
        <f>M311</f>
        <v>65672.5843442555</v>
      </c>
    </row>
    <row r="312" spans="1:14" ht="12.75">
      <c r="A312" s="27"/>
      <c r="B312" s="27"/>
      <c r="C312" s="29"/>
      <c r="D312" s="27"/>
      <c r="E312" s="45"/>
      <c r="F312" s="163"/>
      <c r="G312" s="24"/>
      <c r="H312" s="45"/>
      <c r="I312" s="46"/>
      <c r="J312" s="45"/>
      <c r="K312" s="163"/>
      <c r="M312" s="55"/>
      <c r="N312" s="35"/>
    </row>
    <row r="313" spans="5:14" ht="12.75">
      <c r="E313" s="24"/>
      <c r="F313" s="74"/>
      <c r="G313" s="24"/>
      <c r="H313" s="24"/>
      <c r="I313" s="24"/>
      <c r="J313" s="24"/>
      <c r="K313" s="74"/>
      <c r="M313" s="55"/>
      <c r="N313" s="35"/>
    </row>
    <row r="314" spans="1:14" ht="12.75">
      <c r="A314" s="27" t="s">
        <v>18</v>
      </c>
      <c r="B314" s="27"/>
      <c r="C314" s="29"/>
      <c r="D314" s="27"/>
      <c r="E314" s="36">
        <f>SUM(E309:E311)</f>
        <v>1332284.6208000001</v>
      </c>
      <c r="F314" s="163">
        <f>SUM(F309:F312)</f>
        <v>1</v>
      </c>
      <c r="G314" s="24"/>
      <c r="H314" s="45"/>
      <c r="I314" s="46"/>
      <c r="J314" s="36">
        <f>SUM(J309:J311)</f>
        <v>1397957.2051442557</v>
      </c>
      <c r="K314" s="163">
        <f>SUM(K309:K312)</f>
        <v>1</v>
      </c>
      <c r="L314" s="24"/>
      <c r="M314" s="56">
        <f t="shared" si="15"/>
        <v>65672.5843442555</v>
      </c>
      <c r="N314" s="57">
        <f t="shared" si="16"/>
        <v>0.04929320906280591</v>
      </c>
    </row>
    <row r="315" spans="1:14" ht="12.75">
      <c r="A315" s="27"/>
      <c r="B315" s="27"/>
      <c r="C315" s="29"/>
      <c r="D315" s="32"/>
      <c r="E315" s="27"/>
      <c r="F315" s="162"/>
      <c r="H315" s="29"/>
      <c r="I315" s="32"/>
      <c r="J315" s="27"/>
      <c r="K315" s="162"/>
      <c r="M315" s="55"/>
      <c r="N315" s="35"/>
    </row>
    <row r="316" spans="1:14" ht="12.75">
      <c r="A316" s="27" t="s">
        <v>19</v>
      </c>
      <c r="B316" s="27"/>
      <c r="C316" s="29"/>
      <c r="D316" s="32"/>
      <c r="E316" s="29">
        <v>136669</v>
      </c>
      <c r="F316" s="162"/>
      <c r="H316" s="29"/>
      <c r="I316" s="32"/>
      <c r="J316" s="29">
        <v>136669</v>
      </c>
      <c r="K316" s="162"/>
      <c r="M316" s="55">
        <f t="shared" si="15"/>
        <v>0</v>
      </c>
      <c r="N316" s="35">
        <f t="shared" si="16"/>
        <v>0</v>
      </c>
    </row>
    <row r="317" spans="1:14" ht="12.75">
      <c r="A317" s="27" t="s">
        <v>20</v>
      </c>
      <c r="B317" s="27"/>
      <c r="C317" s="29"/>
      <c r="D317" s="32"/>
      <c r="E317" s="37">
        <v>102886</v>
      </c>
      <c r="F317" s="163"/>
      <c r="H317" s="29"/>
      <c r="I317" s="32"/>
      <c r="J317" s="37">
        <v>102886</v>
      </c>
      <c r="K317" s="163"/>
      <c r="M317" s="58">
        <f t="shared" si="15"/>
        <v>0</v>
      </c>
      <c r="N317" s="59">
        <f t="shared" si="16"/>
        <v>0</v>
      </c>
    </row>
    <row r="318" spans="1:14" ht="12.75">
      <c r="A318" s="27"/>
      <c r="B318" s="27"/>
      <c r="C318" s="29"/>
      <c r="D318" s="27"/>
      <c r="E318" s="27"/>
      <c r="F318" s="162"/>
      <c r="H318" s="29"/>
      <c r="I318" s="27"/>
      <c r="J318" s="27"/>
      <c r="K318" s="162"/>
      <c r="M318" s="55"/>
      <c r="N318" s="35"/>
    </row>
    <row r="319" spans="1:14" ht="13.5" thickBot="1">
      <c r="A319" s="27" t="s">
        <v>21</v>
      </c>
      <c r="B319" s="27"/>
      <c r="C319" s="29"/>
      <c r="D319" s="27"/>
      <c r="E319" s="38">
        <f>SUM(E314:E317)</f>
        <v>1571839.6208000001</v>
      </c>
      <c r="F319" s="163"/>
      <c r="H319" s="29"/>
      <c r="I319" s="27"/>
      <c r="J319" s="38">
        <f>SUM(J314:J317)</f>
        <v>1637512.2051442557</v>
      </c>
      <c r="K319" s="163"/>
      <c r="M319" s="66">
        <f t="shared" si="15"/>
        <v>65672.5843442555</v>
      </c>
      <c r="N319" s="52">
        <f t="shared" si="16"/>
        <v>0.04178071571375133</v>
      </c>
    </row>
    <row r="320" spans="1:11" ht="13.5" thickTop="1">
      <c r="A320" s="27"/>
      <c r="B320" s="27"/>
      <c r="C320" s="27"/>
      <c r="D320" s="27"/>
      <c r="E320" s="27"/>
      <c r="F320" s="162"/>
      <c r="J320" s="27"/>
      <c r="K320" s="162"/>
    </row>
    <row r="321" spans="1:14" ht="12.75">
      <c r="A321" s="27" t="s">
        <v>22</v>
      </c>
      <c r="B321" s="27"/>
      <c r="E321" s="61">
        <f>E319/C309</f>
        <v>839.6579170940172</v>
      </c>
      <c r="G321" s="61"/>
      <c r="H321" s="61"/>
      <c r="I321" s="61"/>
      <c r="J321" s="61">
        <f>J319/H309</f>
        <v>874.7394258249229</v>
      </c>
      <c r="M321" s="40">
        <f>J321-E321</f>
        <v>35.08150873090574</v>
      </c>
      <c r="N321" s="35">
        <f>M321/E321</f>
        <v>0.04178071571375136</v>
      </c>
    </row>
    <row r="322" spans="1:2" ht="12.75">
      <c r="A322" s="27"/>
      <c r="B322" s="27"/>
    </row>
    <row r="323" spans="2:14" ht="12.75" hidden="1">
      <c r="B323" s="22"/>
      <c r="C323" s="22"/>
      <c r="D323" s="22"/>
      <c r="E323" s="22"/>
      <c r="F323" s="156"/>
      <c r="G323" s="22"/>
      <c r="H323" s="22" t="str">
        <f>H4</f>
        <v>South Kentucky Rural Electric</v>
      </c>
      <c r="I323" s="22"/>
      <c r="J323" s="22"/>
      <c r="K323" s="156"/>
      <c r="L323" s="22"/>
      <c r="M323" s="22"/>
      <c r="N323" s="22"/>
    </row>
    <row r="324" spans="2:14" ht="12.75" hidden="1">
      <c r="B324" s="22"/>
      <c r="C324" s="22"/>
      <c r="D324" s="22"/>
      <c r="E324" s="22"/>
      <c r="F324" s="156"/>
      <c r="G324" s="22"/>
      <c r="H324" s="22" t="str">
        <f>H5</f>
        <v>Billing Analysis</v>
      </c>
      <c r="I324" s="22"/>
      <c r="J324" s="22"/>
      <c r="K324" s="156"/>
      <c r="L324" s="22"/>
      <c r="M324" s="22"/>
      <c r="N324" s="22"/>
    </row>
    <row r="325" spans="2:14" ht="12.75" hidden="1">
      <c r="B325" s="22"/>
      <c r="C325" s="22"/>
      <c r="D325" s="22"/>
      <c r="E325" s="22"/>
      <c r="F325" s="156"/>
      <c r="G325" s="22"/>
      <c r="H325" s="22" t="str">
        <f>H6</f>
        <v>for the 12 months ended September 30, 2006</v>
      </c>
      <c r="I325" s="22"/>
      <c r="J325" s="22"/>
      <c r="K325" s="156"/>
      <c r="L325" s="22"/>
      <c r="M325" s="22"/>
      <c r="N325" s="22"/>
    </row>
    <row r="326" spans="2:8" ht="12.75" hidden="1">
      <c r="B326" s="4"/>
      <c r="C326" s="4"/>
      <c r="D326" s="4"/>
      <c r="E326" s="4"/>
      <c r="F326" s="157"/>
      <c r="H326" s="4"/>
    </row>
    <row r="327" spans="2:14" ht="12.75">
      <c r="B327" s="22"/>
      <c r="C327" s="22"/>
      <c r="D327" s="22"/>
      <c r="E327" s="22"/>
      <c r="F327" s="156"/>
      <c r="G327" s="22"/>
      <c r="H327" s="22" t="s">
        <v>62</v>
      </c>
      <c r="I327" s="22"/>
      <c r="J327" s="22"/>
      <c r="K327" s="156"/>
      <c r="L327" s="22"/>
      <c r="M327" s="22"/>
      <c r="N327" s="22"/>
    </row>
    <row r="328" spans="2:14" ht="12.75">
      <c r="B328" s="22"/>
      <c r="C328" s="22"/>
      <c r="D328" s="22"/>
      <c r="E328" s="22"/>
      <c r="F328" s="156"/>
      <c r="G328" s="22"/>
      <c r="H328" s="22" t="s">
        <v>63</v>
      </c>
      <c r="I328" s="22"/>
      <c r="J328" s="22"/>
      <c r="K328" s="156"/>
      <c r="L328" s="22"/>
      <c r="M328" s="22"/>
      <c r="N328" s="22"/>
    </row>
    <row r="329" spans="2:14" ht="12.75">
      <c r="B329" s="22"/>
      <c r="C329" s="22"/>
      <c r="D329" s="22"/>
      <c r="E329" s="22"/>
      <c r="F329" s="156"/>
      <c r="G329" s="22"/>
      <c r="H329" s="22" t="s">
        <v>64</v>
      </c>
      <c r="I329" s="22"/>
      <c r="J329" s="22"/>
      <c r="K329" s="156"/>
      <c r="L329" s="22"/>
      <c r="M329" s="22"/>
      <c r="N329" s="22"/>
    </row>
    <row r="330" spans="1:6" ht="12.75">
      <c r="A330" s="4"/>
      <c r="B330" s="4"/>
      <c r="C330" s="4"/>
      <c r="D330" s="4"/>
      <c r="E330" s="4"/>
      <c r="F330" s="157"/>
    </row>
    <row r="331" spans="3:14" ht="12.75">
      <c r="C331" s="149" t="s">
        <v>1</v>
      </c>
      <c r="D331" s="150"/>
      <c r="E331" s="150"/>
      <c r="F331" s="158"/>
      <c r="H331" s="149" t="s">
        <v>2</v>
      </c>
      <c r="I331" s="150"/>
      <c r="J331" s="150"/>
      <c r="K331" s="158"/>
      <c r="M331" s="2" t="s">
        <v>3</v>
      </c>
      <c r="N331" s="5" t="s">
        <v>4</v>
      </c>
    </row>
    <row r="332" spans="1:11" ht="12.75">
      <c r="A332" s="27"/>
      <c r="B332" s="27"/>
      <c r="C332" s="151"/>
      <c r="D332" s="152"/>
      <c r="E332" s="152"/>
      <c r="F332" s="159"/>
      <c r="H332" s="151"/>
      <c r="I332" s="152"/>
      <c r="J332" s="152"/>
      <c r="K332" s="159"/>
    </row>
    <row r="333" spans="1:11" ht="12.75">
      <c r="A333" s="27"/>
      <c r="B333" s="27"/>
      <c r="C333" s="153" t="s">
        <v>5</v>
      </c>
      <c r="D333" s="153" t="s">
        <v>6</v>
      </c>
      <c r="E333" s="153" t="s">
        <v>7</v>
      </c>
      <c r="F333" s="160" t="s">
        <v>180</v>
      </c>
      <c r="H333" s="153" t="s">
        <v>5</v>
      </c>
      <c r="I333" s="153" t="s">
        <v>2</v>
      </c>
      <c r="J333" s="153" t="s">
        <v>7</v>
      </c>
      <c r="K333" s="160" t="s">
        <v>180</v>
      </c>
    </row>
    <row r="334" spans="1:11" ht="12.75">
      <c r="A334" s="28"/>
      <c r="B334" s="28"/>
      <c r="C334" s="154" t="s">
        <v>8</v>
      </c>
      <c r="D334" s="154" t="s">
        <v>9</v>
      </c>
      <c r="E334" s="154" t="s">
        <v>10</v>
      </c>
      <c r="F334" s="161" t="s">
        <v>82</v>
      </c>
      <c r="H334" s="154" t="s">
        <v>8</v>
      </c>
      <c r="I334" s="154" t="s">
        <v>9</v>
      </c>
      <c r="J334" s="154" t="s">
        <v>10</v>
      </c>
      <c r="K334" s="161" t="s">
        <v>82</v>
      </c>
    </row>
    <row r="336" spans="1:11" ht="12.75">
      <c r="A336" s="27"/>
      <c r="B336" s="27"/>
      <c r="C336" s="29"/>
      <c r="D336" s="27"/>
      <c r="E336" s="27"/>
      <c r="F336" s="162"/>
      <c r="H336" s="29"/>
      <c r="I336" s="27"/>
      <c r="J336" s="27"/>
      <c r="K336" s="162"/>
    </row>
    <row r="337" spans="1:14" ht="12.75">
      <c r="A337" s="27" t="s">
        <v>27</v>
      </c>
      <c r="B337" s="27"/>
      <c r="C337" s="29">
        <v>129</v>
      </c>
      <c r="D337" s="30">
        <v>69.38</v>
      </c>
      <c r="E337" s="31">
        <f>D337*C337</f>
        <v>8950.019999999999</v>
      </c>
      <c r="F337" s="162">
        <f>E337/E342</f>
        <v>0.014173789767187972</v>
      </c>
      <c r="H337" s="29">
        <v>129</v>
      </c>
      <c r="I337" s="30">
        <v>69.38</v>
      </c>
      <c r="J337" s="31">
        <f>I337*H337</f>
        <v>8950.019999999999</v>
      </c>
      <c r="K337" s="162">
        <f>J337/J342</f>
        <v>0.01325880057455826</v>
      </c>
      <c r="M337" s="26">
        <f>J337-E337</f>
        <v>0</v>
      </c>
      <c r="N337" s="89">
        <f>M337/E337</f>
        <v>0</v>
      </c>
    </row>
    <row r="338" spans="1:14" ht="12.75">
      <c r="A338" s="27"/>
      <c r="B338" s="27"/>
      <c r="C338" s="29"/>
      <c r="D338" s="30"/>
      <c r="E338" s="27"/>
      <c r="F338" s="162"/>
      <c r="H338" s="29"/>
      <c r="I338" s="30"/>
      <c r="J338" s="27"/>
      <c r="K338" s="162"/>
      <c r="M338" s="26"/>
      <c r="N338" s="89"/>
    </row>
    <row r="339" spans="1:17" ht="12.75">
      <c r="A339" s="27" t="s">
        <v>17</v>
      </c>
      <c r="B339" s="29">
        <f>C339</f>
        <v>11025480</v>
      </c>
      <c r="C339" s="29">
        <v>11025480</v>
      </c>
      <c r="D339" s="32">
        <v>0.05646</v>
      </c>
      <c r="E339" s="29">
        <f>D339*C339</f>
        <v>622498.6008</v>
      </c>
      <c r="F339" s="162">
        <f>E339/E342</f>
        <v>0.985826210232812</v>
      </c>
      <c r="H339" s="29">
        <v>11025480</v>
      </c>
      <c r="I339" s="34">
        <f>D339+$R$382</f>
        <v>0.06041232126661499</v>
      </c>
      <c r="J339" s="29">
        <f>I339*H339</f>
        <v>666074.8398786383</v>
      </c>
      <c r="K339" s="162">
        <f>J339/J342</f>
        <v>0.9867411994254417</v>
      </c>
      <c r="M339" s="26">
        <f aca="true" t="shared" si="17" ref="M339:M347">J339-E339</f>
        <v>43576.23907863826</v>
      </c>
      <c r="N339" s="89">
        <f aca="true" t="shared" si="18" ref="N339:N347">M339/E339</f>
        <v>0.07000214783235904</v>
      </c>
      <c r="Q339" s="26">
        <f>M339</f>
        <v>43576.23907863826</v>
      </c>
    </row>
    <row r="340" spans="1:14" ht="12.75">
      <c r="A340" s="27"/>
      <c r="B340" s="27"/>
      <c r="C340" s="29"/>
      <c r="D340" s="27"/>
      <c r="E340" s="45"/>
      <c r="F340" s="163"/>
      <c r="G340" s="24"/>
      <c r="H340" s="45"/>
      <c r="I340" s="46"/>
      <c r="J340" s="45"/>
      <c r="K340" s="163"/>
      <c r="M340" s="26"/>
      <c r="N340" s="89"/>
    </row>
    <row r="341" spans="5:14" ht="12.75">
      <c r="E341" s="24"/>
      <c r="F341" s="74"/>
      <c r="G341" s="24"/>
      <c r="H341" s="24"/>
      <c r="I341" s="24"/>
      <c r="J341" s="24"/>
      <c r="K341" s="74"/>
      <c r="M341" s="26"/>
      <c r="N341" s="89"/>
    </row>
    <row r="342" spans="1:14" ht="12.75">
      <c r="A342" s="27" t="s">
        <v>18</v>
      </c>
      <c r="B342" s="27"/>
      <c r="C342" s="29"/>
      <c r="D342" s="27"/>
      <c r="E342" s="36">
        <f>SUM(E337:E339)</f>
        <v>631448.6208</v>
      </c>
      <c r="F342" s="163">
        <f>SUM(F336:F341)</f>
        <v>1</v>
      </c>
      <c r="H342" s="29"/>
      <c r="I342" s="27"/>
      <c r="J342" s="36">
        <f>SUM(J337:J339)</f>
        <v>675024.8598786383</v>
      </c>
      <c r="K342" s="163">
        <f>SUM(K336:K341)</f>
        <v>1</v>
      </c>
      <c r="M342" s="47">
        <f t="shared" si="17"/>
        <v>43576.23907863826</v>
      </c>
      <c r="N342" s="90">
        <f t="shared" si="18"/>
        <v>0.06900995210573158</v>
      </c>
    </row>
    <row r="343" spans="1:14" ht="12.75">
      <c r="A343" s="27"/>
      <c r="B343" s="27"/>
      <c r="C343" s="29"/>
      <c r="D343" s="32"/>
      <c r="E343" s="27"/>
      <c r="F343" s="162"/>
      <c r="H343" s="29"/>
      <c r="I343" s="32"/>
      <c r="J343" s="27"/>
      <c r="K343" s="162"/>
      <c r="M343" s="26"/>
      <c r="N343" s="89"/>
    </row>
    <row r="344" spans="1:14" ht="12.75">
      <c r="A344" s="27" t="s">
        <v>19</v>
      </c>
      <c r="B344" s="27"/>
      <c r="C344" s="29"/>
      <c r="D344" s="32"/>
      <c r="E344" s="29">
        <v>90516</v>
      </c>
      <c r="F344" s="162"/>
      <c r="H344" s="29"/>
      <c r="I344" s="32"/>
      <c r="J344" s="29">
        <v>90516</v>
      </c>
      <c r="K344" s="162"/>
      <c r="M344" s="26">
        <f t="shared" si="17"/>
        <v>0</v>
      </c>
      <c r="N344" s="89">
        <f t="shared" si="18"/>
        <v>0</v>
      </c>
    </row>
    <row r="345" spans="1:14" ht="12.75">
      <c r="A345" s="27" t="s">
        <v>20</v>
      </c>
      <c r="B345" s="27"/>
      <c r="C345" s="29"/>
      <c r="D345" s="32"/>
      <c r="E345" s="37">
        <v>52702</v>
      </c>
      <c r="F345" s="163"/>
      <c r="H345" s="29"/>
      <c r="I345" s="32"/>
      <c r="J345" s="37">
        <v>52702</v>
      </c>
      <c r="K345" s="163"/>
      <c r="M345" s="50">
        <f t="shared" si="17"/>
        <v>0</v>
      </c>
      <c r="N345" s="91">
        <f t="shared" si="18"/>
        <v>0</v>
      </c>
    </row>
    <row r="346" spans="1:14" ht="12.75">
      <c r="A346" s="27"/>
      <c r="B346" s="27"/>
      <c r="C346" s="29"/>
      <c r="D346" s="27"/>
      <c r="E346" s="27"/>
      <c r="F346" s="162"/>
      <c r="H346" s="29"/>
      <c r="I346" s="27"/>
      <c r="J346" s="27"/>
      <c r="K346" s="162"/>
      <c r="M346" s="26"/>
      <c r="N346" s="89"/>
    </row>
    <row r="347" spans="1:14" ht="13.5" thickBot="1">
      <c r="A347" s="27" t="s">
        <v>21</v>
      </c>
      <c r="B347" s="27"/>
      <c r="C347" s="29"/>
      <c r="D347" s="27"/>
      <c r="E347" s="38">
        <f>SUM(E342:E345)</f>
        <v>774666.6208</v>
      </c>
      <c r="F347" s="163"/>
      <c r="H347" s="29"/>
      <c r="I347" s="27"/>
      <c r="J347" s="38">
        <f>SUM(J342:J345)</f>
        <v>818242.8598786383</v>
      </c>
      <c r="K347" s="163"/>
      <c r="M347" s="43">
        <f t="shared" si="17"/>
        <v>43576.23907863826</v>
      </c>
      <c r="N347" s="92">
        <f t="shared" si="18"/>
        <v>0.05625160282966236</v>
      </c>
    </row>
    <row r="348" spans="1:13" ht="13.5" thickTop="1">
      <c r="A348" s="27"/>
      <c r="B348" s="27"/>
      <c r="C348" s="27"/>
      <c r="D348" s="27"/>
      <c r="E348" s="27"/>
      <c r="F348" s="162"/>
      <c r="J348" s="27"/>
      <c r="K348" s="162"/>
      <c r="M348" s="26"/>
    </row>
    <row r="349" spans="1:14" ht="12.75">
      <c r="A349" s="27" t="s">
        <v>22</v>
      </c>
      <c r="B349" s="27"/>
      <c r="E349" s="61">
        <f>E347/C337</f>
        <v>6005.1676031007755</v>
      </c>
      <c r="G349" s="61"/>
      <c r="H349" s="61"/>
      <c r="I349" s="61"/>
      <c r="J349" s="61">
        <f>J347/H337</f>
        <v>6342.967906035956</v>
      </c>
      <c r="L349" s="61"/>
      <c r="M349" s="41">
        <f>J349-E349</f>
        <v>337.8003029351803</v>
      </c>
      <c r="N349" s="35">
        <f>M349/E349</f>
        <v>0.05625160282966236</v>
      </c>
    </row>
    <row r="350" spans="1:14" ht="14.25">
      <c r="A350" s="27"/>
      <c r="B350" s="27"/>
      <c r="M350" s="26"/>
      <c r="N350" s="128" t="s">
        <v>175</v>
      </c>
    </row>
    <row r="351" spans="1:14" ht="14.25">
      <c r="A351" s="27"/>
      <c r="B351" s="27"/>
      <c r="M351" s="26"/>
      <c r="N351" s="128" t="s">
        <v>172</v>
      </c>
    </row>
    <row r="352" spans="1:14" ht="14.25">
      <c r="A352" s="27"/>
      <c r="B352" s="27"/>
      <c r="M352" s="26"/>
      <c r="N352" s="128" t="s">
        <v>179</v>
      </c>
    </row>
    <row r="353" spans="2:14" ht="12.75">
      <c r="B353" s="22"/>
      <c r="C353" s="22"/>
      <c r="D353" s="22"/>
      <c r="E353" s="22"/>
      <c r="F353" s="156"/>
      <c r="G353" s="22"/>
      <c r="H353" s="22" t="str">
        <f>H4</f>
        <v>South Kentucky Rural Electric</v>
      </c>
      <c r="I353" s="22"/>
      <c r="J353" s="22"/>
      <c r="K353" s="156"/>
      <c r="L353" s="22"/>
      <c r="M353" s="22"/>
      <c r="N353" s="22"/>
    </row>
    <row r="354" spans="2:14" ht="12.75">
      <c r="B354" s="22"/>
      <c r="C354" s="22"/>
      <c r="D354" s="22"/>
      <c r="E354" s="22"/>
      <c r="F354" s="156"/>
      <c r="G354" s="22"/>
      <c r="H354" s="22" t="str">
        <f>H5</f>
        <v>Billing Analysis</v>
      </c>
      <c r="I354" s="22"/>
      <c r="J354" s="22"/>
      <c r="K354" s="156"/>
      <c r="L354" s="22"/>
      <c r="M354" s="22"/>
      <c r="N354" s="22"/>
    </row>
    <row r="355" spans="2:14" ht="12.75">
      <c r="B355" s="22"/>
      <c r="C355" s="22"/>
      <c r="D355" s="22"/>
      <c r="E355" s="22"/>
      <c r="F355" s="156"/>
      <c r="G355" s="22"/>
      <c r="H355" s="22" t="str">
        <f>H6</f>
        <v>for the 12 months ended September 30, 2006</v>
      </c>
      <c r="I355" s="22"/>
      <c r="J355" s="22"/>
      <c r="K355" s="156"/>
      <c r="L355" s="22"/>
      <c r="M355" s="22"/>
      <c r="N355" s="22"/>
    </row>
    <row r="356" spans="2:8" ht="12.75">
      <c r="B356" s="4"/>
      <c r="C356" s="4"/>
      <c r="D356" s="4"/>
      <c r="E356" s="4"/>
      <c r="F356" s="157"/>
      <c r="H356" s="4"/>
    </row>
    <row r="357" spans="2:14" ht="12.75">
      <c r="B357" s="22"/>
      <c r="C357" s="22"/>
      <c r="D357" s="22"/>
      <c r="E357" s="22"/>
      <c r="F357" s="156"/>
      <c r="G357" s="22"/>
      <c r="H357" s="22" t="s">
        <v>65</v>
      </c>
      <c r="I357" s="22"/>
      <c r="J357" s="22"/>
      <c r="K357" s="156"/>
      <c r="L357" s="22"/>
      <c r="M357" s="22"/>
      <c r="N357" s="22"/>
    </row>
    <row r="358" spans="2:14" ht="12.75">
      <c r="B358" s="22"/>
      <c r="C358" s="22"/>
      <c r="D358" s="22"/>
      <c r="E358" s="22"/>
      <c r="F358" s="156"/>
      <c r="G358" s="22"/>
      <c r="H358" s="22" t="s">
        <v>66</v>
      </c>
      <c r="I358" s="22"/>
      <c r="J358" s="22"/>
      <c r="K358" s="156"/>
      <c r="L358" s="22"/>
      <c r="M358" s="22"/>
      <c r="N358" s="22"/>
    </row>
    <row r="359" spans="2:14" ht="12.75">
      <c r="B359" s="22"/>
      <c r="C359" s="22"/>
      <c r="D359" s="22"/>
      <c r="E359" s="22"/>
      <c r="F359" s="156"/>
      <c r="G359" s="22"/>
      <c r="H359" s="22" t="s">
        <v>67</v>
      </c>
      <c r="I359" s="22"/>
      <c r="J359" s="22"/>
      <c r="K359" s="156"/>
      <c r="L359" s="22"/>
      <c r="M359" s="22"/>
      <c r="N359" s="22"/>
    </row>
    <row r="360" spans="1:6" ht="12.75">
      <c r="A360" s="4"/>
      <c r="B360" s="4"/>
      <c r="C360" s="4"/>
      <c r="D360" s="4"/>
      <c r="E360" s="4"/>
      <c r="F360" s="157"/>
    </row>
    <row r="361" spans="1:14" ht="12.75">
      <c r="A361" s="4"/>
      <c r="B361" s="4"/>
      <c r="C361" s="149" t="s">
        <v>1</v>
      </c>
      <c r="D361" s="150"/>
      <c r="E361" s="150"/>
      <c r="F361" s="158"/>
      <c r="H361" s="149" t="s">
        <v>2</v>
      </c>
      <c r="I361" s="150"/>
      <c r="J361" s="150"/>
      <c r="K361" s="158"/>
      <c r="M361" s="2" t="s">
        <v>3</v>
      </c>
      <c r="N361" s="5" t="s">
        <v>4</v>
      </c>
    </row>
    <row r="362" spans="1:11" ht="12.75">
      <c r="A362" s="27"/>
      <c r="B362" s="27"/>
      <c r="C362" s="151"/>
      <c r="D362" s="152"/>
      <c r="E362" s="152"/>
      <c r="F362" s="159"/>
      <c r="H362" s="151"/>
      <c r="I362" s="152"/>
      <c r="J362" s="152"/>
      <c r="K362" s="159"/>
    </row>
    <row r="363" spans="1:11" ht="12.75">
      <c r="A363" s="27"/>
      <c r="B363" s="27"/>
      <c r="C363" s="153" t="s">
        <v>5</v>
      </c>
      <c r="D363" s="153" t="s">
        <v>6</v>
      </c>
      <c r="E363" s="153" t="s">
        <v>7</v>
      </c>
      <c r="F363" s="160" t="s">
        <v>180</v>
      </c>
      <c r="H363" s="153" t="s">
        <v>5</v>
      </c>
      <c r="I363" s="153" t="s">
        <v>2</v>
      </c>
      <c r="J363" s="153" t="s">
        <v>7</v>
      </c>
      <c r="K363" s="160" t="s">
        <v>180</v>
      </c>
    </row>
    <row r="364" spans="1:11" ht="12.75">
      <c r="A364" s="28"/>
      <c r="B364" s="28"/>
      <c r="C364" s="154" t="s">
        <v>8</v>
      </c>
      <c r="D364" s="154" t="s">
        <v>9</v>
      </c>
      <c r="E364" s="154" t="s">
        <v>10</v>
      </c>
      <c r="F364" s="161" t="s">
        <v>82</v>
      </c>
      <c r="H364" s="154" t="s">
        <v>8</v>
      </c>
      <c r="I364" s="154" t="s">
        <v>9</v>
      </c>
      <c r="J364" s="154" t="s">
        <v>10</v>
      </c>
      <c r="K364" s="161" t="s">
        <v>82</v>
      </c>
    </row>
    <row r="366" spans="1:11" ht="12.75">
      <c r="A366" s="7"/>
      <c r="B366" s="7"/>
      <c r="C366" s="29">
        <f>'3a2 pg 6'!C94</f>
        <v>283568</v>
      </c>
      <c r="D366" s="30"/>
      <c r="E366" s="29"/>
      <c r="F366" s="162"/>
      <c r="H366" s="29"/>
      <c r="I366" s="30"/>
      <c r="J366" s="29"/>
      <c r="K366" s="162"/>
    </row>
    <row r="367" spans="1:11" ht="12.75">
      <c r="A367" s="27" t="s">
        <v>163</v>
      </c>
      <c r="B367" s="29">
        <f>C367</f>
        <v>19993647</v>
      </c>
      <c r="C367" s="29">
        <f>'3a2 pg 6'!B94</f>
        <v>19993647</v>
      </c>
      <c r="D367" s="27"/>
      <c r="E367" s="27"/>
      <c r="F367" s="162"/>
      <c r="H367" s="29">
        <f>C367</f>
        <v>19993647</v>
      </c>
      <c r="I367" s="27"/>
      <c r="J367" s="27"/>
      <c r="K367" s="162"/>
    </row>
    <row r="368" spans="1:11" ht="12.75">
      <c r="A368" s="42"/>
      <c r="B368" s="42"/>
      <c r="C368" s="29"/>
      <c r="D368" s="29"/>
      <c r="E368" s="29"/>
      <c r="F368" s="162"/>
      <c r="H368" s="29"/>
      <c r="I368" s="29"/>
      <c r="J368" s="29"/>
      <c r="K368" s="162"/>
    </row>
    <row r="369" spans="1:17" ht="12.75">
      <c r="A369" s="27" t="s">
        <v>18</v>
      </c>
      <c r="B369" s="27"/>
      <c r="C369" s="29"/>
      <c r="D369" s="93"/>
      <c r="E369" s="29">
        <f>'3a2 pg 6'!F94</f>
        <v>2439035.6099999994</v>
      </c>
      <c r="F369" s="162"/>
      <c r="H369" s="29"/>
      <c r="I369" s="68"/>
      <c r="J369" s="29">
        <f>'3a2 pg 6'!L94</f>
        <v>2517928.3018325507</v>
      </c>
      <c r="K369" s="162"/>
      <c r="M369" s="94">
        <f>J369-E369</f>
        <v>78892.69183255127</v>
      </c>
      <c r="N369" s="35">
        <f>M369/E369</f>
        <v>0.0323458548571791</v>
      </c>
      <c r="Q369" s="26">
        <f>M369</f>
        <v>78892.69183255127</v>
      </c>
    </row>
    <row r="370" spans="1:13" ht="12.75">
      <c r="A370" s="27"/>
      <c r="B370" s="27"/>
      <c r="C370" s="29"/>
      <c r="D370" s="29"/>
      <c r="E370" s="29"/>
      <c r="F370" s="162"/>
      <c r="H370" s="29"/>
      <c r="I370" s="29"/>
      <c r="J370" s="29"/>
      <c r="K370" s="162"/>
      <c r="M370" s="94"/>
    </row>
    <row r="371" spans="1:11" ht="12.75">
      <c r="A371" s="27" t="s">
        <v>19</v>
      </c>
      <c r="B371" s="27"/>
      <c r="C371" s="29"/>
      <c r="D371" s="29"/>
      <c r="E371" s="29">
        <v>166625</v>
      </c>
      <c r="F371" s="162"/>
      <c r="H371" s="29"/>
      <c r="I371" s="29"/>
      <c r="J371" s="29">
        <v>166625</v>
      </c>
      <c r="K371" s="162"/>
    </row>
    <row r="372" spans="1:11" ht="12.75">
      <c r="A372" s="27" t="s">
        <v>68</v>
      </c>
      <c r="B372" s="27"/>
      <c r="C372" s="29"/>
      <c r="D372" s="29"/>
      <c r="E372" s="37">
        <v>3651</v>
      </c>
      <c r="F372" s="163"/>
      <c r="H372" s="29"/>
      <c r="I372" s="29"/>
      <c r="J372" s="37">
        <v>3651</v>
      </c>
      <c r="K372" s="163"/>
    </row>
    <row r="373" spans="1:11" ht="12.75">
      <c r="A373" s="27"/>
      <c r="B373" s="27"/>
      <c r="C373" s="29"/>
      <c r="D373" s="29"/>
      <c r="E373" s="29"/>
      <c r="F373" s="162"/>
      <c r="H373" s="29"/>
      <c r="I373" s="29"/>
      <c r="J373" s="29"/>
      <c r="K373" s="162"/>
    </row>
    <row r="374" spans="1:14" ht="13.5" thickBot="1">
      <c r="A374" s="27" t="s">
        <v>21</v>
      </c>
      <c r="B374" s="27"/>
      <c r="C374" s="29"/>
      <c r="D374" s="29"/>
      <c r="E374" s="60">
        <f>SUM(E369:E372)</f>
        <v>2609311.6099999994</v>
      </c>
      <c r="F374" s="163"/>
      <c r="G374" s="61"/>
      <c r="H374" s="62"/>
      <c r="I374" s="62"/>
      <c r="J374" s="60">
        <f>SUM(J369:J372)</f>
        <v>2688204.3018325507</v>
      </c>
      <c r="K374" s="163"/>
      <c r="L374" s="61"/>
      <c r="M374" s="61"/>
      <c r="N374" s="35"/>
    </row>
    <row r="375" spans="1:6" ht="13.5" thickTop="1">
      <c r="A375" s="27"/>
      <c r="B375" s="27"/>
      <c r="C375" s="29"/>
      <c r="D375" s="29"/>
      <c r="E375" s="29"/>
      <c r="F375" s="162"/>
    </row>
    <row r="376" spans="1:14" ht="13.5" thickBot="1">
      <c r="A376" s="27" t="s">
        <v>70</v>
      </c>
      <c r="B376" s="27"/>
      <c r="C376" s="29"/>
      <c r="D376" s="29"/>
      <c r="E376" s="110">
        <f>E374/C366</f>
        <v>9.2017139098911</v>
      </c>
      <c r="F376" s="162"/>
      <c r="J376" s="111">
        <f>J374/C366</f>
        <v>9.479928277635526</v>
      </c>
      <c r="M376" s="111">
        <f>J376-E376</f>
        <v>0.2782143677444271</v>
      </c>
      <c r="N376" s="35">
        <f>M376/E376</f>
        <v>0.03023505951922382</v>
      </c>
    </row>
    <row r="377" spans="1:6" ht="13.5" thickBot="1">
      <c r="A377" s="27" t="s">
        <v>164</v>
      </c>
      <c r="B377" s="95">
        <f>SUM(B19:B376)</f>
        <v>991834150</v>
      </c>
      <c r="C377" s="29"/>
      <c r="D377" s="29"/>
      <c r="E377" s="29"/>
      <c r="F377" s="162"/>
    </row>
    <row r="378" spans="18:19" ht="12.75">
      <c r="R378" s="120">
        <v>4457061</v>
      </c>
      <c r="S378" s="25" t="s">
        <v>86</v>
      </c>
    </row>
    <row r="380" spans="18:19" ht="12.75">
      <c r="R380" s="49">
        <f>R378-P384</f>
        <v>3920047.204</v>
      </c>
      <c r="S380" s="25" t="s">
        <v>87</v>
      </c>
    </row>
    <row r="382" spans="18:19" ht="12.75">
      <c r="R382" s="96">
        <f>R380/B377</f>
        <v>0.003952321266614988</v>
      </c>
      <c r="S382" s="25" t="s">
        <v>83</v>
      </c>
    </row>
    <row r="384" spans="16:17" ht="12.75">
      <c r="P384" s="26">
        <f>SUM(P15:P382)</f>
        <v>537013.796</v>
      </c>
      <c r="Q384" s="26">
        <f>SUM(Q17:Q383)</f>
        <v>3920047.2032341664</v>
      </c>
    </row>
    <row r="387" ht="12.75">
      <c r="Q387" s="26">
        <f>SUM(P384:Q384)</f>
        <v>4457060.999234166</v>
      </c>
    </row>
    <row r="389" ht="12.75">
      <c r="Q389" s="41">
        <f>Q387-R378</f>
        <v>-0.0007658340036869049</v>
      </c>
    </row>
  </sheetData>
  <printOptions/>
  <pageMargins left="0.43" right="0.22" top="0.48" bottom="0.38" header="0.24" footer="0.24"/>
  <pageSetup fitToHeight="0" fitToWidth="1" horizontalDpi="600" verticalDpi="600" orientation="portrait" scale="58" r:id="rId1"/>
  <rowBreaks count="4" manualBreakCount="4">
    <brk id="83" max="255" man="1"/>
    <brk id="177" max="255" man="1"/>
    <brk id="253" max="255" man="1"/>
    <brk id="3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workbookViewId="0" topLeftCell="E1">
      <selection activeCell="M2" sqref="M2"/>
    </sheetView>
  </sheetViews>
  <sheetFormatPr defaultColWidth="9.140625" defaultRowHeight="12.75"/>
  <cols>
    <col min="1" max="1" width="59.00390625" style="0" bestFit="1" customWidth="1"/>
    <col min="2" max="2" width="11.28125" style="0" hidden="1" customWidth="1"/>
    <col min="3" max="3" width="9.00390625" style="18" bestFit="1" customWidth="1"/>
    <col min="4" max="4" width="5.57421875" style="0" bestFit="1" customWidth="1"/>
    <col min="5" max="5" width="9.140625" style="99" customWidth="1"/>
    <col min="6" max="6" width="12.8515625" style="99" bestFit="1" customWidth="1"/>
    <col min="7" max="7" width="9.7109375" style="0" hidden="1" customWidth="1"/>
    <col min="8" max="8" width="9.28125" style="19" bestFit="1" customWidth="1"/>
    <col min="9" max="9" width="2.8515625" style="0" customWidth="1"/>
    <col min="10" max="10" width="0" style="0" hidden="1" customWidth="1"/>
    <col min="11" max="11" width="9.140625" style="99" customWidth="1"/>
    <col min="12" max="12" width="12.8515625" style="99" bestFit="1" customWidth="1"/>
    <col min="13" max="13" width="9.28125" style="19" bestFit="1" customWidth="1"/>
    <col min="14" max="14" width="2.7109375" style="0" hidden="1" customWidth="1"/>
    <col min="15" max="15" width="14.00390625" style="0" hidden="1" customWidth="1"/>
    <col min="16" max="16" width="12.8515625" style="0" hidden="1" customWidth="1"/>
    <col min="17" max="17" width="9.140625" style="0" hidden="1" customWidth="1"/>
    <col min="18" max="18" width="11.28125" style="0" hidden="1" customWidth="1"/>
    <col min="19" max="20" width="9.140625" style="0" hidden="1" customWidth="1"/>
  </cols>
  <sheetData>
    <row r="1" ht="14.25">
      <c r="M1" s="128" t="s">
        <v>175</v>
      </c>
    </row>
    <row r="2" ht="14.25">
      <c r="M2" s="128" t="s">
        <v>172</v>
      </c>
    </row>
    <row r="3" ht="14.25">
      <c r="M3" s="128" t="s">
        <v>181</v>
      </c>
    </row>
    <row r="4" ht="6.75" customHeight="1"/>
    <row r="5" spans="1:16" ht="12.75">
      <c r="A5" s="171" t="s">
        <v>162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</row>
    <row r="6" spans="2:13" ht="38.25">
      <c r="B6" s="98" t="s">
        <v>156</v>
      </c>
      <c r="C6" s="97" t="s">
        <v>101</v>
      </c>
      <c r="D6" s="98" t="s">
        <v>133</v>
      </c>
      <c r="E6" s="103" t="s">
        <v>107</v>
      </c>
      <c r="F6" s="103" t="s">
        <v>104</v>
      </c>
      <c r="G6" s="98" t="s">
        <v>83</v>
      </c>
      <c r="H6" s="19" t="s">
        <v>173</v>
      </c>
      <c r="I6" s="98"/>
      <c r="J6" s="98" t="s">
        <v>102</v>
      </c>
      <c r="K6" s="102" t="s">
        <v>103</v>
      </c>
      <c r="L6" s="102" t="s">
        <v>152</v>
      </c>
      <c r="M6" s="19" t="s">
        <v>173</v>
      </c>
    </row>
    <row r="7" ht="12.75">
      <c r="A7" s="104" t="s">
        <v>106</v>
      </c>
    </row>
    <row r="8" spans="1:13" ht="12.75">
      <c r="A8" t="s">
        <v>132</v>
      </c>
      <c r="B8" s="20">
        <f>C8*D8</f>
        <v>257520</v>
      </c>
      <c r="C8" s="18">
        <v>3480</v>
      </c>
      <c r="D8">
        <v>74</v>
      </c>
      <c r="E8" s="99">
        <v>6.3</v>
      </c>
      <c r="F8" s="99">
        <f>E8*C8</f>
        <v>21924</v>
      </c>
      <c r="G8" s="101"/>
      <c r="H8" s="19">
        <f>F8/F13</f>
        <v>0.35472972972972977</v>
      </c>
      <c r="J8" s="101">
        <f>R9</f>
        <v>0.09610764101725743</v>
      </c>
      <c r="K8" s="99">
        <v>6.57</v>
      </c>
      <c r="L8" s="99">
        <f>K8*C8</f>
        <v>22863.600000000002</v>
      </c>
      <c r="M8" s="19">
        <f>L8/$L$13</f>
        <v>0.3536752769788079</v>
      </c>
    </row>
    <row r="9" spans="1:20" ht="12.75">
      <c r="A9" t="s">
        <v>134</v>
      </c>
      <c r="B9" s="20">
        <f>190386+40068</f>
        <v>230454</v>
      </c>
      <c r="C9" s="18">
        <f>3022+636</f>
        <v>3658</v>
      </c>
      <c r="D9">
        <v>63</v>
      </c>
      <c r="E9" s="99">
        <v>6.3</v>
      </c>
      <c r="F9" s="99">
        <f>E9*C9</f>
        <v>23045.399999999998</v>
      </c>
      <c r="G9" s="101"/>
      <c r="H9" s="19">
        <f>F9/F13</f>
        <v>0.37287395153774466</v>
      </c>
      <c r="J9" s="101">
        <f>R9</f>
        <v>0.09610764101725743</v>
      </c>
      <c r="K9" s="99">
        <v>6.57</v>
      </c>
      <c r="L9" s="99">
        <f>C9*K9</f>
        <v>24033.06</v>
      </c>
      <c r="M9" s="19">
        <f>L9/$L$13</f>
        <v>0.3717655641346205</v>
      </c>
      <c r="O9" s="100">
        <f>B9+B8</f>
        <v>487974</v>
      </c>
      <c r="P9" s="100">
        <f>F9+F8</f>
        <v>44969.399999999994</v>
      </c>
      <c r="Q9">
        <f>P9/O9</f>
        <v>0.09215531975064244</v>
      </c>
      <c r="R9">
        <f>Q9+'3a2 pg 1-5'!R382</f>
        <v>0.09610764101725743</v>
      </c>
      <c r="S9">
        <f>R9*(B9+B8)</f>
        <v>46898.030017755176</v>
      </c>
      <c r="T9">
        <f>S9/(C8+C9)</f>
        <v>6.570191933000165</v>
      </c>
    </row>
    <row r="10" spans="2:13" ht="12.75" hidden="1">
      <c r="B10" s="20"/>
      <c r="G10" s="101"/>
      <c r="J10" s="101"/>
      <c r="M10" s="19">
        <f>L10/$L$13</f>
        <v>0</v>
      </c>
    </row>
    <row r="11" spans="1:13" ht="12.75">
      <c r="A11" t="s">
        <v>135</v>
      </c>
      <c r="B11" s="20">
        <f>C11*D11</f>
        <v>93636</v>
      </c>
      <c r="C11" s="18">
        <v>578</v>
      </c>
      <c r="D11">
        <v>162</v>
      </c>
      <c r="E11" s="99">
        <v>9.95</v>
      </c>
      <c r="F11" s="99">
        <f>E11*C11</f>
        <v>5751.099999999999</v>
      </c>
      <c r="G11" s="101">
        <f>F11/B11</f>
        <v>0.06141975308641975</v>
      </c>
      <c r="H11" s="19">
        <f>F11/F13</f>
        <v>0.0930526431604018</v>
      </c>
      <c r="J11" s="101">
        <f>R12</f>
        <v>0.07621780206638834</v>
      </c>
      <c r="K11" s="99">
        <v>10.49</v>
      </c>
      <c r="L11" s="99">
        <f>C11*K11</f>
        <v>6063.22</v>
      </c>
      <c r="M11" s="19">
        <f>L11/$L$13</f>
        <v>0.09379148571893522</v>
      </c>
    </row>
    <row r="12" spans="1:20" ht="12.75">
      <c r="A12" t="s">
        <v>136</v>
      </c>
      <c r="B12" s="106">
        <v>139330</v>
      </c>
      <c r="C12" s="107">
        <v>1114</v>
      </c>
      <c r="D12">
        <v>135</v>
      </c>
      <c r="E12" s="99">
        <v>9.95</v>
      </c>
      <c r="F12" s="99">
        <f>E12*C12</f>
        <v>11084.3</v>
      </c>
      <c r="G12" s="101">
        <f>F12/B12</f>
        <v>0.07955429555730997</v>
      </c>
      <c r="H12" s="19">
        <f>F12/F13</f>
        <v>0.17934367557212386</v>
      </c>
      <c r="J12" s="101">
        <f>R12</f>
        <v>0.07621780206638834</v>
      </c>
      <c r="K12" s="99">
        <v>10.49</v>
      </c>
      <c r="L12" s="108">
        <f>C12*K12</f>
        <v>11685.86</v>
      </c>
      <c r="M12" s="19">
        <f>L12/$L$13</f>
        <v>0.1807676731676364</v>
      </c>
      <c r="O12" s="100">
        <f>B12+B11</f>
        <v>232966</v>
      </c>
      <c r="P12" s="100">
        <f>F12+F11</f>
        <v>16835.399999999998</v>
      </c>
      <c r="Q12">
        <f>P12/O12</f>
        <v>0.07226548079977335</v>
      </c>
      <c r="R12">
        <f>Q12+'3a2 pg 1-5'!R382</f>
        <v>0.07621780206638834</v>
      </c>
      <c r="S12">
        <f>R12*(B12+B11)</f>
        <v>17756.156476198226</v>
      </c>
      <c r="T12">
        <f>S12/(C11+C12)</f>
        <v>10.494182314537959</v>
      </c>
    </row>
    <row r="13" spans="2:16" ht="12.75">
      <c r="B13" s="115">
        <f>SUM(B8:B12)</f>
        <v>720940</v>
      </c>
      <c r="C13" s="115">
        <f>SUM(C8:C12)</f>
        <v>8830</v>
      </c>
      <c r="D13" s="116"/>
      <c r="E13" s="117"/>
      <c r="F13" s="117">
        <f>SUM(F8:F12)</f>
        <v>61804.79999999999</v>
      </c>
      <c r="G13" s="118"/>
      <c r="H13" s="166">
        <f>SUM(H8:H12)</f>
        <v>1</v>
      </c>
      <c r="I13" s="116"/>
      <c r="J13" s="118"/>
      <c r="K13" s="117"/>
      <c r="L13" s="117">
        <f>SUM(L8:L12)</f>
        <v>64645.740000000005</v>
      </c>
      <c r="M13" s="166">
        <f>SUM(M8:M12)</f>
        <v>1</v>
      </c>
      <c r="N13" s="112"/>
      <c r="O13" s="113"/>
      <c r="P13" s="114"/>
    </row>
    <row r="14" spans="7:16" ht="6" customHeight="1">
      <c r="G14" s="101"/>
      <c r="J14" s="101"/>
      <c r="P14" s="19"/>
    </row>
    <row r="15" spans="1:16" ht="12.75">
      <c r="A15" t="s">
        <v>80</v>
      </c>
      <c r="F15" s="99">
        <f>('3a2 pg 1-5'!$E$371/'3a2 pg 6'!$B$94)*'3a2 pg 6'!B13</f>
        <v>6008.239892401822</v>
      </c>
      <c r="G15" s="101"/>
      <c r="J15" s="101"/>
      <c r="L15" s="99">
        <f>F15</f>
        <v>6008.239892401822</v>
      </c>
      <c r="O15" s="100"/>
      <c r="P15" s="19"/>
    </row>
    <row r="16" spans="1:16" ht="12.75">
      <c r="A16" t="s">
        <v>81</v>
      </c>
      <c r="F16" s="99">
        <f>('3a2 pg 1-5'!$E$372/'3a2 pg 6'!$F$94)*'3a2 pg 6'!F13</f>
        <v>92.51579758607953</v>
      </c>
      <c r="G16" s="101"/>
      <c r="J16" s="101"/>
      <c r="L16" s="99">
        <f>F16</f>
        <v>92.51579758607953</v>
      </c>
      <c r="O16" s="100"/>
      <c r="P16" s="19"/>
    </row>
    <row r="17" spans="1:16" ht="13.5" thickBot="1">
      <c r="A17" t="s">
        <v>160</v>
      </c>
      <c r="F17" s="105">
        <f>SUM(F13:F16)</f>
        <v>67905.55568998789</v>
      </c>
      <c r="G17" s="101"/>
      <c r="J17" s="101"/>
      <c r="L17" s="105">
        <f>SUM(L13:L16)</f>
        <v>70746.4956899879</v>
      </c>
      <c r="M17" s="114"/>
      <c r="O17" s="100">
        <f>L17-F17</f>
        <v>2840.940000000017</v>
      </c>
      <c r="P17" s="19">
        <f>O17/F17</f>
        <v>0.041836635767622324</v>
      </c>
    </row>
    <row r="18" spans="1:16" ht="13.5" thickTop="1">
      <c r="A18" t="s">
        <v>161</v>
      </c>
      <c r="F18" s="99">
        <f>F17/C13</f>
        <v>7.690323407699648</v>
      </c>
      <c r="G18" s="101"/>
      <c r="J18" s="101"/>
      <c r="L18" s="99">
        <f>L17/C13</f>
        <v>8.012060667042798</v>
      </c>
      <c r="O18" s="100">
        <f>L18-F18</f>
        <v>0.32173725934315023</v>
      </c>
      <c r="P18" s="19">
        <f>O18/F18</f>
        <v>0.04183663576762232</v>
      </c>
    </row>
    <row r="19" spans="7:10" ht="6" customHeight="1">
      <c r="G19" s="101"/>
      <c r="J19" s="101"/>
    </row>
    <row r="20" spans="1:10" ht="12.75">
      <c r="A20" s="104" t="s">
        <v>105</v>
      </c>
      <c r="G20" s="101"/>
      <c r="J20" s="101"/>
    </row>
    <row r="21" spans="1:10" ht="12.75">
      <c r="A21" t="s">
        <v>108</v>
      </c>
      <c r="G21" s="101"/>
      <c r="J21" s="101"/>
    </row>
    <row r="22" spans="1:11" ht="12.75">
      <c r="A22" t="s">
        <v>109</v>
      </c>
      <c r="B22" s="20">
        <f aca="true" t="shared" si="0" ref="B22:B82">C22*D22</f>
        <v>0</v>
      </c>
      <c r="D22">
        <v>39</v>
      </c>
      <c r="E22" s="99">
        <v>9.92</v>
      </c>
      <c r="F22" s="99">
        <f aca="true" t="shared" si="1" ref="F22:F62">E22*C22</f>
        <v>0</v>
      </c>
      <c r="G22" s="101">
        <f>E22/D22</f>
        <v>0.25435897435897437</v>
      </c>
      <c r="J22" s="101">
        <f>G22+'3a2 pg 1-5'!$R$382</f>
        <v>0.25831129562558935</v>
      </c>
      <c r="K22" s="99">
        <f>J22*D22</f>
        <v>10.074140529397985</v>
      </c>
    </row>
    <row r="23" spans="1:11" ht="12.75">
      <c r="A23" t="s">
        <v>110</v>
      </c>
      <c r="B23" s="20">
        <f t="shared" si="0"/>
        <v>0</v>
      </c>
      <c r="D23">
        <v>39</v>
      </c>
      <c r="E23" s="99">
        <v>8.45</v>
      </c>
      <c r="F23" s="99">
        <f t="shared" si="1"/>
        <v>0</v>
      </c>
      <c r="G23" s="101"/>
      <c r="J23" s="101"/>
      <c r="K23" s="99">
        <f>E23</f>
        <v>8.45</v>
      </c>
    </row>
    <row r="24" spans="1:13" ht="12.75">
      <c r="A24" t="s">
        <v>150</v>
      </c>
      <c r="B24" s="20">
        <f t="shared" si="0"/>
        <v>54000</v>
      </c>
      <c r="C24" s="18">
        <v>540</v>
      </c>
      <c r="D24">
        <v>100</v>
      </c>
      <c r="E24" s="99">
        <v>12.87</v>
      </c>
      <c r="F24" s="99">
        <f t="shared" si="1"/>
        <v>6949.799999999999</v>
      </c>
      <c r="G24" s="101">
        <f>F24/B24</f>
        <v>0.12869999999999998</v>
      </c>
      <c r="H24" s="19">
        <f>F24/$F$63</f>
        <v>0.27438959389961076</v>
      </c>
      <c r="J24" s="101">
        <f>G24+'3a2 pg 1-5'!$R$382</f>
        <v>0.13265232126661497</v>
      </c>
      <c r="K24" s="99">
        <f>J24*D24</f>
        <v>13.265232126661497</v>
      </c>
      <c r="L24" s="99">
        <f aca="true" t="shared" si="2" ref="L24:L84">C24*K24</f>
        <v>7163.225348397208</v>
      </c>
      <c r="M24" s="19">
        <f>L24/$L$63</f>
        <v>0.27556911440791826</v>
      </c>
    </row>
    <row r="25" spans="1:11" ht="12.75">
      <c r="A25" t="s">
        <v>151</v>
      </c>
      <c r="B25" s="20">
        <f t="shared" si="0"/>
        <v>0</v>
      </c>
      <c r="D25">
        <v>100</v>
      </c>
      <c r="E25" s="99">
        <v>9.11</v>
      </c>
      <c r="F25" s="99">
        <f t="shared" si="1"/>
        <v>0</v>
      </c>
      <c r="G25" s="101"/>
      <c r="J25" s="101"/>
      <c r="K25" s="99">
        <f>E25</f>
        <v>9.11</v>
      </c>
    </row>
    <row r="26" spans="2:10" ht="6.75" customHeight="1">
      <c r="B26" s="20"/>
      <c r="G26" s="101"/>
      <c r="J26" s="101"/>
    </row>
    <row r="27" spans="1:10" ht="12.75">
      <c r="A27" t="s">
        <v>111</v>
      </c>
      <c r="B27" s="20">
        <f t="shared" si="0"/>
        <v>0</v>
      </c>
      <c r="G27" s="101"/>
      <c r="J27" s="101"/>
    </row>
    <row r="28" spans="1:12" ht="12.75">
      <c r="A28" t="s">
        <v>109</v>
      </c>
      <c r="B28" s="20">
        <f t="shared" si="0"/>
        <v>0</v>
      </c>
      <c r="D28">
        <v>39</v>
      </c>
      <c r="E28" s="99">
        <v>16.12</v>
      </c>
      <c r="F28" s="99">
        <f t="shared" si="1"/>
        <v>0</v>
      </c>
      <c r="G28" s="101">
        <f>E28/D28</f>
        <v>0.4133333333333334</v>
      </c>
      <c r="J28" s="101">
        <f>G28+'3a2 pg 1-5'!$R$382</f>
        <v>0.4172856545999484</v>
      </c>
      <c r="K28" s="99">
        <f>J28*D28</f>
        <v>16.274140529397986</v>
      </c>
      <c r="L28" s="99">
        <f t="shared" si="2"/>
        <v>0</v>
      </c>
    </row>
    <row r="29" spans="1:12" ht="12.75">
      <c r="A29" t="s">
        <v>110</v>
      </c>
      <c r="B29" s="20">
        <f t="shared" si="0"/>
        <v>0</v>
      </c>
      <c r="D29">
        <v>39</v>
      </c>
      <c r="E29" s="99">
        <v>14.64</v>
      </c>
      <c r="F29" s="99">
        <f t="shared" si="1"/>
        <v>0</v>
      </c>
      <c r="G29" s="101"/>
      <c r="J29" s="101"/>
      <c r="K29" s="99">
        <f>E29</f>
        <v>14.64</v>
      </c>
      <c r="L29" s="99">
        <f t="shared" si="2"/>
        <v>0</v>
      </c>
    </row>
    <row r="30" spans="1:13" ht="12.75">
      <c r="A30" t="s">
        <v>150</v>
      </c>
      <c r="B30" s="20">
        <f t="shared" si="0"/>
        <v>49500</v>
      </c>
      <c r="C30" s="18">
        <v>495</v>
      </c>
      <c r="D30">
        <v>100</v>
      </c>
      <c r="E30" s="99">
        <v>18.4</v>
      </c>
      <c r="F30" s="99">
        <f t="shared" si="1"/>
        <v>9108</v>
      </c>
      <c r="G30" s="101">
        <f>F30/B30</f>
        <v>0.184</v>
      </c>
      <c r="H30" s="19">
        <f>F30/$F$63</f>
        <v>0.35959889798809397</v>
      </c>
      <c r="J30" s="101">
        <f>G30+'3a2 pg 1-5'!$R$382</f>
        <v>0.18795232126661499</v>
      </c>
      <c r="K30" s="99">
        <f>J30*D30</f>
        <v>18.7952321266615</v>
      </c>
      <c r="L30" s="99">
        <f t="shared" si="2"/>
        <v>9303.639902697441</v>
      </c>
      <c r="M30" s="19">
        <f>L30/$L$63</f>
        <v>0.3579108130850806</v>
      </c>
    </row>
    <row r="31" spans="1:12" ht="12.75">
      <c r="A31" t="s">
        <v>151</v>
      </c>
      <c r="B31" s="20">
        <f t="shared" si="0"/>
        <v>0</v>
      </c>
      <c r="D31">
        <v>100</v>
      </c>
      <c r="E31" s="99">
        <v>14.64</v>
      </c>
      <c r="F31" s="99">
        <f t="shared" si="1"/>
        <v>0</v>
      </c>
      <c r="G31" s="101"/>
      <c r="J31" s="101"/>
      <c r="K31" s="99">
        <f>E31</f>
        <v>14.64</v>
      </c>
      <c r="L31" s="99">
        <f t="shared" si="2"/>
        <v>0</v>
      </c>
    </row>
    <row r="32" spans="2:10" ht="7.5" customHeight="1">
      <c r="B32" s="20"/>
      <c r="G32" s="101"/>
      <c r="J32" s="101"/>
    </row>
    <row r="33" spans="1:10" ht="12.75">
      <c r="A33" t="s">
        <v>112</v>
      </c>
      <c r="B33" s="20">
        <f t="shared" si="0"/>
        <v>0</v>
      </c>
      <c r="G33" s="101"/>
      <c r="J33" s="101"/>
    </row>
    <row r="34" spans="1:12" ht="12.75">
      <c r="A34" t="s">
        <v>113</v>
      </c>
      <c r="B34" s="20">
        <f t="shared" si="0"/>
        <v>0</v>
      </c>
      <c r="D34">
        <v>39</v>
      </c>
      <c r="E34" s="99">
        <v>10.53</v>
      </c>
      <c r="F34" s="99">
        <f t="shared" si="1"/>
        <v>0</v>
      </c>
      <c r="G34" s="101">
        <f>E34/D34</f>
        <v>0.26999999999999996</v>
      </c>
      <c r="J34" s="101">
        <f>G34+'3a2 pg 1-5'!$R$382</f>
        <v>0.27395232126661495</v>
      </c>
      <c r="K34" s="99">
        <f>J34*D34</f>
        <v>10.684140529397983</v>
      </c>
      <c r="L34" s="99">
        <f t="shared" si="2"/>
        <v>0</v>
      </c>
    </row>
    <row r="35" spans="1:12" ht="12.75">
      <c r="A35" t="s">
        <v>114</v>
      </c>
      <c r="B35" s="20">
        <f t="shared" si="0"/>
        <v>0</v>
      </c>
      <c r="D35">
        <v>39</v>
      </c>
      <c r="E35" s="99">
        <v>9.05</v>
      </c>
      <c r="F35" s="99">
        <f t="shared" si="1"/>
        <v>0</v>
      </c>
      <c r="G35" s="101"/>
      <c r="J35" s="101"/>
      <c r="K35" s="99">
        <f>E35</f>
        <v>9.05</v>
      </c>
      <c r="L35" s="99">
        <f t="shared" si="2"/>
        <v>0</v>
      </c>
    </row>
    <row r="36" spans="2:10" ht="6.75" customHeight="1">
      <c r="B36" s="20"/>
      <c r="G36" s="101"/>
      <c r="J36" s="101"/>
    </row>
    <row r="37" spans="1:10" ht="12.75">
      <c r="A37" t="s">
        <v>115</v>
      </c>
      <c r="B37" s="20">
        <f t="shared" si="0"/>
        <v>0</v>
      </c>
      <c r="G37" s="101"/>
      <c r="J37" s="101"/>
    </row>
    <row r="38" spans="1:13" ht="12.75">
      <c r="A38" t="s">
        <v>113</v>
      </c>
      <c r="B38" s="20">
        <f t="shared" si="0"/>
        <v>1872</v>
      </c>
      <c r="C38" s="18">
        <v>48</v>
      </c>
      <c r="D38">
        <v>39</v>
      </c>
      <c r="E38" s="99">
        <v>21.78</v>
      </c>
      <c r="F38" s="99">
        <f t="shared" si="1"/>
        <v>1045.44</v>
      </c>
      <c r="G38" s="101">
        <f>F38/B38</f>
        <v>0.5584615384615385</v>
      </c>
      <c r="H38" s="19">
        <f>F38/$F$63</f>
        <v>0.04127569959515513</v>
      </c>
      <c r="J38" s="101">
        <f>G38+'3a2 pg 1-5'!$R$382</f>
        <v>0.5624138597281534</v>
      </c>
      <c r="K38" s="99">
        <f>J38*D38</f>
        <v>21.934140529397983</v>
      </c>
      <c r="L38" s="99">
        <f t="shared" si="2"/>
        <v>1052.8387454111032</v>
      </c>
      <c r="M38" s="19">
        <f>L38/$L$63</f>
        <v>0.04050268232203511</v>
      </c>
    </row>
    <row r="39" spans="1:12" ht="12.75">
      <c r="A39" t="s">
        <v>114</v>
      </c>
      <c r="B39" s="20">
        <f t="shared" si="0"/>
        <v>0</v>
      </c>
      <c r="D39">
        <v>39</v>
      </c>
      <c r="E39" s="99">
        <v>20.31</v>
      </c>
      <c r="F39" s="99">
        <f t="shared" si="1"/>
        <v>0</v>
      </c>
      <c r="G39" s="101"/>
      <c r="J39" s="101"/>
      <c r="K39" s="99">
        <f>E39</f>
        <v>20.31</v>
      </c>
      <c r="L39" s="99">
        <f t="shared" si="2"/>
        <v>0</v>
      </c>
    </row>
    <row r="40" spans="2:10" ht="7.5" customHeight="1">
      <c r="B40" s="20"/>
      <c r="G40" s="101"/>
      <c r="J40" s="101"/>
    </row>
    <row r="41" spans="1:10" ht="12.75">
      <c r="A41" t="s">
        <v>116</v>
      </c>
      <c r="B41" s="20">
        <f t="shared" si="0"/>
        <v>0</v>
      </c>
      <c r="G41" s="101"/>
      <c r="J41" s="101"/>
    </row>
    <row r="42" spans="1:13" s="122" customFormat="1" ht="12.75">
      <c r="A42" s="122" t="s">
        <v>117</v>
      </c>
      <c r="B42" s="123">
        <f>D42*C42</f>
        <v>13992</v>
      </c>
      <c r="C42" s="124">
        <v>318</v>
      </c>
      <c r="D42" s="122">
        <v>44</v>
      </c>
      <c r="E42" s="125">
        <v>8.75</v>
      </c>
      <c r="F42" s="125">
        <f>C42*E42</f>
        <v>2782.5</v>
      </c>
      <c r="G42" s="126">
        <f>E42/D42</f>
        <v>0.19886363636363635</v>
      </c>
      <c r="H42" s="19">
        <f>F42/$F$63</f>
        <v>0.10985770022528232</v>
      </c>
      <c r="J42" s="126">
        <f>G42+'3a2 pg 1-5'!$R$382</f>
        <v>0.20281595763025134</v>
      </c>
      <c r="K42" s="125">
        <f>J42*D42</f>
        <v>8.923902135731058</v>
      </c>
      <c r="L42" s="125">
        <f>J42*B42</f>
        <v>2837.8008791624766</v>
      </c>
      <c r="M42" s="19">
        <f>L42/$L$63</f>
        <v>0.10917013455562898</v>
      </c>
    </row>
    <row r="43" spans="1:13" s="122" customFormat="1" ht="12.75">
      <c r="A43" s="122" t="s">
        <v>118</v>
      </c>
      <c r="B43" s="123"/>
      <c r="C43" s="124"/>
      <c r="D43" s="122">
        <v>44</v>
      </c>
      <c r="E43" s="125">
        <v>7.01</v>
      </c>
      <c r="F43" s="125"/>
      <c r="G43" s="126"/>
      <c r="H43" s="19"/>
      <c r="J43" s="126"/>
      <c r="K43" s="125">
        <f>E43</f>
        <v>7.01</v>
      </c>
      <c r="L43" s="125"/>
      <c r="M43" s="19"/>
    </row>
    <row r="44" spans="2:10" ht="6" customHeight="1">
      <c r="B44" s="20"/>
      <c r="G44" s="101"/>
      <c r="J44" s="101"/>
    </row>
    <row r="45" spans="1:13" ht="12.75">
      <c r="A45" t="s">
        <v>119</v>
      </c>
      <c r="B45" s="20">
        <f t="shared" si="0"/>
        <v>5808</v>
      </c>
      <c r="C45" s="18">
        <v>132</v>
      </c>
      <c r="D45">
        <v>44</v>
      </c>
      <c r="E45" s="99">
        <v>6.85</v>
      </c>
      <c r="F45" s="99">
        <f t="shared" si="1"/>
        <v>904.1999999999999</v>
      </c>
      <c r="G45" s="101">
        <f>F45/B45</f>
        <v>0.15568181818181817</v>
      </c>
      <c r="H45" s="19">
        <f>F45/$F$63</f>
        <v>0.03569931088722382</v>
      </c>
      <c r="J45" s="101">
        <f>G45+'3a2 pg 1-5'!$R$382</f>
        <v>0.15963413944843316</v>
      </c>
      <c r="K45" s="99">
        <f>J45*D45</f>
        <v>7.023902135731059</v>
      </c>
      <c r="L45" s="99">
        <f t="shared" si="2"/>
        <v>927.1550819164997</v>
      </c>
      <c r="M45" s="19">
        <f>L45/$L$63</f>
        <v>0.03566763467795949</v>
      </c>
    </row>
    <row r="46" spans="1:12" ht="12.75">
      <c r="A46" t="s">
        <v>120</v>
      </c>
      <c r="B46" s="20">
        <f t="shared" si="0"/>
        <v>0</v>
      </c>
      <c r="D46">
        <v>44</v>
      </c>
      <c r="E46" s="99">
        <v>5.12</v>
      </c>
      <c r="F46" s="99">
        <f t="shared" si="1"/>
        <v>0</v>
      </c>
      <c r="G46" s="101"/>
      <c r="J46" s="101"/>
      <c r="K46" s="99">
        <f>E46</f>
        <v>5.12</v>
      </c>
      <c r="L46" s="99">
        <f t="shared" si="2"/>
        <v>0</v>
      </c>
    </row>
    <row r="47" spans="2:10" ht="6.75" customHeight="1">
      <c r="B47" s="20"/>
      <c r="G47" s="101"/>
      <c r="J47" s="101"/>
    </row>
    <row r="48" spans="1:13" ht="12.75">
      <c r="A48" t="s">
        <v>121</v>
      </c>
      <c r="B48" s="20">
        <f t="shared" si="0"/>
        <v>24048</v>
      </c>
      <c r="C48" s="18">
        <v>144</v>
      </c>
      <c r="D48">
        <v>167</v>
      </c>
      <c r="E48" s="99">
        <v>17.61</v>
      </c>
      <c r="F48" s="99">
        <f t="shared" si="1"/>
        <v>2535.84</v>
      </c>
      <c r="G48" s="101">
        <f>F48/B48</f>
        <v>0.1054491017964072</v>
      </c>
      <c r="H48" s="19">
        <f>F48/$F$63</f>
        <v>0.10011915562957051</v>
      </c>
      <c r="J48" s="101">
        <f>G48+'3a2 pg 1-5'!$R$382</f>
        <v>0.10940142306302218</v>
      </c>
      <c r="K48" s="99">
        <f>J48*D48</f>
        <v>18.270037651524703</v>
      </c>
      <c r="L48" s="99">
        <f t="shared" si="2"/>
        <v>2630.8854218195575</v>
      </c>
      <c r="M48" s="19">
        <f>L48/$L$63</f>
        <v>0.1012101016704349</v>
      </c>
    </row>
    <row r="49" spans="1:12" ht="12.75">
      <c r="A49" t="s">
        <v>122</v>
      </c>
      <c r="B49" s="20">
        <f t="shared" si="0"/>
        <v>0</v>
      </c>
      <c r="D49">
        <v>167</v>
      </c>
      <c r="E49" s="99">
        <v>11.03</v>
      </c>
      <c r="F49" s="99">
        <f t="shared" si="1"/>
        <v>0</v>
      </c>
      <c r="G49" s="101"/>
      <c r="J49" s="101"/>
      <c r="K49" s="99">
        <f>E49</f>
        <v>11.03</v>
      </c>
      <c r="L49" s="99">
        <f t="shared" si="2"/>
        <v>0</v>
      </c>
    </row>
    <row r="50" spans="2:10" ht="6" customHeight="1">
      <c r="B50" s="20"/>
      <c r="G50" s="101"/>
      <c r="J50" s="101"/>
    </row>
    <row r="51" spans="1:13" ht="12.75">
      <c r="A51" t="s">
        <v>123</v>
      </c>
      <c r="B51" s="20">
        <f t="shared" si="0"/>
        <v>14220</v>
      </c>
      <c r="C51" s="18">
        <v>36</v>
      </c>
      <c r="D51">
        <v>395</v>
      </c>
      <c r="E51" s="99">
        <v>28.49</v>
      </c>
      <c r="F51" s="99">
        <f t="shared" si="1"/>
        <v>1025.6399999999999</v>
      </c>
      <c r="G51" s="101">
        <f>F51/B51</f>
        <v>0.072126582278481</v>
      </c>
      <c r="H51" s="19">
        <f>F51/$F$63</f>
        <v>0.0404939628603984</v>
      </c>
      <c r="J51" s="101">
        <f>G51+'3a2 pg 1-5'!$R$382</f>
        <v>0.07607890354509599</v>
      </c>
      <c r="K51" s="99">
        <f>J51*D51</f>
        <v>30.051166900312914</v>
      </c>
      <c r="L51" s="99">
        <f t="shared" si="2"/>
        <v>1081.842008411265</v>
      </c>
      <c r="M51" s="19">
        <f>L51/$L$63</f>
        <v>0.04161843718261378</v>
      </c>
    </row>
    <row r="52" spans="1:12" ht="12.75">
      <c r="A52" t="s">
        <v>124</v>
      </c>
      <c r="B52" s="20"/>
      <c r="D52">
        <v>395</v>
      </c>
      <c r="E52" s="99">
        <v>12.89</v>
      </c>
      <c r="F52" s="99">
        <f t="shared" si="1"/>
        <v>0</v>
      </c>
      <c r="G52" s="101"/>
      <c r="J52" s="101"/>
      <c r="K52" s="99">
        <f>E52</f>
        <v>12.89</v>
      </c>
      <c r="L52" s="99">
        <f t="shared" si="2"/>
        <v>0</v>
      </c>
    </row>
    <row r="53" spans="2:10" ht="6" customHeight="1">
      <c r="B53" s="20"/>
      <c r="G53" s="101"/>
      <c r="J53" s="101"/>
    </row>
    <row r="54" spans="1:13" ht="12.75">
      <c r="A54" t="s">
        <v>125</v>
      </c>
      <c r="B54" s="20">
        <f t="shared" si="0"/>
        <v>5088</v>
      </c>
      <c r="C54" s="18">
        <v>48</v>
      </c>
      <c r="D54" s="119">
        <v>106</v>
      </c>
      <c r="E54" s="99">
        <v>20.35</v>
      </c>
      <c r="F54" s="99">
        <f t="shared" si="1"/>
        <v>976.8000000000001</v>
      </c>
      <c r="G54" s="101">
        <f>F54/B54</f>
        <v>0.1919811320754717</v>
      </c>
      <c r="H54" s="19">
        <f>F54/$F$63</f>
        <v>0.03856567891466515</v>
      </c>
      <c r="J54" s="101">
        <f>G54+'3a2 pg 1-5'!$R$382</f>
        <v>0.1959334533420867</v>
      </c>
      <c r="K54" s="99">
        <f>J54*D54</f>
        <v>20.76894605426119</v>
      </c>
      <c r="L54" s="99">
        <f t="shared" si="2"/>
        <v>996.909410604537</v>
      </c>
      <c r="M54" s="19">
        <f>L54/$L$63</f>
        <v>0.03835108209832891</v>
      </c>
    </row>
    <row r="55" spans="2:12" ht="7.5" customHeight="1">
      <c r="B55" s="20"/>
      <c r="D55" s="119"/>
      <c r="G55" s="101"/>
      <c r="J55" s="101"/>
      <c r="L55" s="99">
        <f t="shared" si="2"/>
        <v>0</v>
      </c>
    </row>
    <row r="56" spans="1:12" ht="12.75">
      <c r="A56" t="s">
        <v>126</v>
      </c>
      <c r="B56" s="20">
        <f t="shared" si="0"/>
        <v>0</v>
      </c>
      <c r="D56" s="119">
        <v>162</v>
      </c>
      <c r="E56" s="99">
        <v>14.56</v>
      </c>
      <c r="F56" s="99">
        <f t="shared" si="1"/>
        <v>0</v>
      </c>
      <c r="G56" s="101">
        <f>E56/D56</f>
        <v>0.08987654320987655</v>
      </c>
      <c r="J56" s="101">
        <f>G56+'3a2 pg 1-5'!$R$382</f>
        <v>0.09382886447649154</v>
      </c>
      <c r="K56" s="99">
        <f>J56*D56</f>
        <v>15.200276045191629</v>
      </c>
      <c r="L56" s="99">
        <f t="shared" si="2"/>
        <v>0</v>
      </c>
    </row>
    <row r="57" spans="1:12" ht="12.75">
      <c r="A57" t="s">
        <v>127</v>
      </c>
      <c r="B57" s="20">
        <f t="shared" si="0"/>
        <v>0</v>
      </c>
      <c r="D57" s="119">
        <v>162</v>
      </c>
      <c r="E57" s="99">
        <v>7.99</v>
      </c>
      <c r="F57" s="99">
        <f t="shared" si="1"/>
        <v>0</v>
      </c>
      <c r="G57" s="101"/>
      <c r="J57" s="101"/>
      <c r="K57" s="99">
        <f>E57</f>
        <v>7.99</v>
      </c>
      <c r="L57" s="99">
        <f t="shared" si="2"/>
        <v>0</v>
      </c>
    </row>
    <row r="58" spans="1:12" ht="12.75">
      <c r="A58" t="s">
        <v>128</v>
      </c>
      <c r="B58" s="20">
        <f t="shared" si="0"/>
        <v>0</v>
      </c>
      <c r="D58" s="119">
        <v>162</v>
      </c>
      <c r="E58" s="99">
        <v>17.3</v>
      </c>
      <c r="F58" s="99">
        <f t="shared" si="1"/>
        <v>0</v>
      </c>
      <c r="G58" s="101">
        <f>E58/D58</f>
        <v>0.10679012345679013</v>
      </c>
      <c r="J58" s="101">
        <f>G58+'3a2 pg 1-5'!$R$382</f>
        <v>0.11074244472340512</v>
      </c>
      <c r="K58" s="99">
        <f>J58*D58</f>
        <v>17.94027604519163</v>
      </c>
      <c r="L58" s="99">
        <f t="shared" si="2"/>
        <v>0</v>
      </c>
    </row>
    <row r="59" spans="1:12" ht="12.75">
      <c r="A59" t="s">
        <v>129</v>
      </c>
      <c r="B59" s="20">
        <f t="shared" si="0"/>
        <v>0</v>
      </c>
      <c r="D59" s="119">
        <v>162</v>
      </c>
      <c r="E59" s="99">
        <v>10.73</v>
      </c>
      <c r="F59" s="99">
        <f t="shared" si="1"/>
        <v>0</v>
      </c>
      <c r="G59" s="101"/>
      <c r="J59" s="101"/>
      <c r="K59" s="99">
        <f>E59</f>
        <v>10.73</v>
      </c>
      <c r="L59" s="99">
        <f t="shared" si="2"/>
        <v>0</v>
      </c>
    </row>
    <row r="60" spans="1:12" ht="12.75">
      <c r="A60" t="s">
        <v>130</v>
      </c>
      <c r="B60" s="20">
        <f t="shared" si="0"/>
        <v>0</v>
      </c>
      <c r="D60" s="119">
        <v>162</v>
      </c>
      <c r="E60" s="99">
        <v>18.15</v>
      </c>
      <c r="F60" s="99">
        <f t="shared" si="1"/>
        <v>0</v>
      </c>
      <c r="G60" s="101">
        <f>E60/D60</f>
        <v>0.11203703703703703</v>
      </c>
      <c r="J60" s="101">
        <f>G60+'3a2 pg 1-5'!$R$382</f>
        <v>0.11598935830365202</v>
      </c>
      <c r="K60" s="99">
        <f>J60*D60</f>
        <v>18.79027604519163</v>
      </c>
      <c r="L60" s="99">
        <f t="shared" si="2"/>
        <v>0</v>
      </c>
    </row>
    <row r="61" spans="1:12" ht="12.75">
      <c r="A61" t="s">
        <v>131</v>
      </c>
      <c r="B61" s="20">
        <f t="shared" si="0"/>
        <v>0</v>
      </c>
      <c r="D61" s="119">
        <v>162</v>
      </c>
      <c r="E61" s="99">
        <v>11.57</v>
      </c>
      <c r="F61" s="99">
        <f t="shared" si="1"/>
        <v>0</v>
      </c>
      <c r="G61" s="101"/>
      <c r="J61" s="101"/>
      <c r="K61" s="99">
        <f>E61</f>
        <v>11.57</v>
      </c>
      <c r="L61" s="99">
        <f t="shared" si="2"/>
        <v>0</v>
      </c>
    </row>
    <row r="62" spans="1:12" ht="12.75">
      <c r="A62" t="s">
        <v>169</v>
      </c>
      <c r="B62" s="20">
        <f t="shared" si="0"/>
        <v>0</v>
      </c>
      <c r="D62" s="119">
        <v>162</v>
      </c>
      <c r="E62" s="99">
        <v>23.56</v>
      </c>
      <c r="F62" s="99">
        <f t="shared" si="1"/>
        <v>0</v>
      </c>
      <c r="G62" s="101"/>
      <c r="J62" s="101"/>
      <c r="K62" s="99">
        <f>E62</f>
        <v>23.56</v>
      </c>
      <c r="L62" s="99">
        <f t="shared" si="2"/>
        <v>0</v>
      </c>
    </row>
    <row r="63" spans="1:16" ht="12.75">
      <c r="A63" t="s">
        <v>153</v>
      </c>
      <c r="B63" s="115">
        <f>SUM(B22:B62)</f>
        <v>168528</v>
      </c>
      <c r="C63" s="115">
        <f>SUM(C22:C62)</f>
        <v>1761</v>
      </c>
      <c r="D63" s="116"/>
      <c r="E63" s="117"/>
      <c r="F63" s="117">
        <f>SUM(F22:F62)</f>
        <v>25328.219999999998</v>
      </c>
      <c r="G63" s="116"/>
      <c r="H63" s="166">
        <f>SUM(H24:H62)</f>
        <v>1</v>
      </c>
      <c r="I63" s="116"/>
      <c r="J63" s="116"/>
      <c r="K63" s="117"/>
      <c r="L63" s="117">
        <f>SUM(L22:L62)</f>
        <v>25994.296798420088</v>
      </c>
      <c r="M63" s="166">
        <f>SUM(M24:M62)</f>
        <v>1</v>
      </c>
      <c r="N63" s="112"/>
      <c r="O63" s="113">
        <f>L63-F63</f>
        <v>666.0767984200902</v>
      </c>
      <c r="P63" s="114"/>
    </row>
    <row r="64" spans="2:16" ht="7.5" customHeight="1">
      <c r="B64" s="20"/>
      <c r="O64" s="100"/>
      <c r="P64" s="19"/>
    </row>
    <row r="65" spans="1:16" ht="12.75">
      <c r="A65" t="s">
        <v>80</v>
      </c>
      <c r="F65" s="99">
        <f>('3a2 pg 1-5'!$E$371/'3a2 pg 6'!$B$94)*'3a2 pg 6'!B63</f>
        <v>1404.4950378487727</v>
      </c>
      <c r="L65" s="99">
        <f>F65</f>
        <v>1404.4950378487727</v>
      </c>
      <c r="O65" s="100"/>
      <c r="P65" s="19"/>
    </row>
    <row r="66" spans="1:16" ht="12.75">
      <c r="A66" t="s">
        <v>81</v>
      </c>
      <c r="F66" s="99">
        <f>('3a2 pg 1-5'!$E$372/'3a2 pg 6'!$F$94)*'3a2 pg 6'!F63</f>
        <v>37.91389139250821</v>
      </c>
      <c r="L66" s="99">
        <f>F66</f>
        <v>37.91389139250821</v>
      </c>
      <c r="O66" s="100"/>
      <c r="P66" s="19"/>
    </row>
    <row r="67" spans="1:16" ht="13.5" thickBot="1">
      <c r="A67" t="s">
        <v>153</v>
      </c>
      <c r="B67" s="20"/>
      <c r="F67" s="105">
        <f>SUM(F63:F66)</f>
        <v>26770.62892924128</v>
      </c>
      <c r="L67" s="105">
        <f>SUM(L63:L66)</f>
        <v>27436.70572766137</v>
      </c>
      <c r="M67" s="114"/>
      <c r="O67" s="100">
        <f>L67-F67</f>
        <v>666.0767984200902</v>
      </c>
      <c r="P67" s="19">
        <f>O67/F67</f>
        <v>0.024880879720107787</v>
      </c>
    </row>
    <row r="68" spans="2:16" ht="12" customHeight="1" thickTop="1">
      <c r="B68" s="20"/>
      <c r="F68" s="99">
        <f>F67/C63</f>
        <v>15.201947148916116</v>
      </c>
      <c r="L68" s="99">
        <f>L67/C63</f>
        <v>15.580184967439733</v>
      </c>
      <c r="O68" s="100">
        <f>L68-F68</f>
        <v>0.37823781852361726</v>
      </c>
      <c r="P68" s="19">
        <f>O68/F68</f>
        <v>0.02488087972010778</v>
      </c>
    </row>
    <row r="69" ht="12.75" hidden="1">
      <c r="B69" s="20"/>
    </row>
    <row r="70" spans="1:7" ht="12.75">
      <c r="A70" t="s">
        <v>137</v>
      </c>
      <c r="B70" s="20"/>
      <c r="G70" s="109"/>
    </row>
    <row r="71" spans="1:13" ht="12.75">
      <c r="A71" t="s">
        <v>138</v>
      </c>
      <c r="B71" s="20">
        <v>14938659</v>
      </c>
      <c r="C71" s="18">
        <v>205299</v>
      </c>
      <c r="D71">
        <v>74</v>
      </c>
      <c r="E71" s="99">
        <v>8.29</v>
      </c>
      <c r="F71" s="99">
        <f>E71*C71</f>
        <v>1701928.7099999997</v>
      </c>
      <c r="G71" s="101"/>
      <c r="H71" s="19">
        <f>F71/$F$86</f>
        <v>0.7236391155128581</v>
      </c>
      <c r="J71" s="101"/>
      <c r="K71" s="99">
        <v>8.55</v>
      </c>
      <c r="L71" s="99">
        <f t="shared" si="2"/>
        <v>1755306.4500000002</v>
      </c>
      <c r="M71" s="19">
        <f>L71/$L$86</f>
        <v>0.7231553315219108</v>
      </c>
    </row>
    <row r="72" spans="1:20" ht="12.75">
      <c r="A72" t="s">
        <v>140</v>
      </c>
      <c r="B72" s="20">
        <v>2355699</v>
      </c>
      <c r="C72" s="18">
        <v>53279</v>
      </c>
      <c r="D72">
        <v>45</v>
      </c>
      <c r="E72" s="99">
        <v>8.29</v>
      </c>
      <c r="F72" s="99">
        <f>E72*C72</f>
        <v>441682.91</v>
      </c>
      <c r="G72" s="101">
        <f>Q72</f>
        <v>0.12394860913599681</v>
      </c>
      <c r="H72" s="19">
        <f aca="true" t="shared" si="3" ref="H72:H83">F72/$F$86</f>
        <v>0.1877981307040442</v>
      </c>
      <c r="J72" s="101">
        <f>R72</f>
        <v>0.1279009304026118</v>
      </c>
      <c r="K72" s="99">
        <v>8.55</v>
      </c>
      <c r="L72" s="99">
        <f>C72*K72</f>
        <v>455535.45</v>
      </c>
      <c r="M72" s="19">
        <f>L72/$L$86</f>
        <v>0.18767257954571567</v>
      </c>
      <c r="O72" s="100">
        <f>B72+B71</f>
        <v>17294358</v>
      </c>
      <c r="P72" s="100">
        <f>F72+F71</f>
        <v>2143611.6199999996</v>
      </c>
      <c r="Q72">
        <f>P72/O72</f>
        <v>0.12394860913599681</v>
      </c>
      <c r="R72">
        <f>Q72+'3a2 pg 1-5'!R382</f>
        <v>0.1279009304026118</v>
      </c>
      <c r="S72">
        <f>R72*(B72+B71)</f>
        <v>2211964.4789158525</v>
      </c>
      <c r="T72">
        <f>S72/(C71+C72)</f>
        <v>8.554341355087642</v>
      </c>
    </row>
    <row r="73" spans="8:13" ht="12.75" hidden="1">
      <c r="H73" s="19">
        <f t="shared" si="3"/>
        <v>0</v>
      </c>
      <c r="M73" s="19">
        <f>L73/$L$86</f>
        <v>0</v>
      </c>
    </row>
    <row r="74" spans="1:12" ht="12.75">
      <c r="A74" t="s">
        <v>139</v>
      </c>
      <c r="B74" s="20">
        <f>C74*D74</f>
        <v>0</v>
      </c>
      <c r="D74">
        <v>74</v>
      </c>
      <c r="E74" s="99">
        <v>6.48</v>
      </c>
      <c r="F74" s="99">
        <f>E74*C74</f>
        <v>0</v>
      </c>
      <c r="G74" s="101"/>
      <c r="J74" s="101"/>
      <c r="K74" s="99">
        <f>E74</f>
        <v>6.48</v>
      </c>
      <c r="L74" s="99">
        <f>C74*K74</f>
        <v>0</v>
      </c>
    </row>
    <row r="75" spans="1:20" ht="12.75">
      <c r="A75" t="s">
        <v>141</v>
      </c>
      <c r="B75" s="20">
        <f t="shared" si="0"/>
        <v>0</v>
      </c>
      <c r="D75">
        <f>D72</f>
        <v>45</v>
      </c>
      <c r="E75" s="99">
        <v>6.48</v>
      </c>
      <c r="F75" s="99">
        <f aca="true" t="shared" si="4" ref="F75:F84">E75*C75</f>
        <v>0</v>
      </c>
      <c r="G75" s="101"/>
      <c r="J75" s="101"/>
      <c r="K75" s="99">
        <f>E75</f>
        <v>6.48</v>
      </c>
      <c r="L75" s="99">
        <f t="shared" si="2"/>
        <v>0</v>
      </c>
      <c r="O75" s="100">
        <f>D75+D74</f>
        <v>119</v>
      </c>
      <c r="P75" s="100">
        <f>E75+E74</f>
        <v>12.96</v>
      </c>
      <c r="Q75">
        <f>P75/O75</f>
        <v>0.1089075630252101</v>
      </c>
      <c r="R75">
        <f>Q75+'3a2 pg 1-5'!R382</f>
        <v>0.11285988429182509</v>
      </c>
      <c r="S75">
        <f>R75*(D75+D74)</f>
        <v>13.430326230727186</v>
      </c>
      <c r="T75">
        <f>S75/2</f>
        <v>6.715163115363593</v>
      </c>
    </row>
    <row r="76" spans="2:12" ht="5.25" customHeight="1">
      <c r="B76" s="20"/>
      <c r="F76" s="99">
        <f t="shared" si="4"/>
        <v>0</v>
      </c>
      <c r="G76" s="101"/>
      <c r="J76" s="101"/>
      <c r="L76" s="99">
        <f t="shared" si="2"/>
        <v>0</v>
      </c>
    </row>
    <row r="77" spans="1:13" ht="12.75">
      <c r="A77" t="s">
        <v>142</v>
      </c>
      <c r="B77" s="20">
        <v>1230403</v>
      </c>
      <c r="C77" s="18">
        <v>11681</v>
      </c>
      <c r="D77">
        <v>106</v>
      </c>
      <c r="E77" s="99">
        <v>13.15</v>
      </c>
      <c r="F77" s="99">
        <f t="shared" si="4"/>
        <v>153605.15</v>
      </c>
      <c r="G77" s="101">
        <f aca="true" t="shared" si="5" ref="G77:G83">F77/B77</f>
        <v>0.12484133247399429</v>
      </c>
      <c r="H77" s="19">
        <f t="shared" si="3"/>
        <v>0.06531101698391345</v>
      </c>
      <c r="J77" s="101">
        <f>G77+'3a2 pg 1-5'!$R$382</f>
        <v>0.12879365374060928</v>
      </c>
      <c r="K77" s="99">
        <f aca="true" t="shared" si="6" ref="K77:K83">J77*D77</f>
        <v>13.652127296504583</v>
      </c>
      <c r="L77" s="99">
        <f t="shared" si="2"/>
        <v>159470.49895047004</v>
      </c>
      <c r="M77" s="19">
        <f>L77/$L$86</f>
        <v>0.0656990359355722</v>
      </c>
    </row>
    <row r="78" spans="1:12" ht="12.75">
      <c r="A78" t="s">
        <v>143</v>
      </c>
      <c r="B78" s="20">
        <f t="shared" si="0"/>
        <v>0</v>
      </c>
      <c r="D78">
        <v>106</v>
      </c>
      <c r="E78" s="99">
        <v>8.23</v>
      </c>
      <c r="F78" s="99">
        <f t="shared" si="4"/>
        <v>0</v>
      </c>
      <c r="G78" s="101"/>
      <c r="J78" s="101"/>
      <c r="K78" s="99">
        <f>E78</f>
        <v>8.23</v>
      </c>
      <c r="L78" s="99">
        <f t="shared" si="2"/>
        <v>0</v>
      </c>
    </row>
    <row r="79" spans="1:13" ht="12.75">
      <c r="A79" t="s">
        <v>144</v>
      </c>
      <c r="B79" s="20">
        <f>C79*D79</f>
        <v>69536</v>
      </c>
      <c r="C79" s="18">
        <f>283+373</f>
        <v>656</v>
      </c>
      <c r="D79">
        <v>106</v>
      </c>
      <c r="E79" s="99">
        <v>14.34</v>
      </c>
      <c r="F79" s="99">
        <f t="shared" si="4"/>
        <v>9407.039999999999</v>
      </c>
      <c r="G79" s="101">
        <f t="shared" si="5"/>
        <v>0.13528301886792451</v>
      </c>
      <c r="H79" s="19">
        <f t="shared" si="3"/>
        <v>0.003999757489956249</v>
      </c>
      <c r="J79" s="101">
        <f>G79+'3a2 pg 1-5'!$R$382</f>
        <v>0.1392353401345395</v>
      </c>
      <c r="K79" s="99">
        <f t="shared" si="6"/>
        <v>14.758946054261187</v>
      </c>
      <c r="L79" s="99">
        <f t="shared" si="2"/>
        <v>9681.868611595339</v>
      </c>
      <c r="M79" s="19">
        <f>L79/$L$86</f>
        <v>0.003988759287912267</v>
      </c>
    </row>
    <row r="80" spans="1:12" ht="12.75">
      <c r="A80" t="s">
        <v>145</v>
      </c>
      <c r="B80" s="20">
        <f t="shared" si="0"/>
        <v>0</v>
      </c>
      <c r="D80">
        <v>106</v>
      </c>
      <c r="E80" s="99">
        <v>9.17</v>
      </c>
      <c r="F80" s="99">
        <f t="shared" si="4"/>
        <v>0</v>
      </c>
      <c r="G80" s="101"/>
      <c r="J80" s="101"/>
      <c r="K80" s="99">
        <f>E80</f>
        <v>9.17</v>
      </c>
      <c r="L80" s="99">
        <f t="shared" si="2"/>
        <v>0</v>
      </c>
    </row>
    <row r="81" spans="1:13" ht="12.75">
      <c r="A81" t="s">
        <v>146</v>
      </c>
      <c r="B81" s="20">
        <f>C81*D81</f>
        <v>223112</v>
      </c>
      <c r="C81" s="18">
        <f>946+390</f>
        <v>1336</v>
      </c>
      <c r="D81">
        <v>167</v>
      </c>
      <c r="E81" s="99">
        <v>17.54</v>
      </c>
      <c r="F81" s="99">
        <f t="shared" si="4"/>
        <v>23433.44</v>
      </c>
      <c r="G81" s="101">
        <f t="shared" si="5"/>
        <v>0.10502994011976047</v>
      </c>
      <c r="H81" s="19">
        <f t="shared" si="3"/>
        <v>0.009963609929950375</v>
      </c>
      <c r="J81" s="101">
        <f>G81+'3a2 pg 1-5'!$R$382</f>
        <v>0.10898226138637546</v>
      </c>
      <c r="K81" s="99">
        <f t="shared" si="6"/>
        <v>18.200037651524703</v>
      </c>
      <c r="L81" s="99">
        <f t="shared" si="2"/>
        <v>24315.250302437</v>
      </c>
      <c r="M81" s="19">
        <f>L81/$L$86</f>
        <v>0.010017454726208673</v>
      </c>
    </row>
    <row r="82" spans="1:12" ht="12.75">
      <c r="A82" t="s">
        <v>147</v>
      </c>
      <c r="B82" s="20">
        <f t="shared" si="0"/>
        <v>0</v>
      </c>
      <c r="D82">
        <v>167</v>
      </c>
      <c r="E82" s="99">
        <v>9.17</v>
      </c>
      <c r="F82" s="99">
        <f t="shared" si="4"/>
        <v>0</v>
      </c>
      <c r="G82" s="101"/>
      <c r="J82" s="101"/>
      <c r="K82" s="99">
        <f>E82</f>
        <v>9.17</v>
      </c>
      <c r="L82" s="99">
        <f t="shared" si="2"/>
        <v>0</v>
      </c>
    </row>
    <row r="83" spans="1:13" ht="12.75">
      <c r="A83" t="s">
        <v>148</v>
      </c>
      <c r="B83" s="20">
        <f>C83*D83</f>
        <v>286770</v>
      </c>
      <c r="C83" s="18">
        <v>726</v>
      </c>
      <c r="D83">
        <v>395</v>
      </c>
      <c r="E83" s="99">
        <v>30.09</v>
      </c>
      <c r="F83" s="99">
        <f t="shared" si="4"/>
        <v>21845.34</v>
      </c>
      <c r="G83" s="101">
        <f t="shared" si="5"/>
        <v>0.07617721518987342</v>
      </c>
      <c r="H83" s="19">
        <f t="shared" si="3"/>
        <v>0.009288369379277739</v>
      </c>
      <c r="J83" s="101">
        <f>G83+'3a2 pg 1-5'!$R$382</f>
        <v>0.0801295364564884</v>
      </c>
      <c r="K83" s="99">
        <f t="shared" si="6"/>
        <v>31.65116690031292</v>
      </c>
      <c r="L83" s="99">
        <f t="shared" si="2"/>
        <v>22978.74716962718</v>
      </c>
      <c r="M83" s="19">
        <f>L83/$L$86</f>
        <v>0.009466838982680153</v>
      </c>
    </row>
    <row r="84" spans="1:13" s="122" customFormat="1" ht="12.75">
      <c r="A84" s="122" t="s">
        <v>149</v>
      </c>
      <c r="B84" s="123"/>
      <c r="C84" s="124"/>
      <c r="D84" s="122">
        <v>395</v>
      </c>
      <c r="E84" s="125">
        <v>10.23</v>
      </c>
      <c r="F84" s="125">
        <f t="shared" si="4"/>
        <v>0</v>
      </c>
      <c r="G84" s="126"/>
      <c r="H84" s="167"/>
      <c r="J84" s="126"/>
      <c r="K84" s="125">
        <f>E84</f>
        <v>10.23</v>
      </c>
      <c r="L84" s="125">
        <f t="shared" si="2"/>
        <v>0</v>
      </c>
      <c r="M84" s="167"/>
    </row>
    <row r="85" ht="12.75" hidden="1"/>
    <row r="86" spans="1:16" ht="12.75">
      <c r="A86" t="s">
        <v>154</v>
      </c>
      <c r="B86" s="115">
        <f>SUM(B71:B84)</f>
        <v>19104179</v>
      </c>
      <c r="C86" s="115">
        <f>SUM(C71:C84)</f>
        <v>272977</v>
      </c>
      <c r="D86" s="116"/>
      <c r="E86" s="117"/>
      <c r="F86" s="117">
        <f>SUM(F71:F84)</f>
        <v>2351902.5899999994</v>
      </c>
      <c r="G86" s="116"/>
      <c r="H86" s="166">
        <f>SUM(H71:H85)</f>
        <v>1.0000000000000002</v>
      </c>
      <c r="I86" s="116"/>
      <c r="J86" s="116"/>
      <c r="K86" s="117"/>
      <c r="L86" s="117">
        <f>SUM(L71:L84)</f>
        <v>2427288.2650341303</v>
      </c>
      <c r="M86" s="166">
        <f>SUM(M71:M84)</f>
        <v>0.9999999999999999</v>
      </c>
      <c r="N86" s="112"/>
      <c r="O86" s="113">
        <f>L86-F86</f>
        <v>75385.67503413092</v>
      </c>
      <c r="P86" s="114"/>
    </row>
    <row r="87" spans="15:16" ht="6.75" customHeight="1">
      <c r="O87" s="100"/>
      <c r="P87" s="19"/>
    </row>
    <row r="88" spans="1:16" ht="12.75">
      <c r="A88" t="s">
        <v>80</v>
      </c>
      <c r="F88" s="99">
        <f>('3a2 pg 1-5'!$E$371/'3a2 pg 6'!$B$94)*'3a2 pg 6'!B86</f>
        <v>159212.2650697494</v>
      </c>
      <c r="L88" s="99">
        <f>F88</f>
        <v>159212.2650697494</v>
      </c>
      <c r="O88" s="100"/>
      <c r="P88" s="19"/>
    </row>
    <row r="89" spans="1:16" ht="12.75">
      <c r="A89" t="s">
        <v>81</v>
      </c>
      <c r="F89" s="99">
        <f>('3a2 pg 1-5'!$E$372/'3a2 pg 6'!$F$94)*'3a2 pg 6'!F86</f>
        <v>3520.570311021412</v>
      </c>
      <c r="L89" s="99">
        <f>F89</f>
        <v>3520.570311021412</v>
      </c>
      <c r="O89" s="100"/>
      <c r="P89" s="19"/>
    </row>
    <row r="90" spans="15:16" ht="12.75" hidden="1">
      <c r="O90" s="100"/>
      <c r="P90" s="19"/>
    </row>
    <row r="91" spans="6:16" ht="13.5" thickBot="1">
      <c r="F91" s="105">
        <f>SUM(F86:F90)</f>
        <v>2514635.42538077</v>
      </c>
      <c r="L91" s="105">
        <f>SUM(L86:L89)</f>
        <v>2590021.100414901</v>
      </c>
      <c r="M91" s="114"/>
      <c r="O91" s="100">
        <f>L91-F91</f>
        <v>75385.67503413092</v>
      </c>
      <c r="P91" s="19">
        <f>O91/F91</f>
        <v>0.02997876919781161</v>
      </c>
    </row>
    <row r="92" spans="6:16" ht="13.5" thickTop="1">
      <c r="F92" s="99">
        <f>F91/C86</f>
        <v>9.211894867995362</v>
      </c>
      <c r="L92" s="99">
        <f>L91/C86</f>
        <v>9.488056138117502</v>
      </c>
      <c r="O92" s="100">
        <f>L92-F92</f>
        <v>0.27616127012213987</v>
      </c>
      <c r="P92" s="19">
        <f>O92/F92</f>
        <v>0.02997876919781179</v>
      </c>
    </row>
    <row r="94" spans="1:18" ht="12.75" hidden="1">
      <c r="A94" t="s">
        <v>155</v>
      </c>
      <c r="B94" s="18">
        <f>B86+B63+B13</f>
        <v>19993647</v>
      </c>
      <c r="C94" s="18">
        <f>C86+C63+C13</f>
        <v>283568</v>
      </c>
      <c r="F94" s="99">
        <f>F86+F63+F13</f>
        <v>2439035.6099999994</v>
      </c>
      <c r="L94" s="99">
        <f>L86+L63+L13</f>
        <v>2517928.3018325507</v>
      </c>
      <c r="N94" s="99"/>
      <c r="O94" s="99">
        <f>O86+O63+O13</f>
        <v>76051.75183255102</v>
      </c>
      <c r="R94" s="100"/>
    </row>
    <row r="95" spans="1:12" ht="12.75" hidden="1">
      <c r="A95" t="s">
        <v>157</v>
      </c>
      <c r="F95" s="99">
        <f>F88+F65+F15</f>
        <v>166625</v>
      </c>
      <c r="L95" s="99">
        <f>F95</f>
        <v>166625</v>
      </c>
    </row>
    <row r="96" spans="1:12" ht="12.75" hidden="1">
      <c r="A96" t="s">
        <v>158</v>
      </c>
      <c r="B96" s="100"/>
      <c r="F96" s="99">
        <f>F89+F66+F16</f>
        <v>3650.9999999999995</v>
      </c>
      <c r="L96" s="99">
        <f>F96</f>
        <v>3650.9999999999995</v>
      </c>
    </row>
    <row r="97" spans="1:15" ht="12.75" hidden="1">
      <c r="A97" t="s">
        <v>159</v>
      </c>
      <c r="B97" s="100"/>
      <c r="F97" s="117">
        <f>SUM(F94:F96)</f>
        <v>2609311.6099999994</v>
      </c>
      <c r="L97" s="117">
        <f>SUM(L94:L96)</f>
        <v>2688204.3018325507</v>
      </c>
      <c r="M97" s="114"/>
      <c r="N97" s="121"/>
      <c r="O97" s="121"/>
    </row>
    <row r="98" ht="12.75" hidden="1"/>
    <row r="99" spans="6:16" ht="12.75" hidden="1">
      <c r="F99" s="99">
        <f>F97/C94</f>
        <v>9.2017139098911</v>
      </c>
      <c r="L99" s="99">
        <f>L97/C94</f>
        <v>9.479928277635526</v>
      </c>
      <c r="O99" s="100">
        <f>L99-F99</f>
        <v>0.2782143677444271</v>
      </c>
      <c r="P99" s="19">
        <f>O99/F99</f>
        <v>0.03023505951922382</v>
      </c>
    </row>
    <row r="100" ht="12.75" hidden="1"/>
    <row r="101" ht="12.75" hidden="1"/>
  </sheetData>
  <mergeCells count="1">
    <mergeCell ref="A5:P5"/>
  </mergeCells>
  <printOptions horizontalCentered="1"/>
  <pageMargins left="0.22" right="0.22" top="0.47" bottom="0.41" header="0.19" footer="0.17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6"/>
  <sheetViews>
    <sheetView zoomScale="75" zoomScaleNormal="75" workbookViewId="0" topLeftCell="B1">
      <selection activeCell="S23" sqref="S23"/>
    </sheetView>
  </sheetViews>
  <sheetFormatPr defaultColWidth="9.140625" defaultRowHeight="12.75"/>
  <cols>
    <col min="1" max="1" width="46.28125" style="0" bestFit="1" customWidth="1"/>
    <col min="2" max="2" width="11.57421875" style="0" bestFit="1" customWidth="1"/>
    <col min="3" max="3" width="12.00390625" style="0" bestFit="1" customWidth="1"/>
    <col min="4" max="5" width="12.7109375" style="0" bestFit="1" customWidth="1"/>
    <col min="6" max="7" width="12.00390625" style="0" bestFit="1" customWidth="1"/>
    <col min="8" max="8" width="13.140625" style="0" bestFit="1" customWidth="1"/>
    <col min="9" max="9" width="3.00390625" style="0" customWidth="1"/>
    <col min="10" max="11" width="12.00390625" style="0" bestFit="1" customWidth="1"/>
    <col min="12" max="13" width="13.140625" style="0" bestFit="1" customWidth="1"/>
    <col min="14" max="15" width="12.00390625" style="0" bestFit="1" customWidth="1"/>
    <col min="16" max="16" width="14.421875" style="0" bestFit="1" customWidth="1"/>
    <col min="17" max="17" width="3.00390625" style="0" customWidth="1"/>
    <col min="18" max="18" width="12.00390625" style="0" bestFit="1" customWidth="1"/>
    <col min="19" max="19" width="11.57421875" style="0" bestFit="1" customWidth="1"/>
  </cols>
  <sheetData>
    <row r="3" spans="1:19" ht="15">
      <c r="A3" s="169" t="s">
        <v>88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4" spans="1:19" ht="14.25">
      <c r="A4" s="170" t="s">
        <v>28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</row>
    <row r="5" spans="1:19" ht="14.25">
      <c r="A5" s="170" t="s">
        <v>23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</row>
    <row r="6" spans="1:19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4.25">
      <c r="A8" s="1"/>
      <c r="B8" s="1" t="s">
        <v>75</v>
      </c>
      <c r="C8" s="1"/>
      <c r="D8" s="1"/>
      <c r="E8" s="1"/>
      <c r="F8" s="1"/>
      <c r="G8" s="1"/>
      <c r="H8" s="1"/>
      <c r="I8" s="1"/>
      <c r="J8" s="1" t="s">
        <v>2</v>
      </c>
      <c r="K8" s="1"/>
      <c r="L8" s="1"/>
      <c r="M8" s="1"/>
      <c r="N8" s="1"/>
      <c r="O8" s="1"/>
      <c r="P8" s="1"/>
      <c r="Q8" s="1"/>
      <c r="R8" s="1"/>
      <c r="S8" s="1"/>
    </row>
    <row r="9" spans="1:19" ht="14.25">
      <c r="A9" s="1"/>
      <c r="B9" s="8" t="s">
        <v>78</v>
      </c>
      <c r="C9" s="8" t="s">
        <v>77</v>
      </c>
      <c r="D9" s="1" t="s">
        <v>76</v>
      </c>
      <c r="E9" s="1" t="s">
        <v>79</v>
      </c>
      <c r="F9" s="1" t="s">
        <v>80</v>
      </c>
      <c r="G9" s="1" t="s">
        <v>81</v>
      </c>
      <c r="H9" s="1" t="s">
        <v>82</v>
      </c>
      <c r="I9" s="1"/>
      <c r="J9" s="8" t="s">
        <v>168</v>
      </c>
      <c r="K9" s="8" t="s">
        <v>77</v>
      </c>
      <c r="L9" s="1" t="s">
        <v>76</v>
      </c>
      <c r="M9" s="1" t="s">
        <v>79</v>
      </c>
      <c r="N9" s="1" t="s">
        <v>80</v>
      </c>
      <c r="O9" s="1" t="s">
        <v>81</v>
      </c>
      <c r="P9" s="1" t="s">
        <v>82</v>
      </c>
      <c r="Q9" s="1"/>
      <c r="R9" s="1" t="s">
        <v>3</v>
      </c>
      <c r="S9" s="1" t="s">
        <v>4</v>
      </c>
    </row>
    <row r="10" spans="1:19" ht="14.25">
      <c r="A10" s="1" t="str">
        <f>'3a2 pg 1-5'!H9</f>
        <v>Residential, Farm and Non-Farm Service</v>
      </c>
      <c r="B10" s="9">
        <f>'3a2 pg 1-5'!E18</f>
        <v>5406512</v>
      </c>
      <c r="C10" s="9"/>
      <c r="D10" s="9">
        <f>'3a2 pg 1-5'!E20</f>
        <v>46844984.946</v>
      </c>
      <c r="E10" s="9">
        <f>SUM(B10:D10)</f>
        <v>52251496.946</v>
      </c>
      <c r="F10" s="9">
        <f>'3a2 pg 1-5'!E24</f>
        <v>6063317</v>
      </c>
      <c r="G10" s="9">
        <f>'3a2 pg 1-5'!E25</f>
        <v>4017912</v>
      </c>
      <c r="H10" s="9">
        <f>SUM(E10:G10)</f>
        <v>62332725.946</v>
      </c>
      <c r="I10" s="9"/>
      <c r="J10" s="9">
        <f>'3a2 pg 1-5'!J18</f>
        <v>5406512</v>
      </c>
      <c r="K10" s="9"/>
      <c r="L10" s="9">
        <f>'3a2 pg 1-5'!J20</f>
        <v>49734030.40101005</v>
      </c>
      <c r="M10" s="9">
        <f>SUM(J10:L10)</f>
        <v>55140542.40101005</v>
      </c>
      <c r="N10" s="9">
        <f>F10</f>
        <v>6063317</v>
      </c>
      <c r="O10" s="9">
        <f>G10</f>
        <v>4017912</v>
      </c>
      <c r="P10" s="9">
        <f>SUM(M10:O10)</f>
        <v>65221771.40101005</v>
      </c>
      <c r="Q10" s="9"/>
      <c r="R10" s="9">
        <f>P10-H10</f>
        <v>2889045.455010049</v>
      </c>
      <c r="S10" s="10">
        <f>R10/H10</f>
        <v>0.046348774438533025</v>
      </c>
    </row>
    <row r="11" spans="1:19" ht="14.25">
      <c r="A11" s="1" t="s">
        <v>98</v>
      </c>
      <c r="B11" s="9"/>
      <c r="C11" s="9"/>
      <c r="D11" s="9">
        <f>'3a2 pg 1-5'!E47</f>
        <v>433029.09621000005</v>
      </c>
      <c r="E11" s="9">
        <f aca="true" t="shared" si="0" ref="E11:E23">SUM(B11:D11)</f>
        <v>433029.09621000005</v>
      </c>
      <c r="F11" s="9">
        <f>'3a2 pg 1-5'!E49</f>
        <v>101097</v>
      </c>
      <c r="G11" s="9">
        <f>'3a2 pg 1-5'!E50</f>
        <v>34350</v>
      </c>
      <c r="H11" s="9">
        <f aca="true" t="shared" si="1" ref="H11:H23">SUM(E11:G11)</f>
        <v>568476.0962100001</v>
      </c>
      <c r="I11" s="9"/>
      <c r="J11" s="9"/>
      <c r="K11" s="9"/>
      <c r="L11" s="9">
        <f>'3a2 pg 1-5'!J47</f>
        <v>459735.06577610684</v>
      </c>
      <c r="M11" s="9">
        <f aca="true" t="shared" si="2" ref="M11:M22">SUM(J11:L11)</f>
        <v>459735.06577610684</v>
      </c>
      <c r="N11" s="9">
        <f aca="true" t="shared" si="3" ref="N11:N20">F11</f>
        <v>101097</v>
      </c>
      <c r="O11" s="9">
        <f aca="true" t="shared" si="4" ref="O11:O20">G11</f>
        <v>34350</v>
      </c>
      <c r="P11" s="9">
        <f aca="true" t="shared" si="5" ref="P11:P23">SUM(M11:O11)</f>
        <v>595182.0657761069</v>
      </c>
      <c r="Q11" s="9"/>
      <c r="R11" s="9">
        <f aca="true" t="shared" si="6" ref="R11:R23">P11-H11</f>
        <v>26705.969566106796</v>
      </c>
      <c r="S11" s="10">
        <f aca="true" t="shared" si="7" ref="S11:S26">R11/H11</f>
        <v>0.04697817506163245</v>
      </c>
    </row>
    <row r="12" spans="1:19" ht="14.25">
      <c r="A12" s="1" t="s">
        <v>90</v>
      </c>
      <c r="B12" s="9">
        <f>'3a2 pg 1-5'!E71</f>
        <v>668355</v>
      </c>
      <c r="C12" s="9"/>
      <c r="D12" s="9">
        <f>'3a2 pg 1-5'!E73</f>
        <v>4601276.99194</v>
      </c>
      <c r="E12" s="9">
        <f t="shared" si="0"/>
        <v>5269631.99194</v>
      </c>
      <c r="F12" s="9">
        <f>'3a2 pg 1-5'!E78</f>
        <v>504412</v>
      </c>
      <c r="G12" s="9">
        <f>'3a2 pg 1-5'!E79</f>
        <v>372452</v>
      </c>
      <c r="H12" s="9">
        <f t="shared" si="1"/>
        <v>6146495.99194</v>
      </c>
      <c r="I12" s="9"/>
      <c r="J12" s="9">
        <f>'3a2 pg 1-5'!J71</f>
        <v>668355</v>
      </c>
      <c r="K12" s="9"/>
      <c r="L12" s="9">
        <f>'3a2 pg 1-5'!J73</f>
        <v>4845980.095467885</v>
      </c>
      <c r="M12" s="9">
        <f t="shared" si="2"/>
        <v>5514335.095467885</v>
      </c>
      <c r="N12" s="9">
        <f t="shared" si="3"/>
        <v>504412</v>
      </c>
      <c r="O12" s="9">
        <f t="shared" si="4"/>
        <v>372452</v>
      </c>
      <c r="P12" s="9">
        <f t="shared" si="5"/>
        <v>6391199.095467885</v>
      </c>
      <c r="Q12" s="9"/>
      <c r="R12" s="9">
        <f t="shared" si="6"/>
        <v>244703.10352788493</v>
      </c>
      <c r="S12" s="10">
        <f t="shared" si="7"/>
        <v>0.03981180559602871</v>
      </c>
    </row>
    <row r="13" spans="1:19" ht="14.25">
      <c r="A13" s="1" t="s">
        <v>89</v>
      </c>
      <c r="B13" s="9"/>
      <c r="C13" s="9"/>
      <c r="D13" s="9">
        <f>'3a2 pg 1-5'!E104</f>
        <v>961.3696</v>
      </c>
      <c r="E13" s="9">
        <f t="shared" si="0"/>
        <v>961.3696</v>
      </c>
      <c r="F13" s="9">
        <f>'3a2 pg 1-5'!E109</f>
        <v>183</v>
      </c>
      <c r="G13" s="9">
        <f>'3a2 pg 1-5'!E110</f>
        <v>67</v>
      </c>
      <c r="H13" s="9">
        <f t="shared" si="1"/>
        <v>1211.3696</v>
      </c>
      <c r="I13" s="9"/>
      <c r="J13" s="9"/>
      <c r="K13" s="9"/>
      <c r="L13" s="9">
        <f>'3a2 pg 1-5'!J104</f>
        <v>1012.5870590712884</v>
      </c>
      <c r="M13" s="9">
        <f t="shared" si="2"/>
        <v>1012.5870590712884</v>
      </c>
      <c r="N13" s="9">
        <f t="shared" si="3"/>
        <v>183</v>
      </c>
      <c r="O13" s="9">
        <f t="shared" si="4"/>
        <v>67</v>
      </c>
      <c r="P13" s="9">
        <f t="shared" si="5"/>
        <v>1262.5870590712884</v>
      </c>
      <c r="Q13" s="9"/>
      <c r="R13" s="9">
        <f t="shared" si="6"/>
        <v>51.21745907128843</v>
      </c>
      <c r="S13" s="10">
        <f t="shared" si="7"/>
        <v>0.04228062110134548</v>
      </c>
    </row>
    <row r="14" spans="1:19" ht="14.25">
      <c r="A14" s="1" t="s">
        <v>91</v>
      </c>
      <c r="B14" s="9">
        <f>'3a2 pg 1-5'!E130</f>
        <v>85320</v>
      </c>
      <c r="C14" s="9">
        <f>'3a2 pg 1-5'!E132</f>
        <v>2768010</v>
      </c>
      <c r="D14" s="9">
        <f>'3a2 pg 1-5'!E134</f>
        <v>5997201.63468</v>
      </c>
      <c r="E14" s="9">
        <f t="shared" si="0"/>
        <v>8850531.63468</v>
      </c>
      <c r="F14" s="9">
        <f>'3a2 pg 1-5'!E139</f>
        <v>1190726</v>
      </c>
      <c r="G14" s="9">
        <f>'3a2 pg 1-5'!E140</f>
        <v>732980</v>
      </c>
      <c r="H14" s="9">
        <f t="shared" si="1"/>
        <v>10774237.63468</v>
      </c>
      <c r="I14" s="9"/>
      <c r="J14" s="9">
        <f>'3a2 pg 1-5'!J130</f>
        <v>85320</v>
      </c>
      <c r="K14" s="9">
        <f>'3a2 pg 1-5'!J132</f>
        <v>2768010</v>
      </c>
      <c r="L14" s="9">
        <f>'3a2 pg 1-5'!J134</f>
        <v>6567530.498032357</v>
      </c>
      <c r="M14" s="9">
        <f t="shared" si="2"/>
        <v>9420860.498032358</v>
      </c>
      <c r="N14" s="9">
        <f t="shared" si="3"/>
        <v>1190726</v>
      </c>
      <c r="O14" s="9">
        <f t="shared" si="4"/>
        <v>732980</v>
      </c>
      <c r="P14" s="9">
        <f t="shared" si="5"/>
        <v>11344566.498032358</v>
      </c>
      <c r="Q14" s="9"/>
      <c r="R14" s="9">
        <f t="shared" si="6"/>
        <v>570328.8633523583</v>
      </c>
      <c r="S14" s="10">
        <f t="shared" si="7"/>
        <v>0.052934498262465456</v>
      </c>
    </row>
    <row r="15" spans="1:19" ht="14.25">
      <c r="A15" s="1" t="s">
        <v>92</v>
      </c>
      <c r="B15" s="9">
        <f>'3a2 pg 1-5'!E160+'3a2 pg 1-5'!E162+'3a2 pg 1-5'!E163</f>
        <v>42804</v>
      </c>
      <c r="C15" s="9">
        <f>'3a2 pg 1-5'!E165</f>
        <v>351128.9628</v>
      </c>
      <c r="D15" s="9">
        <f>'3a2 pg 1-5'!E167</f>
        <v>1492892.0364500002</v>
      </c>
      <c r="E15" s="9">
        <f t="shared" si="0"/>
        <v>1886824.9992500003</v>
      </c>
      <c r="F15" s="9">
        <f>'3a2 pg 1-5'!E172</f>
        <v>329448</v>
      </c>
      <c r="G15" s="9">
        <f>'3a2 pg 1-5'!E173</f>
        <v>165614</v>
      </c>
      <c r="H15" s="9">
        <f t="shared" si="1"/>
        <v>2381886.9992500003</v>
      </c>
      <c r="I15" s="9"/>
      <c r="J15" s="9">
        <f>'3a2 pg 1-5'!J160+'3a2 pg 1-5'!J162+'3a2 pg 1-5'!J163</f>
        <v>42804</v>
      </c>
      <c r="K15" s="9">
        <f>'3a2 pg 1-5'!J165</f>
        <v>474903.55079999997</v>
      </c>
      <c r="L15" s="9">
        <f>'3a2 pg 1-5'!J167</f>
        <v>1492892.0364500002</v>
      </c>
      <c r="M15" s="9">
        <f t="shared" si="2"/>
        <v>2010599.5872500003</v>
      </c>
      <c r="N15" s="9">
        <f t="shared" si="3"/>
        <v>329448</v>
      </c>
      <c r="O15" s="9">
        <f t="shared" si="4"/>
        <v>165614</v>
      </c>
      <c r="P15" s="9">
        <f t="shared" si="5"/>
        <v>2505661.5872500003</v>
      </c>
      <c r="Q15" s="9"/>
      <c r="R15" s="9">
        <f t="shared" si="6"/>
        <v>123774.58799999999</v>
      </c>
      <c r="S15" s="10">
        <f t="shared" si="7"/>
        <v>0.05196492866327146</v>
      </c>
    </row>
    <row r="16" spans="1:19" ht="14.25">
      <c r="A16" s="1" t="s">
        <v>93</v>
      </c>
      <c r="B16" s="9">
        <f>'3a2 pg 1-5'!E194+'3a2 pg 1-5'!E196+'3a2 pg 1-5'!E197</f>
        <v>37382</v>
      </c>
      <c r="C16" s="9">
        <f>'3a2 pg 1-5'!E199</f>
        <v>497184.00269999995</v>
      </c>
      <c r="D16" s="9">
        <f>'3a2 pg 1-5'!E202+'3a2 pg 1-5'!E205</f>
        <v>1514602.2602400002</v>
      </c>
      <c r="E16" s="9">
        <f t="shared" si="0"/>
        <v>2049168.2629400003</v>
      </c>
      <c r="F16" s="9">
        <f>'3a2 pg 1-5'!E212</f>
        <v>360725</v>
      </c>
      <c r="G16" s="9">
        <f>'3a2 pg 1-5'!E213</f>
        <v>182723</v>
      </c>
      <c r="H16" s="9">
        <f t="shared" si="1"/>
        <v>2592616.2629400003</v>
      </c>
      <c r="I16" s="9"/>
      <c r="J16" s="9">
        <f>'3a2 pg 1-5'!J194+'3a2 pg 1-5'!J196+'3a2 pg 1-5'!J197</f>
        <v>37382</v>
      </c>
      <c r="K16" s="9">
        <f>'3a2 pg 1-5'!J199</f>
        <v>672443.6697</v>
      </c>
      <c r="L16" s="9">
        <f>'3a2 pg 1-5'!J202+'3a2 pg 1-5'!J205</f>
        <v>1514602.2602400002</v>
      </c>
      <c r="M16" s="9">
        <f t="shared" si="2"/>
        <v>2224427.92994</v>
      </c>
      <c r="N16" s="9">
        <f t="shared" si="3"/>
        <v>360725</v>
      </c>
      <c r="O16" s="9">
        <f t="shared" si="4"/>
        <v>182723</v>
      </c>
      <c r="P16" s="9">
        <f t="shared" si="5"/>
        <v>2767875.92994</v>
      </c>
      <c r="Q16" s="9"/>
      <c r="R16" s="9">
        <f t="shared" si="6"/>
        <v>175259.6669999999</v>
      </c>
      <c r="S16" s="10">
        <f t="shared" si="7"/>
        <v>0.06759954008822626</v>
      </c>
    </row>
    <row r="17" spans="1:19" ht="14.25">
      <c r="A17" s="1" t="s">
        <v>94</v>
      </c>
      <c r="B17" s="9">
        <f>'3a2 pg 1-5'!E232+'3a2 pg 1-5'!E234+'3a2 pg 1-5'!E235</f>
        <v>46341</v>
      </c>
      <c r="C17" s="9">
        <f>'3a2 pg 1-5'!E238+'3a2 pg 1-5'!E239</f>
        <v>760594.8418</v>
      </c>
      <c r="D17" s="9">
        <f>'3a2 pg 1-5'!E243</f>
        <v>1659097.3419299999</v>
      </c>
      <c r="E17" s="9">
        <f t="shared" si="0"/>
        <v>2466033.1837299997</v>
      </c>
      <c r="F17" s="9">
        <f>'3a2 pg 1-5'!E248</f>
        <v>388405</v>
      </c>
      <c r="G17" s="9">
        <f>'3a2 pg 1-5'!E249</f>
        <v>187194</v>
      </c>
      <c r="H17" s="9">
        <f t="shared" si="1"/>
        <v>3041632.1837299997</v>
      </c>
      <c r="I17" s="9"/>
      <c r="J17" s="9">
        <f>'3a2 pg 1-5'!J232+'3a2 pg 1-5'!J234+'3a2 pg 1-5'!J235</f>
        <v>46341</v>
      </c>
      <c r="K17" s="9">
        <f>'3a2 pg 1-5'!J238+'3a2 pg 1-5'!J239</f>
        <v>998574.3828</v>
      </c>
      <c r="L17" s="9">
        <f>'3a2 pg 1-5'!J243</f>
        <v>1659097.3419299999</v>
      </c>
      <c r="M17" s="9">
        <f t="shared" si="2"/>
        <v>2704012.72473</v>
      </c>
      <c r="N17" s="9">
        <f t="shared" si="3"/>
        <v>388405</v>
      </c>
      <c r="O17" s="9">
        <f t="shared" si="4"/>
        <v>187194</v>
      </c>
      <c r="P17" s="9">
        <f t="shared" si="5"/>
        <v>3279611.72473</v>
      </c>
      <c r="Q17" s="9"/>
      <c r="R17" s="9">
        <f t="shared" si="6"/>
        <v>237979.5410000002</v>
      </c>
      <c r="S17" s="10">
        <f t="shared" si="7"/>
        <v>0.0782407360998404</v>
      </c>
    </row>
    <row r="18" spans="1:19" ht="14.25">
      <c r="A18" s="11" t="s">
        <v>95</v>
      </c>
      <c r="B18" s="12">
        <f>'3a2 pg 1-5'!E270+'3a2 pg 1-5'!E272</f>
        <v>3078.4</v>
      </c>
      <c r="C18" s="12">
        <f>'3a2 pg 1-5'!E274</f>
        <v>25695.087000000003</v>
      </c>
      <c r="D18" s="12">
        <f>'3a2 pg 1-5'!E276+'3a2 pg 1-5'!E277+'3a2 pg 1-5'!E278</f>
        <v>11734.363999999998</v>
      </c>
      <c r="E18" s="9">
        <f t="shared" si="0"/>
        <v>40507.851</v>
      </c>
      <c r="F18" s="12">
        <f>'3a2 pg 1-5'!E288</f>
        <v>2267</v>
      </c>
      <c r="G18" s="12">
        <f>'3a2 pg 1-5'!E289</f>
        <v>2689</v>
      </c>
      <c r="H18" s="9">
        <f t="shared" si="1"/>
        <v>45463.851</v>
      </c>
      <c r="I18" s="12"/>
      <c r="J18" s="12">
        <f>'3a2 pg 1-5'!J270+'3a2 pg 1-5'!J272</f>
        <v>3078.4</v>
      </c>
      <c r="K18" s="12">
        <f>'3a2 pg 1-5'!J274</f>
        <v>25695.087000000003</v>
      </c>
      <c r="L18" s="12">
        <f>'3a2 pg 1-5'!J276+'3a2 pg 1-5'!J277+'3a2 pg 1-5'!J278</f>
        <v>12805.443063252662</v>
      </c>
      <c r="M18" s="9">
        <f t="shared" si="2"/>
        <v>41578.930063252665</v>
      </c>
      <c r="N18" s="9">
        <f t="shared" si="3"/>
        <v>2267</v>
      </c>
      <c r="O18" s="9">
        <f t="shared" si="4"/>
        <v>2689</v>
      </c>
      <c r="P18" s="9">
        <f t="shared" si="5"/>
        <v>46534.930063252665</v>
      </c>
      <c r="Q18" s="12"/>
      <c r="R18" s="9">
        <f t="shared" si="6"/>
        <v>1071.0790632526623</v>
      </c>
      <c r="S18" s="10">
        <f t="shared" si="7"/>
        <v>0.023558916363082886</v>
      </c>
    </row>
    <row r="19" spans="1:19" ht="14.25">
      <c r="A19" s="11" t="s">
        <v>96</v>
      </c>
      <c r="B19" s="12">
        <f>'3a2 pg 1-5'!E309</f>
        <v>56160</v>
      </c>
      <c r="C19" s="12"/>
      <c r="D19" s="12">
        <f>'3a2 pg 1-5'!E311</f>
        <v>1276124.6208000001</v>
      </c>
      <c r="E19" s="9">
        <f t="shared" si="0"/>
        <v>1332284.6208000001</v>
      </c>
      <c r="F19" s="12">
        <f>'3a2 pg 1-5'!E316</f>
        <v>136669</v>
      </c>
      <c r="G19" s="12">
        <f>'3a2 pg 1-5'!E317</f>
        <v>102886</v>
      </c>
      <c r="H19" s="9">
        <f t="shared" si="1"/>
        <v>1571839.6208000001</v>
      </c>
      <c r="I19" s="12"/>
      <c r="J19" s="12">
        <f>'3a2 pg 1-5'!J309</f>
        <v>56160</v>
      </c>
      <c r="K19" s="12"/>
      <c r="L19" s="12">
        <f>'3a2 pg 1-5'!J311</f>
        <v>1341797.2051442557</v>
      </c>
      <c r="M19" s="9">
        <f t="shared" si="2"/>
        <v>1397957.2051442557</v>
      </c>
      <c r="N19" s="9">
        <f t="shared" si="3"/>
        <v>136669</v>
      </c>
      <c r="O19" s="9">
        <f t="shared" si="4"/>
        <v>102886</v>
      </c>
      <c r="P19" s="9">
        <f t="shared" si="5"/>
        <v>1637512.2051442557</v>
      </c>
      <c r="Q19" s="12"/>
      <c r="R19" s="9">
        <f t="shared" si="6"/>
        <v>65672.5843442555</v>
      </c>
      <c r="S19" s="10">
        <f t="shared" si="7"/>
        <v>0.04178071571375133</v>
      </c>
    </row>
    <row r="20" spans="1:19" ht="14.25">
      <c r="A20" s="11" t="s">
        <v>97</v>
      </c>
      <c r="B20" s="12">
        <f>'3a2 pg 1-5'!E337</f>
        <v>8950.019999999999</v>
      </c>
      <c r="C20" s="12"/>
      <c r="D20" s="12">
        <f>'3a2 pg 1-5'!E339</f>
        <v>622498.6008</v>
      </c>
      <c r="E20" s="9">
        <f t="shared" si="0"/>
        <v>631448.6208</v>
      </c>
      <c r="F20" s="12">
        <f>'3a2 pg 1-5'!E344</f>
        <v>90516</v>
      </c>
      <c r="G20" s="12">
        <f>'3a2 pg 1-5'!E345</f>
        <v>52702</v>
      </c>
      <c r="H20" s="9">
        <f t="shared" si="1"/>
        <v>774666.6208</v>
      </c>
      <c r="I20" s="12"/>
      <c r="J20" s="12">
        <f>'3a2 pg 1-5'!J337</f>
        <v>8950.019999999999</v>
      </c>
      <c r="K20" s="12"/>
      <c r="L20" s="12">
        <f>'3a2 pg 1-5'!J339</f>
        <v>666074.8398786383</v>
      </c>
      <c r="M20" s="9">
        <f t="shared" si="2"/>
        <v>675024.8598786383</v>
      </c>
      <c r="N20" s="9">
        <f t="shared" si="3"/>
        <v>90516</v>
      </c>
      <c r="O20" s="9">
        <f t="shared" si="4"/>
        <v>52702</v>
      </c>
      <c r="P20" s="9">
        <f t="shared" si="5"/>
        <v>818242.8598786383</v>
      </c>
      <c r="Q20" s="12"/>
      <c r="R20" s="9">
        <f t="shared" si="6"/>
        <v>43576.23907863826</v>
      </c>
      <c r="S20" s="10">
        <f t="shared" si="7"/>
        <v>0.05625160282966236</v>
      </c>
    </row>
    <row r="21" spans="1:19" ht="14.25">
      <c r="A21" s="11" t="s">
        <v>165</v>
      </c>
      <c r="B21" s="12"/>
      <c r="C21" s="12"/>
      <c r="D21" s="12">
        <f>'3a2 pg 6'!F13</f>
        <v>61804.79999999999</v>
      </c>
      <c r="E21" s="9">
        <f t="shared" si="0"/>
        <v>61804.79999999999</v>
      </c>
      <c r="F21" s="12">
        <f>'3a2 pg 6'!F15</f>
        <v>6008.239892401822</v>
      </c>
      <c r="G21" s="12">
        <f>'3a2 pg 6'!F16</f>
        <v>92.51579758607953</v>
      </c>
      <c r="H21" s="9">
        <f t="shared" si="1"/>
        <v>67905.55568998789</v>
      </c>
      <c r="I21" s="12"/>
      <c r="J21" s="12">
        <f>B21</f>
        <v>0</v>
      </c>
      <c r="K21" s="12"/>
      <c r="L21" s="12">
        <f>'3a2 pg 6'!L13</f>
        <v>64645.740000000005</v>
      </c>
      <c r="M21" s="9">
        <f t="shared" si="2"/>
        <v>64645.740000000005</v>
      </c>
      <c r="N21" s="9">
        <f aca="true" t="shared" si="8" ref="N21:O23">F21</f>
        <v>6008.239892401822</v>
      </c>
      <c r="O21" s="9">
        <f t="shared" si="8"/>
        <v>92.51579758607953</v>
      </c>
      <c r="P21" s="9">
        <f t="shared" si="5"/>
        <v>70746.4956899879</v>
      </c>
      <c r="Q21" s="12"/>
      <c r="R21" s="9">
        <f t="shared" si="6"/>
        <v>2840.940000000017</v>
      </c>
      <c r="S21" s="10">
        <f t="shared" si="7"/>
        <v>0.041836635767622324</v>
      </c>
    </row>
    <row r="22" spans="1:19" ht="14.25">
      <c r="A22" s="11" t="s">
        <v>166</v>
      </c>
      <c r="B22" s="12"/>
      <c r="C22" s="12"/>
      <c r="D22" s="12">
        <f>'3a2 pg 6'!F63</f>
        <v>25328.219999999998</v>
      </c>
      <c r="E22" s="9">
        <f t="shared" si="0"/>
        <v>25328.219999999998</v>
      </c>
      <c r="F22" s="12">
        <f>'3a2 pg 6'!F65</f>
        <v>1404.4950378487727</v>
      </c>
      <c r="G22" s="12">
        <f>'3a2 pg 6'!F66</f>
        <v>37.91389139250821</v>
      </c>
      <c r="H22" s="9">
        <f t="shared" si="1"/>
        <v>26770.62892924128</v>
      </c>
      <c r="I22" s="12"/>
      <c r="J22" s="12">
        <f>B22</f>
        <v>0</v>
      </c>
      <c r="K22" s="12"/>
      <c r="L22" s="12">
        <f>'3a2 pg 6'!L63</f>
        <v>25994.296798420088</v>
      </c>
      <c r="M22" s="9">
        <f t="shared" si="2"/>
        <v>25994.296798420088</v>
      </c>
      <c r="N22" s="9">
        <f t="shared" si="8"/>
        <v>1404.4950378487727</v>
      </c>
      <c r="O22" s="9">
        <f t="shared" si="8"/>
        <v>37.91389139250821</v>
      </c>
      <c r="P22" s="9">
        <f t="shared" si="5"/>
        <v>27436.70572766137</v>
      </c>
      <c r="Q22" s="12"/>
      <c r="R22" s="9">
        <f t="shared" si="6"/>
        <v>666.0767984200902</v>
      </c>
      <c r="S22" s="10">
        <f t="shared" si="7"/>
        <v>0.024880879720107787</v>
      </c>
    </row>
    <row r="23" spans="1:19" ht="14.25">
      <c r="A23" s="11" t="s">
        <v>167</v>
      </c>
      <c r="B23" s="12"/>
      <c r="C23" s="12"/>
      <c r="D23" s="12">
        <f>'3a2 pg 6'!F86</f>
        <v>2351902.5899999994</v>
      </c>
      <c r="E23" s="9">
        <f t="shared" si="0"/>
        <v>2351902.5899999994</v>
      </c>
      <c r="F23" s="12">
        <f>'3a2 pg 6'!F88</f>
        <v>159212.2650697494</v>
      </c>
      <c r="G23" s="12">
        <f>'3a2 pg 6'!F89</f>
        <v>3520.570311021412</v>
      </c>
      <c r="H23" s="9">
        <f t="shared" si="1"/>
        <v>2514635.42538077</v>
      </c>
      <c r="I23" s="12"/>
      <c r="J23" s="12">
        <f>B23</f>
        <v>0</v>
      </c>
      <c r="K23" s="12"/>
      <c r="L23" s="12"/>
      <c r="M23" s="9">
        <f>'3a2 pg 6'!L86</f>
        <v>2427288.2650341303</v>
      </c>
      <c r="N23" s="9">
        <f t="shared" si="8"/>
        <v>159212.2650697494</v>
      </c>
      <c r="O23" s="9">
        <f t="shared" si="8"/>
        <v>3520.570311021412</v>
      </c>
      <c r="P23" s="9">
        <f t="shared" si="5"/>
        <v>2590021.100414901</v>
      </c>
      <c r="Q23" s="12"/>
      <c r="R23" s="9">
        <f t="shared" si="6"/>
        <v>75385.67503413092</v>
      </c>
      <c r="S23" s="10">
        <f t="shared" si="7"/>
        <v>0.02997876919781161</v>
      </c>
    </row>
    <row r="24" spans="1:19" ht="14.25">
      <c r="A24" s="11"/>
      <c r="B24" s="13"/>
      <c r="C24" s="13"/>
      <c r="D24" s="13"/>
      <c r="E24" s="16"/>
      <c r="F24" s="13"/>
      <c r="G24" s="13"/>
      <c r="H24" s="16"/>
      <c r="I24" s="14"/>
      <c r="J24" s="13"/>
      <c r="K24" s="13"/>
      <c r="L24" s="13"/>
      <c r="M24" s="16"/>
      <c r="N24" s="16"/>
      <c r="O24" s="16"/>
      <c r="P24" s="16"/>
      <c r="Q24" s="14"/>
      <c r="R24" s="16"/>
      <c r="S24" s="17"/>
    </row>
    <row r="25" spans="1:19" ht="14.25">
      <c r="A25" s="1"/>
      <c r="B25" s="9"/>
      <c r="C25" s="9"/>
      <c r="D25" s="9"/>
      <c r="E25" s="9"/>
      <c r="F25" s="9"/>
      <c r="G25" s="9"/>
      <c r="H25" s="9"/>
      <c r="I25" s="15"/>
      <c r="J25" s="9"/>
      <c r="K25" s="9"/>
      <c r="L25" s="9"/>
      <c r="M25" s="9"/>
      <c r="N25" s="9"/>
      <c r="O25" s="9"/>
      <c r="P25" s="9"/>
      <c r="Q25" s="15"/>
      <c r="R25" s="9"/>
      <c r="S25" s="10"/>
    </row>
    <row r="26" spans="1:19" ht="14.25">
      <c r="A26" s="1"/>
      <c r="B26" s="9">
        <f aca="true" t="shared" si="9" ref="B26:H26">SUM(B10:B24)</f>
        <v>6354902.42</v>
      </c>
      <c r="C26" s="9">
        <f t="shared" si="9"/>
        <v>4402612.8943</v>
      </c>
      <c r="D26" s="9">
        <f t="shared" si="9"/>
        <v>66893438.872650005</v>
      </c>
      <c r="E26" s="9">
        <f t="shared" si="9"/>
        <v>77650954.18695001</v>
      </c>
      <c r="F26" s="9">
        <f t="shared" si="9"/>
        <v>9334390</v>
      </c>
      <c r="G26" s="9">
        <f t="shared" si="9"/>
        <v>5855220</v>
      </c>
      <c r="H26" s="9">
        <f t="shared" si="9"/>
        <v>92840564.18695001</v>
      </c>
      <c r="I26" s="15"/>
      <c r="J26" s="9">
        <f aca="true" t="shared" si="10" ref="J26:P26">SUM(J10:J24)</f>
        <v>6354902.42</v>
      </c>
      <c r="K26" s="9">
        <f t="shared" si="10"/>
        <v>4939626.6903</v>
      </c>
      <c r="L26" s="9">
        <f t="shared" si="10"/>
        <v>68386197.81085004</v>
      </c>
      <c r="M26" s="9">
        <f t="shared" si="10"/>
        <v>82108015.18618417</v>
      </c>
      <c r="N26" s="9">
        <f t="shared" si="10"/>
        <v>9334390</v>
      </c>
      <c r="O26" s="9">
        <f t="shared" si="10"/>
        <v>5855220</v>
      </c>
      <c r="P26" s="9">
        <f t="shared" si="10"/>
        <v>97297625.18618417</v>
      </c>
      <c r="Q26" s="15"/>
      <c r="R26" s="9">
        <f>SUM(R10:R24)</f>
        <v>4457060.999234169</v>
      </c>
      <c r="S26" s="10">
        <f t="shared" si="7"/>
        <v>0.04800768972341799</v>
      </c>
    </row>
  </sheetData>
  <mergeCells count="3">
    <mergeCell ref="A3:S3"/>
    <mergeCell ref="A4:S4"/>
    <mergeCell ref="A5:S5"/>
  </mergeCells>
  <printOptions gridLines="1" horizontalCentered="1"/>
  <pageMargins left="0.32" right="0.22" top="1" bottom="1" header="0.5" footer="0.5"/>
  <pageSetup fitToHeight="1" fitToWidth="1" horizontalDpi="600" verticalDpi="600" orientation="landscape" scale="54" r:id="rId1"/>
  <headerFooter alignWithMargins="0">
    <oddFooter>&amp;C&amp;P of &amp;N&amp;R&amp;A,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kentucky power 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</dc:creator>
  <cp:keywords/>
  <dc:description/>
  <cp:lastModifiedBy>peggy</cp:lastModifiedBy>
  <cp:lastPrinted>2007-03-20T16:37:47Z</cp:lastPrinted>
  <dcterms:created xsi:type="dcterms:W3CDTF">2006-12-02T15:53:04Z</dcterms:created>
  <dcterms:modified xsi:type="dcterms:W3CDTF">2007-03-20T16:38:24Z</dcterms:modified>
  <cp:category/>
  <cp:version/>
  <cp:contentType/>
  <cp:contentStatus/>
</cp:coreProperties>
</file>