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3a 1" sheetId="1" r:id="rId1"/>
    <sheet name="Revenue Calc" sheetId="2" r:id="rId2"/>
    <sheet name="Lighting" sheetId="3" r:id="rId3"/>
    <sheet name="Summary Detail" sheetId="4" r:id="rId4"/>
  </sheets>
  <definedNames>
    <definedName name="_xlnm.Print_Area" localSheetId="1">'Revenue Calc'!$A$1:$Q$237</definedName>
  </definedNames>
  <calcPr fullCalcOnLoad="1"/>
</workbook>
</file>

<file path=xl/sharedStrings.xml><?xml version="1.0" encoding="utf-8"?>
<sst xmlns="http://schemas.openxmlformats.org/spreadsheetml/2006/main" count="353" uniqueCount="101">
  <si>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</si>
  <si>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</si>
  <si>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</si>
  <si>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</si>
  <si>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</si>
  <si>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</si>
  <si>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</si>
  <si>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</si>
  <si>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</si>
  <si>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</si>
  <si>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</si>
  <si>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</si>
  <si>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</si>
  <si>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</si>
  <si>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</si>
  <si>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</si>
  <si>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</si>
  <si>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</si>
  <si>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</si>
  <si>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</si>
  <si>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</si>
  <si>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Large Industrial Rate</t>
  </si>
  <si>
    <t>Total Baseload Charges</t>
  </si>
  <si>
    <t>Schedule B-1</t>
  </si>
  <si>
    <t>Shelby Energy Cooperative</t>
  </si>
  <si>
    <t>Schedule 1</t>
  </si>
  <si>
    <t>General Service</t>
  </si>
  <si>
    <t>Rate 1; 11, 14; 31</t>
  </si>
  <si>
    <t xml:space="preserve">  First 600 kWh</t>
  </si>
  <si>
    <t xml:space="preserve">  Next 1400 kWh</t>
  </si>
  <si>
    <t xml:space="preserve">  all over 2000 kWh</t>
  </si>
  <si>
    <t>Schedule ETS</t>
  </si>
  <si>
    <t>Off-Peak Retail Marketing Rate</t>
  </si>
  <si>
    <t>Rate 9; 29</t>
  </si>
  <si>
    <t>Schedule 2</t>
  </si>
  <si>
    <t>Rate 2; 5; 21; 32</t>
  </si>
  <si>
    <t xml:space="preserve">  First 100 kW</t>
  </si>
  <si>
    <t>Schedule 3</t>
  </si>
  <si>
    <t>Outdoor &amp; Street Lighting Service</t>
  </si>
  <si>
    <t>Schedule 10</t>
  </si>
  <si>
    <t>Optional Residential, Church and School Service</t>
  </si>
  <si>
    <t>Rate 10; 13; 40; 88</t>
  </si>
  <si>
    <t>Single Phase</t>
  </si>
  <si>
    <t>Three-Phase Service</t>
  </si>
  <si>
    <t>Rate 8; 38</t>
  </si>
  <si>
    <t>Excess Demand</t>
  </si>
  <si>
    <t>Total Revenues</t>
  </si>
  <si>
    <t>Schedule B-2</t>
  </si>
  <si>
    <t>Rate 28</t>
  </si>
  <si>
    <t>Sch 9 27 Cust, Sch 29 68 Cust</t>
  </si>
  <si>
    <t>Rate 3, Outdoor &amp; Street Lighting</t>
  </si>
  <si>
    <t>100 Watt HPS Security light</t>
  </si>
  <si>
    <t>250 Watt Directional Flood</t>
  </si>
  <si>
    <t>100 Watt Decorative Colonial</t>
  </si>
  <si>
    <t>400 Watt Directional Flood</t>
  </si>
  <si>
    <t>150 Watt Decorative Acorn</t>
  </si>
  <si>
    <t>Dmd $</t>
  </si>
  <si>
    <t>Energy $</t>
  </si>
  <si>
    <t>Per kWh</t>
  </si>
  <si>
    <t>kWh</t>
  </si>
  <si>
    <t xml:space="preserve">  Per kWh</t>
  </si>
  <si>
    <t>Large Power Service &gt;50kW</t>
  </si>
  <si>
    <t>Less Dmd $</t>
  </si>
  <si>
    <t>per kWh</t>
  </si>
  <si>
    <t>FAC</t>
  </si>
  <si>
    <t>ES</t>
  </si>
  <si>
    <t>Total</t>
  </si>
  <si>
    <t>Total Revenue Req</t>
  </si>
  <si>
    <t>David Graham will call me with kWh</t>
  </si>
  <si>
    <t>Total Base Rates</t>
  </si>
  <si>
    <t>E-Based kWh</t>
  </si>
  <si>
    <t xml:space="preserve">  Next 100 kWh Per KW</t>
  </si>
  <si>
    <t xml:space="preserve">  First 100 kWh Per KW</t>
  </si>
  <si>
    <t xml:space="preserve">  All over 200 kWh Per KW</t>
  </si>
  <si>
    <t>Non "B' &amp; "C' Energy</t>
  </si>
  <si>
    <t>Total $ Present Rate</t>
  </si>
  <si>
    <t>Total $ Proposed Rate</t>
  </si>
  <si>
    <t>Schedule 1 General Service</t>
  </si>
  <si>
    <t>Schedule ETS Off-Pk Retail Mkt Rate</t>
  </si>
  <si>
    <t>Schedule 2 Lg Power Service &gt;50 kW</t>
  </si>
  <si>
    <t>Schedule 3 - Outdoor &amp; Str Lighting</t>
  </si>
  <si>
    <t>Schedule 10 - Optional Res, Church &amp; School</t>
  </si>
  <si>
    <t>Schedule B-1 Lg Industrial Rate</t>
  </si>
  <si>
    <t>Sch B-2 Lg Industrial Rate</t>
  </si>
  <si>
    <t>Present</t>
  </si>
  <si>
    <t>Energy</t>
  </si>
  <si>
    <t>Demand</t>
  </si>
  <si>
    <t>Customer</t>
  </si>
  <si>
    <t>Total Base $</t>
  </si>
  <si>
    <t>Shelby Energy Cooperative Billing Analysis</t>
  </si>
  <si>
    <t>% of Total</t>
  </si>
  <si>
    <t>Request 3a 1</t>
  </si>
  <si>
    <t>Attachment</t>
  </si>
  <si>
    <t>Page 1 of 1</t>
  </si>
  <si>
    <t>Request 3a 2</t>
  </si>
  <si>
    <t>Page 1 of 4</t>
  </si>
  <si>
    <t>% of</t>
  </si>
  <si>
    <t>Page 3 of 4</t>
  </si>
  <si>
    <t>Page 2 of 4</t>
  </si>
  <si>
    <t>Atachment</t>
  </si>
  <si>
    <t>Page 4 of 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</si>
</sst>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&quot;$&quot;#,##0.0_);\(&quot;$&quot;#,##0.0\)"/>
    <numFmt numFmtId="174" formatCode="_(&quot;$&quot;* #,##0.0_);_(&quot;$&quot;* \(#,##0.0\);_(&quot;$&quot;* &quot;-&quot;??_);_(@_)"/>
    <numFmt numFmtId="175" formatCode="_(* #,##0.000000_);_(* \(#,##0.000000\);_(* &quot;-&quot;??_);_(@_)"/>
    <numFmt numFmtId="176" formatCode="&quot;$&quot;#,##0.000000_);\(&quot;$&quot;#,##0.000000\)"/>
    <numFmt numFmtId="177" formatCode="&quot;$&quot;#,##0.0000_);\(&quot;$&quot;#,##0.0000\)"/>
    <numFmt numFmtId="178" formatCode="&quot;$&quot;#,##0.0000000_);\(&quot;$&quot;#,##0.0000000\)"/>
    <numFmt numFmtId="179" formatCode="&quot;$&quot;#,##0.00000000_);\(&quot;$&quot;#,##0.00000000\)"/>
    <numFmt numFmtId="180" formatCode="&quot;$&quot;#,##0.000000000_);\(&quot;$&quot;#,##0.000000000\)"/>
    <numFmt numFmtId="181" formatCode="&quot;$&quot;#,##0.0000000000_);\(&quot;$&quot;#,##0.0000000000\)"/>
    <numFmt numFmtId="182" formatCode="&quot;$&quot;#,##0.00000000000_);\(&quot;$&quot;#,##0.00000000000\)"/>
    <numFmt numFmtId="183" formatCode="_(* #,##0.0000000_);_(* \(#,##0.0000000\);_(* &quot;-&quot;??_);_(@_)"/>
    <numFmt numFmtId="184" formatCode="_(* #,##0.00000000_);_(* \(#,##0.00000000\);_(* &quot;-&quot;??_);_(@_)"/>
  </numFmts>
  <fonts count="12">
    <font>
      <sz val="10"/>
      <name val="Arial"/>
      <family val="0"/>
    </font>
    <font>
      <sz val="11"/>
      <color indexed="8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P-TIMES"/>
      <family val="0"/>
    </font>
    <font>
      <sz val="10"/>
      <color indexed="12"/>
      <name val="Arial"/>
      <family val="2"/>
    </font>
    <font>
      <i/>
      <sz val="11"/>
      <color indexed="8"/>
      <name val="P-TIME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10" fontId="0" fillId="0" borderId="0" xfId="21" applyNumberFormat="1" applyAlignment="1">
      <alignment/>
    </xf>
    <xf numFmtId="7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172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169" fontId="0" fillId="0" borderId="0" xfId="15" applyNumberFormat="1" applyAlignment="1">
      <alignment/>
    </xf>
    <xf numFmtId="43" fontId="0" fillId="2" borderId="0" xfId="15" applyFill="1" applyAlignment="1">
      <alignment/>
    </xf>
    <xf numFmtId="172" fontId="0" fillId="0" borderId="0" xfId="15" applyNumberFormat="1" applyBorder="1" applyAlignment="1">
      <alignment/>
    </xf>
    <xf numFmtId="37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4" xfId="0" applyNumberFormat="1" applyBorder="1" applyAlignment="1">
      <alignment/>
    </xf>
    <xf numFmtId="172" fontId="0" fillId="0" borderId="5" xfId="15" applyNumberForma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172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4" fillId="2" borderId="0" xfId="0" applyNumberFormat="1" applyFont="1" applyFill="1" applyAlignment="1" applyProtection="1">
      <alignment/>
      <protection/>
    </xf>
    <xf numFmtId="172" fontId="0" fillId="0" borderId="0" xfId="0" applyNumberFormat="1" applyFont="1" applyAlignment="1">
      <alignment/>
    </xf>
    <xf numFmtId="37" fontId="4" fillId="0" borderId="3" xfId="0" applyNumberFormat="1" applyFont="1" applyBorder="1" applyAlignment="1" applyProtection="1">
      <alignment/>
      <protection/>
    </xf>
    <xf numFmtId="172" fontId="0" fillId="0" borderId="3" xfId="15" applyNumberFormat="1" applyFont="1" applyBorder="1" applyAlignment="1">
      <alignment/>
    </xf>
    <xf numFmtId="10" fontId="0" fillId="0" borderId="3" xfId="21" applyNumberFormat="1" applyFont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37" fontId="4" fillId="0" borderId="6" xfId="0" applyNumberFormat="1" applyFont="1" applyFill="1" applyBorder="1" applyAlignment="1" applyProtection="1">
      <alignment/>
      <protection/>
    </xf>
    <xf numFmtId="172" fontId="0" fillId="0" borderId="5" xfId="15" applyNumberFormat="1" applyFont="1" applyBorder="1" applyAlignment="1">
      <alignment/>
    </xf>
    <xf numFmtId="10" fontId="0" fillId="0" borderId="5" xfId="21" applyNumberFormat="1" applyFont="1" applyBorder="1" applyAlignment="1">
      <alignment/>
    </xf>
    <xf numFmtId="5" fontId="4" fillId="0" borderId="7" xfId="0" applyNumberFormat="1" applyFont="1" applyBorder="1" applyAlignment="1" applyProtection="1">
      <alignment/>
      <protection/>
    </xf>
    <xf numFmtId="10" fontId="0" fillId="0" borderId="4" xfId="21" applyNumberFormat="1" applyFont="1" applyBorder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172" fontId="4" fillId="0" borderId="0" xfId="15" applyNumberFormat="1" applyFont="1" applyAlignment="1" applyProtection="1">
      <alignment/>
      <protection/>
    </xf>
    <xf numFmtId="7" fontId="4" fillId="0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5" fontId="4" fillId="0" borderId="3" xfId="0" applyNumberFormat="1" applyFont="1" applyBorder="1" applyAlignment="1" applyProtection="1">
      <alignment/>
      <protection/>
    </xf>
    <xf numFmtId="172" fontId="0" fillId="0" borderId="4" xfId="15" applyNumberFormat="1" applyFont="1" applyBorder="1" applyAlignment="1">
      <alignment/>
    </xf>
    <xf numFmtId="44" fontId="4" fillId="0" borderId="0" xfId="17" applyFont="1" applyAlignment="1" applyProtection="1">
      <alignment/>
      <protection/>
    </xf>
    <xf numFmtId="44" fontId="0" fillId="0" borderId="0" xfId="17" applyFont="1" applyAlignment="1">
      <alignment/>
    </xf>
    <xf numFmtId="0" fontId="4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 quotePrefix="1">
      <alignment/>
    </xf>
    <xf numFmtId="10" fontId="0" fillId="0" borderId="0" xfId="21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4" fillId="0" borderId="0" xfId="15" applyNumberFormat="1" applyFont="1" applyFill="1" applyBorder="1" applyAlignment="1" applyProtection="1">
      <alignment/>
      <protection/>
    </xf>
    <xf numFmtId="172" fontId="4" fillId="0" borderId="5" xfId="15" applyNumberFormat="1" applyFont="1" applyFill="1" applyBorder="1" applyAlignment="1" applyProtection="1">
      <alignment/>
      <protection/>
    </xf>
    <xf numFmtId="44" fontId="4" fillId="0" borderId="0" xfId="17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0" xfId="15" applyNumberFormat="1" applyFont="1" applyFill="1" applyAlignment="1" applyProtection="1">
      <alignment/>
      <protection/>
    </xf>
    <xf numFmtId="7" fontId="4" fillId="2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5" fontId="4" fillId="0" borderId="0" xfId="0" applyNumberFormat="1" applyFont="1" applyFill="1" applyAlignment="1" applyProtection="1">
      <alignment/>
      <protection/>
    </xf>
    <xf numFmtId="172" fontId="4" fillId="0" borderId="6" xfId="15" applyNumberFormat="1" applyFont="1" applyBorder="1" applyAlignment="1" applyProtection="1">
      <alignment/>
      <protection/>
    </xf>
    <xf numFmtId="172" fontId="4" fillId="0" borderId="7" xfId="15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0" fillId="0" borderId="1" xfId="0" applyNumberFormat="1" applyFont="1" applyBorder="1" applyAlignment="1">
      <alignment/>
    </xf>
    <xf numFmtId="165" fontId="0" fillId="2" borderId="0" xfId="17" applyNumberFormat="1" applyFont="1" applyFill="1" applyAlignment="1">
      <alignment/>
    </xf>
    <xf numFmtId="0" fontId="0" fillId="0" borderId="0" xfId="0" applyAlignment="1">
      <alignment/>
    </xf>
    <xf numFmtId="18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172" fontId="0" fillId="0" borderId="0" xfId="15" applyNumberFormat="1" applyFont="1" applyBorder="1" applyAlignment="1">
      <alignment/>
    </xf>
    <xf numFmtId="172" fontId="4" fillId="0" borderId="0" xfId="15" applyNumberFormat="1" applyFont="1" applyAlignment="1" applyProtection="1">
      <alignment horizontal="center"/>
      <protection/>
    </xf>
    <xf numFmtId="172" fontId="0" fillId="0" borderId="1" xfId="15" applyNumberFormat="1" applyFont="1" applyBorder="1" applyAlignment="1">
      <alignment horizontal="center"/>
    </xf>
    <xf numFmtId="172" fontId="6" fillId="0" borderId="0" xfId="15" applyNumberFormat="1" applyFont="1" applyAlignment="1" applyProtection="1">
      <alignment horizontal="center"/>
      <protection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Alignment="1">
      <alignment horizontal="center"/>
    </xf>
    <xf numFmtId="172" fontId="4" fillId="0" borderId="3" xfId="15" applyNumberFormat="1" applyFont="1" applyBorder="1" applyAlignment="1" applyProtection="1">
      <alignment/>
      <protection/>
    </xf>
    <xf numFmtId="172" fontId="0" fillId="0" borderId="0" xfId="15" applyNumberFormat="1" applyFont="1" applyAlignment="1" applyProtection="1">
      <alignment horizontal="center"/>
      <protection/>
    </xf>
    <xf numFmtId="172" fontId="4" fillId="0" borderId="0" xfId="15" applyNumberFormat="1" applyFont="1" applyBorder="1" applyAlignment="1" applyProtection="1">
      <alignment/>
      <protection/>
    </xf>
    <xf numFmtId="172" fontId="0" fillId="0" borderId="0" xfId="15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21" applyNumberFormat="1" applyFont="1" applyAlignment="1" applyProtection="1">
      <alignment horizontal="center"/>
      <protection/>
    </xf>
    <xf numFmtId="172" fontId="1" fillId="0" borderId="8" xfId="15" applyNumberFormat="1" applyFont="1" applyBorder="1" applyAlignment="1" applyProtection="1">
      <alignment horizontal="center"/>
      <protection/>
    </xf>
    <xf numFmtId="10" fontId="1" fillId="0" borderId="8" xfId="21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72" fontId="1" fillId="0" borderId="0" xfId="15" applyNumberFormat="1" applyFont="1" applyAlignment="1" applyProtection="1">
      <alignment horizontal="centerContinuous"/>
      <protection/>
    </xf>
    <xf numFmtId="10" fontId="0" fillId="0" borderId="0" xfId="21" applyNumberFormat="1" applyAlignment="1">
      <alignment/>
    </xf>
    <xf numFmtId="0" fontId="10" fillId="0" borderId="0" xfId="0" applyFont="1" applyAlignment="1" quotePrefix="1">
      <alignment/>
    </xf>
    <xf numFmtId="43" fontId="0" fillId="0" borderId="0" xfId="15" applyFont="1" applyAlignment="1">
      <alignment/>
    </xf>
    <xf numFmtId="0" fontId="0" fillId="0" borderId="0" xfId="0" applyAlignment="1">
      <alignment horizontal="center"/>
    </xf>
    <xf numFmtId="43" fontId="4" fillId="0" borderId="0" xfId="15" applyFont="1" applyAlignment="1" applyProtection="1">
      <alignment/>
      <protection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21" applyNumberFormat="1" applyFont="1" applyAlignment="1">
      <alignment horizontal="right"/>
    </xf>
    <xf numFmtId="172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0" fontId="1" fillId="0" borderId="0" xfId="21" applyNumberFormat="1" applyFont="1" applyAlignment="1" applyProtection="1">
      <alignment horizontal="centerContinuous"/>
      <protection/>
    </xf>
    <xf numFmtId="10" fontId="11" fillId="0" borderId="0" xfId="21" applyNumberFormat="1" applyFont="1" applyAlignment="1" applyProtection="1">
      <alignment horizontal="center"/>
      <protection/>
    </xf>
    <xf numFmtId="10" fontId="11" fillId="0" borderId="8" xfId="21" applyNumberFormat="1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172" fontId="4" fillId="0" borderId="11" xfId="15" applyNumberFormat="1" applyFont="1" applyBorder="1" applyAlignment="1" applyProtection="1">
      <alignment horizontal="center"/>
      <protection/>
    </xf>
    <xf numFmtId="172" fontId="4" fillId="0" borderId="5" xfId="15" applyNumberFormat="1" applyFont="1" applyBorder="1" applyAlignment="1" applyProtection="1">
      <alignment/>
      <protection/>
    </xf>
    <xf numFmtId="172" fontId="4" fillId="0" borderId="2" xfId="15" applyNumberFormat="1" applyFont="1" applyBorder="1" applyAlignment="1" applyProtection="1">
      <alignment horizontal="center"/>
      <protection/>
    </xf>
    <xf numFmtId="172" fontId="4" fillId="0" borderId="13" xfId="15" applyNumberFormat="1" applyFont="1" applyBorder="1" applyAlignment="1" applyProtection="1">
      <alignment horizontal="center"/>
      <protection/>
    </xf>
    <xf numFmtId="10" fontId="4" fillId="0" borderId="0" xfId="21" applyNumberFormat="1" applyFont="1" applyBorder="1" applyAlignment="1" applyProtection="1">
      <alignment horizontal="centerContinuous"/>
      <protection/>
    </xf>
    <xf numFmtId="10" fontId="4" fillId="0" borderId="0" xfId="21" applyNumberFormat="1" applyFont="1" applyAlignment="1" applyProtection="1">
      <alignment horizontal="center"/>
      <protection/>
    </xf>
    <xf numFmtId="10" fontId="4" fillId="0" borderId="0" xfId="21" applyNumberFormat="1" applyFont="1" applyAlignment="1" applyProtection="1">
      <alignment horizontal="centerContinuous"/>
      <protection/>
    </xf>
    <xf numFmtId="10" fontId="4" fillId="0" borderId="14" xfId="21" applyNumberFormat="1" applyFont="1" applyBorder="1" applyAlignment="1" applyProtection="1">
      <alignment horizontal="center"/>
      <protection/>
    </xf>
    <xf numFmtId="10" fontId="4" fillId="0" borderId="15" xfId="21" applyNumberFormat="1" applyFont="1" applyBorder="1" applyAlignment="1" applyProtection="1">
      <alignment/>
      <protection/>
    </xf>
    <xf numFmtId="10" fontId="4" fillId="0" borderId="2" xfId="21" applyNumberFormat="1" applyFont="1" applyBorder="1" applyAlignment="1" applyProtection="1">
      <alignment horizontal="center"/>
      <protection/>
    </xf>
    <xf numFmtId="10" fontId="4" fillId="0" borderId="13" xfId="21" applyNumberFormat="1" applyFont="1" applyBorder="1" applyAlignment="1" applyProtection="1">
      <alignment horizontal="center"/>
      <protection/>
    </xf>
    <xf numFmtId="10" fontId="4" fillId="0" borderId="0" xfId="21" applyNumberFormat="1" applyFont="1" applyAlignment="1" applyProtection="1">
      <alignment/>
      <protection/>
    </xf>
    <xf numFmtId="10" fontId="4" fillId="0" borderId="0" xfId="21" applyNumberFormat="1" applyFont="1" applyBorder="1" applyAlignment="1" applyProtection="1">
      <alignment/>
      <protection/>
    </xf>
    <xf numFmtId="10" fontId="4" fillId="0" borderId="0" xfId="21" applyNumberFormat="1" applyFont="1" applyFill="1" applyAlignment="1" applyProtection="1">
      <alignment/>
      <protection/>
    </xf>
    <xf numFmtId="10" fontId="4" fillId="0" borderId="0" xfId="21" applyNumberFormat="1" applyFont="1" applyFill="1" applyBorder="1" applyAlignment="1" applyProtection="1">
      <alignment/>
      <protection/>
    </xf>
    <xf numFmtId="10" fontId="6" fillId="0" borderId="0" xfId="21" applyNumberFormat="1" applyFont="1" applyAlignment="1" applyProtection="1">
      <alignment horizontal="center"/>
      <protection/>
    </xf>
    <xf numFmtId="10" fontId="0" fillId="0" borderId="0" xfId="21" applyNumberFormat="1" applyFont="1" applyAlignment="1" applyProtection="1">
      <alignment/>
      <protection/>
    </xf>
    <xf numFmtId="10" fontId="0" fillId="0" borderId="0" xfId="21" applyNumberFormat="1" applyFont="1" applyBorder="1" applyAlignment="1">
      <alignment/>
    </xf>
    <xf numFmtId="10" fontId="0" fillId="0" borderId="0" xfId="21" applyNumberFormat="1" applyFont="1" applyAlignment="1">
      <alignment horizontal="center"/>
    </xf>
    <xf numFmtId="10" fontId="0" fillId="0" borderId="0" xfId="21" applyNumberFormat="1" applyFont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10" fontId="1" fillId="0" borderId="15" xfId="21" applyNumberFormat="1" applyFont="1" applyBorder="1" applyAlignment="1" applyProtection="1">
      <alignment/>
      <protection/>
    </xf>
    <xf numFmtId="10" fontId="0" fillId="0" borderId="3" xfId="21" applyNumberFormat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10" fontId="1" fillId="0" borderId="2" xfId="21" applyNumberFormat="1" applyFont="1" applyBorder="1" applyAlignment="1" applyProtection="1">
      <alignment horizontal="center"/>
      <protection/>
    </xf>
    <xf numFmtId="10" fontId="1" fillId="0" borderId="13" xfId="21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75" zoomScaleNormal="75" workbookViewId="0" topLeftCell="A1">
      <selection activeCell="J26" sqref="J26"/>
    </sheetView>
  </sheetViews>
  <sheetFormatPr defaultColWidth="9.140625" defaultRowHeight="12.75"/>
  <cols>
    <col min="1" max="1" width="41.421875" style="0" bestFit="1" customWidth="1"/>
    <col min="2" max="2" width="20.7109375" style="0" bestFit="1" customWidth="1"/>
    <col min="3" max="3" width="10.57421875" style="4" bestFit="1" customWidth="1"/>
    <col min="4" max="4" width="2.8515625" style="0" customWidth="1"/>
    <col min="5" max="5" width="22.57421875" style="0" bestFit="1" customWidth="1"/>
    <col min="6" max="6" width="10.57421875" style="4" bestFit="1" customWidth="1"/>
    <col min="7" max="7" width="1.8515625" style="0" customWidth="1"/>
    <col min="8" max="8" width="12.8515625" style="0" bestFit="1" customWidth="1"/>
    <col min="9" max="9" width="12.00390625" style="0" bestFit="1" customWidth="1"/>
  </cols>
  <sheetData>
    <row r="1" ht="12.75">
      <c r="I1" s="120" t="s">
        <v>91</v>
      </c>
    </row>
    <row r="2" ht="12.75">
      <c r="I2" s="120" t="s">
        <v>92</v>
      </c>
    </row>
    <row r="3" ht="12.75">
      <c r="I3" s="120" t="s">
        <v>93</v>
      </c>
    </row>
    <row r="6" spans="1:9" ht="15">
      <c r="A6" s="159" t="s">
        <v>24</v>
      </c>
      <c r="B6" s="159"/>
      <c r="C6" s="159"/>
      <c r="D6" s="159"/>
      <c r="E6" s="159"/>
      <c r="F6" s="159"/>
      <c r="G6" s="159"/>
      <c r="H6" s="159"/>
      <c r="I6" s="159"/>
    </row>
    <row r="7" spans="1:9" ht="14.25">
      <c r="A7" s="160" t="s">
        <v>18</v>
      </c>
      <c r="B7" s="160"/>
      <c r="C7" s="160"/>
      <c r="D7" s="160"/>
      <c r="E7" s="160"/>
      <c r="F7" s="160"/>
      <c r="G7" s="160"/>
      <c r="H7" s="160"/>
      <c r="I7" s="160"/>
    </row>
    <row r="8" spans="1:9" ht="14.25">
      <c r="A8" s="160" t="s">
        <v>16</v>
      </c>
      <c r="B8" s="160"/>
      <c r="C8" s="160"/>
      <c r="D8" s="160"/>
      <c r="E8" s="160"/>
      <c r="F8" s="160"/>
      <c r="G8" s="160"/>
      <c r="H8" s="160"/>
      <c r="I8" s="160"/>
    </row>
    <row r="9" spans="1:9" ht="14.25">
      <c r="A9" s="104"/>
      <c r="B9" s="104"/>
      <c r="C9" s="106"/>
      <c r="D9" s="104"/>
      <c r="E9" s="104"/>
      <c r="F9" s="106"/>
      <c r="G9" s="104"/>
      <c r="H9" s="104"/>
      <c r="I9" s="104"/>
    </row>
    <row r="10" spans="1:9" ht="14.25">
      <c r="A10" s="104"/>
      <c r="B10" s="104"/>
      <c r="C10" s="106"/>
      <c r="D10" s="104"/>
      <c r="E10" s="104"/>
      <c r="F10" s="106"/>
      <c r="G10" s="104"/>
      <c r="H10" s="104"/>
      <c r="I10" s="104"/>
    </row>
    <row r="11" spans="1:9" ht="14.25">
      <c r="A11" s="104"/>
      <c r="B11" s="104"/>
      <c r="C11" s="106"/>
      <c r="D11" s="104"/>
      <c r="E11" s="104"/>
      <c r="F11" s="106"/>
      <c r="G11" s="104"/>
      <c r="H11" s="104"/>
      <c r="I11" s="104"/>
    </row>
    <row r="12" spans="1:9" ht="14.25">
      <c r="A12" s="104"/>
      <c r="B12" s="104" t="s">
        <v>75</v>
      </c>
      <c r="C12" s="122" t="s">
        <v>90</v>
      </c>
      <c r="D12" s="104"/>
      <c r="E12" s="104" t="s">
        <v>76</v>
      </c>
      <c r="F12" s="122" t="s">
        <v>90</v>
      </c>
      <c r="G12" s="104"/>
      <c r="H12" s="104" t="s">
        <v>2</v>
      </c>
      <c r="I12" s="104" t="s">
        <v>3</v>
      </c>
    </row>
    <row r="13" spans="1:9" ht="14.25">
      <c r="A13" s="104" t="s">
        <v>77</v>
      </c>
      <c r="B13" s="105">
        <f>'Summary Detail'!H9</f>
        <v>8819816.537479999</v>
      </c>
      <c r="C13" s="122">
        <f>B13/$B$21</f>
        <v>0.2800670175191193</v>
      </c>
      <c r="D13" s="105"/>
      <c r="E13" s="105">
        <f>'Summary Detail'!P9</f>
        <v>9158924.574726889</v>
      </c>
      <c r="F13" s="122">
        <f>E13/$E$21</f>
        <v>0.27687429711244094</v>
      </c>
      <c r="G13" s="105"/>
      <c r="H13" s="105">
        <f aca="true" t="shared" si="0" ref="H13:H19">E13-B13</f>
        <v>339108.03724689037</v>
      </c>
      <c r="I13" s="106">
        <f aca="true" t="shared" si="1" ref="I13:I19">H13/B13</f>
        <v>0.038448423026243635</v>
      </c>
    </row>
    <row r="14" spans="1:9" ht="14.25">
      <c r="A14" s="104" t="s">
        <v>78</v>
      </c>
      <c r="B14" s="105">
        <f>'Summary Detail'!H10</f>
        <v>31013.29315</v>
      </c>
      <c r="C14" s="122">
        <f aca="true" t="shared" si="2" ref="C14:C19">B14/$B$21</f>
        <v>0.0009848051236730534</v>
      </c>
      <c r="D14" s="105"/>
      <c r="E14" s="105">
        <f>'Summary Detail'!P10</f>
        <v>32246.903005897755</v>
      </c>
      <c r="F14" s="122">
        <f aca="true" t="shared" si="3" ref="F14:F19">E14/$E$21</f>
        <v>0.0009748239032831247</v>
      </c>
      <c r="G14" s="105"/>
      <c r="H14" s="105">
        <f t="shared" si="0"/>
        <v>1233.6098558977537</v>
      </c>
      <c r="I14" s="106">
        <f t="shared" si="1"/>
        <v>0.039776809574243926</v>
      </c>
    </row>
    <row r="15" spans="1:9" ht="14.25">
      <c r="A15" s="104" t="s">
        <v>79</v>
      </c>
      <c r="B15" s="105">
        <f>'Summary Detail'!H11</f>
        <v>3105183.1051</v>
      </c>
      <c r="C15" s="122">
        <f t="shared" si="2"/>
        <v>0.09860288673811737</v>
      </c>
      <c r="D15" s="105"/>
      <c r="E15" s="105">
        <f>'Summary Detail'!P11</f>
        <v>3246419.2112027365</v>
      </c>
      <c r="F15" s="122">
        <f t="shared" si="3"/>
        <v>0.09813925531326755</v>
      </c>
      <c r="G15" s="105"/>
      <c r="H15" s="105">
        <f t="shared" si="0"/>
        <v>141236.10610273667</v>
      </c>
      <c r="I15" s="106">
        <f t="shared" si="1"/>
        <v>0.04548398639383563</v>
      </c>
    </row>
    <row r="16" spans="1:9" ht="14.25">
      <c r="A16" s="104" t="s">
        <v>80</v>
      </c>
      <c r="B16" s="105">
        <f>'Summary Detail'!H12</f>
        <v>337673.7</v>
      </c>
      <c r="C16" s="122">
        <f t="shared" si="2"/>
        <v>0.010722588803493045</v>
      </c>
      <c r="D16" s="105"/>
      <c r="E16" s="105">
        <f>'Summary Detail'!P12</f>
        <v>345190.17127335415</v>
      </c>
      <c r="F16" s="122">
        <f t="shared" si="3"/>
        <v>0.010435099149649124</v>
      </c>
      <c r="G16" s="105"/>
      <c r="H16" s="105">
        <f t="shared" si="0"/>
        <v>7516.471273354138</v>
      </c>
      <c r="I16" s="106">
        <f t="shared" si="1"/>
        <v>0.02225956973656562</v>
      </c>
    </row>
    <row r="17" spans="1:9" ht="14.25">
      <c r="A17" s="104" t="s">
        <v>81</v>
      </c>
      <c r="B17" s="105">
        <f>'Summary Detail'!H13</f>
        <v>9294110.57998</v>
      </c>
      <c r="C17" s="122">
        <f t="shared" si="2"/>
        <v>0.2951278883825415</v>
      </c>
      <c r="D17" s="105"/>
      <c r="E17" s="105">
        <f>'Summary Detail'!P13</f>
        <v>9706538.25667695</v>
      </c>
      <c r="F17" s="122">
        <f t="shared" si="3"/>
        <v>0.29342865914938343</v>
      </c>
      <c r="G17" s="105"/>
      <c r="H17" s="105">
        <f t="shared" si="0"/>
        <v>412427.6766969487</v>
      </c>
      <c r="I17" s="106">
        <f t="shared" si="1"/>
        <v>0.04437516351326177</v>
      </c>
    </row>
    <row r="18" spans="1:9" ht="14.25">
      <c r="A18" s="104" t="s">
        <v>82</v>
      </c>
      <c r="B18" s="105">
        <f>'Summary Detail'!H14</f>
        <v>7350653.485830001</v>
      </c>
      <c r="C18" s="122">
        <f t="shared" si="2"/>
        <v>0.23341478701337381</v>
      </c>
      <c r="D18" s="105"/>
      <c r="E18" s="105">
        <f>'Summary Detail'!P14</f>
        <v>7865097.485830001</v>
      </c>
      <c r="F18" s="122">
        <f t="shared" si="3"/>
        <v>0.23776190319538068</v>
      </c>
      <c r="G18" s="105"/>
      <c r="H18" s="105">
        <f t="shared" si="0"/>
        <v>514444</v>
      </c>
      <c r="I18" s="106">
        <f t="shared" si="1"/>
        <v>0.06998615850845151</v>
      </c>
    </row>
    <row r="19" spans="1:9" ht="14.25">
      <c r="A19" s="104" t="s">
        <v>83</v>
      </c>
      <c r="B19" s="105">
        <f>'Summary Detail'!H15</f>
        <v>2553356.56519</v>
      </c>
      <c r="C19" s="122">
        <f t="shared" si="2"/>
        <v>0.08108002641968194</v>
      </c>
      <c r="D19" s="105"/>
      <c r="E19" s="105">
        <f>'Summary Detail'!P15</f>
        <v>2725304.66519</v>
      </c>
      <c r="F19" s="122">
        <f t="shared" si="3"/>
        <v>0.08238596217659516</v>
      </c>
      <c r="G19" s="105"/>
      <c r="H19" s="105">
        <f t="shared" si="0"/>
        <v>171948.1000000001</v>
      </c>
      <c r="I19" s="106">
        <f t="shared" si="1"/>
        <v>0.06734198519085606</v>
      </c>
    </row>
    <row r="20" spans="1:9" ht="14.25">
      <c r="A20" s="104"/>
      <c r="B20" s="105"/>
      <c r="C20" s="122"/>
      <c r="D20" s="105"/>
      <c r="E20" s="105"/>
      <c r="F20" s="122"/>
      <c r="G20" s="105"/>
      <c r="H20" s="105"/>
      <c r="I20" s="106"/>
    </row>
    <row r="21" spans="1:9" ht="15" thickBot="1">
      <c r="A21" s="104"/>
      <c r="B21" s="107">
        <f>SUM(B13:B20)</f>
        <v>31491807.26673</v>
      </c>
      <c r="C21" s="123">
        <f>SUM(C13:C20)</f>
        <v>1</v>
      </c>
      <c r="D21" s="107"/>
      <c r="E21" s="107">
        <f>SUM(E13:E20)</f>
        <v>33079721.267905828</v>
      </c>
      <c r="F21" s="123">
        <f>SUM(F13:F20)</f>
        <v>1</v>
      </c>
      <c r="G21" s="107">
        <f>SUM(G13:G20)</f>
        <v>0</v>
      </c>
      <c r="H21" s="107">
        <f>SUM(H13:H20)</f>
        <v>1587914.0011758278</v>
      </c>
      <c r="I21" s="108">
        <f>H21/B21</f>
        <v>0.050423082668024706</v>
      </c>
    </row>
    <row r="22" spans="1:9" ht="15" thickTop="1">
      <c r="A22" s="104"/>
      <c r="B22" s="105"/>
      <c r="C22" s="106"/>
      <c r="D22" s="105"/>
      <c r="E22" s="105"/>
      <c r="F22" s="106"/>
      <c r="G22" s="105"/>
      <c r="H22" s="105"/>
      <c r="I22" s="104"/>
    </row>
    <row r="23" spans="1:9" ht="14.25">
      <c r="A23" s="104"/>
      <c r="B23" s="105"/>
      <c r="C23" s="106"/>
      <c r="D23" s="105"/>
      <c r="E23" s="105"/>
      <c r="F23" s="106"/>
      <c r="G23" s="105"/>
      <c r="H23" s="105"/>
      <c r="I23" s="104"/>
    </row>
    <row r="24" spans="1:3" ht="14.25">
      <c r="A24" s="109"/>
      <c r="B24" s="110"/>
      <c r="C24" s="121"/>
    </row>
    <row r="26" spans="2:3" ht="12.75">
      <c r="B26" s="111"/>
      <c r="C26" s="111"/>
    </row>
  </sheetData>
  <mergeCells count="3">
    <mergeCell ref="A6:I6"/>
    <mergeCell ref="A7:I7"/>
    <mergeCell ref="A8:I8"/>
  </mergeCells>
  <printOptions horizontalCentered="1"/>
  <pageMargins left="0.56" right="0.22" top="1" bottom="1" header="0.5" footer="0.5"/>
  <pageSetup fitToHeight="1" fitToWidth="1" horizontalDpi="600" verticalDpi="600" orientation="portrait" scale="73" r:id="rId1"/>
  <headerFooter alignWithMargins="0">
    <oddFooter>&amp;R&amp;A,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7"/>
  <sheetViews>
    <sheetView view="pageBreakPreview" zoomScale="60" zoomScaleNormal="75" workbookViewId="0" topLeftCell="A155">
      <selection activeCell="L204" sqref="L204"/>
    </sheetView>
  </sheetViews>
  <sheetFormatPr defaultColWidth="9.140625" defaultRowHeight="12.75"/>
  <cols>
    <col min="1" max="1" width="31.28125" style="33" customWidth="1"/>
    <col min="2" max="2" width="18.28125" style="33" hidden="1" customWidth="1"/>
    <col min="3" max="3" width="15.00390625" style="33" bestFit="1" customWidth="1"/>
    <col min="4" max="4" width="12.00390625" style="33" bestFit="1" customWidth="1"/>
    <col min="5" max="5" width="15.00390625" style="33" bestFit="1" customWidth="1"/>
    <col min="6" max="6" width="8.7109375" style="39" bestFit="1" customWidth="1"/>
    <col min="7" max="7" width="3.28125" style="33" customWidth="1"/>
    <col min="8" max="8" width="15.00390625" style="33" bestFit="1" customWidth="1"/>
    <col min="9" max="9" width="15.421875" style="33" bestFit="1" customWidth="1"/>
    <col min="10" max="10" width="15.00390625" style="38" bestFit="1" customWidth="1"/>
    <col min="11" max="11" width="8.7109375" style="39" bestFit="1" customWidth="1"/>
    <col min="12" max="12" width="2.8515625" style="33" customWidth="1"/>
    <col min="13" max="13" width="13.7109375" style="38" bestFit="1" customWidth="1"/>
    <col min="14" max="14" width="12.57421875" style="33" bestFit="1" customWidth="1"/>
    <col min="15" max="15" width="3.57421875" style="33" hidden="1" customWidth="1"/>
    <col min="16" max="16" width="12.7109375" style="33" hidden="1" customWidth="1"/>
    <col min="17" max="17" width="13.140625" style="38" hidden="1" customWidth="1"/>
    <col min="18" max="18" width="12.57421875" style="33" hidden="1" customWidth="1"/>
    <col min="19" max="19" width="16.8515625" style="33" hidden="1" customWidth="1"/>
    <col min="20" max="23" width="8.7109375" style="33" hidden="1" customWidth="1"/>
    <col min="24" max="16384" width="8.7109375" style="33" customWidth="1"/>
  </cols>
  <sheetData>
    <row r="1" spans="1:17" ht="12.75">
      <c r="A1" s="13"/>
      <c r="B1" s="13"/>
      <c r="C1" s="13"/>
      <c r="D1" s="13"/>
      <c r="E1" s="13"/>
      <c r="F1" s="134"/>
      <c r="G1" s="32"/>
      <c r="H1" s="32"/>
      <c r="I1" s="32"/>
      <c r="J1" s="94"/>
      <c r="K1" s="147"/>
      <c r="L1" s="32"/>
      <c r="M1" s="94"/>
      <c r="N1" s="119" t="s">
        <v>94</v>
      </c>
      <c r="Q1" s="33"/>
    </row>
    <row r="2" spans="1:17" ht="12.75">
      <c r="A2" s="13"/>
      <c r="B2" s="13"/>
      <c r="C2" s="13"/>
      <c r="D2" s="13"/>
      <c r="E2" s="13"/>
      <c r="F2" s="134"/>
      <c r="G2" s="32"/>
      <c r="H2" s="32"/>
      <c r="I2" s="32"/>
      <c r="J2" s="94"/>
      <c r="K2" s="147"/>
      <c r="L2" s="32"/>
      <c r="M2" s="94"/>
      <c r="N2" s="119" t="s">
        <v>92</v>
      </c>
      <c r="Q2" s="33"/>
    </row>
    <row r="3" spans="1:17" ht="12.75">
      <c r="A3" s="13"/>
      <c r="B3" s="13"/>
      <c r="C3" s="13"/>
      <c r="D3" s="13"/>
      <c r="E3" s="13"/>
      <c r="F3" s="134"/>
      <c r="G3" s="32"/>
      <c r="H3" s="32"/>
      <c r="I3" s="32"/>
      <c r="J3" s="94"/>
      <c r="K3" s="147"/>
      <c r="L3" s="32"/>
      <c r="M3" s="94"/>
      <c r="N3" s="119" t="s">
        <v>95</v>
      </c>
      <c r="Q3" s="33"/>
    </row>
    <row r="4" spans="2:14" ht="12.75">
      <c r="B4" s="29"/>
      <c r="C4" s="29"/>
      <c r="D4" s="29"/>
      <c r="E4" s="29"/>
      <c r="F4" s="135"/>
      <c r="G4" s="29"/>
      <c r="H4" s="29" t="s">
        <v>89</v>
      </c>
      <c r="I4" s="29"/>
      <c r="J4" s="95"/>
      <c r="K4" s="135"/>
      <c r="L4" s="29"/>
      <c r="M4" s="95"/>
      <c r="N4" s="29"/>
    </row>
    <row r="5" spans="2:14" ht="12.75">
      <c r="B5" s="29"/>
      <c r="C5" s="29"/>
      <c r="D5" s="29"/>
      <c r="E5" s="29"/>
      <c r="F5" s="135"/>
      <c r="G5" s="29"/>
      <c r="H5" s="29" t="s">
        <v>16</v>
      </c>
      <c r="I5" s="29"/>
      <c r="J5" s="95"/>
      <c r="K5" s="135"/>
      <c r="L5" s="29"/>
      <c r="M5" s="95"/>
      <c r="N5" s="29"/>
    </row>
    <row r="6" spans="2:8" ht="12.75">
      <c r="B6" s="14"/>
      <c r="C6" s="14"/>
      <c r="D6" s="14"/>
      <c r="E6" s="14"/>
      <c r="F6" s="136"/>
      <c r="H6" s="14"/>
    </row>
    <row r="7" spans="2:14" ht="12.75">
      <c r="B7" s="29"/>
      <c r="C7" s="29"/>
      <c r="D7" s="29"/>
      <c r="E7" s="29"/>
      <c r="F7" s="135"/>
      <c r="G7" s="29"/>
      <c r="H7" s="29" t="s">
        <v>25</v>
      </c>
      <c r="I7" s="29"/>
      <c r="J7" s="95"/>
      <c r="K7" s="135"/>
      <c r="L7" s="29"/>
      <c r="M7" s="95"/>
      <c r="N7" s="29"/>
    </row>
    <row r="8" spans="2:14" ht="12.75">
      <c r="B8" s="29"/>
      <c r="C8" s="29"/>
      <c r="D8" s="29"/>
      <c r="E8" s="29"/>
      <c r="F8" s="135"/>
      <c r="G8" s="29"/>
      <c r="H8" s="29" t="s">
        <v>26</v>
      </c>
      <c r="I8" s="29"/>
      <c r="J8" s="95"/>
      <c r="K8" s="135"/>
      <c r="L8" s="29"/>
      <c r="M8" s="95"/>
      <c r="N8" s="29"/>
    </row>
    <row r="9" spans="2:14" ht="12.75">
      <c r="B9" s="29"/>
      <c r="C9" s="29"/>
      <c r="D9" s="29"/>
      <c r="E9" s="29"/>
      <c r="F9" s="135"/>
      <c r="G9" s="29"/>
      <c r="H9" s="29" t="s">
        <v>27</v>
      </c>
      <c r="I9" s="29"/>
      <c r="J9" s="95"/>
      <c r="K9" s="135"/>
      <c r="L9" s="29"/>
      <c r="M9" s="95"/>
      <c r="N9" s="29"/>
    </row>
    <row r="10" spans="1:6" ht="12.75">
      <c r="A10" s="14"/>
      <c r="B10" s="14"/>
      <c r="C10" s="14"/>
      <c r="D10" s="14"/>
      <c r="E10" s="14"/>
      <c r="F10" s="136"/>
    </row>
    <row r="11" spans="2:17" ht="12.75">
      <c r="B11" s="124" t="s">
        <v>70</v>
      </c>
      <c r="C11" s="125" t="s">
        <v>0</v>
      </c>
      <c r="D11" s="126"/>
      <c r="E11" s="126"/>
      <c r="F11" s="137"/>
      <c r="H11" s="125" t="s">
        <v>1</v>
      </c>
      <c r="I11" s="126"/>
      <c r="J11" s="130"/>
      <c r="K11" s="137"/>
      <c r="M11" s="96" t="s">
        <v>2</v>
      </c>
      <c r="N11" s="15" t="s">
        <v>3</v>
      </c>
      <c r="P11" s="12" t="s">
        <v>56</v>
      </c>
      <c r="Q11" s="96" t="s">
        <v>57</v>
      </c>
    </row>
    <row r="12" spans="1:11" ht="12.75">
      <c r="A12" s="34"/>
      <c r="B12" s="34"/>
      <c r="C12" s="127"/>
      <c r="D12" s="128"/>
      <c r="E12" s="128"/>
      <c r="F12" s="138"/>
      <c r="H12" s="127"/>
      <c r="I12" s="128"/>
      <c r="J12" s="131"/>
      <c r="K12" s="138"/>
    </row>
    <row r="13" spans="1:11" ht="12.75">
      <c r="A13" s="34"/>
      <c r="B13" s="34"/>
      <c r="C13" s="16" t="s">
        <v>4</v>
      </c>
      <c r="D13" s="16" t="s">
        <v>5</v>
      </c>
      <c r="E13" s="16" t="s">
        <v>6</v>
      </c>
      <c r="F13" s="139" t="s">
        <v>96</v>
      </c>
      <c r="H13" s="16" t="s">
        <v>4</v>
      </c>
      <c r="I13" s="16" t="s">
        <v>1</v>
      </c>
      <c r="J13" s="132" t="s">
        <v>6</v>
      </c>
      <c r="K13" s="139" t="s">
        <v>96</v>
      </c>
    </row>
    <row r="14" spans="1:11" ht="12.75">
      <c r="A14" s="35"/>
      <c r="B14" s="35"/>
      <c r="C14" s="129" t="s">
        <v>7</v>
      </c>
      <c r="D14" s="129" t="s">
        <v>8</v>
      </c>
      <c r="E14" s="129" t="s">
        <v>9</v>
      </c>
      <c r="F14" s="140" t="s">
        <v>66</v>
      </c>
      <c r="H14" s="129" t="s">
        <v>7</v>
      </c>
      <c r="I14" s="129" t="s">
        <v>8</v>
      </c>
      <c r="J14" s="133" t="s">
        <v>9</v>
      </c>
      <c r="K14" s="140" t="s">
        <v>66</v>
      </c>
    </row>
    <row r="15" ht="12.75" hidden="1"/>
    <row r="16" spans="1:11" ht="12.75">
      <c r="A16" s="34"/>
      <c r="B16" s="34"/>
      <c r="C16" s="36"/>
      <c r="D16" s="34"/>
      <c r="E16" s="30"/>
      <c r="F16" s="141"/>
      <c r="H16" s="36"/>
      <c r="I16" s="34"/>
      <c r="J16" s="58"/>
      <c r="K16" s="141"/>
    </row>
    <row r="17" spans="1:14" ht="12.75">
      <c r="A17" s="34" t="s">
        <v>17</v>
      </c>
      <c r="B17" s="34"/>
      <c r="C17" s="36">
        <v>102395</v>
      </c>
      <c r="D17" s="30">
        <v>7.18</v>
      </c>
      <c r="E17" s="37">
        <f>C17*D17</f>
        <v>735196.1</v>
      </c>
      <c r="F17" s="141">
        <f>E17/E24</f>
        <v>0.09898324152989808</v>
      </c>
      <c r="H17" s="36">
        <f>C17</f>
        <v>102395</v>
      </c>
      <c r="I17" s="30">
        <f>D17</f>
        <v>7.18</v>
      </c>
      <c r="J17" s="58">
        <f>I17*H17</f>
        <v>735196.1</v>
      </c>
      <c r="K17" s="141">
        <f>J17/J24</f>
        <v>0.09466139385732211</v>
      </c>
      <c r="M17" s="38">
        <f>J17-E17</f>
        <v>0</v>
      </c>
      <c r="N17" s="39">
        <f>M17/E17</f>
        <v>0</v>
      </c>
    </row>
    <row r="18" spans="1:14" ht="12.75">
      <c r="A18" s="34"/>
      <c r="B18" s="34"/>
      <c r="C18" s="36"/>
      <c r="D18" s="30"/>
      <c r="E18" s="30"/>
      <c r="F18" s="141"/>
      <c r="H18" s="36"/>
      <c r="I18" s="30"/>
      <c r="J18" s="58"/>
      <c r="K18" s="141"/>
      <c r="N18" s="39"/>
    </row>
    <row r="19" spans="1:14" ht="12.75">
      <c r="A19" s="34" t="s">
        <v>10</v>
      </c>
      <c r="B19" s="34"/>
      <c r="C19" s="40"/>
      <c r="D19" s="41"/>
      <c r="E19" s="40"/>
      <c r="F19" s="142"/>
      <c r="G19" s="32"/>
      <c r="H19" s="40"/>
      <c r="I19" s="42"/>
      <c r="J19" s="102"/>
      <c r="K19" s="142"/>
      <c r="N19" s="39"/>
    </row>
    <row r="20" spans="1:17" ht="12.75">
      <c r="A20" s="34" t="s">
        <v>28</v>
      </c>
      <c r="B20" s="36">
        <f>C20</f>
        <v>58067339</v>
      </c>
      <c r="C20" s="36">
        <v>58067339</v>
      </c>
      <c r="D20" s="43">
        <v>0.06758</v>
      </c>
      <c r="E20" s="40">
        <f>C20*D20</f>
        <v>3924190.76962</v>
      </c>
      <c r="F20" s="142">
        <f>E20/E24</f>
        <v>0.5283340359921564</v>
      </c>
      <c r="H20" s="36">
        <f>C20</f>
        <v>58067339</v>
      </c>
      <c r="I20" s="44">
        <f>D20+$R$231+((804.18+20.29)/($B$20+$B$21+$B$22+($B$50*0.6)))</f>
        <v>0.07096402316136702</v>
      </c>
      <c r="J20" s="102">
        <f>H20*I20</f>
        <v>4120691.9897149503</v>
      </c>
      <c r="K20" s="142">
        <f>J20/J24</f>
        <v>0.5305665351096384</v>
      </c>
      <c r="M20" s="38">
        <f aca="true" t="shared" si="0" ref="M20:M27">J20-E20</f>
        <v>196501.2200949504</v>
      </c>
      <c r="N20" s="39">
        <f aca="true" t="shared" si="1" ref="N20:N27">M20/E20</f>
        <v>0.050074329111675336</v>
      </c>
      <c r="Q20" s="38">
        <f>M20</f>
        <v>196501.2200949504</v>
      </c>
    </row>
    <row r="21" spans="1:17" ht="12.75">
      <c r="A21" s="34" t="s">
        <v>29</v>
      </c>
      <c r="B21" s="36">
        <f>C21</f>
        <v>37548840</v>
      </c>
      <c r="C21" s="36">
        <v>37548840</v>
      </c>
      <c r="D21" s="43">
        <v>0.06583</v>
      </c>
      <c r="E21" s="40">
        <f>C21*D21</f>
        <v>2471840.1371999998</v>
      </c>
      <c r="F21" s="142">
        <f>E21/E24</f>
        <v>0.33279658219591207</v>
      </c>
      <c r="H21" s="36">
        <f>C21</f>
        <v>37548840</v>
      </c>
      <c r="I21" s="44">
        <f>D21+$R$231+((804.18+20.29)/($B$20+$B$21+$B$22+($B$50*0.6)))</f>
        <v>0.06921402316136702</v>
      </c>
      <c r="J21" s="102">
        <f>H21*I21</f>
        <v>2598906.2814424643</v>
      </c>
      <c r="K21" s="142">
        <f>J21/J24</f>
        <v>0.3346264909537653</v>
      </c>
      <c r="M21" s="38">
        <f t="shared" si="0"/>
        <v>127066.14424246456</v>
      </c>
      <c r="N21" s="39">
        <f t="shared" si="1"/>
        <v>0.051405486273234456</v>
      </c>
      <c r="Q21" s="38">
        <f>M21</f>
        <v>127066.14424246456</v>
      </c>
    </row>
    <row r="22" spans="1:17" ht="12.75">
      <c r="A22" s="34" t="s">
        <v>30</v>
      </c>
      <c r="B22" s="36">
        <f>C22</f>
        <v>4592366</v>
      </c>
      <c r="C22" s="36">
        <v>4592366</v>
      </c>
      <c r="D22" s="43">
        <v>0.06451</v>
      </c>
      <c r="E22" s="40">
        <f>C22*D22</f>
        <v>296253.53066</v>
      </c>
      <c r="F22" s="142">
        <f>E22/E24</f>
        <v>0.03988614028203338</v>
      </c>
      <c r="H22" s="36">
        <f>C22</f>
        <v>4592366</v>
      </c>
      <c r="I22" s="44">
        <f>D22+$R$231+((804.18+20.29)/($B$20+$B$21+$B$22+($B$50*0.6)))</f>
        <v>0.06789402316136701</v>
      </c>
      <c r="J22" s="102">
        <f>H22*I22</f>
        <v>311794.2035694744</v>
      </c>
      <c r="K22" s="142">
        <f>J22/J24</f>
        <v>0.0401455800792742</v>
      </c>
      <c r="M22" s="38">
        <f t="shared" si="0"/>
        <v>15540.672909474408</v>
      </c>
      <c r="N22" s="39">
        <f t="shared" si="1"/>
        <v>0.05245734244872141</v>
      </c>
      <c r="Q22" s="38">
        <f>M22</f>
        <v>15540.672909474408</v>
      </c>
    </row>
    <row r="23" spans="1:14" ht="12.75">
      <c r="A23" s="34"/>
      <c r="B23" s="34"/>
      <c r="C23" s="36"/>
      <c r="D23" s="43"/>
      <c r="E23" s="36"/>
      <c r="F23" s="141"/>
      <c r="H23" s="36"/>
      <c r="I23" s="43"/>
      <c r="J23" s="58"/>
      <c r="K23" s="141"/>
      <c r="N23" s="39"/>
    </row>
    <row r="24" spans="1:14" ht="12.75">
      <c r="A24" s="34" t="s">
        <v>11</v>
      </c>
      <c r="B24" s="34"/>
      <c r="C24" s="36"/>
      <c r="D24" s="34"/>
      <c r="E24" s="46">
        <f>SUM(E17:E22)</f>
        <v>7427480.5374799995</v>
      </c>
      <c r="F24" s="142">
        <f>SUM(F17:F22)</f>
        <v>1</v>
      </c>
      <c r="H24" s="36"/>
      <c r="I24" s="34"/>
      <c r="J24" s="100">
        <f>SUM(J17:J22)</f>
        <v>7766588.574726889</v>
      </c>
      <c r="K24" s="142">
        <f>SUM(K17:K22)</f>
        <v>0.9999999999999999</v>
      </c>
      <c r="M24" s="47">
        <f t="shared" si="0"/>
        <v>339108.03724688943</v>
      </c>
      <c r="N24" s="48">
        <f t="shared" si="1"/>
        <v>0.04565586345675464</v>
      </c>
    </row>
    <row r="25" spans="1:14" ht="12.75">
      <c r="A25" s="34"/>
      <c r="B25" s="34"/>
      <c r="C25" s="36"/>
      <c r="D25" s="43"/>
      <c r="E25" s="34"/>
      <c r="F25" s="141"/>
      <c r="H25" s="36"/>
      <c r="I25" s="43"/>
      <c r="J25" s="58"/>
      <c r="K25" s="141"/>
      <c r="N25" s="39"/>
    </row>
    <row r="26" spans="1:14" ht="12.75">
      <c r="A26" s="34" t="s">
        <v>12</v>
      </c>
      <c r="B26" s="34"/>
      <c r="C26" s="36"/>
      <c r="D26" s="43"/>
      <c r="E26" s="49">
        <v>788311</v>
      </c>
      <c r="F26" s="143"/>
      <c r="H26" s="36"/>
      <c r="I26" s="43"/>
      <c r="J26" s="58">
        <f>E26</f>
        <v>788311</v>
      </c>
      <c r="K26" s="141"/>
      <c r="M26" s="38">
        <f t="shared" si="0"/>
        <v>0</v>
      </c>
      <c r="N26" s="39">
        <f t="shared" si="1"/>
        <v>0</v>
      </c>
    </row>
    <row r="27" spans="1:14" ht="12.75">
      <c r="A27" s="34" t="s">
        <v>13</v>
      </c>
      <c r="B27" s="34"/>
      <c r="C27" s="36"/>
      <c r="D27" s="43"/>
      <c r="E27" s="50">
        <v>604025</v>
      </c>
      <c r="F27" s="144"/>
      <c r="H27" s="36"/>
      <c r="I27" s="43"/>
      <c r="J27" s="83">
        <f>E27</f>
        <v>604025</v>
      </c>
      <c r="K27" s="142"/>
      <c r="M27" s="51">
        <f t="shared" si="0"/>
        <v>0</v>
      </c>
      <c r="N27" s="52">
        <f t="shared" si="1"/>
        <v>0</v>
      </c>
    </row>
    <row r="28" spans="1:14" ht="12.75">
      <c r="A28" s="34"/>
      <c r="B28" s="34"/>
      <c r="C28" s="36"/>
      <c r="D28" s="34"/>
      <c r="E28" s="34"/>
      <c r="F28" s="141"/>
      <c r="H28" s="36"/>
      <c r="I28" s="34"/>
      <c r="J28" s="58"/>
      <c r="K28" s="141"/>
      <c r="N28" s="39"/>
    </row>
    <row r="29" spans="1:14" ht="13.5" thickBot="1">
      <c r="A29" s="34" t="s">
        <v>14</v>
      </c>
      <c r="B29" s="34"/>
      <c r="C29" s="36"/>
      <c r="D29" s="34"/>
      <c r="E29" s="53">
        <f>SUM(E24:E27)</f>
        <v>8819816.53748</v>
      </c>
      <c r="F29" s="142"/>
      <c r="H29" s="36"/>
      <c r="I29" s="34"/>
      <c r="J29" s="84">
        <f>SUM(J24:J27)</f>
        <v>9158924.574726889</v>
      </c>
      <c r="K29" s="142"/>
      <c r="M29" s="63">
        <f>J29-E29</f>
        <v>339108.0372468885</v>
      </c>
      <c r="N29" s="54">
        <f>M29/E29</f>
        <v>0.03844842302624341</v>
      </c>
    </row>
    <row r="30" spans="1:6" ht="13.5" thickTop="1">
      <c r="A30" s="34"/>
      <c r="B30" s="34"/>
      <c r="C30" s="34"/>
      <c r="D30" s="34"/>
      <c r="E30" s="34"/>
      <c r="F30" s="141"/>
    </row>
    <row r="31" spans="1:14" ht="12.75">
      <c r="A31" s="34" t="s">
        <v>15</v>
      </c>
      <c r="B31" s="34"/>
      <c r="E31" s="55">
        <f>E29/C17</f>
        <v>86.13522669544412</v>
      </c>
      <c r="J31" s="113">
        <f>J29/H17</f>
        <v>89.44699032889193</v>
      </c>
      <c r="L31" s="113"/>
      <c r="M31" s="113">
        <f>J31-E31</f>
        <v>3.3117636334478107</v>
      </c>
      <c r="N31" s="39">
        <f>M31/E31</f>
        <v>0.03844842302624342</v>
      </c>
    </row>
    <row r="32" spans="1:14" ht="12.75">
      <c r="A32" s="34"/>
      <c r="B32" s="34"/>
      <c r="E32" s="55"/>
      <c r="N32" s="39"/>
    </row>
    <row r="33" spans="1:14" ht="12.75" hidden="1">
      <c r="A33" s="34"/>
      <c r="B33" s="34"/>
      <c r="E33" s="55"/>
      <c r="N33" s="39"/>
    </row>
    <row r="34" spans="2:14" ht="12.75" hidden="1">
      <c r="B34" s="29"/>
      <c r="C34" s="29"/>
      <c r="D34" s="29"/>
      <c r="E34" s="29"/>
      <c r="F34" s="135"/>
      <c r="G34" s="29"/>
      <c r="H34" s="29" t="str">
        <f>H4</f>
        <v>Shelby Energy Cooperative Billing Analysis</v>
      </c>
      <c r="I34" s="29"/>
      <c r="J34" s="95"/>
      <c r="K34" s="135"/>
      <c r="L34" s="29"/>
      <c r="M34" s="95"/>
      <c r="N34" s="29"/>
    </row>
    <row r="35" spans="2:14" ht="12.75" hidden="1">
      <c r="B35" s="29"/>
      <c r="C35" s="29"/>
      <c r="D35" s="29"/>
      <c r="E35" s="29"/>
      <c r="F35" s="135"/>
      <c r="G35" s="29"/>
      <c r="H35" s="29" t="s">
        <v>18</v>
      </c>
      <c r="I35" s="29"/>
      <c r="J35" s="95"/>
      <c r="K35" s="135"/>
      <c r="L35" s="29"/>
      <c r="M35" s="95"/>
      <c r="N35" s="29"/>
    </row>
    <row r="36" spans="2:14" ht="12.75" hidden="1">
      <c r="B36" s="29"/>
      <c r="C36" s="29"/>
      <c r="D36" s="29"/>
      <c r="E36" s="29"/>
      <c r="F36" s="135"/>
      <c r="G36" s="29"/>
      <c r="H36" s="29" t="s">
        <v>16</v>
      </c>
      <c r="I36" s="29"/>
      <c r="J36" s="95"/>
      <c r="K36" s="135"/>
      <c r="L36" s="29"/>
      <c r="M36" s="95"/>
      <c r="N36" s="29"/>
    </row>
    <row r="37" spans="2:8" ht="12.75" hidden="1">
      <c r="B37" s="14"/>
      <c r="C37" s="14"/>
      <c r="D37" s="14"/>
      <c r="E37" s="14"/>
      <c r="F37" s="136"/>
      <c r="H37" s="14"/>
    </row>
    <row r="38" spans="2:14" ht="12.75">
      <c r="B38" s="31"/>
      <c r="C38" s="31"/>
      <c r="D38" s="31"/>
      <c r="E38" s="31"/>
      <c r="F38" s="145"/>
      <c r="G38" s="31"/>
      <c r="H38" s="27" t="s">
        <v>31</v>
      </c>
      <c r="I38" s="31"/>
      <c r="J38" s="97"/>
      <c r="K38" s="145"/>
      <c r="L38" s="31"/>
      <c r="M38" s="97"/>
      <c r="N38" s="31"/>
    </row>
    <row r="39" spans="2:14" ht="12.75">
      <c r="B39" s="29"/>
      <c r="C39" s="29"/>
      <c r="D39" s="29"/>
      <c r="E39" s="29"/>
      <c r="F39" s="135"/>
      <c r="G39" s="29"/>
      <c r="H39" s="29" t="s">
        <v>32</v>
      </c>
      <c r="I39" s="29"/>
      <c r="J39" s="95"/>
      <c r="K39" s="135"/>
      <c r="L39" s="29"/>
      <c r="M39" s="95"/>
      <c r="N39" s="29"/>
    </row>
    <row r="40" spans="2:14" ht="12.75">
      <c r="B40" s="29"/>
      <c r="C40" s="29"/>
      <c r="D40" s="29"/>
      <c r="E40" s="29"/>
      <c r="F40" s="135"/>
      <c r="G40" s="29"/>
      <c r="H40" s="29" t="s">
        <v>33</v>
      </c>
      <c r="I40" s="29"/>
      <c r="J40" s="95"/>
      <c r="K40" s="135"/>
      <c r="L40" s="29"/>
      <c r="M40" s="95"/>
      <c r="N40" s="29"/>
    </row>
    <row r="41" spans="1:6" ht="12.75">
      <c r="A41" s="14"/>
      <c r="B41" s="14"/>
      <c r="C41" s="14"/>
      <c r="D41" s="14"/>
      <c r="E41" s="14"/>
      <c r="F41" s="136"/>
    </row>
    <row r="42" spans="2:17" ht="12.75">
      <c r="B42" s="12" t="s">
        <v>70</v>
      </c>
      <c r="C42" s="125" t="s">
        <v>0</v>
      </c>
      <c r="D42" s="126"/>
      <c r="E42" s="126"/>
      <c r="F42" s="137"/>
      <c r="H42" s="125" t="s">
        <v>1</v>
      </c>
      <c r="I42" s="126"/>
      <c r="J42" s="130"/>
      <c r="K42" s="137"/>
      <c r="M42" s="96" t="s">
        <v>2</v>
      </c>
      <c r="N42" s="15" t="s">
        <v>3</v>
      </c>
      <c r="P42" s="12" t="s">
        <v>56</v>
      </c>
      <c r="Q42" s="96" t="s">
        <v>57</v>
      </c>
    </row>
    <row r="43" spans="1:11" ht="12.75">
      <c r="A43" s="34"/>
      <c r="B43" s="34"/>
      <c r="C43" s="127"/>
      <c r="D43" s="128"/>
      <c r="E43" s="128"/>
      <c r="F43" s="138"/>
      <c r="H43" s="127"/>
      <c r="I43" s="128"/>
      <c r="J43" s="131"/>
      <c r="K43" s="138"/>
    </row>
    <row r="44" spans="1:11" ht="12.75">
      <c r="A44" s="34"/>
      <c r="B44" s="34"/>
      <c r="C44" s="16" t="s">
        <v>4</v>
      </c>
      <c r="D44" s="16" t="s">
        <v>5</v>
      </c>
      <c r="E44" s="16" t="s">
        <v>6</v>
      </c>
      <c r="F44" s="139" t="s">
        <v>96</v>
      </c>
      <c r="H44" s="16" t="s">
        <v>4</v>
      </c>
      <c r="I44" s="16" t="s">
        <v>1</v>
      </c>
      <c r="J44" s="132" t="s">
        <v>6</v>
      </c>
      <c r="K44" s="139" t="s">
        <v>96</v>
      </c>
    </row>
    <row r="45" spans="1:11" ht="12.75">
      <c r="A45" s="35"/>
      <c r="B45" s="35"/>
      <c r="C45" s="129" t="s">
        <v>7</v>
      </c>
      <c r="D45" s="129" t="s">
        <v>8</v>
      </c>
      <c r="E45" s="129" t="s">
        <v>9</v>
      </c>
      <c r="F45" s="140" t="s">
        <v>66</v>
      </c>
      <c r="H45" s="129" t="s">
        <v>7</v>
      </c>
      <c r="I45" s="129" t="s">
        <v>8</v>
      </c>
      <c r="J45" s="133" t="s">
        <v>9</v>
      </c>
      <c r="K45" s="140" t="s">
        <v>66</v>
      </c>
    </row>
    <row r="46" ht="12.75" hidden="1"/>
    <row r="47" spans="1:11" ht="12.75">
      <c r="A47" s="34"/>
      <c r="B47" s="34"/>
      <c r="C47" s="36"/>
      <c r="D47" s="34"/>
      <c r="E47" s="30"/>
      <c r="F47" s="141"/>
      <c r="H47" s="36"/>
      <c r="I47" s="34"/>
      <c r="J47" s="58"/>
      <c r="K47" s="141"/>
    </row>
    <row r="48" spans="1:11" ht="12.75">
      <c r="A48" s="34" t="s">
        <v>17</v>
      </c>
      <c r="B48" s="34"/>
      <c r="C48" s="36">
        <f>27+68</f>
        <v>95</v>
      </c>
      <c r="D48" s="30"/>
      <c r="E48" s="37">
        <f>C48*D48</f>
        <v>0</v>
      </c>
      <c r="F48" s="141">
        <f>E48/E52</f>
        <v>0</v>
      </c>
      <c r="H48" s="36">
        <f>C48</f>
        <v>95</v>
      </c>
      <c r="I48" s="30">
        <f>D48</f>
        <v>0</v>
      </c>
      <c r="J48" s="58">
        <f>I48*H48</f>
        <v>0</v>
      </c>
      <c r="K48" s="141">
        <f>J48/J52</f>
        <v>0</v>
      </c>
    </row>
    <row r="49" spans="1:11" ht="12.75">
      <c r="A49" s="56" t="s">
        <v>49</v>
      </c>
      <c r="B49" s="56"/>
      <c r="C49" s="36"/>
      <c r="D49" s="30"/>
      <c r="E49" s="30"/>
      <c r="F49" s="141"/>
      <c r="H49" s="36"/>
      <c r="I49" s="30"/>
      <c r="J49" s="58"/>
      <c r="K49" s="141"/>
    </row>
    <row r="50" spans="1:17" ht="12.75">
      <c r="A50" s="34" t="s">
        <v>10</v>
      </c>
      <c r="B50" s="36">
        <f>C50</f>
        <v>608765</v>
      </c>
      <c r="C50" s="36">
        <v>608765</v>
      </c>
      <c r="D50" s="43">
        <v>0.03871</v>
      </c>
      <c r="E50" s="40">
        <f>D50*C50</f>
        <v>23565.29315</v>
      </c>
      <c r="F50" s="142">
        <f>E50/E52</f>
        <v>1</v>
      </c>
      <c r="G50" s="32"/>
      <c r="H50" s="40">
        <f>C50</f>
        <v>608765</v>
      </c>
      <c r="I50" s="57">
        <f>I22*0.6</f>
        <v>0.04073641389682021</v>
      </c>
      <c r="J50" s="102">
        <f>I50*H50</f>
        <v>24798.903005897755</v>
      </c>
      <c r="K50" s="142">
        <f>J50/J52</f>
        <v>1</v>
      </c>
      <c r="M50" s="38">
        <f>J50-E50</f>
        <v>1233.6098558977537</v>
      </c>
      <c r="N50" s="39">
        <f>M50/E50</f>
        <v>0.05234858942961011</v>
      </c>
      <c r="Q50" s="38">
        <f>M50</f>
        <v>1233.6098558977537</v>
      </c>
    </row>
    <row r="51" spans="1:11" ht="12.75">
      <c r="A51" s="34"/>
      <c r="B51" s="34"/>
      <c r="C51" s="36"/>
      <c r="D51" s="43"/>
      <c r="E51" s="36"/>
      <c r="F51" s="141"/>
      <c r="H51" s="36"/>
      <c r="I51" s="43"/>
      <c r="J51" s="58"/>
      <c r="K51" s="141"/>
    </row>
    <row r="52" spans="1:14" ht="12.75">
      <c r="A52" s="34" t="s">
        <v>11</v>
      </c>
      <c r="B52" s="34"/>
      <c r="C52" s="36"/>
      <c r="D52" s="34"/>
      <c r="E52" s="46">
        <f>E48+E50</f>
        <v>23565.29315</v>
      </c>
      <c r="F52" s="142">
        <f>SUM(F48:F50)</f>
        <v>1</v>
      </c>
      <c r="H52" s="36"/>
      <c r="I52" s="34"/>
      <c r="J52" s="100">
        <f>J48+J50</f>
        <v>24798.903005897755</v>
      </c>
      <c r="K52" s="142">
        <f>SUM(K48:K50)</f>
        <v>1</v>
      </c>
      <c r="M52" s="47">
        <f>J52-E52</f>
        <v>1233.6098558977537</v>
      </c>
      <c r="N52" s="48">
        <f>M52/E52</f>
        <v>0.05234858942961011</v>
      </c>
    </row>
    <row r="53" spans="1:11" ht="12.75">
      <c r="A53" s="34"/>
      <c r="B53" s="34"/>
      <c r="C53" s="36"/>
      <c r="D53" s="43"/>
      <c r="E53" s="34"/>
      <c r="F53" s="141"/>
      <c r="H53" s="36"/>
      <c r="I53" s="43"/>
      <c r="J53" s="58"/>
      <c r="K53" s="141"/>
    </row>
    <row r="54" spans="1:14" ht="12.75">
      <c r="A54" s="34" t="s">
        <v>12</v>
      </c>
      <c r="B54" s="34"/>
      <c r="C54" s="36"/>
      <c r="D54" s="43"/>
      <c r="E54" s="36">
        <v>5488</v>
      </c>
      <c r="F54" s="141"/>
      <c r="H54" s="36"/>
      <c r="I54" s="43"/>
      <c r="J54" s="58">
        <f>E54</f>
        <v>5488</v>
      </c>
      <c r="K54" s="141"/>
      <c r="M54" s="38">
        <f>J54-E54</f>
        <v>0</v>
      </c>
      <c r="N54" s="39">
        <f>M54/E54</f>
        <v>0</v>
      </c>
    </row>
    <row r="55" spans="1:14" ht="12.75">
      <c r="A55" s="34" t="s">
        <v>13</v>
      </c>
      <c r="B55" s="34"/>
      <c r="C55" s="36"/>
      <c r="D55" s="43"/>
      <c r="E55" s="50">
        <v>1960</v>
      </c>
      <c r="F55" s="144"/>
      <c r="H55" s="36"/>
      <c r="I55" s="43"/>
      <c r="J55" s="83">
        <f>E55</f>
        <v>1960</v>
      </c>
      <c r="K55" s="142"/>
      <c r="M55" s="51">
        <f>J55-E55</f>
        <v>0</v>
      </c>
      <c r="N55" s="52">
        <f>M55/E55</f>
        <v>0</v>
      </c>
    </row>
    <row r="56" spans="1:11" ht="12.75">
      <c r="A56" s="34"/>
      <c r="B56" s="34"/>
      <c r="C56" s="36"/>
      <c r="D56" s="34"/>
      <c r="E56" s="34"/>
      <c r="F56" s="141"/>
      <c r="H56" s="36"/>
      <c r="I56" s="34"/>
      <c r="J56" s="58"/>
      <c r="K56" s="141"/>
    </row>
    <row r="57" spans="1:14" ht="13.5" thickBot="1">
      <c r="A57" s="34" t="s">
        <v>14</v>
      </c>
      <c r="B57" s="34"/>
      <c r="C57" s="36"/>
      <c r="D57" s="34"/>
      <c r="E57" s="53">
        <f>SUM(E52:E55)</f>
        <v>31013.29315</v>
      </c>
      <c r="F57" s="142"/>
      <c r="H57" s="36"/>
      <c r="I57" s="34"/>
      <c r="J57" s="84">
        <f>SUM(J52:J55)</f>
        <v>32246.903005897755</v>
      </c>
      <c r="K57" s="142"/>
      <c r="M57" s="63">
        <f>J57-E57</f>
        <v>1233.6098558977537</v>
      </c>
      <c r="N57" s="54">
        <f>M57/E57</f>
        <v>0.039776809574243926</v>
      </c>
    </row>
    <row r="58" spans="1:6" ht="13.5" thickTop="1">
      <c r="A58" s="34"/>
      <c r="B58" s="34"/>
      <c r="C58" s="34"/>
      <c r="D58" s="34"/>
      <c r="E58" s="34"/>
      <c r="F58" s="141"/>
    </row>
    <row r="59" spans="1:14" ht="12.75">
      <c r="A59" s="34" t="s">
        <v>15</v>
      </c>
      <c r="B59" s="34"/>
      <c r="E59" s="55">
        <f>E57/C48</f>
        <v>326.45571736842106</v>
      </c>
      <c r="J59" s="38">
        <f>J57/H48</f>
        <v>339.44108427260795</v>
      </c>
      <c r="M59" s="113">
        <f>J59-E59</f>
        <v>12.98536690418689</v>
      </c>
      <c r="N59" s="39">
        <f>M59/E59</f>
        <v>0.039776809574243954</v>
      </c>
    </row>
    <row r="60" spans="1:14" ht="12.75">
      <c r="A60" s="34"/>
      <c r="B60" s="34"/>
      <c r="E60" s="55"/>
      <c r="N60" s="39"/>
    </row>
    <row r="61" spans="2:14" ht="12.75" hidden="1">
      <c r="B61" s="29"/>
      <c r="C61" s="29"/>
      <c r="D61" s="29"/>
      <c r="E61" s="29"/>
      <c r="F61" s="135"/>
      <c r="G61" s="29"/>
      <c r="H61" s="29" t="str">
        <f>H4</f>
        <v>Shelby Energy Cooperative Billing Analysis</v>
      </c>
      <c r="I61" s="29"/>
      <c r="J61" s="95"/>
      <c r="K61" s="135"/>
      <c r="L61" s="29"/>
      <c r="M61" s="95"/>
      <c r="N61" s="29"/>
    </row>
    <row r="62" spans="2:14" ht="12.75" hidden="1">
      <c r="B62" s="29"/>
      <c r="C62" s="29"/>
      <c r="D62" s="29"/>
      <c r="E62" s="29"/>
      <c r="F62" s="135"/>
      <c r="G62" s="29"/>
      <c r="H62" s="29" t="s">
        <v>18</v>
      </c>
      <c r="I62" s="29"/>
      <c r="J62" s="95"/>
      <c r="K62" s="135"/>
      <c r="L62" s="29"/>
      <c r="M62" s="95"/>
      <c r="N62" s="29"/>
    </row>
    <row r="63" spans="2:14" ht="12.75" hidden="1">
      <c r="B63" s="29"/>
      <c r="C63" s="29"/>
      <c r="D63" s="29"/>
      <c r="E63" s="29"/>
      <c r="F63" s="135"/>
      <c r="G63" s="29"/>
      <c r="H63" s="29" t="str">
        <f>H5</f>
        <v>for the 12 months ended September 30, 2006</v>
      </c>
      <c r="I63" s="29"/>
      <c r="J63" s="95"/>
      <c r="K63" s="135"/>
      <c r="L63" s="29"/>
      <c r="M63" s="95"/>
      <c r="N63" s="29"/>
    </row>
    <row r="64" spans="2:8" ht="12.75" hidden="1">
      <c r="B64" s="14"/>
      <c r="C64" s="14"/>
      <c r="D64" s="14"/>
      <c r="E64" s="14"/>
      <c r="F64" s="136"/>
      <c r="H64" s="14"/>
    </row>
    <row r="65" spans="2:14" ht="12.75">
      <c r="B65" s="29"/>
      <c r="C65" s="29"/>
      <c r="D65" s="29"/>
      <c r="E65" s="29"/>
      <c r="F65" s="135"/>
      <c r="G65" s="29"/>
      <c r="H65" s="29" t="s">
        <v>34</v>
      </c>
      <c r="I65" s="29"/>
      <c r="J65" s="95"/>
      <c r="K65" s="135"/>
      <c r="L65" s="29"/>
      <c r="M65" s="95"/>
      <c r="N65" s="29"/>
    </row>
    <row r="66" spans="2:14" ht="12.75">
      <c r="B66" s="29"/>
      <c r="C66" s="29"/>
      <c r="D66" s="29"/>
      <c r="E66" s="29"/>
      <c r="F66" s="135"/>
      <c r="G66" s="29"/>
      <c r="H66" s="29" t="s">
        <v>61</v>
      </c>
      <c r="I66" s="29"/>
      <c r="J66" s="95"/>
      <c r="K66" s="135"/>
      <c r="L66" s="29"/>
      <c r="M66" s="95"/>
      <c r="N66" s="29"/>
    </row>
    <row r="67" spans="2:14" ht="12.75">
      <c r="B67" s="29"/>
      <c r="C67" s="29"/>
      <c r="D67" s="29"/>
      <c r="E67" s="29"/>
      <c r="F67" s="135"/>
      <c r="G67" s="29"/>
      <c r="H67" s="29" t="s">
        <v>35</v>
      </c>
      <c r="I67" s="29"/>
      <c r="J67" s="95"/>
      <c r="K67" s="135"/>
      <c r="L67" s="29"/>
      <c r="M67" s="95"/>
      <c r="N67" s="29"/>
    </row>
    <row r="68" spans="1:6" ht="12.75">
      <c r="A68" s="14"/>
      <c r="B68" s="14"/>
      <c r="C68" s="14"/>
      <c r="D68" s="14"/>
      <c r="E68" s="14"/>
      <c r="F68" s="136"/>
    </row>
    <row r="69" spans="2:17" ht="12.75">
      <c r="B69" s="12" t="s">
        <v>70</v>
      </c>
      <c r="C69" s="125" t="s">
        <v>0</v>
      </c>
      <c r="D69" s="126"/>
      <c r="E69" s="126"/>
      <c r="F69" s="137"/>
      <c r="H69" s="125" t="s">
        <v>1</v>
      </c>
      <c r="I69" s="126"/>
      <c r="J69" s="130"/>
      <c r="K69" s="137"/>
      <c r="M69" s="96" t="s">
        <v>2</v>
      </c>
      <c r="N69" s="15" t="s">
        <v>3</v>
      </c>
      <c r="P69" s="12" t="s">
        <v>56</v>
      </c>
      <c r="Q69" s="96" t="s">
        <v>57</v>
      </c>
    </row>
    <row r="70" spans="1:11" ht="12.75">
      <c r="A70" s="34"/>
      <c r="B70" s="34"/>
      <c r="C70" s="127"/>
      <c r="D70" s="128"/>
      <c r="E70" s="128"/>
      <c r="F70" s="138"/>
      <c r="H70" s="127"/>
      <c r="I70" s="128"/>
      <c r="J70" s="131"/>
      <c r="K70" s="138"/>
    </row>
    <row r="71" spans="1:11" ht="12.75">
      <c r="A71" s="34"/>
      <c r="B71" s="34"/>
      <c r="C71" s="16" t="s">
        <v>4</v>
      </c>
      <c r="D71" s="16" t="s">
        <v>5</v>
      </c>
      <c r="E71" s="16" t="s">
        <v>6</v>
      </c>
      <c r="F71" s="139" t="s">
        <v>96</v>
      </c>
      <c r="H71" s="16" t="s">
        <v>4</v>
      </c>
      <c r="I71" s="16" t="s">
        <v>1</v>
      </c>
      <c r="J71" s="132" t="s">
        <v>6</v>
      </c>
      <c r="K71" s="139" t="s">
        <v>96</v>
      </c>
    </row>
    <row r="72" spans="1:11" ht="12.75">
      <c r="A72" s="35"/>
      <c r="B72" s="35"/>
      <c r="C72" s="129" t="s">
        <v>7</v>
      </c>
      <c r="D72" s="129" t="s">
        <v>8</v>
      </c>
      <c r="E72" s="129" t="s">
        <v>9</v>
      </c>
      <c r="F72" s="140" t="s">
        <v>66</v>
      </c>
      <c r="H72" s="129" t="s">
        <v>7</v>
      </c>
      <c r="I72" s="129" t="s">
        <v>8</v>
      </c>
      <c r="J72" s="133" t="s">
        <v>9</v>
      </c>
      <c r="K72" s="140" t="s">
        <v>66</v>
      </c>
    </row>
    <row r="73" ht="12.75" hidden="1"/>
    <row r="74" spans="1:11" ht="12.75">
      <c r="A74" s="34"/>
      <c r="B74" s="34"/>
      <c r="C74" s="36"/>
      <c r="D74" s="34"/>
      <c r="E74" s="34"/>
      <c r="F74" s="141"/>
      <c r="H74" s="36"/>
      <c r="I74" s="34"/>
      <c r="J74" s="58"/>
      <c r="K74" s="141"/>
    </row>
    <row r="75" spans="1:14" ht="12.75">
      <c r="A75" s="34" t="s">
        <v>17</v>
      </c>
      <c r="B75" s="34"/>
      <c r="C75" s="36">
        <v>775</v>
      </c>
      <c r="D75" s="30">
        <v>0</v>
      </c>
      <c r="E75" s="37">
        <f>C75*D75</f>
        <v>0</v>
      </c>
      <c r="F75" s="141">
        <f>E75/E84</f>
        <v>0</v>
      </c>
      <c r="H75" s="36">
        <f>C75</f>
        <v>775</v>
      </c>
      <c r="I75" s="30">
        <f>D75</f>
        <v>0</v>
      </c>
      <c r="J75" s="58">
        <f>I75*H75</f>
        <v>0</v>
      </c>
      <c r="K75" s="141">
        <f>J75/J84</f>
        <v>0</v>
      </c>
      <c r="M75" s="38">
        <f>J75-E75</f>
        <v>0</v>
      </c>
      <c r="N75" s="39"/>
    </row>
    <row r="76" spans="1:14" ht="12.75">
      <c r="A76" s="34"/>
      <c r="B76" s="34"/>
      <c r="C76" s="36"/>
      <c r="D76" s="30"/>
      <c r="E76" s="34"/>
      <c r="F76" s="141"/>
      <c r="H76" s="36"/>
      <c r="I76" s="30"/>
      <c r="J76" s="58"/>
      <c r="K76" s="141"/>
      <c r="N76" s="39"/>
    </row>
    <row r="77" spans="1:16" ht="12.75">
      <c r="A77" s="34" t="s">
        <v>19</v>
      </c>
      <c r="B77" s="34"/>
      <c r="C77" s="36">
        <v>128622</v>
      </c>
      <c r="D77" s="30">
        <v>4.5</v>
      </c>
      <c r="E77" s="58">
        <f>D77*C77</f>
        <v>578799</v>
      </c>
      <c r="F77" s="141">
        <f>E77/E84</f>
        <v>0.2256466402779724</v>
      </c>
      <c r="H77" s="36">
        <f>C77</f>
        <v>128622</v>
      </c>
      <c r="I77" s="59">
        <f>D77</f>
        <v>4.5</v>
      </c>
      <c r="J77" s="58">
        <f>I77*H77</f>
        <v>578799</v>
      </c>
      <c r="K77" s="141">
        <f>J77/J84</f>
        <v>0.21387063494342715</v>
      </c>
      <c r="M77" s="38">
        <f aca="true" t="shared" si="2" ref="M77:M91">J77-E77</f>
        <v>0</v>
      </c>
      <c r="N77" s="39">
        <f aca="true" t="shared" si="3" ref="N77:N91">M77/E77</f>
        <v>0</v>
      </c>
      <c r="P77" s="45">
        <f>M77</f>
        <v>0</v>
      </c>
    </row>
    <row r="78" spans="1:14" ht="12.75">
      <c r="A78" s="34"/>
      <c r="B78" s="34"/>
      <c r="C78" s="36"/>
      <c r="D78" s="30"/>
      <c r="E78" s="34"/>
      <c r="F78" s="141"/>
      <c r="H78" s="36"/>
      <c r="I78" s="30"/>
      <c r="J78" s="58"/>
      <c r="K78" s="141"/>
      <c r="N78" s="39"/>
    </row>
    <row r="79" spans="1:14" ht="12.75">
      <c r="A79" s="56" t="s">
        <v>20</v>
      </c>
      <c r="B79" s="56"/>
      <c r="C79" s="90"/>
      <c r="D79" s="91"/>
      <c r="E79" s="90"/>
      <c r="F79" s="146"/>
      <c r="H79" s="90"/>
      <c r="I79" s="92"/>
      <c r="J79" s="103"/>
      <c r="K79" s="146"/>
      <c r="N79" s="39"/>
    </row>
    <row r="80" spans="1:17" ht="12.75">
      <c r="A80" s="56" t="s">
        <v>72</v>
      </c>
      <c r="B80" s="90">
        <f>C80</f>
        <v>12264204</v>
      </c>
      <c r="C80" s="90">
        <v>12264204</v>
      </c>
      <c r="D80" s="91">
        <v>0.05384</v>
      </c>
      <c r="E80" s="90">
        <f>C80*D80</f>
        <v>660304.74336</v>
      </c>
      <c r="F80" s="146">
        <f>E80/E84</f>
        <v>0.25742191485955024</v>
      </c>
      <c r="H80" s="90">
        <f>C80</f>
        <v>12264204</v>
      </c>
      <c r="I80" s="93">
        <f>D80+$R$231</f>
        <v>0.057215825499876555</v>
      </c>
      <c r="J80" s="103">
        <f>H80*I80</f>
        <v>701706.555958888</v>
      </c>
      <c r="K80" s="146">
        <f>J80/J84</f>
        <v>0.2592859121506652</v>
      </c>
      <c r="M80" s="38">
        <f t="shared" si="2"/>
        <v>41401.812598888064</v>
      </c>
      <c r="N80" s="39">
        <f t="shared" si="3"/>
        <v>0.06270106797690485</v>
      </c>
      <c r="Q80" s="38">
        <f>M80</f>
        <v>41401.812598888064</v>
      </c>
    </row>
    <row r="81" spans="1:17" ht="12.75">
      <c r="A81" s="56" t="s">
        <v>71</v>
      </c>
      <c r="B81" s="90">
        <f>C81</f>
        <v>11310936</v>
      </c>
      <c r="C81" s="90">
        <v>11310936</v>
      </c>
      <c r="D81" s="91">
        <v>0.04827</v>
      </c>
      <c r="E81" s="90">
        <f>C81*D81</f>
        <v>545978.88072</v>
      </c>
      <c r="F81" s="146">
        <f>E81/E84</f>
        <v>0.212851611867325</v>
      </c>
      <c r="H81" s="90">
        <f>C81</f>
        <v>11310936</v>
      </c>
      <c r="I81" s="93">
        <f>D81+$R$231</f>
        <v>0.051645825499876556</v>
      </c>
      <c r="J81" s="103">
        <f>H81*I81</f>
        <v>584162.6268962717</v>
      </c>
      <c r="K81" s="146">
        <f>J81/J84</f>
        <v>0.21585253589678965</v>
      </c>
      <c r="M81" s="38">
        <f t="shared" si="2"/>
        <v>38183.7461762717</v>
      </c>
      <c r="N81" s="39">
        <f t="shared" si="3"/>
        <v>0.06993630619176616</v>
      </c>
      <c r="Q81" s="38">
        <f>M81</f>
        <v>38183.7461762717</v>
      </c>
    </row>
    <row r="82" spans="1:17" ht="12.75">
      <c r="A82" s="56" t="s">
        <v>73</v>
      </c>
      <c r="B82" s="90">
        <f>C82</f>
        <v>18262362</v>
      </c>
      <c r="C82" s="90">
        <v>18262362</v>
      </c>
      <c r="D82" s="91">
        <v>0.04271</v>
      </c>
      <c r="E82" s="90">
        <f>C82*D82</f>
        <v>779985.48102</v>
      </c>
      <c r="F82" s="146">
        <f>E82/E84</f>
        <v>0.3040798329951524</v>
      </c>
      <c r="H82" s="90">
        <f>C82</f>
        <v>18262362</v>
      </c>
      <c r="I82" s="93">
        <f>D82+$R$231</f>
        <v>0.046085825499876554</v>
      </c>
      <c r="J82" s="103">
        <f>H82*I82</f>
        <v>841636.0283475766</v>
      </c>
      <c r="K82" s="146">
        <f>J82/J84</f>
        <v>0.31099091700911796</v>
      </c>
      <c r="M82" s="38">
        <f t="shared" si="2"/>
        <v>61650.54732757667</v>
      </c>
      <c r="N82" s="39">
        <f t="shared" si="3"/>
        <v>0.07904063450893371</v>
      </c>
      <c r="Q82" s="38">
        <f>M82</f>
        <v>61650.54732757667</v>
      </c>
    </row>
    <row r="83" spans="1:14" ht="12.75">
      <c r="A83" s="56"/>
      <c r="B83" s="56"/>
      <c r="C83" s="90"/>
      <c r="D83" s="56"/>
      <c r="E83" s="56"/>
      <c r="F83" s="146"/>
      <c r="H83" s="90"/>
      <c r="I83" s="56"/>
      <c r="J83" s="103"/>
      <c r="K83" s="146"/>
      <c r="N83" s="39"/>
    </row>
    <row r="84" spans="1:14" ht="12.75">
      <c r="A84" s="34" t="s">
        <v>22</v>
      </c>
      <c r="B84" s="34"/>
      <c r="C84" s="36"/>
      <c r="D84" s="34"/>
      <c r="E84" s="62">
        <f>SUM(E75:E82)</f>
        <v>2565068.1051</v>
      </c>
      <c r="F84" s="142">
        <f>SUM(F75:F82)</f>
        <v>1</v>
      </c>
      <c r="H84" s="36"/>
      <c r="I84" s="34"/>
      <c r="J84" s="100">
        <f>SUM(J75:J83)</f>
        <v>2706304.2112027365</v>
      </c>
      <c r="K84" s="142">
        <f>SUM(K75:K82)</f>
        <v>1</v>
      </c>
      <c r="M84" s="47">
        <f t="shared" si="2"/>
        <v>141236.10610273667</v>
      </c>
      <c r="N84" s="48">
        <f t="shared" si="3"/>
        <v>0.055061347424625415</v>
      </c>
    </row>
    <row r="85" spans="1:14" ht="12.75">
      <c r="A85" s="60"/>
      <c r="B85" s="60"/>
      <c r="C85" s="36"/>
      <c r="D85" s="43"/>
      <c r="E85" s="34"/>
      <c r="F85" s="141"/>
      <c r="H85" s="36"/>
      <c r="I85" s="43"/>
      <c r="J85" s="58"/>
      <c r="K85" s="141"/>
      <c r="N85" s="39"/>
    </row>
    <row r="86" spans="1:14" ht="12.75">
      <c r="A86" s="34" t="s">
        <v>12</v>
      </c>
      <c r="B86" s="34"/>
      <c r="C86" s="36"/>
      <c r="D86" s="43"/>
      <c r="E86" s="36">
        <v>328378</v>
      </c>
      <c r="F86" s="141"/>
      <c r="H86" s="36"/>
      <c r="I86" s="43"/>
      <c r="J86" s="58">
        <f>E86</f>
        <v>328378</v>
      </c>
      <c r="K86" s="141"/>
      <c r="M86" s="38">
        <f t="shared" si="2"/>
        <v>0</v>
      </c>
      <c r="N86" s="39">
        <f t="shared" si="3"/>
        <v>0</v>
      </c>
    </row>
    <row r="87" spans="1:14" ht="12.75">
      <c r="A87" s="34" t="s">
        <v>13</v>
      </c>
      <c r="B87" s="34"/>
      <c r="C87" s="36"/>
      <c r="D87" s="43"/>
      <c r="E87" s="50">
        <v>211737</v>
      </c>
      <c r="F87" s="144"/>
      <c r="H87" s="36"/>
      <c r="I87" s="43"/>
      <c r="J87" s="83">
        <f>E87</f>
        <v>211737</v>
      </c>
      <c r="K87" s="142"/>
      <c r="M87" s="51">
        <f t="shared" si="2"/>
        <v>0</v>
      </c>
      <c r="N87" s="52">
        <f t="shared" si="3"/>
        <v>0</v>
      </c>
    </row>
    <row r="88" spans="1:14" ht="12.75">
      <c r="A88" s="34"/>
      <c r="B88" s="34"/>
      <c r="C88" s="36"/>
      <c r="D88" s="34"/>
      <c r="E88" s="34"/>
      <c r="F88" s="141"/>
      <c r="H88" s="36"/>
      <c r="I88" s="34"/>
      <c r="J88" s="58"/>
      <c r="K88" s="141"/>
      <c r="N88" s="39"/>
    </row>
    <row r="89" spans="1:14" ht="13.5" thickBot="1">
      <c r="A89" s="34" t="s">
        <v>14</v>
      </c>
      <c r="B89" s="34"/>
      <c r="C89" s="36"/>
      <c r="D89" s="34"/>
      <c r="E89" s="53">
        <f>SUM(E84:E87)</f>
        <v>3105183.1051</v>
      </c>
      <c r="F89" s="142"/>
      <c r="H89" s="36"/>
      <c r="I89" s="34"/>
      <c r="J89" s="84">
        <f>SUM(J84:J87)</f>
        <v>3246419.2112027365</v>
      </c>
      <c r="K89" s="142"/>
      <c r="M89" s="63">
        <f t="shared" si="2"/>
        <v>141236.10610273667</v>
      </c>
      <c r="N89" s="54">
        <f t="shared" si="3"/>
        <v>0.04548398639383563</v>
      </c>
    </row>
    <row r="90" spans="1:14" ht="13.5" thickTop="1">
      <c r="A90" s="34"/>
      <c r="B90" s="34"/>
      <c r="C90" s="34"/>
      <c r="D90" s="34"/>
      <c r="E90" s="34"/>
      <c r="F90" s="141"/>
      <c r="N90" s="39"/>
    </row>
    <row r="91" spans="1:14" ht="12.75">
      <c r="A91" s="34" t="s">
        <v>15</v>
      </c>
      <c r="B91" s="34"/>
      <c r="C91" s="36"/>
      <c r="D91" s="36"/>
      <c r="E91" s="64">
        <f>E89/C75</f>
        <v>4006.687877548387</v>
      </c>
      <c r="F91" s="141"/>
      <c r="G91" s="65"/>
      <c r="H91" s="65"/>
      <c r="I91" s="65"/>
      <c r="J91" s="58">
        <f>J89/H75</f>
        <v>4188.928014455144</v>
      </c>
      <c r="K91" s="141"/>
      <c r="M91" s="113">
        <f t="shared" si="2"/>
        <v>182.24013690675702</v>
      </c>
      <c r="N91" s="39">
        <f t="shared" si="3"/>
        <v>0.045483986393835635</v>
      </c>
    </row>
    <row r="92" spans="1:14" ht="12.75">
      <c r="A92" s="34"/>
      <c r="B92" s="34"/>
      <c r="C92" s="36"/>
      <c r="D92" s="36"/>
      <c r="E92" s="66"/>
      <c r="F92" s="141"/>
      <c r="J92" s="58"/>
      <c r="K92" s="141"/>
      <c r="N92" s="39"/>
    </row>
    <row r="93" spans="1:14" ht="12.75">
      <c r="A93" s="34"/>
      <c r="B93" s="34"/>
      <c r="C93" s="36"/>
      <c r="D93" s="36"/>
      <c r="E93" s="66"/>
      <c r="F93" s="141"/>
      <c r="J93" s="58"/>
      <c r="K93" s="141"/>
      <c r="N93" s="118" t="s">
        <v>94</v>
      </c>
    </row>
    <row r="94" spans="1:14" ht="12.75">
      <c r="A94" s="34"/>
      <c r="B94" s="34"/>
      <c r="C94" s="36"/>
      <c r="D94" s="36"/>
      <c r="E94" s="66"/>
      <c r="F94" s="141"/>
      <c r="J94" s="58"/>
      <c r="K94" s="141"/>
      <c r="N94" s="118" t="s">
        <v>92</v>
      </c>
    </row>
    <row r="95" spans="1:14" ht="12.75">
      <c r="A95" s="34"/>
      <c r="B95" s="34"/>
      <c r="C95" s="36"/>
      <c r="D95" s="36"/>
      <c r="E95" s="66"/>
      <c r="F95" s="141"/>
      <c r="J95" s="58"/>
      <c r="K95" s="141"/>
      <c r="N95" s="118" t="s">
        <v>98</v>
      </c>
    </row>
    <row r="96" spans="1:14" ht="12.75" hidden="1">
      <c r="A96" s="34"/>
      <c r="B96" s="34"/>
      <c r="C96" s="36"/>
      <c r="D96" s="36"/>
      <c r="E96" s="66"/>
      <c r="F96" s="141"/>
      <c r="J96" s="58"/>
      <c r="K96" s="141"/>
      <c r="N96" s="39"/>
    </row>
    <row r="97" spans="1:14" ht="12.75" hidden="1">
      <c r="A97" s="34"/>
      <c r="B97" s="34"/>
      <c r="C97" s="36"/>
      <c r="D97" s="36"/>
      <c r="E97" s="66"/>
      <c r="F97" s="141"/>
      <c r="J97" s="58"/>
      <c r="K97" s="141"/>
      <c r="N97" s="39"/>
    </row>
    <row r="98" spans="1:14" ht="12.75">
      <c r="A98" s="34"/>
      <c r="B98" s="34"/>
      <c r="C98" s="36"/>
      <c r="D98" s="36"/>
      <c r="E98" s="66"/>
      <c r="F98" s="141"/>
      <c r="H98" s="28" t="str">
        <f>H4</f>
        <v>Shelby Energy Cooperative Billing Analysis</v>
      </c>
      <c r="J98" s="58"/>
      <c r="K98" s="141"/>
      <c r="N98" s="39"/>
    </row>
    <row r="99" spans="1:14" ht="12.75">
      <c r="A99" s="34"/>
      <c r="B99" s="34"/>
      <c r="C99" s="36"/>
      <c r="D99" s="36"/>
      <c r="E99" s="66"/>
      <c r="F99" s="141"/>
      <c r="H99" s="28" t="str">
        <f>H5</f>
        <v>for the 12 months ended September 30, 2006</v>
      </c>
      <c r="J99" s="58"/>
      <c r="K99" s="141"/>
      <c r="N99" s="39"/>
    </row>
    <row r="100" spans="2:14" ht="12.75">
      <c r="B100" s="29"/>
      <c r="C100" s="29"/>
      <c r="D100" s="29"/>
      <c r="E100" s="29"/>
      <c r="F100" s="135"/>
      <c r="G100" s="29"/>
      <c r="I100" s="29"/>
      <c r="J100" s="95"/>
      <c r="K100" s="135"/>
      <c r="L100" s="29"/>
      <c r="M100" s="95"/>
      <c r="N100" s="29"/>
    </row>
    <row r="101" spans="2:14" ht="12.75" hidden="1">
      <c r="B101" s="29"/>
      <c r="C101" s="29"/>
      <c r="D101" s="29"/>
      <c r="E101" s="29"/>
      <c r="F101" s="135"/>
      <c r="G101" s="29"/>
      <c r="H101" s="29" t="str">
        <f>H4</f>
        <v>Shelby Energy Cooperative Billing Analysis</v>
      </c>
      <c r="I101" s="29"/>
      <c r="J101" s="95"/>
      <c r="K101" s="135"/>
      <c r="L101" s="29"/>
      <c r="M101" s="95"/>
      <c r="N101" s="29"/>
    </row>
    <row r="102" spans="2:14" ht="12.75" hidden="1">
      <c r="B102" s="29"/>
      <c r="C102" s="29"/>
      <c r="D102" s="29"/>
      <c r="E102" s="29"/>
      <c r="F102" s="135"/>
      <c r="G102" s="29"/>
      <c r="H102" s="29" t="s">
        <v>18</v>
      </c>
      <c r="I102" s="29"/>
      <c r="J102" s="95"/>
      <c r="K102" s="135"/>
      <c r="L102" s="29"/>
      <c r="M102" s="95"/>
      <c r="N102" s="29"/>
    </row>
    <row r="103" spans="2:8" ht="12.75" hidden="1">
      <c r="B103" s="14"/>
      <c r="C103" s="14"/>
      <c r="D103" s="14"/>
      <c r="E103" s="14"/>
      <c r="F103" s="136"/>
      <c r="H103" s="29" t="str">
        <f>H5</f>
        <v>for the 12 months ended September 30, 2006</v>
      </c>
    </row>
    <row r="104" spans="2:14" ht="12.75" hidden="1">
      <c r="B104" s="29"/>
      <c r="C104" s="29"/>
      <c r="D104" s="29"/>
      <c r="E104" s="29"/>
      <c r="F104" s="135"/>
      <c r="G104" s="29"/>
      <c r="H104" s="14"/>
      <c r="I104" s="29"/>
      <c r="J104" s="95"/>
      <c r="K104" s="135"/>
      <c r="L104" s="29"/>
      <c r="M104" s="95"/>
      <c r="N104" s="29"/>
    </row>
    <row r="105" spans="2:14" ht="12.75">
      <c r="B105" s="29"/>
      <c r="C105" s="29"/>
      <c r="D105" s="29"/>
      <c r="E105" s="29"/>
      <c r="F105" s="135"/>
      <c r="G105" s="29"/>
      <c r="H105" s="29" t="s">
        <v>37</v>
      </c>
      <c r="I105" s="29"/>
      <c r="J105" s="95"/>
      <c r="K105" s="135"/>
      <c r="L105" s="29"/>
      <c r="M105" s="95"/>
      <c r="N105" s="29"/>
    </row>
    <row r="106" spans="1:14" ht="12.75">
      <c r="A106" s="29"/>
      <c r="B106" s="29"/>
      <c r="C106" s="29"/>
      <c r="D106" s="29"/>
      <c r="E106" s="29"/>
      <c r="F106" s="135"/>
      <c r="G106" s="29"/>
      <c r="H106" s="29" t="s">
        <v>38</v>
      </c>
      <c r="I106" s="29"/>
      <c r="J106" s="95"/>
      <c r="K106" s="135"/>
      <c r="L106" s="29"/>
      <c r="M106" s="95"/>
      <c r="N106" s="29"/>
    </row>
    <row r="107" spans="1:6" ht="12.75">
      <c r="A107" s="14"/>
      <c r="B107" s="14"/>
      <c r="C107" s="14"/>
      <c r="D107" s="14"/>
      <c r="E107" s="14"/>
      <c r="F107" s="136"/>
    </row>
    <row r="108" spans="2:17" ht="12.75">
      <c r="B108" s="12" t="s">
        <v>70</v>
      </c>
      <c r="C108" s="125" t="s">
        <v>0</v>
      </c>
      <c r="D108" s="126"/>
      <c r="E108" s="126"/>
      <c r="F108" s="137"/>
      <c r="H108" s="125" t="s">
        <v>1</v>
      </c>
      <c r="I108" s="126"/>
      <c r="J108" s="130"/>
      <c r="K108" s="137"/>
      <c r="M108" s="96" t="s">
        <v>2</v>
      </c>
      <c r="N108" s="15" t="s">
        <v>3</v>
      </c>
      <c r="P108" s="12" t="s">
        <v>56</v>
      </c>
      <c r="Q108" s="96" t="s">
        <v>57</v>
      </c>
    </row>
    <row r="109" spans="1:11" ht="12.75">
      <c r="A109" s="34"/>
      <c r="B109" s="34"/>
      <c r="C109" s="127"/>
      <c r="D109" s="128"/>
      <c r="E109" s="128"/>
      <c r="F109" s="138"/>
      <c r="H109" s="127"/>
      <c r="I109" s="128"/>
      <c r="J109" s="131"/>
      <c r="K109" s="138"/>
    </row>
    <row r="110" spans="1:11" ht="12.75">
      <c r="A110" s="34"/>
      <c r="B110" s="34"/>
      <c r="C110" s="16" t="s">
        <v>4</v>
      </c>
      <c r="D110" s="16" t="s">
        <v>5</v>
      </c>
      <c r="E110" s="16" t="s">
        <v>6</v>
      </c>
      <c r="F110" s="139" t="s">
        <v>96</v>
      </c>
      <c r="H110" s="16" t="s">
        <v>4</v>
      </c>
      <c r="I110" s="16" t="s">
        <v>1</v>
      </c>
      <c r="J110" s="132" t="s">
        <v>6</v>
      </c>
      <c r="K110" s="139" t="s">
        <v>96</v>
      </c>
    </row>
    <row r="111" spans="1:11" ht="12.75">
      <c r="A111" s="35"/>
      <c r="B111" s="35"/>
      <c r="C111" s="129" t="s">
        <v>7</v>
      </c>
      <c r="D111" s="129" t="s">
        <v>8</v>
      </c>
      <c r="E111" s="129" t="s">
        <v>9</v>
      </c>
      <c r="F111" s="140" t="s">
        <v>66</v>
      </c>
      <c r="H111" s="129" t="s">
        <v>7</v>
      </c>
      <c r="I111" s="129" t="s">
        <v>8</v>
      </c>
      <c r="J111" s="133" t="s">
        <v>9</v>
      </c>
      <c r="K111" s="140" t="s">
        <v>66</v>
      </c>
    </row>
    <row r="113" spans="1:11" ht="12.75">
      <c r="A113" s="34"/>
      <c r="B113" s="34"/>
      <c r="C113" s="36"/>
      <c r="D113" s="34"/>
      <c r="E113" s="34"/>
      <c r="F113" s="141"/>
      <c r="H113" s="36"/>
      <c r="I113" s="34"/>
      <c r="J113" s="58"/>
      <c r="K113" s="141"/>
    </row>
    <row r="114" spans="1:14" ht="12.75">
      <c r="A114" s="34" t="s">
        <v>17</v>
      </c>
      <c r="B114" s="36"/>
      <c r="C114" s="67"/>
      <c r="D114" s="68"/>
      <c r="E114" s="69"/>
      <c r="F114" s="144"/>
      <c r="G114" s="70"/>
      <c r="H114" s="71"/>
      <c r="I114" s="68"/>
      <c r="J114" s="75"/>
      <c r="K114" s="144"/>
      <c r="L114" s="70"/>
      <c r="M114" s="98"/>
      <c r="N114" s="70"/>
    </row>
    <row r="115" spans="1:17" ht="12.75">
      <c r="A115" s="72" t="s">
        <v>51</v>
      </c>
      <c r="B115" s="36">
        <f>C115</f>
        <v>1659450</v>
      </c>
      <c r="C115" s="71">
        <f>Lighting!D11</f>
        <v>1659450</v>
      </c>
      <c r="D115" s="68">
        <f>Lighting!G11</f>
        <v>0.16692307692307692</v>
      </c>
      <c r="E115" s="75">
        <f>C115*D115</f>
        <v>277000.5</v>
      </c>
      <c r="F115" s="144">
        <f>E115/E121</f>
        <v>0.8267099658960371</v>
      </c>
      <c r="G115" s="70"/>
      <c r="H115" s="71">
        <f>C115</f>
        <v>1659450</v>
      </c>
      <c r="I115" s="44">
        <f>D115+$R$231</f>
        <v>0.17029890242295348</v>
      </c>
      <c r="J115" s="75">
        <f>I115*H115</f>
        <v>282602.51362577017</v>
      </c>
      <c r="K115" s="144">
        <f>J115/J121</f>
        <v>0.8249237326706624</v>
      </c>
      <c r="L115" s="70"/>
      <c r="M115" s="98">
        <f>J115-E115</f>
        <v>5602.013625770167</v>
      </c>
      <c r="N115" s="73">
        <f>M115/E115</f>
        <v>0.02022383940018219</v>
      </c>
      <c r="Q115" s="38">
        <f>M115</f>
        <v>5602.013625770167</v>
      </c>
    </row>
    <row r="116" spans="1:17" ht="12.75">
      <c r="A116" s="72" t="s">
        <v>52</v>
      </c>
      <c r="B116" s="36">
        <f>C116</f>
        <v>286056</v>
      </c>
      <c r="C116" s="71">
        <f>Lighting!D12</f>
        <v>286056</v>
      </c>
      <c r="D116" s="68">
        <f>Lighting!G12</f>
        <v>0.10643678160919541</v>
      </c>
      <c r="E116" s="75">
        <f>C116*D116</f>
        <v>30446.88</v>
      </c>
      <c r="F116" s="144">
        <f>E116/E121</f>
        <v>0.09086893029594074</v>
      </c>
      <c r="G116" s="70"/>
      <c r="H116" s="71">
        <f>C116</f>
        <v>286056</v>
      </c>
      <c r="I116" s="44">
        <f>D116+$R$231</f>
        <v>0.10981260710907197</v>
      </c>
      <c r="J116" s="75">
        <f>I116*H116</f>
        <v>31412.55513919269</v>
      </c>
      <c r="K116" s="144">
        <f>J116/J121</f>
        <v>0.09169402602151117</v>
      </c>
      <c r="L116" s="70"/>
      <c r="M116" s="98">
        <f>J116-E116</f>
        <v>965.6751391926882</v>
      </c>
      <c r="N116" s="73">
        <f>M116/E116</f>
        <v>0.031716719059315376</v>
      </c>
      <c r="Q116" s="38">
        <f>M116</f>
        <v>965.6751391926882</v>
      </c>
    </row>
    <row r="117" spans="1:17" ht="12.75">
      <c r="A117" s="72" t="s">
        <v>53</v>
      </c>
      <c r="B117" s="36">
        <f>C117</f>
        <v>32292</v>
      </c>
      <c r="C117" s="71">
        <f>Lighting!D13</f>
        <v>32292</v>
      </c>
      <c r="D117" s="68">
        <f>Lighting!G13</f>
        <v>0.22820512820512823</v>
      </c>
      <c r="E117" s="75">
        <f>C117*D117</f>
        <v>7369.200000000001</v>
      </c>
      <c r="F117" s="144">
        <f>E117/E121</f>
        <v>0.021993429906014886</v>
      </c>
      <c r="G117" s="70"/>
      <c r="H117" s="71">
        <f>C117</f>
        <v>32292</v>
      </c>
      <c r="I117" s="44">
        <f>D117+$R$231</f>
        <v>0.23158095370500478</v>
      </c>
      <c r="J117" s="75">
        <f>I117*H117</f>
        <v>7478.212157042014</v>
      </c>
      <c r="K117" s="144">
        <f>J117/J121</f>
        <v>0.021829086398216967</v>
      </c>
      <c r="L117" s="70"/>
      <c r="M117" s="98">
        <f>J117-E117</f>
        <v>109.01215704201331</v>
      </c>
      <c r="N117" s="73">
        <f>M117/E117</f>
        <v>0.014792943201706196</v>
      </c>
      <c r="Q117" s="38">
        <f>M117</f>
        <v>109.01215704201331</v>
      </c>
    </row>
    <row r="118" spans="1:17" ht="12.75">
      <c r="A118" s="72" t="s">
        <v>54</v>
      </c>
      <c r="B118" s="36">
        <f>C118</f>
        <v>240408</v>
      </c>
      <c r="C118" s="71">
        <f>Lighting!D14</f>
        <v>240408</v>
      </c>
      <c r="D118" s="68">
        <f>Lighting!G14</f>
        <v>0.0779245283018868</v>
      </c>
      <c r="E118" s="75">
        <f>C118*D118</f>
        <v>18733.68</v>
      </c>
      <c r="F118" s="144">
        <f>E118/E121</f>
        <v>0.05591080143865181</v>
      </c>
      <c r="G118" s="70"/>
      <c r="H118" s="71">
        <f>C118</f>
        <v>240408</v>
      </c>
      <c r="I118" s="44">
        <f>D118+$R$231</f>
        <v>0.08130035380176336</v>
      </c>
      <c r="J118" s="75">
        <f>I118*H118</f>
        <v>19545.255456774325</v>
      </c>
      <c r="K118" s="144">
        <f>J118/J121</f>
        <v>0.05705308449150907</v>
      </c>
      <c r="L118" s="70"/>
      <c r="M118" s="98">
        <f>J118-E118</f>
        <v>811.5754567743243</v>
      </c>
      <c r="N118" s="73">
        <f>M118/E118</f>
        <v>0.04332173159647887</v>
      </c>
      <c r="Q118" s="38">
        <f>M118</f>
        <v>811.5754567743243</v>
      </c>
    </row>
    <row r="119" spans="1:17" ht="12.75">
      <c r="A119" s="72" t="s">
        <v>55</v>
      </c>
      <c r="B119" s="36">
        <f>C119</f>
        <v>8352</v>
      </c>
      <c r="C119" s="71">
        <f>Lighting!D15</f>
        <v>8352</v>
      </c>
      <c r="D119" s="68">
        <f>Lighting!G15</f>
        <v>0.18120689655172414</v>
      </c>
      <c r="E119" s="75">
        <f>C119*D119</f>
        <v>1513.44</v>
      </c>
      <c r="F119" s="144">
        <f>E119/E121</f>
        <v>0.004516872463355475</v>
      </c>
      <c r="G119" s="70"/>
      <c r="H119" s="71">
        <f>C119</f>
        <v>8352</v>
      </c>
      <c r="I119" s="44">
        <f>D119+$R$231</f>
        <v>0.1845827220516007</v>
      </c>
      <c r="J119" s="75">
        <f>I119*H119</f>
        <v>1541.634894574969</v>
      </c>
      <c r="K119" s="144">
        <f>J119/J121</f>
        <v>0.00450007041810034</v>
      </c>
      <c r="L119" s="70"/>
      <c r="M119" s="98">
        <f>J119-E119</f>
        <v>28.194894574968885</v>
      </c>
      <c r="N119" s="73">
        <f>M119/E119</f>
        <v>0.01862967449979443</v>
      </c>
      <c r="Q119" s="38">
        <f>M119</f>
        <v>28.194894574968885</v>
      </c>
    </row>
    <row r="120" spans="1:14" ht="12.75">
      <c r="A120" s="34"/>
      <c r="B120" s="34"/>
      <c r="C120" s="71"/>
      <c r="D120" s="42"/>
      <c r="E120" s="74"/>
      <c r="F120" s="144"/>
      <c r="G120" s="70"/>
      <c r="H120" s="71"/>
      <c r="I120" s="42"/>
      <c r="J120" s="75"/>
      <c r="K120" s="144"/>
      <c r="L120" s="70"/>
      <c r="M120" s="98"/>
      <c r="N120" s="70"/>
    </row>
    <row r="121" spans="1:14" ht="12.75">
      <c r="A121" s="34"/>
      <c r="B121" s="34"/>
      <c r="C121" s="71"/>
      <c r="D121" s="42"/>
      <c r="E121" s="71">
        <f>SUM(E115:E119)</f>
        <v>335063.7</v>
      </c>
      <c r="F121" s="144">
        <f>SUM(F115:F120)</f>
        <v>1</v>
      </c>
      <c r="G121" s="70"/>
      <c r="H121" s="71"/>
      <c r="I121" s="42"/>
      <c r="J121" s="75">
        <f>SUM(J115:J119)</f>
        <v>342580.17127335415</v>
      </c>
      <c r="K121" s="144">
        <f>SUM(K115:K120)</f>
        <v>0.9999999999999999</v>
      </c>
      <c r="L121" s="70"/>
      <c r="M121" s="98"/>
      <c r="N121" s="70"/>
    </row>
    <row r="122" spans="1:14" ht="12.75">
      <c r="A122" s="34"/>
      <c r="B122" s="34"/>
      <c r="C122" s="71"/>
      <c r="D122" s="42"/>
      <c r="G122" s="70"/>
      <c r="H122" s="71"/>
      <c r="I122" s="42"/>
      <c r="L122" s="70"/>
      <c r="M122" s="98"/>
      <c r="N122" s="70"/>
    </row>
    <row r="123" spans="1:14" ht="12.75">
      <c r="A123" s="34"/>
      <c r="B123" s="34"/>
      <c r="C123" s="71"/>
      <c r="D123" s="74" t="s">
        <v>64</v>
      </c>
      <c r="E123" s="75">
        <v>1031</v>
      </c>
      <c r="F123" s="144"/>
      <c r="G123" s="70"/>
      <c r="H123" s="71"/>
      <c r="I123" s="74"/>
      <c r="J123" s="75">
        <v>1031</v>
      </c>
      <c r="K123" s="144"/>
      <c r="L123" s="70"/>
      <c r="M123" s="98"/>
      <c r="N123" s="70"/>
    </row>
    <row r="124" spans="1:14" ht="12.75">
      <c r="A124" s="34"/>
      <c r="B124" s="34"/>
      <c r="C124" s="71"/>
      <c r="D124" s="74" t="s">
        <v>65</v>
      </c>
      <c r="E124" s="76">
        <v>1579</v>
      </c>
      <c r="F124" s="144"/>
      <c r="G124" s="70"/>
      <c r="H124" s="71"/>
      <c r="I124" s="74"/>
      <c r="J124" s="76">
        <v>1579</v>
      </c>
      <c r="K124" s="144"/>
      <c r="L124" s="70"/>
      <c r="M124" s="98"/>
      <c r="N124" s="73"/>
    </row>
    <row r="125" spans="1:14" ht="12.75">
      <c r="A125" s="34"/>
      <c r="B125" s="34"/>
      <c r="C125" s="74"/>
      <c r="D125" s="74"/>
      <c r="E125" s="75">
        <f>SUM(E121:E124)</f>
        <v>337673.7</v>
      </c>
      <c r="F125" s="144"/>
      <c r="G125" s="70"/>
      <c r="H125" s="70"/>
      <c r="I125" s="70"/>
      <c r="J125" s="75">
        <f>SUM(J121:J124)</f>
        <v>345190.17127335415</v>
      </c>
      <c r="K125" s="144"/>
      <c r="L125" s="70"/>
      <c r="M125" s="98">
        <f>SUM(M115:M124)</f>
        <v>7516.471273354162</v>
      </c>
      <c r="N125" s="73">
        <f>(J125-E125)/E125</f>
        <v>0.02225956973656562</v>
      </c>
    </row>
    <row r="126" spans="1:17" ht="12.75">
      <c r="A126" s="34"/>
      <c r="B126" s="34"/>
      <c r="C126" s="71"/>
      <c r="D126" s="71"/>
      <c r="E126" s="77"/>
      <c r="F126" s="144"/>
      <c r="G126" s="70"/>
      <c r="H126" s="70"/>
      <c r="I126" s="70"/>
      <c r="J126" s="75"/>
      <c r="K126" s="144"/>
      <c r="L126" s="70"/>
      <c r="M126" s="98"/>
      <c r="N126" s="38"/>
      <c r="Q126" s="33"/>
    </row>
    <row r="127" spans="1:17" ht="12.75">
      <c r="A127" s="34"/>
      <c r="B127" s="34"/>
      <c r="C127" s="71"/>
      <c r="D127" s="71"/>
      <c r="E127" s="77"/>
      <c r="F127" s="144"/>
      <c r="G127" s="70"/>
      <c r="H127" s="70"/>
      <c r="I127" s="70"/>
      <c r="J127" s="75"/>
      <c r="K127" s="144"/>
      <c r="L127" s="70"/>
      <c r="M127" s="98"/>
      <c r="N127" s="38"/>
      <c r="Q127" s="33"/>
    </row>
    <row r="128" spans="2:14" ht="12.75">
      <c r="B128" s="29"/>
      <c r="C128" s="29"/>
      <c r="D128" s="29"/>
      <c r="E128" s="29"/>
      <c r="F128" s="135"/>
      <c r="G128" s="29"/>
      <c r="H128" s="29" t="str">
        <f>H4</f>
        <v>Shelby Energy Cooperative Billing Analysis</v>
      </c>
      <c r="I128" s="29"/>
      <c r="J128" s="95"/>
      <c r="K128" s="135"/>
      <c r="L128" s="29"/>
      <c r="M128" s="95"/>
      <c r="N128" s="29"/>
    </row>
    <row r="129" spans="2:14" ht="12.75">
      <c r="B129" s="29"/>
      <c r="C129" s="29"/>
      <c r="D129" s="29"/>
      <c r="E129" s="29"/>
      <c r="F129" s="135"/>
      <c r="G129" s="29"/>
      <c r="H129" s="29" t="str">
        <f>H5</f>
        <v>for the 12 months ended September 30, 2006</v>
      </c>
      <c r="I129" s="29"/>
      <c r="J129" s="95"/>
      <c r="K129" s="135"/>
      <c r="L129" s="29"/>
      <c r="M129" s="95"/>
      <c r="N129" s="29"/>
    </row>
    <row r="130" spans="2:8" ht="12.75">
      <c r="B130" s="14"/>
      <c r="C130" s="14"/>
      <c r="D130" s="14"/>
      <c r="E130" s="14"/>
      <c r="F130" s="136"/>
      <c r="H130" s="14"/>
    </row>
    <row r="131" spans="2:14" ht="12.75">
      <c r="B131" s="29"/>
      <c r="C131" s="29"/>
      <c r="D131" s="29"/>
      <c r="E131" s="29"/>
      <c r="F131" s="135"/>
      <c r="G131" s="29"/>
      <c r="H131" s="29" t="s">
        <v>39</v>
      </c>
      <c r="I131" s="29"/>
      <c r="J131" s="95"/>
      <c r="K131" s="135"/>
      <c r="L131" s="29"/>
      <c r="M131" s="95"/>
      <c r="N131" s="29"/>
    </row>
    <row r="132" spans="2:14" ht="12.75">
      <c r="B132" s="29"/>
      <c r="C132" s="29"/>
      <c r="D132" s="29"/>
      <c r="E132" s="29"/>
      <c r="F132" s="135"/>
      <c r="G132" s="29"/>
      <c r="H132" s="29" t="s">
        <v>40</v>
      </c>
      <c r="I132" s="29"/>
      <c r="J132" s="95"/>
      <c r="K132" s="135"/>
      <c r="L132" s="29"/>
      <c r="M132" s="95"/>
      <c r="N132" s="29"/>
    </row>
    <row r="133" spans="2:14" ht="12.75">
      <c r="B133" s="29"/>
      <c r="C133" s="29"/>
      <c r="D133" s="29"/>
      <c r="E133" s="29"/>
      <c r="F133" s="135"/>
      <c r="G133" s="29"/>
      <c r="H133" s="29" t="s">
        <v>41</v>
      </c>
      <c r="I133" s="29"/>
      <c r="J133" s="95"/>
      <c r="K133" s="135"/>
      <c r="L133" s="29"/>
      <c r="M133" s="95"/>
      <c r="N133" s="29"/>
    </row>
    <row r="135" spans="2:17" ht="12.75">
      <c r="B135" s="12" t="s">
        <v>70</v>
      </c>
      <c r="C135" s="125" t="s">
        <v>0</v>
      </c>
      <c r="D135" s="126"/>
      <c r="E135" s="126"/>
      <c r="F135" s="137"/>
      <c r="H135" s="125" t="s">
        <v>1</v>
      </c>
      <c r="I135" s="126"/>
      <c r="J135" s="130"/>
      <c r="K135" s="137"/>
      <c r="M135" s="96" t="s">
        <v>2</v>
      </c>
      <c r="N135" s="15" t="s">
        <v>3</v>
      </c>
      <c r="P135" s="12" t="s">
        <v>56</v>
      </c>
      <c r="Q135" s="96" t="s">
        <v>57</v>
      </c>
    </row>
    <row r="136" spans="1:11" ht="12.75">
      <c r="A136" s="34"/>
      <c r="B136" s="34"/>
      <c r="C136" s="127"/>
      <c r="D136" s="128"/>
      <c r="E136" s="128"/>
      <c r="F136" s="138"/>
      <c r="H136" s="127"/>
      <c r="I136" s="128"/>
      <c r="J136" s="131"/>
      <c r="K136" s="138"/>
    </row>
    <row r="137" spans="1:11" ht="12.75">
      <c r="A137" s="34"/>
      <c r="B137" s="34"/>
      <c r="C137" s="16" t="s">
        <v>4</v>
      </c>
      <c r="D137" s="16" t="s">
        <v>5</v>
      </c>
      <c r="E137" s="16" t="s">
        <v>6</v>
      </c>
      <c r="F137" s="139" t="s">
        <v>96</v>
      </c>
      <c r="H137" s="16" t="s">
        <v>4</v>
      </c>
      <c r="I137" s="16" t="s">
        <v>1</v>
      </c>
      <c r="J137" s="132" t="s">
        <v>6</v>
      </c>
      <c r="K137" s="139" t="s">
        <v>96</v>
      </c>
    </row>
    <row r="138" spans="1:11" ht="12.75">
      <c r="A138" s="35"/>
      <c r="B138" s="35"/>
      <c r="C138" s="129" t="s">
        <v>7</v>
      </c>
      <c r="D138" s="129" t="s">
        <v>8</v>
      </c>
      <c r="E138" s="129" t="s">
        <v>9</v>
      </c>
      <c r="F138" s="140" t="s">
        <v>66</v>
      </c>
      <c r="H138" s="129" t="s">
        <v>7</v>
      </c>
      <c r="I138" s="129" t="s">
        <v>8</v>
      </c>
      <c r="J138" s="133" t="s">
        <v>9</v>
      </c>
      <c r="K138" s="140" t="s">
        <v>66</v>
      </c>
    </row>
    <row r="140" spans="1:11" ht="12.75">
      <c r="A140" s="34"/>
      <c r="B140" s="34"/>
      <c r="C140" s="36"/>
      <c r="D140" s="34"/>
      <c r="E140" s="34"/>
      <c r="F140" s="141"/>
      <c r="H140" s="36"/>
      <c r="I140" s="34"/>
      <c r="J140" s="58"/>
      <c r="K140" s="141"/>
    </row>
    <row r="141" spans="1:11" ht="12.75">
      <c r="A141" s="34" t="s">
        <v>17</v>
      </c>
      <c r="B141" s="34"/>
      <c r="C141" s="36"/>
      <c r="D141" s="30"/>
      <c r="E141" s="37"/>
      <c r="F141" s="141"/>
      <c r="H141" s="36"/>
      <c r="I141" s="30"/>
      <c r="J141" s="58"/>
      <c r="K141" s="141"/>
    </row>
    <row r="142" spans="1:14" ht="12.75">
      <c r="A142" s="34" t="s">
        <v>42</v>
      </c>
      <c r="B142" s="34"/>
      <c r="C142" s="36">
        <v>73368</v>
      </c>
      <c r="D142" s="30">
        <v>11.35</v>
      </c>
      <c r="E142" s="37">
        <f>C142*D142</f>
        <v>832726.7999999999</v>
      </c>
      <c r="F142" s="141">
        <f>E142/E148</f>
        <v>0.10813880193296384</v>
      </c>
      <c r="H142" s="36">
        <f>C142</f>
        <v>73368</v>
      </c>
      <c r="I142" s="30">
        <f>D142</f>
        <v>11.35</v>
      </c>
      <c r="J142" s="58">
        <f>H142*I142</f>
        <v>832726.7999999999</v>
      </c>
      <c r="K142" s="141">
        <f>J142/J148</f>
        <v>0.10264149744215474</v>
      </c>
      <c r="M142" s="38">
        <f>J142-E142</f>
        <v>0</v>
      </c>
      <c r="N142" s="39">
        <f>M142/E142</f>
        <v>0</v>
      </c>
    </row>
    <row r="143" spans="1:14" ht="12.75">
      <c r="A143" s="34" t="s">
        <v>43</v>
      </c>
      <c r="B143" s="34"/>
      <c r="C143" s="36">
        <v>144</v>
      </c>
      <c r="D143" s="30">
        <v>29.5</v>
      </c>
      <c r="E143" s="37">
        <f>C143*D143</f>
        <v>4248</v>
      </c>
      <c r="F143" s="141">
        <f>E143/E148</f>
        <v>0.0005516498695745477</v>
      </c>
      <c r="H143" s="36">
        <f>C143</f>
        <v>144</v>
      </c>
      <c r="I143" s="30">
        <f>D143</f>
        <v>29.5</v>
      </c>
      <c r="J143" s="58">
        <f>H143*I143</f>
        <v>4248</v>
      </c>
      <c r="K143" s="141">
        <f>J143/J148</f>
        <v>0.0005236063990426073</v>
      </c>
      <c r="M143" s="38">
        <f aca="true" t="shared" si="4" ref="M143:M151">J143-E143</f>
        <v>0</v>
      </c>
      <c r="N143" s="39">
        <f aca="true" t="shared" si="5" ref="N143:N155">M143/E143</f>
        <v>0</v>
      </c>
    </row>
    <row r="144" spans="1:14" ht="12.75">
      <c r="A144" s="34"/>
      <c r="B144" s="34"/>
      <c r="C144" s="36"/>
      <c r="D144" s="30"/>
      <c r="E144" s="37"/>
      <c r="F144" s="141"/>
      <c r="H144" s="36"/>
      <c r="I144" s="30"/>
      <c r="J144" s="58"/>
      <c r="K144" s="141"/>
      <c r="M144" s="38">
        <f t="shared" si="4"/>
        <v>0</v>
      </c>
      <c r="N144" s="39"/>
    </row>
    <row r="145" spans="1:17" ht="12.75">
      <c r="A145" s="34" t="s">
        <v>10</v>
      </c>
      <c r="B145" s="36">
        <f>C145</f>
        <v>122170911</v>
      </c>
      <c r="C145" s="36">
        <v>122170911</v>
      </c>
      <c r="D145" s="43">
        <v>0.05618</v>
      </c>
      <c r="E145" s="36">
        <f>C145*D145</f>
        <v>6863561.77998</v>
      </c>
      <c r="F145" s="141">
        <f>E145/E148</f>
        <v>0.8913095481974617</v>
      </c>
      <c r="H145" s="36">
        <f>C145</f>
        <v>122170911</v>
      </c>
      <c r="I145" s="44">
        <f>D145+R231</f>
        <v>0.05955582549987656</v>
      </c>
      <c r="J145" s="58">
        <f>I145*H145</f>
        <v>7275989.45667695</v>
      </c>
      <c r="K145" s="141">
        <f>J145/J148</f>
        <v>0.8968348961588026</v>
      </c>
      <c r="M145" s="38">
        <f t="shared" si="4"/>
        <v>412427.67669694964</v>
      </c>
      <c r="N145" s="39">
        <f t="shared" si="5"/>
        <v>0.060089453539988597</v>
      </c>
      <c r="Q145" s="38">
        <f>M145</f>
        <v>412427.67669694964</v>
      </c>
    </row>
    <row r="146" spans="1:14" ht="12.75">
      <c r="A146" s="34"/>
      <c r="B146" s="34"/>
      <c r="C146" s="36"/>
      <c r="D146" s="34"/>
      <c r="E146" s="40"/>
      <c r="F146" s="142"/>
      <c r="G146" s="32"/>
      <c r="H146" s="40"/>
      <c r="I146" s="78"/>
      <c r="J146" s="102"/>
      <c r="K146" s="142"/>
      <c r="M146" s="38">
        <f t="shared" si="4"/>
        <v>0</v>
      </c>
      <c r="N146" s="39"/>
    </row>
    <row r="147" spans="5:14" ht="12.75">
      <c r="E147" s="32"/>
      <c r="F147" s="147"/>
      <c r="G147" s="32"/>
      <c r="H147" s="32"/>
      <c r="I147" s="32"/>
      <c r="J147" s="94"/>
      <c r="K147" s="147"/>
      <c r="M147" s="38">
        <f t="shared" si="4"/>
        <v>0</v>
      </c>
      <c r="N147" s="39"/>
    </row>
    <row r="148" spans="1:14" ht="12.75">
      <c r="A148" s="34" t="s">
        <v>11</v>
      </c>
      <c r="B148" s="34"/>
      <c r="C148" s="36"/>
      <c r="D148" s="34"/>
      <c r="E148" s="46">
        <f>SUM(E141:E145)</f>
        <v>7700536.57998</v>
      </c>
      <c r="F148" s="142">
        <f>SUM(F142:F145)</f>
        <v>1</v>
      </c>
      <c r="H148" s="36"/>
      <c r="I148" s="34"/>
      <c r="J148" s="100">
        <f>SUM(J141:J145)</f>
        <v>8112964.25667695</v>
      </c>
      <c r="K148" s="142">
        <f>SUM(K142:K145)</f>
        <v>1</v>
      </c>
      <c r="M148" s="47">
        <f t="shared" si="4"/>
        <v>412427.67669694964</v>
      </c>
      <c r="N148" s="48">
        <f t="shared" si="5"/>
        <v>0.053558303686159596</v>
      </c>
    </row>
    <row r="149" spans="1:14" ht="12.75">
      <c r="A149" s="34"/>
      <c r="B149" s="34"/>
      <c r="C149" s="36"/>
      <c r="D149" s="43"/>
      <c r="E149" s="34"/>
      <c r="F149" s="141"/>
      <c r="H149" s="36"/>
      <c r="I149" s="43"/>
      <c r="J149" s="58"/>
      <c r="K149" s="141"/>
      <c r="M149" s="38">
        <f t="shared" si="4"/>
        <v>0</v>
      </c>
      <c r="N149" s="39"/>
    </row>
    <row r="150" spans="1:14" ht="12.75">
      <c r="A150" s="34" t="s">
        <v>12</v>
      </c>
      <c r="B150" s="34"/>
      <c r="C150" s="36"/>
      <c r="D150" s="43"/>
      <c r="E150" s="36">
        <v>960538</v>
      </c>
      <c r="F150" s="141"/>
      <c r="H150" s="36"/>
      <c r="I150" s="43"/>
      <c r="J150" s="58">
        <f>E150</f>
        <v>960538</v>
      </c>
      <c r="K150" s="141"/>
      <c r="M150" s="38">
        <f t="shared" si="4"/>
        <v>0</v>
      </c>
      <c r="N150" s="39">
        <f t="shared" si="5"/>
        <v>0</v>
      </c>
    </row>
    <row r="151" spans="1:14" ht="12.75">
      <c r="A151" s="34" t="s">
        <v>13</v>
      </c>
      <c r="B151" s="34"/>
      <c r="C151" s="36"/>
      <c r="D151" s="43"/>
      <c r="E151" s="50">
        <v>633036</v>
      </c>
      <c r="F151" s="144"/>
      <c r="H151" s="36"/>
      <c r="I151" s="43"/>
      <c r="J151" s="83">
        <f>E151</f>
        <v>633036</v>
      </c>
      <c r="K151" s="142"/>
      <c r="M151" s="51">
        <f t="shared" si="4"/>
        <v>0</v>
      </c>
      <c r="N151" s="52">
        <f t="shared" si="5"/>
        <v>0</v>
      </c>
    </row>
    <row r="152" spans="1:14" ht="12.75">
      <c r="A152" s="34"/>
      <c r="B152" s="34"/>
      <c r="C152" s="36"/>
      <c r="D152" s="34"/>
      <c r="E152" s="34"/>
      <c r="F152" s="141"/>
      <c r="H152" s="36"/>
      <c r="I152" s="34"/>
      <c r="J152" s="58"/>
      <c r="K152" s="141"/>
      <c r="N152" s="39"/>
    </row>
    <row r="153" spans="1:14" ht="13.5" thickBot="1">
      <c r="A153" s="34" t="s">
        <v>14</v>
      </c>
      <c r="B153" s="34"/>
      <c r="C153" s="36"/>
      <c r="D153" s="34"/>
      <c r="E153" s="53">
        <f>SUM(E148:E151)</f>
        <v>9294110.57998</v>
      </c>
      <c r="F153" s="142"/>
      <c r="H153" s="36"/>
      <c r="I153" s="34"/>
      <c r="J153" s="84">
        <f>SUM(J148:J151)</f>
        <v>9706538.25667695</v>
      </c>
      <c r="K153" s="142"/>
      <c r="M153" s="63">
        <f>J153-E153</f>
        <v>412427.6766969487</v>
      </c>
      <c r="N153" s="54">
        <f t="shared" si="5"/>
        <v>0.04437516351326177</v>
      </c>
    </row>
    <row r="154" spans="1:14" ht="13.5" thickTop="1">
      <c r="A154" s="34"/>
      <c r="B154" s="34"/>
      <c r="C154" s="34"/>
      <c r="D154" s="34"/>
      <c r="E154" s="34"/>
      <c r="F154" s="141"/>
      <c r="N154" s="39"/>
    </row>
    <row r="155" spans="1:14" ht="12.75">
      <c r="A155" s="34" t="s">
        <v>15</v>
      </c>
      <c r="B155" s="34"/>
      <c r="C155" s="36"/>
      <c r="D155" s="36"/>
      <c r="E155" s="64">
        <f>E153/(C142+C143)</f>
        <v>126.42984247442595</v>
      </c>
      <c r="F155" s="141"/>
      <c r="G155" s="65"/>
      <c r="H155" s="65"/>
      <c r="I155" s="65"/>
      <c r="J155" s="58">
        <f>J153/(H142+H143)</f>
        <v>132.04018740718453</v>
      </c>
      <c r="K155" s="141"/>
      <c r="L155" s="65"/>
      <c r="M155" s="113">
        <f>J155-E155</f>
        <v>5.610344932758579</v>
      </c>
      <c r="N155" s="39">
        <f t="shared" si="5"/>
        <v>0.04437516351326177</v>
      </c>
    </row>
    <row r="156" spans="1:14" ht="12.75">
      <c r="A156" s="34"/>
      <c r="B156" s="34"/>
      <c r="C156" s="36"/>
      <c r="D156" s="36"/>
      <c r="E156" s="66"/>
      <c r="F156" s="141"/>
      <c r="N156" s="39"/>
    </row>
    <row r="157" spans="2:14" ht="12.75" hidden="1">
      <c r="B157" s="28"/>
      <c r="C157" s="28"/>
      <c r="D157" s="28"/>
      <c r="E157" s="28"/>
      <c r="F157" s="148"/>
      <c r="G157" s="28"/>
      <c r="H157" s="28" t="str">
        <f>H128</f>
        <v>Shelby Energy Cooperative Billing Analysis</v>
      </c>
      <c r="I157" s="28"/>
      <c r="J157" s="99"/>
      <c r="K157" s="148"/>
      <c r="L157" s="28"/>
      <c r="M157" s="99"/>
      <c r="N157" s="28"/>
    </row>
    <row r="158" spans="2:14" ht="12.75" hidden="1">
      <c r="B158" s="28"/>
      <c r="C158" s="28"/>
      <c r="D158" s="28"/>
      <c r="E158" s="28"/>
      <c r="F158" s="148"/>
      <c r="G158" s="28"/>
      <c r="H158" s="28" t="e">
        <f>#REF!</f>
        <v>#REF!</v>
      </c>
      <c r="I158" s="28"/>
      <c r="J158" s="99"/>
      <c r="K158" s="148"/>
      <c r="L158" s="28"/>
      <c r="M158" s="99"/>
      <c r="N158" s="28"/>
    </row>
    <row r="159" spans="2:14" ht="12.75" hidden="1">
      <c r="B159" s="28"/>
      <c r="C159" s="28"/>
      <c r="D159" s="28"/>
      <c r="E159" s="28"/>
      <c r="F159" s="148"/>
      <c r="G159" s="28"/>
      <c r="H159" s="28" t="str">
        <f>H129</f>
        <v>for the 12 months ended September 30, 2006</v>
      </c>
      <c r="I159" s="28"/>
      <c r="J159" s="99"/>
      <c r="K159" s="148"/>
      <c r="L159" s="28"/>
      <c r="M159" s="99"/>
      <c r="N159" s="28"/>
    </row>
    <row r="160" ht="12.75" hidden="1"/>
    <row r="161" spans="2:14" ht="12.75">
      <c r="B161" s="29"/>
      <c r="C161" s="29"/>
      <c r="D161" s="29"/>
      <c r="E161" s="29"/>
      <c r="F161" s="135"/>
      <c r="G161" s="29"/>
      <c r="H161" s="29" t="s">
        <v>23</v>
      </c>
      <c r="I161" s="29"/>
      <c r="J161" s="95"/>
      <c r="K161" s="135"/>
      <c r="L161" s="29"/>
      <c r="M161" s="95"/>
      <c r="N161" s="29"/>
    </row>
    <row r="162" spans="2:14" ht="12.75">
      <c r="B162" s="29"/>
      <c r="C162" s="29"/>
      <c r="D162" s="29"/>
      <c r="E162" s="29"/>
      <c r="F162" s="135"/>
      <c r="G162" s="29"/>
      <c r="H162" s="29" t="s">
        <v>21</v>
      </c>
      <c r="I162" s="29"/>
      <c r="J162" s="95"/>
      <c r="K162" s="135"/>
      <c r="L162" s="29"/>
      <c r="M162" s="95"/>
      <c r="N162" s="29"/>
    </row>
    <row r="163" spans="2:14" ht="12.75">
      <c r="B163" s="29"/>
      <c r="C163" s="29"/>
      <c r="D163" s="29"/>
      <c r="E163" s="29"/>
      <c r="F163" s="135"/>
      <c r="G163" s="29"/>
      <c r="H163" s="29" t="s">
        <v>44</v>
      </c>
      <c r="I163" s="29"/>
      <c r="J163" s="95"/>
      <c r="K163" s="135"/>
      <c r="L163" s="29"/>
      <c r="M163" s="95"/>
      <c r="N163" s="29"/>
    </row>
    <row r="164" spans="1:6" ht="12.75">
      <c r="A164" s="14"/>
      <c r="B164" s="14"/>
      <c r="C164" s="14"/>
      <c r="D164" s="14"/>
      <c r="E164" s="14"/>
      <c r="F164" s="136"/>
    </row>
    <row r="165" spans="2:17" ht="12.75">
      <c r="B165" s="12" t="s">
        <v>70</v>
      </c>
      <c r="C165" s="125" t="s">
        <v>0</v>
      </c>
      <c r="D165" s="126"/>
      <c r="E165" s="126"/>
      <c r="F165" s="137"/>
      <c r="H165" s="125" t="s">
        <v>1</v>
      </c>
      <c r="I165" s="126"/>
      <c r="J165" s="130"/>
      <c r="K165" s="137"/>
      <c r="M165" s="96" t="s">
        <v>2</v>
      </c>
      <c r="N165" s="15" t="s">
        <v>3</v>
      </c>
      <c r="P165" s="12" t="s">
        <v>56</v>
      </c>
      <c r="Q165" s="96" t="s">
        <v>57</v>
      </c>
    </row>
    <row r="166" spans="1:11" ht="12.75">
      <c r="A166" s="34"/>
      <c r="B166" s="34"/>
      <c r="C166" s="127"/>
      <c r="D166" s="128"/>
      <c r="E166" s="128"/>
      <c r="F166" s="138"/>
      <c r="H166" s="127"/>
      <c r="I166" s="128"/>
      <c r="J166" s="131"/>
      <c r="K166" s="138"/>
    </row>
    <row r="167" spans="1:11" ht="12.75">
      <c r="A167" s="34"/>
      <c r="B167" s="34"/>
      <c r="C167" s="16" t="s">
        <v>4</v>
      </c>
      <c r="D167" s="16" t="s">
        <v>5</v>
      </c>
      <c r="E167" s="16" t="s">
        <v>6</v>
      </c>
      <c r="F167" s="139" t="s">
        <v>96</v>
      </c>
      <c r="H167" s="16" t="s">
        <v>4</v>
      </c>
      <c r="I167" s="16" t="s">
        <v>1</v>
      </c>
      <c r="J167" s="132" t="s">
        <v>6</v>
      </c>
      <c r="K167" s="139" t="s">
        <v>96</v>
      </c>
    </row>
    <row r="168" spans="1:11" ht="12.75">
      <c r="A168" s="35"/>
      <c r="B168" s="35"/>
      <c r="C168" s="129" t="s">
        <v>7</v>
      </c>
      <c r="D168" s="129" t="s">
        <v>8</v>
      </c>
      <c r="E168" s="129" t="s">
        <v>9</v>
      </c>
      <c r="F168" s="140" t="s">
        <v>66</v>
      </c>
      <c r="H168" s="129" t="s">
        <v>7</v>
      </c>
      <c r="I168" s="129" t="s">
        <v>8</v>
      </c>
      <c r="J168" s="133" t="s">
        <v>9</v>
      </c>
      <c r="K168" s="140" t="s">
        <v>66</v>
      </c>
    </row>
    <row r="170" spans="1:11" ht="12.75">
      <c r="A170" s="34"/>
      <c r="B170" s="34"/>
      <c r="C170" s="36"/>
      <c r="D170" s="34"/>
      <c r="E170" s="34"/>
      <c r="F170" s="141"/>
      <c r="H170" s="36"/>
      <c r="I170" s="34"/>
      <c r="J170" s="58"/>
      <c r="K170" s="141"/>
    </row>
    <row r="171" spans="1:14" ht="12.75">
      <c r="A171" s="34" t="s">
        <v>17</v>
      </c>
      <c r="B171" s="34"/>
      <c r="C171" s="36">
        <v>131</v>
      </c>
      <c r="D171" s="30">
        <v>535</v>
      </c>
      <c r="E171" s="37">
        <f>C171*D171</f>
        <v>70085</v>
      </c>
      <c r="F171" s="141">
        <f>E171/E179</f>
        <v>0.011839421424658953</v>
      </c>
      <c r="H171" s="36">
        <f>C171</f>
        <v>131</v>
      </c>
      <c r="I171" s="59">
        <f>D171</f>
        <v>535</v>
      </c>
      <c r="J171" s="79">
        <f>I171*H171</f>
        <v>70085</v>
      </c>
      <c r="K171" s="141">
        <f>J171/J179</f>
        <v>0.010892786546744334</v>
      </c>
      <c r="M171" s="38">
        <f>J171-E171</f>
        <v>0</v>
      </c>
      <c r="N171" s="39">
        <f>M171/E171</f>
        <v>0</v>
      </c>
    </row>
    <row r="172" spans="1:14" ht="12.75">
      <c r="A172" s="34"/>
      <c r="B172" s="34"/>
      <c r="C172" s="36"/>
      <c r="D172" s="30"/>
      <c r="E172" s="34"/>
      <c r="F172" s="141"/>
      <c r="H172" s="36"/>
      <c r="I172" s="30"/>
      <c r="J172" s="58"/>
      <c r="K172" s="141"/>
      <c r="N172" s="39"/>
    </row>
    <row r="173" spans="1:16" ht="12.75">
      <c r="A173" s="34" t="s">
        <v>19</v>
      </c>
      <c r="B173" s="34"/>
      <c r="C173" s="36">
        <v>246975</v>
      </c>
      <c r="D173" s="30">
        <v>5.39</v>
      </c>
      <c r="E173" s="58">
        <f>D173*C173</f>
        <v>1331195.25</v>
      </c>
      <c r="F173" s="141">
        <f>E173/E179</f>
        <v>0.22487809892636415</v>
      </c>
      <c r="H173" s="36">
        <f>C173</f>
        <v>246975</v>
      </c>
      <c r="I173" s="80">
        <v>7.29</v>
      </c>
      <c r="J173" s="58">
        <f>I173*H173</f>
        <v>1800447.75</v>
      </c>
      <c r="K173" s="141">
        <f>J173/J179</f>
        <v>0.2798301067177871</v>
      </c>
      <c r="M173" s="38">
        <f aca="true" t="shared" si="6" ref="M173:M184">J173-E173</f>
        <v>469252.5</v>
      </c>
      <c r="N173" s="39">
        <f aca="true" t="shared" si="7" ref="N173:N182">M173/E173</f>
        <v>0.3525046382189239</v>
      </c>
      <c r="P173" s="45">
        <f>M173</f>
        <v>469252.5</v>
      </c>
    </row>
    <row r="174" spans="1:16" ht="12.75">
      <c r="A174" s="34" t="s">
        <v>45</v>
      </c>
      <c r="B174" s="34"/>
      <c r="C174" s="36">
        <v>23785</v>
      </c>
      <c r="D174" s="30">
        <v>7.82</v>
      </c>
      <c r="E174" s="58">
        <f>D174*C174</f>
        <v>185998.7</v>
      </c>
      <c r="F174" s="141">
        <f>E174/E179</f>
        <v>0.03142066053704378</v>
      </c>
      <c r="H174" s="36">
        <f>C174</f>
        <v>23785</v>
      </c>
      <c r="I174" s="80">
        <v>9.72</v>
      </c>
      <c r="J174" s="58">
        <f>I174*H174</f>
        <v>231190.2</v>
      </c>
      <c r="K174" s="141">
        <f>J174/J179</f>
        <v>0.03593216095168912</v>
      </c>
      <c r="M174" s="38">
        <f t="shared" si="6"/>
        <v>45191.5</v>
      </c>
      <c r="N174" s="39">
        <f t="shared" si="7"/>
        <v>0.24296675191815856</v>
      </c>
      <c r="P174" s="45">
        <f>M174</f>
        <v>45191.5</v>
      </c>
    </row>
    <row r="175" spans="1:14" ht="12.75">
      <c r="A175" s="34"/>
      <c r="B175" s="34"/>
      <c r="C175" s="36"/>
      <c r="D175" s="30"/>
      <c r="E175" s="58"/>
      <c r="F175" s="141"/>
      <c r="H175" s="36"/>
      <c r="I175" s="59"/>
      <c r="J175" s="58"/>
      <c r="K175" s="141"/>
      <c r="N175" s="39"/>
    </row>
    <row r="176" spans="1:14" ht="12.75">
      <c r="A176" s="34" t="s">
        <v>20</v>
      </c>
      <c r="B176" s="34"/>
      <c r="C176" s="36"/>
      <c r="D176" s="43"/>
      <c r="E176" s="36"/>
      <c r="F176" s="141"/>
      <c r="H176" s="36"/>
      <c r="I176" s="81"/>
      <c r="J176" s="58"/>
      <c r="K176" s="141"/>
      <c r="N176" s="39"/>
    </row>
    <row r="177" spans="1:14" ht="12.75">
      <c r="A177" s="34" t="s">
        <v>36</v>
      </c>
      <c r="B177" s="34"/>
      <c r="C177" s="36">
        <v>121456449</v>
      </c>
      <c r="D177" s="43">
        <v>0.03567</v>
      </c>
      <c r="E177" s="36">
        <f>C177*D177</f>
        <v>4332351.53583</v>
      </c>
      <c r="F177" s="141">
        <f>E177/E179</f>
        <v>0.731861819111933</v>
      </c>
      <c r="H177" s="36">
        <f>C177</f>
        <v>121456449</v>
      </c>
      <c r="I177" s="81">
        <f>D177</f>
        <v>0.03567</v>
      </c>
      <c r="J177" s="58">
        <f>H177*I177</f>
        <v>4332351.53583</v>
      </c>
      <c r="K177" s="141">
        <f>J177/J179</f>
        <v>0.6733449457837795</v>
      </c>
      <c r="M177" s="38">
        <f t="shared" si="6"/>
        <v>0</v>
      </c>
      <c r="N177" s="39">
        <f t="shared" si="7"/>
        <v>0</v>
      </c>
    </row>
    <row r="178" spans="1:14" ht="12.75">
      <c r="A178" s="34"/>
      <c r="B178" s="34"/>
      <c r="C178" s="36"/>
      <c r="D178" s="34"/>
      <c r="E178" s="34"/>
      <c r="F178" s="141"/>
      <c r="H178" s="36"/>
      <c r="I178" s="34"/>
      <c r="J178" s="58"/>
      <c r="K178" s="141"/>
      <c r="N178" s="39"/>
    </row>
    <row r="179" spans="1:14" ht="12.75">
      <c r="A179" s="34" t="s">
        <v>22</v>
      </c>
      <c r="B179" s="34"/>
      <c r="C179" s="36"/>
      <c r="D179" s="34"/>
      <c r="E179" s="62">
        <f>SUM(E171:E177)</f>
        <v>5919630.485830001</v>
      </c>
      <c r="F179" s="142">
        <f>SUM(F171:F177)</f>
        <v>1</v>
      </c>
      <c r="H179" s="36"/>
      <c r="I179" s="34"/>
      <c r="J179" s="100">
        <f>SUM(J171:J177)</f>
        <v>6434074.485830001</v>
      </c>
      <c r="K179" s="142">
        <f>SUM(K171:K177)</f>
        <v>1</v>
      </c>
      <c r="M179" s="100">
        <f t="shared" si="6"/>
        <v>514444</v>
      </c>
      <c r="N179" s="48">
        <f t="shared" si="7"/>
        <v>0.08690474873920598</v>
      </c>
    </row>
    <row r="180" spans="1:14" ht="12.75">
      <c r="A180" s="60"/>
      <c r="B180" s="60"/>
      <c r="C180" s="36"/>
      <c r="D180" s="43"/>
      <c r="E180" s="34"/>
      <c r="F180" s="141"/>
      <c r="H180" s="36"/>
      <c r="I180" s="43"/>
      <c r="J180" s="58"/>
      <c r="K180" s="141"/>
      <c r="M180" s="58"/>
      <c r="N180" s="39"/>
    </row>
    <row r="181" spans="1:14" ht="12.75">
      <c r="A181" s="34" t="s">
        <v>12</v>
      </c>
      <c r="B181" s="34"/>
      <c r="C181" s="36"/>
      <c r="D181" s="43"/>
      <c r="E181" s="36">
        <v>938402</v>
      </c>
      <c r="F181" s="141"/>
      <c r="H181" s="36"/>
      <c r="I181" s="43"/>
      <c r="J181" s="58">
        <f>E181</f>
        <v>938402</v>
      </c>
      <c r="K181" s="141"/>
      <c r="M181" s="58">
        <f t="shared" si="6"/>
        <v>0</v>
      </c>
      <c r="N181" s="39">
        <f t="shared" si="7"/>
        <v>0</v>
      </c>
    </row>
    <row r="182" spans="1:14" ht="12.75">
      <c r="A182" s="34" t="s">
        <v>13</v>
      </c>
      <c r="B182" s="34"/>
      <c r="C182" s="36"/>
      <c r="D182" s="43"/>
      <c r="E182" s="50">
        <v>492621</v>
      </c>
      <c r="F182" s="144"/>
      <c r="H182" s="36"/>
      <c r="I182" s="43"/>
      <c r="J182" s="83">
        <f>E182</f>
        <v>492621</v>
      </c>
      <c r="K182" s="142"/>
      <c r="M182" s="83">
        <f t="shared" si="6"/>
        <v>0</v>
      </c>
      <c r="N182" s="52">
        <f t="shared" si="7"/>
        <v>0</v>
      </c>
    </row>
    <row r="183" spans="1:13" ht="12.75">
      <c r="A183" s="34"/>
      <c r="B183" s="34"/>
      <c r="C183" s="36"/>
      <c r="D183" s="34"/>
      <c r="E183" s="34"/>
      <c r="F183" s="141"/>
      <c r="H183" s="36"/>
      <c r="I183" s="34"/>
      <c r="J183" s="58"/>
      <c r="K183" s="141"/>
      <c r="M183" s="58"/>
    </row>
    <row r="184" spans="1:14" ht="13.5" thickBot="1">
      <c r="A184" s="34" t="s">
        <v>46</v>
      </c>
      <c r="B184" s="34"/>
      <c r="C184" s="36"/>
      <c r="D184" s="34"/>
      <c r="E184" s="53">
        <f>SUM(E179:E182)</f>
        <v>7350653.485830001</v>
      </c>
      <c r="F184" s="142"/>
      <c r="H184" s="36"/>
      <c r="I184" s="34"/>
      <c r="J184" s="84">
        <f>SUM(J179:J182)</f>
        <v>7865097.485830001</v>
      </c>
      <c r="K184" s="142"/>
      <c r="M184" s="84">
        <f t="shared" si="6"/>
        <v>514444</v>
      </c>
      <c r="N184" s="54">
        <f>M184/E184</f>
        <v>0.06998615850845151</v>
      </c>
    </row>
    <row r="185" spans="1:6" ht="13.5" thickTop="1">
      <c r="A185" s="34"/>
      <c r="B185" s="34"/>
      <c r="C185" s="34"/>
      <c r="D185" s="34"/>
      <c r="E185" s="34"/>
      <c r="F185" s="141"/>
    </row>
    <row r="186" spans="1:14" ht="12.75">
      <c r="A186" s="34" t="s">
        <v>15</v>
      </c>
      <c r="B186" s="34"/>
      <c r="C186" s="36"/>
      <c r="D186" s="36"/>
      <c r="E186" s="64">
        <f>E184/C171</f>
        <v>56111.85867045802</v>
      </c>
      <c r="F186" s="141"/>
      <c r="G186" s="65"/>
      <c r="H186" s="65"/>
      <c r="I186" s="65"/>
      <c r="J186" s="58">
        <f>J184/H171</f>
        <v>60038.912105572526</v>
      </c>
      <c r="K186" s="141"/>
      <c r="M186" s="115">
        <f>J186-E186</f>
        <v>3927.0534351145034</v>
      </c>
      <c r="N186" s="39">
        <f>M186/E186</f>
        <v>0.0699861585084515</v>
      </c>
    </row>
    <row r="190" ht="12.75">
      <c r="N190" s="117" t="s">
        <v>94</v>
      </c>
    </row>
    <row r="191" ht="12.75">
      <c r="N191" s="117" t="s">
        <v>92</v>
      </c>
    </row>
    <row r="192" ht="12.75">
      <c r="N192" s="117" t="s">
        <v>97</v>
      </c>
    </row>
    <row r="193" spans="2:14" ht="12.75">
      <c r="B193" s="28"/>
      <c r="C193" s="28"/>
      <c r="D193" s="28"/>
      <c r="E193" s="28"/>
      <c r="F193" s="148"/>
      <c r="G193" s="28"/>
      <c r="H193" s="28" t="str">
        <f>H157</f>
        <v>Shelby Energy Cooperative Billing Analysis</v>
      </c>
      <c r="I193" s="28"/>
      <c r="J193" s="99"/>
      <c r="K193" s="148"/>
      <c r="L193" s="28"/>
      <c r="M193" s="99"/>
      <c r="N193" s="28"/>
    </row>
    <row r="194" spans="2:14" ht="12.75" hidden="1">
      <c r="B194" s="28"/>
      <c r="C194" s="28"/>
      <c r="D194" s="28"/>
      <c r="E194" s="28"/>
      <c r="F194" s="148"/>
      <c r="G194" s="28"/>
      <c r="H194" s="28" t="e">
        <f>H158</f>
        <v>#REF!</v>
      </c>
      <c r="I194" s="28"/>
      <c r="J194" s="99"/>
      <c r="K194" s="148"/>
      <c r="L194" s="28"/>
      <c r="M194" s="99"/>
      <c r="N194" s="28"/>
    </row>
    <row r="195" spans="2:14" ht="12.75">
      <c r="B195" s="28"/>
      <c r="C195" s="28"/>
      <c r="D195" s="28"/>
      <c r="E195" s="28"/>
      <c r="F195" s="148"/>
      <c r="G195" s="28"/>
      <c r="H195" s="28" t="str">
        <f>H159</f>
        <v>for the 12 months ended September 30, 2006</v>
      </c>
      <c r="I195" s="28"/>
      <c r="J195" s="99"/>
      <c r="K195" s="148"/>
      <c r="L195" s="28"/>
      <c r="M195" s="99"/>
      <c r="N195" s="28"/>
    </row>
    <row r="196" ht="12.75">
      <c r="I196" s="61"/>
    </row>
    <row r="197" spans="2:14" ht="12.75">
      <c r="B197" s="27"/>
      <c r="C197" s="27"/>
      <c r="D197" s="27"/>
      <c r="E197" s="27"/>
      <c r="F197" s="149"/>
      <c r="G197" s="27"/>
      <c r="H197" s="27" t="s">
        <v>47</v>
      </c>
      <c r="I197" s="27"/>
      <c r="J197" s="101"/>
      <c r="K197" s="149"/>
      <c r="L197" s="27"/>
      <c r="M197" s="101"/>
      <c r="N197" s="27"/>
    </row>
    <row r="198" spans="2:14" ht="12.75">
      <c r="B198" s="27"/>
      <c r="C198" s="27"/>
      <c r="D198" s="27"/>
      <c r="E198" s="27"/>
      <c r="F198" s="149"/>
      <c r="G198" s="27"/>
      <c r="H198" s="27" t="s">
        <v>21</v>
      </c>
      <c r="I198" s="27"/>
      <c r="J198" s="101"/>
      <c r="K198" s="149"/>
      <c r="L198" s="27"/>
      <c r="M198" s="101"/>
      <c r="N198" s="27"/>
    </row>
    <row r="199" spans="2:14" ht="12.75">
      <c r="B199" s="27"/>
      <c r="C199" s="27"/>
      <c r="D199" s="27"/>
      <c r="E199" s="27"/>
      <c r="F199" s="149"/>
      <c r="G199" s="27"/>
      <c r="H199" s="27" t="s">
        <v>48</v>
      </c>
      <c r="I199" s="27"/>
      <c r="J199" s="101"/>
      <c r="K199" s="149"/>
      <c r="L199" s="27"/>
      <c r="M199" s="101"/>
      <c r="N199" s="27"/>
    </row>
    <row r="200" spans="1:6" ht="12.75">
      <c r="A200" s="14"/>
      <c r="B200" s="14"/>
      <c r="C200" s="14"/>
      <c r="D200" s="14"/>
      <c r="E200" s="14"/>
      <c r="F200" s="136"/>
    </row>
    <row r="201" spans="2:17" ht="12.75">
      <c r="B201" s="12" t="s">
        <v>70</v>
      </c>
      <c r="C201" s="125" t="s">
        <v>0</v>
      </c>
      <c r="D201" s="126"/>
      <c r="E201" s="126"/>
      <c r="F201" s="137"/>
      <c r="H201" s="125" t="s">
        <v>1</v>
      </c>
      <c r="I201" s="126"/>
      <c r="J201" s="130"/>
      <c r="K201" s="137"/>
      <c r="M201" s="96" t="s">
        <v>2</v>
      </c>
      <c r="N201" s="15" t="s">
        <v>3</v>
      </c>
      <c r="P201" s="12" t="s">
        <v>56</v>
      </c>
      <c r="Q201" s="96" t="s">
        <v>57</v>
      </c>
    </row>
    <row r="202" spans="1:11" ht="12.75">
      <c r="A202" s="34"/>
      <c r="B202" s="34"/>
      <c r="C202" s="127"/>
      <c r="D202" s="128"/>
      <c r="E202" s="128"/>
      <c r="F202" s="138"/>
      <c r="H202" s="127"/>
      <c r="I202" s="128"/>
      <c r="J202" s="131"/>
      <c r="K202" s="138"/>
    </row>
    <row r="203" spans="1:11" ht="12.75">
      <c r="A203" s="34"/>
      <c r="B203" s="34"/>
      <c r="C203" s="16" t="s">
        <v>4</v>
      </c>
      <c r="D203" s="16" t="s">
        <v>5</v>
      </c>
      <c r="E203" s="16" t="s">
        <v>6</v>
      </c>
      <c r="F203" s="139" t="s">
        <v>96</v>
      </c>
      <c r="H203" s="16" t="s">
        <v>4</v>
      </c>
      <c r="I203" s="16" t="s">
        <v>1</v>
      </c>
      <c r="J203" s="132" t="s">
        <v>6</v>
      </c>
      <c r="K203" s="139" t="s">
        <v>96</v>
      </c>
    </row>
    <row r="204" spans="1:11" ht="12.75">
      <c r="A204" s="35"/>
      <c r="B204" s="35"/>
      <c r="C204" s="129" t="s">
        <v>7</v>
      </c>
      <c r="D204" s="129" t="s">
        <v>8</v>
      </c>
      <c r="E204" s="129" t="s">
        <v>9</v>
      </c>
      <c r="F204" s="140" t="s">
        <v>66</v>
      </c>
      <c r="H204" s="129" t="s">
        <v>7</v>
      </c>
      <c r="I204" s="129" t="s">
        <v>8</v>
      </c>
      <c r="J204" s="133" t="s">
        <v>9</v>
      </c>
      <c r="K204" s="140" t="s">
        <v>66</v>
      </c>
    </row>
    <row r="206" spans="1:11" ht="12.75">
      <c r="A206" s="34"/>
      <c r="B206" s="34"/>
      <c r="C206" s="36"/>
      <c r="D206" s="34"/>
      <c r="E206" s="34"/>
      <c r="F206" s="141"/>
      <c r="H206" s="36"/>
      <c r="I206" s="34"/>
      <c r="J206" s="58"/>
      <c r="K206" s="141"/>
    </row>
    <row r="207" spans="1:14" ht="12.75">
      <c r="A207" s="34" t="s">
        <v>17</v>
      </c>
      <c r="B207" s="34"/>
      <c r="C207" s="36">
        <v>12</v>
      </c>
      <c r="D207" s="30">
        <v>1069</v>
      </c>
      <c r="E207" s="37">
        <f>C207*D207</f>
        <v>12828</v>
      </c>
      <c r="F207" s="141">
        <f>E207/E215</f>
        <v>0.006402879590169912</v>
      </c>
      <c r="H207" s="36">
        <f>C207</f>
        <v>12</v>
      </c>
      <c r="I207" s="82">
        <f>D207</f>
        <v>1069</v>
      </c>
      <c r="J207" s="58">
        <f>I207*H207</f>
        <v>12828</v>
      </c>
      <c r="K207" s="141">
        <f>J207/J215</f>
        <v>0.005896787829811197</v>
      </c>
      <c r="M207" s="38">
        <f>J207-E207</f>
        <v>0</v>
      </c>
      <c r="N207" s="39">
        <f>M207/E207</f>
        <v>0</v>
      </c>
    </row>
    <row r="208" spans="1:14" ht="12.75">
      <c r="A208" s="34"/>
      <c r="B208" s="34"/>
      <c r="C208" s="36"/>
      <c r="D208" s="30"/>
      <c r="E208" s="34"/>
      <c r="F208" s="141"/>
      <c r="H208" s="36"/>
      <c r="I208" s="30"/>
      <c r="J208" s="58"/>
      <c r="K208" s="141"/>
      <c r="N208" s="39"/>
    </row>
    <row r="209" spans="1:16" ht="12.75">
      <c r="A209" s="34" t="s">
        <v>19</v>
      </c>
      <c r="B209" s="34"/>
      <c r="C209" s="36">
        <v>87600</v>
      </c>
      <c r="D209" s="30">
        <v>5.39</v>
      </c>
      <c r="E209" s="58">
        <f>D209*C209</f>
        <v>472164</v>
      </c>
      <c r="F209" s="141">
        <f>E209/E215</f>
        <v>0.23567268777775074</v>
      </c>
      <c r="H209" s="36">
        <f>C209</f>
        <v>87600</v>
      </c>
      <c r="I209" s="80">
        <v>7.29</v>
      </c>
      <c r="J209" s="58">
        <f>I209*H209</f>
        <v>638604</v>
      </c>
      <c r="K209" s="141">
        <f>J209/J215</f>
        <v>0.2935541234228835</v>
      </c>
      <c r="M209" s="38">
        <f aca="true" t="shared" si="8" ref="M209:M218">J209-E209</f>
        <v>166440</v>
      </c>
      <c r="N209" s="39">
        <f aca="true" t="shared" si="9" ref="N209:N218">M209/E209</f>
        <v>0.3525046382189239</v>
      </c>
      <c r="P209" s="45">
        <f>M209</f>
        <v>166440</v>
      </c>
    </row>
    <row r="210" spans="1:16" ht="12.75">
      <c r="A210" s="34" t="s">
        <v>45</v>
      </c>
      <c r="B210" s="34"/>
      <c r="C210" s="36">
        <v>2899</v>
      </c>
      <c r="D210" s="30">
        <v>7.82</v>
      </c>
      <c r="E210" s="58">
        <f>D210*C210</f>
        <v>22670.18</v>
      </c>
      <c r="F210" s="141">
        <f>E210/E215</f>
        <v>0.011315437545017005</v>
      </c>
      <c r="H210" s="36">
        <f>C210</f>
        <v>2899</v>
      </c>
      <c r="I210" s="80">
        <v>9.72</v>
      </c>
      <c r="J210" s="58">
        <f>I210*H210</f>
        <v>28178.280000000002</v>
      </c>
      <c r="K210" s="141">
        <f>J210/J215</f>
        <v>0.012953019844793596</v>
      </c>
      <c r="M210" s="38">
        <f t="shared" si="8"/>
        <v>5508.100000000002</v>
      </c>
      <c r="N210" s="39">
        <f t="shared" si="9"/>
        <v>0.24296675191815867</v>
      </c>
      <c r="P210" s="45">
        <f>M210</f>
        <v>5508.100000000002</v>
      </c>
    </row>
    <row r="211" spans="1:14" ht="12.75">
      <c r="A211" s="34"/>
      <c r="B211" s="34"/>
      <c r="C211" s="36"/>
      <c r="D211" s="30"/>
      <c r="E211" s="58"/>
      <c r="F211" s="141"/>
      <c r="H211" s="36"/>
      <c r="I211" s="59"/>
      <c r="J211" s="58"/>
      <c r="K211" s="141"/>
      <c r="N211" s="39"/>
    </row>
    <row r="212" spans="1:14" ht="12.75">
      <c r="A212" s="34" t="s">
        <v>20</v>
      </c>
      <c r="B212" s="34"/>
      <c r="C212" s="36"/>
      <c r="D212" s="43"/>
      <c r="E212" s="36"/>
      <c r="F212" s="141"/>
      <c r="H212" s="36"/>
      <c r="I212" s="81"/>
      <c r="J212" s="58"/>
      <c r="K212" s="141"/>
      <c r="N212" s="39"/>
    </row>
    <row r="213" spans="1:14" ht="12.75">
      <c r="A213" s="34" t="s">
        <v>60</v>
      </c>
      <c r="B213" s="34"/>
      <c r="C213" s="36">
        <v>48771157</v>
      </c>
      <c r="D213" s="43">
        <v>0.03067</v>
      </c>
      <c r="E213" s="36">
        <f>C213*D213</f>
        <v>1495811.38519</v>
      </c>
      <c r="F213" s="141">
        <f>E213/E215</f>
        <v>0.7466089950870624</v>
      </c>
      <c r="H213" s="36">
        <f>C213</f>
        <v>48771157</v>
      </c>
      <c r="I213" s="81">
        <f>D213</f>
        <v>0.03067</v>
      </c>
      <c r="J213" s="58">
        <f>H213*I213</f>
        <v>1495811.38519</v>
      </c>
      <c r="K213" s="141">
        <f>J213/J215</f>
        <v>0.6875960689025117</v>
      </c>
      <c r="M213" s="38">
        <f t="shared" si="8"/>
        <v>0</v>
      </c>
      <c r="N213" s="39">
        <f t="shared" si="9"/>
        <v>0</v>
      </c>
    </row>
    <row r="214" spans="1:14" ht="12.75">
      <c r="A214" s="34"/>
      <c r="B214" s="34"/>
      <c r="C214" s="36"/>
      <c r="D214" s="34"/>
      <c r="E214" s="34"/>
      <c r="F214" s="141"/>
      <c r="H214" s="36"/>
      <c r="I214" s="34"/>
      <c r="J214" s="58"/>
      <c r="K214" s="141"/>
      <c r="N214" s="39"/>
    </row>
    <row r="215" spans="1:14" ht="12.75">
      <c r="A215" s="34" t="s">
        <v>22</v>
      </c>
      <c r="B215" s="34"/>
      <c r="C215" s="36"/>
      <c r="D215" s="34"/>
      <c r="E215" s="62">
        <f>SUM(E207:E213)</f>
        <v>2003473.56519</v>
      </c>
      <c r="F215" s="142">
        <f>SUM(F207:F213)</f>
        <v>1</v>
      </c>
      <c r="H215" s="36"/>
      <c r="I215" s="34"/>
      <c r="J215" s="100">
        <f>SUM(J207:J213)</f>
        <v>2175421.66519</v>
      </c>
      <c r="K215" s="142">
        <f>SUM(K207:K213)</f>
        <v>1</v>
      </c>
      <c r="M215" s="100">
        <f t="shared" si="8"/>
        <v>171948.1000000001</v>
      </c>
      <c r="N215" s="48">
        <f t="shared" si="9"/>
        <v>0.08582499065002305</v>
      </c>
    </row>
    <row r="216" spans="1:14" ht="12.75">
      <c r="A216" s="60"/>
      <c r="B216" s="60"/>
      <c r="C216" s="36"/>
      <c r="D216" s="43"/>
      <c r="E216" s="34"/>
      <c r="F216" s="141"/>
      <c r="H216" s="36"/>
      <c r="I216" s="43"/>
      <c r="J216" s="58"/>
      <c r="K216" s="141"/>
      <c r="M216" s="58"/>
      <c r="N216" s="39"/>
    </row>
    <row r="217" spans="1:14" ht="12.75">
      <c r="A217" s="34" t="s">
        <v>12</v>
      </c>
      <c r="B217" s="34"/>
      <c r="C217" s="36"/>
      <c r="D217" s="43"/>
      <c r="E217" s="36">
        <v>374879</v>
      </c>
      <c r="F217" s="141"/>
      <c r="H217" s="36"/>
      <c r="I217" s="43"/>
      <c r="J217" s="58">
        <f>E217</f>
        <v>374879</v>
      </c>
      <c r="K217" s="141"/>
      <c r="M217" s="58">
        <f t="shared" si="8"/>
        <v>0</v>
      </c>
      <c r="N217" s="39">
        <f t="shared" si="9"/>
        <v>0</v>
      </c>
    </row>
    <row r="218" spans="1:14" ht="12.75">
      <c r="A218" s="34" t="s">
        <v>13</v>
      </c>
      <c r="B218" s="34"/>
      <c r="C218" s="36"/>
      <c r="D218" s="43"/>
      <c r="E218" s="50">
        <v>175004</v>
      </c>
      <c r="F218" s="144"/>
      <c r="H218" s="36"/>
      <c r="I218" s="43"/>
      <c r="J218" s="83">
        <f>E218</f>
        <v>175004</v>
      </c>
      <c r="K218" s="142"/>
      <c r="M218" s="83">
        <f t="shared" si="8"/>
        <v>0</v>
      </c>
      <c r="N218" s="52">
        <f t="shared" si="9"/>
        <v>0</v>
      </c>
    </row>
    <row r="219" spans="1:13" ht="12.75">
      <c r="A219" s="34"/>
      <c r="B219" s="34"/>
      <c r="C219" s="36"/>
      <c r="D219" s="34"/>
      <c r="E219" s="34"/>
      <c r="F219" s="141"/>
      <c r="H219" s="36"/>
      <c r="I219" s="34"/>
      <c r="J219" s="58"/>
      <c r="K219" s="141"/>
      <c r="M219" s="58"/>
    </row>
    <row r="220" spans="1:14" ht="13.5" thickBot="1">
      <c r="A220" s="34" t="s">
        <v>46</v>
      </c>
      <c r="B220" s="34"/>
      <c r="C220" s="36"/>
      <c r="D220" s="34"/>
      <c r="E220" s="53">
        <f>SUM(E215:E218)</f>
        <v>2553356.56519</v>
      </c>
      <c r="F220" s="142"/>
      <c r="H220" s="36"/>
      <c r="I220" s="34"/>
      <c r="J220" s="84">
        <f>SUM(J215:J218)</f>
        <v>2725304.66519</v>
      </c>
      <c r="K220" s="142"/>
      <c r="M220" s="84">
        <f>J220-E220</f>
        <v>171948.1000000001</v>
      </c>
      <c r="N220" s="54">
        <f>M220/E220</f>
        <v>0.06734198519085606</v>
      </c>
    </row>
    <row r="221" spans="1:6" ht="13.5" thickTop="1">
      <c r="A221" s="34"/>
      <c r="B221" s="34"/>
      <c r="C221" s="34"/>
      <c r="D221" s="34"/>
      <c r="E221" s="34"/>
      <c r="F221" s="141"/>
    </row>
    <row r="222" spans="1:14" ht="12.75">
      <c r="A222" s="34" t="s">
        <v>15</v>
      </c>
      <c r="B222" s="34"/>
      <c r="C222" s="36"/>
      <c r="D222" s="36"/>
      <c r="E222" s="64">
        <f>E220/C207</f>
        <v>212779.71376583332</v>
      </c>
      <c r="F222" s="141"/>
      <c r="G222" s="65"/>
      <c r="H222" s="65"/>
      <c r="I222" s="65"/>
      <c r="J222" s="58">
        <f>J220/H207</f>
        <v>227108.72209916668</v>
      </c>
      <c r="K222" s="141"/>
      <c r="M222" s="113">
        <f>J222-E222</f>
        <v>14329.00833333336</v>
      </c>
      <c r="N222" s="39">
        <f>M222/E222</f>
        <v>0.06734198519085616</v>
      </c>
    </row>
    <row r="223" spans="1:14" ht="12.75">
      <c r="A223" s="85"/>
      <c r="B223" s="34"/>
      <c r="C223" s="36"/>
      <c r="D223" s="36"/>
      <c r="E223" s="64"/>
      <c r="F223" s="141"/>
      <c r="G223" s="65"/>
      <c r="H223" s="65"/>
      <c r="I223" s="65"/>
      <c r="J223" s="58"/>
      <c r="K223" s="141"/>
      <c r="N223" s="39"/>
    </row>
    <row r="225" spans="1:2" ht="12.75">
      <c r="A225" s="33" t="s">
        <v>74</v>
      </c>
      <c r="B225" s="86">
        <f>SUM(B13:B222)</f>
        <v>267052281</v>
      </c>
    </row>
    <row r="227" spans="18:19" ht="12.75">
      <c r="R227" s="87">
        <v>1587914</v>
      </c>
      <c r="S227" s="88" t="s">
        <v>67</v>
      </c>
    </row>
    <row r="228" spans="18:19" ht="12.75">
      <c r="R228" s="38"/>
      <c r="S228" s="88"/>
    </row>
    <row r="229" spans="16:19" ht="12.75">
      <c r="P229" s="38">
        <f>SUM(P12:P227)</f>
        <v>686392.1</v>
      </c>
      <c r="Q229" s="38">
        <f>SUM(Q15:Q221)</f>
        <v>901521.9011758274</v>
      </c>
      <c r="R229" s="38">
        <f>R227-P229</f>
        <v>901521.9</v>
      </c>
      <c r="S229" s="88" t="s">
        <v>62</v>
      </c>
    </row>
    <row r="230" ht="12.75">
      <c r="S230" s="88"/>
    </row>
    <row r="231" spans="18:19" ht="12.75" hidden="1">
      <c r="R231" s="116">
        <f>R229/B225</f>
        <v>0.003375825499876558</v>
      </c>
      <c r="S231" s="88" t="s">
        <v>63</v>
      </c>
    </row>
    <row r="232" ht="12.75" hidden="1"/>
    <row r="233" ht="12.75" hidden="1"/>
    <row r="234" ht="12.75" hidden="1"/>
    <row r="235" ht="12.75" hidden="1">
      <c r="Q235" s="38">
        <f>SUM(P229:Q231)</f>
        <v>1587914.0011758273</v>
      </c>
    </row>
    <row r="236" ht="12.75" hidden="1">
      <c r="S236" s="89"/>
    </row>
    <row r="237" ht="12.75" hidden="1">
      <c r="Q237" s="113">
        <f>Q235-R227</f>
        <v>0.0011758273467421532</v>
      </c>
    </row>
  </sheetData>
  <printOptions/>
  <pageMargins left="0.33" right="0.22" top="0.54" bottom="0.32" header="0.24" footer="0.18"/>
  <pageSetup fitToHeight="0" fitToWidth="1" horizontalDpi="600" verticalDpi="600" orientation="portrait" scale="61" r:id="rId1"/>
  <headerFooter alignWithMargins="0">
    <oddFooter>&amp;R
</oddFooter>
  </headerFooter>
  <rowBreaks count="2" manualBreakCount="2">
    <brk id="92" max="14" man="1"/>
    <brk id="18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75" zoomScaleNormal="75" workbookViewId="0" topLeftCell="A1">
      <selection activeCell="J31" sqref="J30:J31"/>
    </sheetView>
  </sheetViews>
  <sheetFormatPr defaultColWidth="9.140625" defaultRowHeight="12.75"/>
  <cols>
    <col min="1" max="1" width="29.140625" style="0" bestFit="1" customWidth="1"/>
    <col min="2" max="2" width="0" style="0" hidden="1" customWidth="1"/>
    <col min="3" max="3" width="13.7109375" style="0" bestFit="1" customWidth="1"/>
    <col min="4" max="4" width="9.7109375" style="0" hidden="1" customWidth="1"/>
    <col min="5" max="5" width="8.00390625" style="0" bestFit="1" customWidth="1"/>
    <col min="6" max="6" width="11.140625" style="0" bestFit="1" customWidth="1"/>
    <col min="7" max="7" width="11.140625" style="0" hidden="1" customWidth="1"/>
    <col min="8" max="8" width="11.140625" style="4" customWidth="1"/>
    <col min="9" max="9" width="1.7109375" style="0" customWidth="1"/>
    <col min="10" max="10" width="13.7109375" style="0" bestFit="1" customWidth="1"/>
    <col min="11" max="11" width="10.140625" style="0" bestFit="1" customWidth="1"/>
    <col min="12" max="12" width="11.140625" style="0" bestFit="1" customWidth="1"/>
    <col min="13" max="13" width="11.140625" style="0" hidden="1" customWidth="1"/>
    <col min="14" max="14" width="11.140625" style="0" customWidth="1"/>
    <col min="15" max="15" width="2.8515625" style="0" customWidth="1"/>
    <col min="16" max="16" width="9.7109375" style="0" bestFit="1" customWidth="1"/>
    <col min="17" max="17" width="11.421875" style="0" bestFit="1" customWidth="1"/>
  </cols>
  <sheetData>
    <row r="1" ht="12.75">
      <c r="Q1" s="120" t="s">
        <v>94</v>
      </c>
    </row>
    <row r="2" ht="12.75">
      <c r="Q2" s="120" t="s">
        <v>99</v>
      </c>
    </row>
    <row r="3" ht="12.75">
      <c r="Q3" s="120" t="s">
        <v>100</v>
      </c>
    </row>
    <row r="4" ht="12.75">
      <c r="F4" s="29" t="s">
        <v>89</v>
      </c>
    </row>
    <row r="5" ht="12.75">
      <c r="F5" s="29" t="s">
        <v>16</v>
      </c>
    </row>
    <row r="7" spans="3:17" ht="14.25">
      <c r="C7" s="161" t="s">
        <v>0</v>
      </c>
      <c r="D7" s="162"/>
      <c r="E7" s="162"/>
      <c r="F7" s="162"/>
      <c r="G7" s="162"/>
      <c r="H7" s="163"/>
      <c r="J7" s="161" t="s">
        <v>1</v>
      </c>
      <c r="K7" s="162"/>
      <c r="L7" s="162"/>
      <c r="M7" s="162"/>
      <c r="N7" s="163"/>
      <c r="P7" s="1" t="s">
        <v>2</v>
      </c>
      <c r="Q7" s="2" t="s">
        <v>3</v>
      </c>
    </row>
    <row r="8" spans="3:14" ht="14.25">
      <c r="C8" s="150"/>
      <c r="D8" s="151"/>
      <c r="E8" s="151"/>
      <c r="F8" s="151"/>
      <c r="G8" s="151"/>
      <c r="H8" s="153"/>
      <c r="J8" s="150"/>
      <c r="K8" s="151"/>
      <c r="L8" s="151"/>
      <c r="M8" s="151"/>
      <c r="N8" s="152"/>
    </row>
    <row r="9" spans="1:14" ht="14.25">
      <c r="A9" t="s">
        <v>50</v>
      </c>
      <c r="C9" s="155" t="s">
        <v>4</v>
      </c>
      <c r="D9" s="11"/>
      <c r="E9" s="155" t="s">
        <v>5</v>
      </c>
      <c r="F9" s="155" t="s">
        <v>6</v>
      </c>
      <c r="G9" s="11" t="s">
        <v>58</v>
      </c>
      <c r="H9" s="157" t="s">
        <v>96</v>
      </c>
      <c r="J9" s="155" t="s">
        <v>4</v>
      </c>
      <c r="K9" s="155" t="s">
        <v>1</v>
      </c>
      <c r="L9" s="155" t="s">
        <v>6</v>
      </c>
      <c r="M9" s="11"/>
      <c r="N9" s="155" t="s">
        <v>96</v>
      </c>
    </row>
    <row r="10" spans="3:14" ht="14.25">
      <c r="C10" s="156" t="s">
        <v>7</v>
      </c>
      <c r="D10" s="11" t="s">
        <v>59</v>
      </c>
      <c r="E10" s="156" t="s">
        <v>8</v>
      </c>
      <c r="F10" s="156" t="s">
        <v>9</v>
      </c>
      <c r="G10" s="11"/>
      <c r="H10" s="158" t="s">
        <v>66</v>
      </c>
      <c r="J10" s="156" t="s">
        <v>7</v>
      </c>
      <c r="K10" s="156" t="s">
        <v>8</v>
      </c>
      <c r="L10" s="156" t="s">
        <v>9</v>
      </c>
      <c r="M10" s="11" t="s">
        <v>58</v>
      </c>
      <c r="N10" s="156" t="s">
        <v>66</v>
      </c>
    </row>
    <row r="11" spans="1:17" ht="12.75">
      <c r="A11" s="7" t="s">
        <v>51</v>
      </c>
      <c r="B11" s="112">
        <v>39</v>
      </c>
      <c r="C11" s="8">
        <v>42550</v>
      </c>
      <c r="D11" s="8">
        <f>C11*B11</f>
        <v>1659450</v>
      </c>
      <c r="E11" s="5">
        <v>6.51</v>
      </c>
      <c r="F11" s="9">
        <f>E11*C11</f>
        <v>277000.5</v>
      </c>
      <c r="G11" s="17">
        <f>F11/D11</f>
        <v>0.16692307692307692</v>
      </c>
      <c r="H11" s="4">
        <f>F11/F17</f>
        <v>0.8267099658960371</v>
      </c>
      <c r="J11" s="8">
        <f>C11</f>
        <v>42550</v>
      </c>
      <c r="K11" s="18">
        <f>L11/J11</f>
        <v>6.641657194495186</v>
      </c>
      <c r="L11" s="9">
        <f>'Revenue Calc'!J115</f>
        <v>282602.51362577017</v>
      </c>
      <c r="M11" s="17">
        <f>G11+'Revenue Calc'!$R$231</f>
        <v>0.17029890242295348</v>
      </c>
      <c r="N11" s="4">
        <f>L11/L17</f>
        <v>0.8249237326706624</v>
      </c>
      <c r="P11" s="10">
        <f>K11-E11</f>
        <v>0.13165719449518587</v>
      </c>
      <c r="Q11" s="4">
        <f>P11/E11</f>
        <v>0.020223839400182162</v>
      </c>
    </row>
    <row r="12" spans="1:17" ht="12.75">
      <c r="A12" s="7" t="s">
        <v>52</v>
      </c>
      <c r="B12" s="112">
        <v>87</v>
      </c>
      <c r="C12" s="8">
        <v>3288</v>
      </c>
      <c r="D12" s="8">
        <f>C12*B12</f>
        <v>286056</v>
      </c>
      <c r="E12" s="5">
        <v>9.26</v>
      </c>
      <c r="F12" s="9">
        <f>E12*C12</f>
        <v>30446.88</v>
      </c>
      <c r="G12" s="17">
        <f>F12/D12</f>
        <v>0.10643678160919541</v>
      </c>
      <c r="H12" s="4">
        <f>F12/F17</f>
        <v>0.09086893029594074</v>
      </c>
      <c r="J12" s="8">
        <f>C12</f>
        <v>3288</v>
      </c>
      <c r="K12" s="18">
        <f>L12/J12</f>
        <v>9.55369681848926</v>
      </c>
      <c r="L12" s="9">
        <f>'Revenue Calc'!J116</f>
        <v>31412.55513919269</v>
      </c>
      <c r="M12" s="17">
        <f>G12+'Revenue Calc'!$R$231</f>
        <v>0.10981260710907197</v>
      </c>
      <c r="N12" s="4">
        <f>L12/L17</f>
        <v>0.09169402602151117</v>
      </c>
      <c r="P12" s="10">
        <f>K12-E12</f>
        <v>0.293696818489261</v>
      </c>
      <c r="Q12" s="4">
        <f>P12/E12</f>
        <v>0.031716719059315446</v>
      </c>
    </row>
    <row r="13" spans="1:17" ht="12.75">
      <c r="A13" s="7" t="s">
        <v>53</v>
      </c>
      <c r="B13" s="112">
        <v>39</v>
      </c>
      <c r="C13" s="8">
        <v>828</v>
      </c>
      <c r="D13" s="8">
        <f>C13*B13</f>
        <v>32292</v>
      </c>
      <c r="E13" s="5">
        <v>8.9</v>
      </c>
      <c r="F13" s="9">
        <f>E13*C13</f>
        <v>7369.200000000001</v>
      </c>
      <c r="G13" s="17">
        <f>F13/D13</f>
        <v>0.22820512820512823</v>
      </c>
      <c r="H13" s="4">
        <f>F13/F17</f>
        <v>0.021993429906014886</v>
      </c>
      <c r="J13" s="8">
        <f>C13</f>
        <v>828</v>
      </c>
      <c r="K13" s="18">
        <f>L13/J13</f>
        <v>9.031657194495185</v>
      </c>
      <c r="L13" s="9">
        <f>'Revenue Calc'!J117</f>
        <v>7478.212157042014</v>
      </c>
      <c r="M13" s="17">
        <f>G13+'Revenue Calc'!$R$231</f>
        <v>0.23158095370500478</v>
      </c>
      <c r="N13" s="4">
        <f>L13/L17</f>
        <v>0.021829086398216967</v>
      </c>
      <c r="P13" s="10">
        <f>K13-E13</f>
        <v>0.13165719449518498</v>
      </c>
      <c r="Q13" s="4">
        <f>P13/E13</f>
        <v>0.014792943201706177</v>
      </c>
    </row>
    <row r="14" spans="1:17" ht="12.75">
      <c r="A14" s="7" t="s">
        <v>54</v>
      </c>
      <c r="B14" s="112">
        <v>159</v>
      </c>
      <c r="C14" s="8">
        <v>1512</v>
      </c>
      <c r="D14" s="8">
        <f>C14*B14</f>
        <v>240408</v>
      </c>
      <c r="E14" s="5">
        <v>12.39</v>
      </c>
      <c r="F14" s="9">
        <f>E14*C14</f>
        <v>18733.68</v>
      </c>
      <c r="G14" s="17">
        <f>F14/D14</f>
        <v>0.0779245283018868</v>
      </c>
      <c r="H14" s="4">
        <f>F14/F17</f>
        <v>0.05591080143865181</v>
      </c>
      <c r="J14" s="8">
        <f>C14</f>
        <v>1512</v>
      </c>
      <c r="K14" s="18">
        <f>L14/J14</f>
        <v>12.926756254480374</v>
      </c>
      <c r="L14" s="9">
        <f>'Revenue Calc'!J118</f>
        <v>19545.255456774325</v>
      </c>
      <c r="M14" s="17">
        <f>G14+'Revenue Calc'!$R$231</f>
        <v>0.08130035380176336</v>
      </c>
      <c r="N14" s="4">
        <f>L14/L17</f>
        <v>0.05705308449150907</v>
      </c>
      <c r="P14" s="10">
        <f>K14-E14</f>
        <v>0.5367562544803732</v>
      </c>
      <c r="Q14" s="4">
        <f>P14/E14</f>
        <v>0.04332173159647887</v>
      </c>
    </row>
    <row r="15" spans="1:17" ht="12.75">
      <c r="A15" s="7" t="s">
        <v>55</v>
      </c>
      <c r="B15" s="112">
        <v>58</v>
      </c>
      <c r="C15" s="8">
        <v>144</v>
      </c>
      <c r="D15" s="8">
        <f>C15*B15</f>
        <v>8352</v>
      </c>
      <c r="E15" s="5">
        <v>10.51</v>
      </c>
      <c r="F15" s="9">
        <f>E15*C15</f>
        <v>1513.44</v>
      </c>
      <c r="G15" s="17">
        <f>F15/D15</f>
        <v>0.18120689655172414</v>
      </c>
      <c r="H15" s="4">
        <f>F15/F17</f>
        <v>0.004516872463355475</v>
      </c>
      <c r="J15" s="8">
        <f>C15</f>
        <v>144</v>
      </c>
      <c r="K15" s="18">
        <f>L15/J15</f>
        <v>10.70579787899284</v>
      </c>
      <c r="L15" s="9">
        <f>'Revenue Calc'!J119</f>
        <v>1541.634894574969</v>
      </c>
      <c r="M15" s="17">
        <f>G15+'Revenue Calc'!$R$231</f>
        <v>0.1845827220516007</v>
      </c>
      <c r="N15" s="4">
        <f>L15/L17</f>
        <v>0.00450007041810034</v>
      </c>
      <c r="P15" s="10">
        <f>K15-E15</f>
        <v>0.19579787899284007</v>
      </c>
      <c r="Q15" s="4">
        <f>P15/E15</f>
        <v>0.01862967449979449</v>
      </c>
    </row>
    <row r="16" spans="12:14" ht="12.75">
      <c r="L16" s="9"/>
      <c r="M16" s="9"/>
      <c r="N16" s="4"/>
    </row>
    <row r="17" spans="1:17" ht="12.75">
      <c r="A17" t="s">
        <v>69</v>
      </c>
      <c r="C17" s="20">
        <f>SUM(C11:C16)</f>
        <v>48322</v>
      </c>
      <c r="D17" s="20">
        <f>SUM(D11:D16)</f>
        <v>2226558</v>
      </c>
      <c r="E17" s="21"/>
      <c r="F17" s="22">
        <f>SUM(F11:F16)</f>
        <v>335063.7</v>
      </c>
      <c r="G17" s="22"/>
      <c r="H17" s="154">
        <f>SUM(H11:H16)</f>
        <v>1</v>
      </c>
      <c r="I17" s="21"/>
      <c r="J17" s="20">
        <f>SUM(J11:J16)</f>
        <v>48322</v>
      </c>
      <c r="K17" s="21"/>
      <c r="L17" s="23">
        <f>SUM(L11:L16)</f>
        <v>342580.17127335415</v>
      </c>
      <c r="M17" s="19"/>
      <c r="N17" s="154">
        <f>SUM(N11:N16)</f>
        <v>0.9999999999999999</v>
      </c>
      <c r="P17" s="3">
        <f>L17-F17</f>
        <v>7516.471273354138</v>
      </c>
      <c r="Q17" s="4">
        <f>P17/F17</f>
        <v>0.022432962070657425</v>
      </c>
    </row>
    <row r="19" spans="1:12" ht="12.75">
      <c r="A19" t="s">
        <v>64</v>
      </c>
      <c r="F19" s="9">
        <v>1031</v>
      </c>
      <c r="G19" s="9"/>
      <c r="I19" s="9"/>
      <c r="J19" s="9"/>
      <c r="K19" s="9"/>
      <c r="L19" s="9">
        <f>F19</f>
        <v>1031</v>
      </c>
    </row>
    <row r="20" spans="1:12" ht="12.75">
      <c r="A20" t="s">
        <v>65</v>
      </c>
      <c r="F20" s="26">
        <v>1579</v>
      </c>
      <c r="G20" s="9"/>
      <c r="I20" s="9"/>
      <c r="J20" s="9"/>
      <c r="K20" s="9"/>
      <c r="L20" s="26">
        <f>F20</f>
        <v>1579</v>
      </c>
    </row>
    <row r="22" spans="1:17" ht="13.5" thickBot="1">
      <c r="A22" t="s">
        <v>66</v>
      </c>
      <c r="F22" s="25">
        <f>SUM(F17:F20)</f>
        <v>337673.7</v>
      </c>
      <c r="L22" s="25">
        <f>SUM(L17:L21)</f>
        <v>345190.17127335415</v>
      </c>
      <c r="P22" s="24">
        <f>L22-F22</f>
        <v>7516.471273354138</v>
      </c>
      <c r="Q22" s="4">
        <f>P22/F22</f>
        <v>0.02225956973656562</v>
      </c>
    </row>
    <row r="23" ht="13.5" thickTop="1"/>
    <row r="24" spans="1:17" ht="12.75">
      <c r="A24" t="s">
        <v>15</v>
      </c>
      <c r="F24" s="10">
        <f>F22/C17</f>
        <v>6.987990977194653</v>
      </c>
      <c r="G24" s="10"/>
      <c r="L24" s="6">
        <f>L22/C17</f>
        <v>7.143540649670008</v>
      </c>
      <c r="M24" s="6"/>
      <c r="N24" s="6"/>
      <c r="P24" s="10">
        <f>L24-F24</f>
        <v>0.15554967247535512</v>
      </c>
      <c r="Q24" s="4">
        <f>P24/F24</f>
        <v>0.022259569736565534</v>
      </c>
    </row>
    <row r="29" ht="12.75" hidden="1">
      <c r="A29" t="s">
        <v>68</v>
      </c>
    </row>
  </sheetData>
  <mergeCells count="2">
    <mergeCell ref="C7:H7"/>
    <mergeCell ref="J7:N7"/>
  </mergeCells>
  <printOptions/>
  <pageMargins left="0.47" right="0.53" top="1" bottom="1" header="0.5" footer="0.5"/>
  <pageSetup fitToHeight="1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"/>
  <sheetViews>
    <sheetView zoomScale="75" zoomScaleNormal="75" workbookViewId="0" topLeftCell="A1">
      <pane xSplit="4830" topLeftCell="N1" activePane="topRight" state="split"/>
      <selection pane="topLeft" activeCell="A19" sqref="A19"/>
      <selection pane="topRight" activeCell="S13" sqref="S13"/>
    </sheetView>
  </sheetViews>
  <sheetFormatPr defaultColWidth="9.140625" defaultRowHeight="12.75"/>
  <cols>
    <col min="1" max="1" width="44.7109375" style="0" bestFit="1" customWidth="1"/>
    <col min="2" max="3" width="12.00390625" style="0" bestFit="1" customWidth="1"/>
    <col min="4" max="5" width="13.140625" style="0" bestFit="1" customWidth="1"/>
    <col min="6" max="7" width="12.00390625" style="0" bestFit="1" customWidth="1"/>
    <col min="8" max="8" width="13.140625" style="0" bestFit="1" customWidth="1"/>
    <col min="9" max="9" width="2.00390625" style="0" customWidth="1"/>
    <col min="10" max="11" width="12.00390625" style="0" bestFit="1" customWidth="1"/>
    <col min="12" max="13" width="13.140625" style="0" bestFit="1" customWidth="1"/>
    <col min="14" max="15" width="12.00390625" style="0" bestFit="1" customWidth="1"/>
    <col min="16" max="16" width="13.28125" style="0" bestFit="1" customWidth="1"/>
    <col min="17" max="17" width="2.7109375" style="0" customWidth="1"/>
    <col min="18" max="18" width="12.00390625" style="0" bestFit="1" customWidth="1"/>
    <col min="19" max="19" width="11.421875" style="0" bestFit="1" customWidth="1"/>
    <col min="20" max="20" width="6.8515625" style="0" customWidth="1"/>
  </cols>
  <sheetData>
    <row r="2" spans="1:19" ht="15">
      <c r="A2" s="159" t="s">
        <v>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4.25">
      <c r="A3" s="160" t="s">
        <v>18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1:19" ht="14.25">
      <c r="A4" s="160" t="s">
        <v>16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19" ht="14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ht="14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4.25">
      <c r="A7" s="104"/>
      <c r="B7" s="104" t="s">
        <v>84</v>
      </c>
      <c r="C7" s="104"/>
      <c r="D7" s="104"/>
      <c r="E7" s="104"/>
      <c r="F7" s="104"/>
      <c r="G7" s="104"/>
      <c r="H7" s="104"/>
      <c r="I7" s="104"/>
      <c r="J7" s="104" t="s">
        <v>1</v>
      </c>
      <c r="K7" s="104"/>
      <c r="L7" s="104"/>
      <c r="M7" s="104"/>
      <c r="N7" s="104"/>
      <c r="O7" s="104"/>
      <c r="P7" s="104"/>
      <c r="Q7" s="104"/>
      <c r="R7" s="104"/>
      <c r="S7" s="104"/>
    </row>
    <row r="8" spans="1:19" ht="14.25">
      <c r="A8" s="104"/>
      <c r="B8" s="114" t="s">
        <v>87</v>
      </c>
      <c r="C8" s="114" t="s">
        <v>86</v>
      </c>
      <c r="D8" s="104" t="s">
        <v>85</v>
      </c>
      <c r="E8" s="104" t="s">
        <v>88</v>
      </c>
      <c r="F8" s="104" t="s">
        <v>64</v>
      </c>
      <c r="G8" s="104" t="s">
        <v>65</v>
      </c>
      <c r="H8" s="104" t="s">
        <v>66</v>
      </c>
      <c r="I8" s="104"/>
      <c r="J8" s="114" t="s">
        <v>87</v>
      </c>
      <c r="K8" s="114" t="s">
        <v>86</v>
      </c>
      <c r="L8" s="104" t="s">
        <v>85</v>
      </c>
      <c r="M8" s="104" t="s">
        <v>88</v>
      </c>
      <c r="N8" s="104" t="s">
        <v>64</v>
      </c>
      <c r="O8" s="104" t="s">
        <v>65</v>
      </c>
      <c r="P8" s="104" t="s">
        <v>66</v>
      </c>
      <c r="Q8" s="104"/>
      <c r="R8" s="104" t="s">
        <v>2</v>
      </c>
      <c r="S8" s="104" t="s">
        <v>3</v>
      </c>
    </row>
    <row r="9" spans="1:19" ht="14.25">
      <c r="A9" s="104" t="s">
        <v>77</v>
      </c>
      <c r="B9" s="105">
        <f>'Revenue Calc'!E17</f>
        <v>735196.1</v>
      </c>
      <c r="C9" s="105"/>
      <c r="D9" s="105">
        <f>'Revenue Calc'!E20+'Revenue Calc'!E21+'Revenue Calc'!E22</f>
        <v>6692284.437479999</v>
      </c>
      <c r="E9" s="105">
        <f>SUM(B9:D9)</f>
        <v>7427480.537479999</v>
      </c>
      <c r="F9" s="105">
        <f>'Revenue Calc'!E26</f>
        <v>788311</v>
      </c>
      <c r="G9" s="105">
        <f>'Revenue Calc'!E27</f>
        <v>604025</v>
      </c>
      <c r="H9" s="105">
        <f>SUM(E9:G9)</f>
        <v>8819816.537479999</v>
      </c>
      <c r="I9" s="105"/>
      <c r="J9" s="105">
        <f>'Revenue Calc'!J17</f>
        <v>735196.1</v>
      </c>
      <c r="K9" s="105"/>
      <c r="L9" s="105">
        <f>'Revenue Calc'!J20+'Revenue Calc'!J21+'Revenue Calc'!J22</f>
        <v>7031392.474726889</v>
      </c>
      <c r="M9" s="105">
        <f>SUM(J9:L9)</f>
        <v>7766588.574726889</v>
      </c>
      <c r="N9" s="105">
        <f>F9</f>
        <v>788311</v>
      </c>
      <c r="O9" s="105">
        <f>G9</f>
        <v>604025</v>
      </c>
      <c r="P9" s="105">
        <f>SUM(M9:O9)</f>
        <v>9158924.574726889</v>
      </c>
      <c r="Q9" s="105"/>
      <c r="R9" s="105">
        <f>P9-H9</f>
        <v>339108.03724689037</v>
      </c>
      <c r="S9" s="106">
        <f>R9/H9</f>
        <v>0.038448423026243635</v>
      </c>
    </row>
    <row r="10" spans="1:19" ht="14.25">
      <c r="A10" s="104" t="s">
        <v>78</v>
      </c>
      <c r="B10" s="105"/>
      <c r="C10" s="105"/>
      <c r="D10" s="105">
        <f>'Revenue Calc'!E50</f>
        <v>23565.29315</v>
      </c>
      <c r="E10" s="105">
        <f aca="true" t="shared" si="0" ref="E10:E15">SUM(B10:D10)</f>
        <v>23565.29315</v>
      </c>
      <c r="F10" s="105">
        <f>'Revenue Calc'!E54</f>
        <v>5488</v>
      </c>
      <c r="G10" s="105">
        <f>'Revenue Calc'!E55</f>
        <v>1960</v>
      </c>
      <c r="H10" s="105">
        <f aca="true" t="shared" si="1" ref="H10:H15">SUM(E10:G10)</f>
        <v>31013.29315</v>
      </c>
      <c r="I10" s="105"/>
      <c r="J10" s="105"/>
      <c r="K10" s="105"/>
      <c r="L10" s="105">
        <f>'Revenue Calc'!J50</f>
        <v>24798.903005897755</v>
      </c>
      <c r="M10" s="105">
        <f aca="true" t="shared" si="2" ref="M10:M15">SUM(J10:L10)</f>
        <v>24798.903005897755</v>
      </c>
      <c r="N10" s="105">
        <f aca="true" t="shared" si="3" ref="N10:N15">F10</f>
        <v>5488</v>
      </c>
      <c r="O10" s="105">
        <f aca="true" t="shared" si="4" ref="O10:O15">G10</f>
        <v>1960</v>
      </c>
      <c r="P10" s="105">
        <f aca="true" t="shared" si="5" ref="P10:P15">SUM(M10:O10)</f>
        <v>32246.903005897755</v>
      </c>
      <c r="Q10" s="105"/>
      <c r="R10" s="105">
        <f aca="true" t="shared" si="6" ref="R10:R15">P10-H10</f>
        <v>1233.6098558977537</v>
      </c>
      <c r="S10" s="106">
        <f aca="true" t="shared" si="7" ref="S10:S15">R10/H10</f>
        <v>0.039776809574243926</v>
      </c>
    </row>
    <row r="11" spans="1:19" ht="14.25">
      <c r="A11" s="104" t="s">
        <v>79</v>
      </c>
      <c r="B11" s="105">
        <v>0</v>
      </c>
      <c r="C11" s="105">
        <f>'Revenue Calc'!E77</f>
        <v>578799</v>
      </c>
      <c r="D11" s="105">
        <f>'Revenue Calc'!E80+'Revenue Calc'!E81+'Revenue Calc'!E82</f>
        <v>1986269.1050999998</v>
      </c>
      <c r="E11" s="105">
        <f t="shared" si="0"/>
        <v>2565068.1051</v>
      </c>
      <c r="F11" s="105">
        <f>'Revenue Calc'!E86</f>
        <v>328378</v>
      </c>
      <c r="G11" s="105">
        <f>'Revenue Calc'!E87</f>
        <v>211737</v>
      </c>
      <c r="H11" s="105">
        <f t="shared" si="1"/>
        <v>3105183.1051</v>
      </c>
      <c r="I11" s="105"/>
      <c r="J11" s="105">
        <v>0</v>
      </c>
      <c r="K11" s="105">
        <f>'Revenue Calc'!J77</f>
        <v>578799</v>
      </c>
      <c r="L11" s="105">
        <f>'Revenue Calc'!J80+'Revenue Calc'!J81+'Revenue Calc'!J82</f>
        <v>2127505.2112027365</v>
      </c>
      <c r="M11" s="105">
        <f t="shared" si="2"/>
        <v>2706304.2112027365</v>
      </c>
      <c r="N11" s="105">
        <f t="shared" si="3"/>
        <v>328378</v>
      </c>
      <c r="O11" s="105">
        <f t="shared" si="4"/>
        <v>211737</v>
      </c>
      <c r="P11" s="105">
        <f t="shared" si="5"/>
        <v>3246419.2112027365</v>
      </c>
      <c r="Q11" s="105"/>
      <c r="R11" s="105">
        <f t="shared" si="6"/>
        <v>141236.10610273667</v>
      </c>
      <c r="S11" s="106">
        <f t="shared" si="7"/>
        <v>0.04548398639383563</v>
      </c>
    </row>
    <row r="12" spans="1:19" ht="14.25">
      <c r="A12" s="104" t="s">
        <v>80</v>
      </c>
      <c r="B12" s="105">
        <f>Lighting!F17</f>
        <v>335063.7</v>
      </c>
      <c r="C12" s="105"/>
      <c r="D12" s="105"/>
      <c r="E12" s="105">
        <f t="shared" si="0"/>
        <v>335063.7</v>
      </c>
      <c r="F12" s="105">
        <f>Lighting!F19</f>
        <v>1031</v>
      </c>
      <c r="G12" s="105">
        <f>Lighting!F20</f>
        <v>1579</v>
      </c>
      <c r="H12" s="105">
        <f t="shared" si="1"/>
        <v>337673.7</v>
      </c>
      <c r="I12" s="105"/>
      <c r="J12" s="105">
        <f>Lighting!L17</f>
        <v>342580.17127335415</v>
      </c>
      <c r="K12" s="105"/>
      <c r="L12" s="105"/>
      <c r="M12" s="105">
        <f t="shared" si="2"/>
        <v>342580.17127335415</v>
      </c>
      <c r="N12" s="105">
        <f t="shared" si="3"/>
        <v>1031</v>
      </c>
      <c r="O12" s="105">
        <f t="shared" si="4"/>
        <v>1579</v>
      </c>
      <c r="P12" s="105">
        <f t="shared" si="5"/>
        <v>345190.17127335415</v>
      </c>
      <c r="Q12" s="105"/>
      <c r="R12" s="105">
        <f t="shared" si="6"/>
        <v>7516.471273354138</v>
      </c>
      <c r="S12" s="106">
        <f t="shared" si="7"/>
        <v>0.02225956973656562</v>
      </c>
    </row>
    <row r="13" spans="1:19" ht="14.25">
      <c r="A13" s="104" t="s">
        <v>81</v>
      </c>
      <c r="B13" s="105">
        <f>'Revenue Calc'!E142+'Revenue Calc'!E143</f>
        <v>836974.7999999999</v>
      </c>
      <c r="C13" s="105"/>
      <c r="D13" s="105">
        <f>'Revenue Calc'!E145</f>
        <v>6863561.77998</v>
      </c>
      <c r="E13" s="105">
        <f t="shared" si="0"/>
        <v>7700536.57998</v>
      </c>
      <c r="F13" s="105">
        <f>'Revenue Calc'!E150</f>
        <v>960538</v>
      </c>
      <c r="G13" s="105">
        <f>'Revenue Calc'!E151</f>
        <v>633036</v>
      </c>
      <c r="H13" s="105">
        <f t="shared" si="1"/>
        <v>9294110.57998</v>
      </c>
      <c r="I13" s="105"/>
      <c r="J13" s="105">
        <f>'Revenue Calc'!J142+'Revenue Calc'!J143</f>
        <v>836974.7999999999</v>
      </c>
      <c r="K13" s="105"/>
      <c r="L13" s="105">
        <f>'Revenue Calc'!J145</f>
        <v>7275989.45667695</v>
      </c>
      <c r="M13" s="105">
        <f t="shared" si="2"/>
        <v>8112964.25667695</v>
      </c>
      <c r="N13" s="105">
        <f t="shared" si="3"/>
        <v>960538</v>
      </c>
      <c r="O13" s="105">
        <f t="shared" si="4"/>
        <v>633036</v>
      </c>
      <c r="P13" s="105">
        <f t="shared" si="5"/>
        <v>9706538.25667695</v>
      </c>
      <c r="Q13" s="105"/>
      <c r="R13" s="105">
        <f t="shared" si="6"/>
        <v>412427.6766969487</v>
      </c>
      <c r="S13" s="106">
        <f t="shared" si="7"/>
        <v>0.04437516351326177</v>
      </c>
    </row>
    <row r="14" spans="1:19" ht="14.25">
      <c r="A14" s="104" t="s">
        <v>82</v>
      </c>
      <c r="B14" s="105">
        <f>'Revenue Calc'!E171</f>
        <v>70085</v>
      </c>
      <c r="C14" s="105">
        <f>'Revenue Calc'!E173+'Revenue Calc'!E174</f>
        <v>1517193.95</v>
      </c>
      <c r="D14" s="105">
        <f>'Revenue Calc'!E177</f>
        <v>4332351.53583</v>
      </c>
      <c r="E14" s="105">
        <f t="shared" si="0"/>
        <v>5919630.485830001</v>
      </c>
      <c r="F14" s="105">
        <f>'Revenue Calc'!E181</f>
        <v>938402</v>
      </c>
      <c r="G14" s="105">
        <f>'Revenue Calc'!E182</f>
        <v>492621</v>
      </c>
      <c r="H14" s="105">
        <f t="shared" si="1"/>
        <v>7350653.485830001</v>
      </c>
      <c r="I14" s="105"/>
      <c r="J14" s="105">
        <f>'Revenue Calc'!J171</f>
        <v>70085</v>
      </c>
      <c r="K14" s="105">
        <f>'Revenue Calc'!J173+'Revenue Calc'!J174</f>
        <v>2031637.95</v>
      </c>
      <c r="L14" s="105">
        <f>'Revenue Calc'!J177</f>
        <v>4332351.53583</v>
      </c>
      <c r="M14" s="105">
        <f t="shared" si="2"/>
        <v>6434074.485830001</v>
      </c>
      <c r="N14" s="105">
        <f t="shared" si="3"/>
        <v>938402</v>
      </c>
      <c r="O14" s="105">
        <f t="shared" si="4"/>
        <v>492621</v>
      </c>
      <c r="P14" s="105">
        <f t="shared" si="5"/>
        <v>7865097.485830001</v>
      </c>
      <c r="Q14" s="105"/>
      <c r="R14" s="105">
        <f t="shared" si="6"/>
        <v>514444</v>
      </c>
      <c r="S14" s="106">
        <f t="shared" si="7"/>
        <v>0.06998615850845151</v>
      </c>
    </row>
    <row r="15" spans="1:19" ht="14.25">
      <c r="A15" s="104" t="s">
        <v>83</v>
      </c>
      <c r="B15" s="105">
        <f>'Revenue Calc'!E207</f>
        <v>12828</v>
      </c>
      <c r="C15" s="105">
        <f>'Revenue Calc'!E209+'Revenue Calc'!E210</f>
        <v>494834.18</v>
      </c>
      <c r="D15" s="105">
        <f>'Revenue Calc'!E213</f>
        <v>1495811.38519</v>
      </c>
      <c r="E15" s="105">
        <f t="shared" si="0"/>
        <v>2003473.56519</v>
      </c>
      <c r="F15" s="105">
        <f>'Revenue Calc'!E217</f>
        <v>374879</v>
      </c>
      <c r="G15" s="105">
        <f>'Revenue Calc'!E218</f>
        <v>175004</v>
      </c>
      <c r="H15" s="105">
        <f t="shared" si="1"/>
        <v>2553356.56519</v>
      </c>
      <c r="I15" s="105"/>
      <c r="J15" s="105">
        <f>'Revenue Calc'!J207</f>
        <v>12828</v>
      </c>
      <c r="K15" s="105">
        <f>'Revenue Calc'!J209+'Revenue Calc'!J210</f>
        <v>666782.28</v>
      </c>
      <c r="L15" s="105">
        <f>'Revenue Calc'!J213</f>
        <v>1495811.38519</v>
      </c>
      <c r="M15" s="105">
        <f t="shared" si="2"/>
        <v>2175421.66519</v>
      </c>
      <c r="N15" s="105">
        <f t="shared" si="3"/>
        <v>374879</v>
      </c>
      <c r="O15" s="105">
        <f t="shared" si="4"/>
        <v>175004</v>
      </c>
      <c r="P15" s="105">
        <f t="shared" si="5"/>
        <v>2725304.66519</v>
      </c>
      <c r="Q15" s="105"/>
      <c r="R15" s="105">
        <f t="shared" si="6"/>
        <v>171948.1000000001</v>
      </c>
      <c r="S15" s="106">
        <f t="shared" si="7"/>
        <v>0.06734198519085606</v>
      </c>
    </row>
    <row r="16" spans="1:19" ht="14.2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6"/>
    </row>
    <row r="17" spans="1:19" ht="15" thickBot="1">
      <c r="A17" s="104"/>
      <c r="B17" s="107">
        <f aca="true" t="shared" si="8" ref="B17:O17">SUM(B9:B15)</f>
        <v>1990147.6</v>
      </c>
      <c r="C17" s="107">
        <f t="shared" si="8"/>
        <v>2590827.13</v>
      </c>
      <c r="D17" s="107">
        <f t="shared" si="8"/>
        <v>21393843.53673</v>
      </c>
      <c r="E17" s="107">
        <f t="shared" si="8"/>
        <v>25974818.26673</v>
      </c>
      <c r="F17" s="107">
        <f t="shared" si="8"/>
        <v>3397027</v>
      </c>
      <c r="G17" s="107">
        <f t="shared" si="8"/>
        <v>2119962</v>
      </c>
      <c r="H17" s="107">
        <f t="shared" si="8"/>
        <v>31491807.26673</v>
      </c>
      <c r="I17" s="107"/>
      <c r="J17" s="107">
        <f t="shared" si="8"/>
        <v>1997664.0712733539</v>
      </c>
      <c r="K17" s="107">
        <f t="shared" si="8"/>
        <v>3277219.2300000004</v>
      </c>
      <c r="L17" s="107">
        <f t="shared" si="8"/>
        <v>22287848.966632474</v>
      </c>
      <c r="M17" s="107">
        <f t="shared" si="8"/>
        <v>27562732.267905828</v>
      </c>
      <c r="N17" s="107">
        <f t="shared" si="8"/>
        <v>3397027</v>
      </c>
      <c r="O17" s="107">
        <f t="shared" si="8"/>
        <v>2119962</v>
      </c>
      <c r="P17" s="107">
        <f>SUM(P9:P15)</f>
        <v>33079721.267905828</v>
      </c>
      <c r="Q17" s="107"/>
      <c r="R17" s="107">
        <f>SUM(R9:R16)</f>
        <v>1587914.0011758278</v>
      </c>
      <c r="S17" s="108">
        <f>R17/H17</f>
        <v>0.050423082668024706</v>
      </c>
    </row>
  </sheetData>
  <mergeCells count="3">
    <mergeCell ref="A2:S2"/>
    <mergeCell ref="A3:S3"/>
    <mergeCell ref="A4:S4"/>
  </mergeCells>
  <printOptions gridLines="1" horizontalCentered="1"/>
  <pageMargins left="0.2" right="0.24" top="1" bottom="1" header="0.5" footer="0.5"/>
  <pageSetup fitToHeight="1" fitToWidth="1" horizontalDpi="600" verticalDpi="600" orientation="landscape" scale="55" r:id="rId1"/>
  <headerFooter alignWithMargins="0">
    <oddFooter>&amp;R&amp;A,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peggy</cp:lastModifiedBy>
  <cp:lastPrinted>2007-03-20T16:32:39Z</cp:lastPrinted>
  <dcterms:created xsi:type="dcterms:W3CDTF">2006-12-02T15:53:04Z</dcterms:created>
  <dcterms:modified xsi:type="dcterms:W3CDTF">2007-03-20T16:33:39Z</dcterms:modified>
  <cp:category/>
  <cp:version/>
  <cp:contentType/>
  <cp:contentStatus/>
</cp:coreProperties>
</file>