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tabRatio="602" activeTab="3"/>
  </bookViews>
  <sheets>
    <sheet name="3a1 " sheetId="1" r:id="rId1"/>
    <sheet name="Summary  (2)" sheetId="2" r:id="rId2"/>
    <sheet name="3a2" sheetId="3" r:id="rId3"/>
    <sheet name="3a2 Lighting" sheetId="4" r:id="rId4"/>
  </sheets>
  <definedNames>
    <definedName name="_xlnm.Print_Area" localSheetId="0">'3a1 '!$A$1:$M$33</definedName>
    <definedName name="_xlnm.Print_Area" localSheetId="3">'3a2 Lighting'!$A$1:$V$49</definedName>
  </definedNames>
  <calcPr fullCalcOnLoad="1"/>
</workbook>
</file>

<file path=xl/sharedStrings.xml><?xml version="1.0" encoding="utf-8"?>
<sst xmlns="http://schemas.openxmlformats.org/spreadsheetml/2006/main" count="460" uniqueCount="118">
  <si>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</si>
  <si>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</si>
  <si>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</si>
  <si>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</si>
  <si>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</si>
  <si>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</si>
  <si>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</si>
  <si>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</si>
  <si>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</si>
  <si>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</si>
  <si>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</si>
  <si>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</si>
  <si>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</si>
  <si>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</si>
  <si>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</si>
  <si>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</si>
  <si>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</si>
  <si>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</si>
  <si>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</si>
  <si>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</si>
  <si>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</si>
  <si>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Total Baseload Charges</t>
  </si>
  <si>
    <t>Total Revenues</t>
  </si>
  <si>
    <t>Dmd $</t>
  </si>
  <si>
    <t>Energy $</t>
  </si>
  <si>
    <t>Per kWh</t>
  </si>
  <si>
    <t>kWh</t>
  </si>
  <si>
    <t xml:space="preserve">  Per kWh</t>
  </si>
  <si>
    <t>Less Dmd $</t>
  </si>
  <si>
    <t>per kWh</t>
  </si>
  <si>
    <t>Total Revenue Req</t>
  </si>
  <si>
    <t>Total Base Rates</t>
  </si>
  <si>
    <t>Farmers Rural Electric Cooperative</t>
  </si>
  <si>
    <t>Schedule R</t>
  </si>
  <si>
    <t xml:space="preserve">  First 50 kWh</t>
  </si>
  <si>
    <t xml:space="preserve">  all over 50 kWh</t>
  </si>
  <si>
    <t>Residential Service</t>
  </si>
  <si>
    <t xml:space="preserve">  First 50 kWh kW</t>
  </si>
  <si>
    <t xml:space="preserve">  All over 50 kWh</t>
  </si>
  <si>
    <t>Schedule C Section A</t>
  </si>
  <si>
    <t>Customer Charge / Energy Charge</t>
  </si>
  <si>
    <t>Schedule RM</t>
  </si>
  <si>
    <t>Rate 5</t>
  </si>
  <si>
    <t>Rate 9</t>
  </si>
  <si>
    <t>Schedule E</t>
  </si>
  <si>
    <t>Rate 10</t>
  </si>
  <si>
    <t>Schedule CM</t>
  </si>
  <si>
    <t>Rate 8</t>
  </si>
  <si>
    <t>Lighting - Farmers</t>
  </si>
  <si>
    <t>Total Annual Invoices - Incl Min Bills</t>
  </si>
  <si>
    <t>Total Customer Bills - Incl Min Bill</t>
  </si>
  <si>
    <t>Schedule SL</t>
  </si>
  <si>
    <t>Rate 6</t>
  </si>
  <si>
    <t>Sodium Vapor 1000 Watt</t>
  </si>
  <si>
    <t>Sodium Vapor 400 Watt</t>
  </si>
  <si>
    <t>Sodium Vapor 250 Watt</t>
  </si>
  <si>
    <t>Sodium Vapor 150 Watt</t>
  </si>
  <si>
    <t>Sodium Vapor 100 Watt</t>
  </si>
  <si>
    <t>Mercury Vapor 1000 Watt</t>
  </si>
  <si>
    <t>Mercury Vapor 400 Watt</t>
  </si>
  <si>
    <t>Mercury Vapor 250 Watt</t>
  </si>
  <si>
    <t>Mercury Vapor 175 Watt</t>
  </si>
  <si>
    <t>Mercury Vapor 175 Watt (shared)</t>
  </si>
  <si>
    <t>OL</t>
  </si>
  <si>
    <t>Total Non-Demand kWh</t>
  </si>
  <si>
    <t>Number of Bills</t>
  </si>
  <si>
    <t>Customer Bills</t>
  </si>
  <si>
    <t>E-Based kWh</t>
  </si>
  <si>
    <t>Farmers Rural Electric Cooperative Corporation</t>
  </si>
  <si>
    <t>Total $</t>
  </si>
  <si>
    <t>Schedule R Residential Service</t>
  </si>
  <si>
    <t>Schedule RM Residential ETS</t>
  </si>
  <si>
    <t>Schedule CM Small Commercial Off-Peak Marketing</t>
  </si>
  <si>
    <t>Schedule C Section B Rate 5</t>
  </si>
  <si>
    <t>Schedule C Section 2 Rate 9</t>
  </si>
  <si>
    <t>Schedule E Lg Comm &amp; Industrial Rate 10</t>
  </si>
  <si>
    <t>Schedule SL Rate 6</t>
  </si>
  <si>
    <t>Schedule OL - Outdoor Lighting Service</t>
  </si>
  <si>
    <t>Commercial &amp; Industrial Service 50 kW and Over</t>
  </si>
  <si>
    <t>Commercial &amp; Industrial Less than 50 kW</t>
  </si>
  <si>
    <t>Schedule C Section 2</t>
  </si>
  <si>
    <t>* Includes Adjustment</t>
  </si>
  <si>
    <t>Total Base $</t>
  </si>
  <si>
    <t>FAC</t>
  </si>
  <si>
    <t>Env Surcharge</t>
  </si>
  <si>
    <t>Schedule D</t>
  </si>
  <si>
    <t>Schedule D Large Comm/ Ind TOD</t>
  </si>
  <si>
    <t>Schedule C Section 2a</t>
  </si>
  <si>
    <t>Schedule C Section 1</t>
  </si>
  <si>
    <t xml:space="preserve">    (Primary Service Rider)</t>
  </si>
  <si>
    <t>10 % Discount</t>
  </si>
  <si>
    <t>Residential Off-Peak Marketing</t>
  </si>
  <si>
    <t>Small Commercial Off-Peak Marketing</t>
  </si>
  <si>
    <t>Large Commercial / Industrial Service Optional Time-of-Day Rate</t>
  </si>
  <si>
    <t>Large Industrial Rate</t>
  </si>
  <si>
    <t>Street Lighting Service</t>
  </si>
  <si>
    <t>Schedule R - Residential Service</t>
  </si>
  <si>
    <t>Schedule RM - Residential Off-Peak Marketing</t>
  </si>
  <si>
    <t>Schedule CM - Small Commercial Off-Peak Marketing</t>
  </si>
  <si>
    <t>Schedule C Section 1 - Commercial &amp; Industrial Service Less than 50 kW</t>
  </si>
  <si>
    <t>Schedule D - Large Commercial/Industrial Service Optional Time-of-Day Rate</t>
  </si>
  <si>
    <t>Schedule E - Large Industrial Rate</t>
  </si>
  <si>
    <t>Schedule SL - Street Lighting Service</t>
  </si>
  <si>
    <t>Commercial &amp; Industrial Service 50 kW or Above</t>
  </si>
  <si>
    <t>Schedule C Section 2 - Commercial &amp; Industrial Service 50 kW or Above</t>
  </si>
  <si>
    <t>Schedule C Section 2a - Commercial &amp; Industrial Service 50 kW or Above</t>
  </si>
  <si>
    <t>% to</t>
  </si>
  <si>
    <t>Total</t>
  </si>
  <si>
    <t>% Total</t>
  </si>
  <si>
    <t>Rate Class</t>
  </si>
  <si>
    <t>Request 3a 1</t>
  </si>
  <si>
    <t>Page 1 of 1</t>
  </si>
  <si>
    <t>Request 3a 2</t>
  </si>
  <si>
    <t>Page 1 of 4</t>
  </si>
  <si>
    <t>Page 2 of 4</t>
  </si>
  <si>
    <t>Page 3 of 4</t>
  </si>
  <si>
    <t>Page 4 of 4</t>
  </si>
  <si>
    <t>Attachment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</si>
</sst>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&quot;$&quot;#,##0.0_);\(&quot;$&quot;#,##0.0\)"/>
    <numFmt numFmtId="174" formatCode="_(&quot;$&quot;* #,##0.0_);_(&quot;$&quot;* \(#,##0.0\);_(&quot;$&quot;* &quot;-&quot;??_);_(@_)"/>
    <numFmt numFmtId="175" formatCode="_(* #,##0.000000_);_(* \(#,##0.000000\);_(* &quot;-&quot;??_);_(@_)"/>
    <numFmt numFmtId="176" formatCode="&quot;$&quot;#,##0.000000_);\(&quot;$&quot;#,##0.000000\)"/>
    <numFmt numFmtId="177" formatCode="&quot;$&quot;#,##0.0000_);\(&quot;$&quot;#,##0.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  <numFmt numFmtId="182" formatCode="&quot;$&quot;#,##0.00000000000_);\(&quot;$&quot;#,##0.00000000000\)"/>
    <numFmt numFmtId="183" formatCode="_(* #,##0.0000000_);_(* \(#,##0.0000000\);_(* &quot;-&quot;??_);_(@_)"/>
    <numFmt numFmtId="184" formatCode="_(&quot;$&quot;* #,##0.000_);_(&quot;$&quot;* \(#,##0.000\);_(&quot;$&quot;* &quot;-&quot;??_);_(@_)"/>
  </numFmts>
  <fonts count="13">
    <font>
      <sz val="10"/>
      <name val="Arial"/>
      <family val="0"/>
    </font>
    <font>
      <sz val="11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P-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43" fontId="0" fillId="0" borderId="0" xfId="15" applyAlignment="1">
      <alignment/>
    </xf>
    <xf numFmtId="37" fontId="0" fillId="0" borderId="0" xfId="0" applyNumberFormat="1" applyAlignment="1">
      <alignment/>
    </xf>
    <xf numFmtId="172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Continuous"/>
      <protection/>
    </xf>
    <xf numFmtId="169" fontId="0" fillId="0" borderId="0" xfId="15" applyNumberFormat="1" applyAlignment="1">
      <alignment/>
    </xf>
    <xf numFmtId="43" fontId="0" fillId="2" borderId="0" xfId="15" applyFill="1" applyAlignment="1">
      <alignment/>
    </xf>
    <xf numFmtId="172" fontId="0" fillId="0" borderId="0" xfId="15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172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72" fontId="0" fillId="0" borderId="9" xfId="15" applyNumberFormat="1" applyFont="1" applyBorder="1" applyAlignment="1">
      <alignment/>
    </xf>
    <xf numFmtId="10" fontId="0" fillId="0" borderId="9" xfId="21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10" fontId="0" fillId="0" borderId="10" xfId="21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10" fontId="0" fillId="0" borderId="11" xfId="21" applyNumberFormat="1" applyFont="1" applyBorder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37" fontId="0" fillId="0" borderId="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44" fontId="0" fillId="0" borderId="0" xfId="17" applyFont="1" applyAlignment="1">
      <alignment/>
    </xf>
    <xf numFmtId="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4" fontId="0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165" fontId="0" fillId="0" borderId="0" xfId="17" applyNumberFormat="1" applyFont="1" applyAlignment="1">
      <alignment/>
    </xf>
    <xf numFmtId="18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2" borderId="0" xfId="17" applyNumberFormat="1" applyFont="1" applyFill="1" applyAlignment="1">
      <alignment/>
    </xf>
    <xf numFmtId="0" fontId="0" fillId="0" borderId="0" xfId="0" applyFont="1" applyAlignment="1">
      <alignment/>
    </xf>
    <xf numFmtId="172" fontId="4" fillId="0" borderId="0" xfId="15" applyNumberFormat="1" applyFont="1" applyAlignment="1" applyProtection="1">
      <alignment horizontal="center"/>
      <protection/>
    </xf>
    <xf numFmtId="10" fontId="4" fillId="0" borderId="0" xfId="21" applyNumberFormat="1" applyFont="1" applyAlignment="1" applyProtection="1">
      <alignment horizontal="center"/>
      <protection/>
    </xf>
    <xf numFmtId="172" fontId="4" fillId="0" borderId="12" xfId="15" applyNumberFormat="1" applyFont="1" applyBorder="1" applyAlignment="1" applyProtection="1">
      <alignment horizontal="center"/>
      <protection/>
    </xf>
    <xf numFmtId="10" fontId="4" fillId="0" borderId="12" xfId="21" applyNumberFormat="1" applyFont="1" applyBorder="1" applyAlignment="1" applyProtection="1">
      <alignment horizontal="center"/>
      <protection/>
    </xf>
    <xf numFmtId="10" fontId="4" fillId="0" borderId="0" xfId="21" applyNumberFormat="1" applyFont="1" applyAlignment="1" applyProtection="1">
      <alignment horizontal="right"/>
      <protection/>
    </xf>
    <xf numFmtId="172" fontId="0" fillId="0" borderId="0" xfId="15" applyNumberFormat="1" applyFont="1" applyAlignment="1">
      <alignment/>
    </xf>
    <xf numFmtId="172" fontId="4" fillId="0" borderId="0" xfId="15" applyNumberFormat="1" applyFont="1" applyAlignment="1" applyProtection="1">
      <alignment horizontal="centerContinuous"/>
      <protection/>
    </xf>
    <xf numFmtId="172" fontId="4" fillId="0" borderId="0" xfId="15" applyNumberFormat="1" applyFont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44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Alignment="1" applyProtection="1">
      <alignment/>
      <protection/>
    </xf>
    <xf numFmtId="172" fontId="0" fillId="0" borderId="0" xfId="15" applyNumberFormat="1" applyFont="1" applyFill="1" applyAlignment="1" applyProtection="1">
      <alignment/>
      <protection/>
    </xf>
    <xf numFmtId="172" fontId="0" fillId="0" borderId="0" xfId="15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5" fontId="0" fillId="0" borderId="1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5" fontId="0" fillId="0" borderId="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172" fontId="0" fillId="0" borderId="9" xfId="0" applyNumberFormat="1" applyFont="1" applyBorder="1" applyAlignment="1" applyProtection="1">
      <alignment/>
      <protection/>
    </xf>
    <xf numFmtId="172" fontId="0" fillId="0" borderId="14" xfId="0" applyNumberFormat="1" applyFont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172" fontId="0" fillId="0" borderId="13" xfId="15" applyNumberFormat="1" applyFont="1" applyBorder="1" applyAlignment="1" applyProtection="1">
      <alignment/>
      <protection/>
    </xf>
    <xf numFmtId="172" fontId="0" fillId="0" borderId="14" xfId="15" applyNumberFormat="1" applyFont="1" applyBorder="1" applyAlignment="1" applyProtection="1">
      <alignment/>
      <protection/>
    </xf>
    <xf numFmtId="165" fontId="0" fillId="0" borderId="0" xfId="17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0" fontId="4" fillId="0" borderId="0" xfId="21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right" textRotation="180"/>
    </xf>
    <xf numFmtId="0" fontId="9" fillId="0" borderId="0" xfId="0" applyFont="1" applyBorder="1" applyAlignment="1">
      <alignment horizontal="right"/>
    </xf>
    <xf numFmtId="0" fontId="0" fillId="0" borderId="0" xfId="0" applyAlignment="1">
      <alignment textRotation="18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>
      <alignment textRotation="180"/>
    </xf>
    <xf numFmtId="0" fontId="0" fillId="0" borderId="0" xfId="0" applyAlignment="1">
      <alignment horizontal="center"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0" fontId="7" fillId="0" borderId="0" xfId="21" applyNumberFormat="1" applyFont="1" applyBorder="1" applyAlignment="1" applyProtection="1">
      <alignment horizontal="centerContinuous"/>
      <protection/>
    </xf>
    <xf numFmtId="10" fontId="7" fillId="0" borderId="0" xfId="21" applyNumberFormat="1" applyFont="1" applyAlignment="1" applyProtection="1">
      <alignment horizontal="center"/>
      <protection/>
    </xf>
    <xf numFmtId="10" fontId="7" fillId="0" borderId="0" xfId="21" applyNumberFormat="1" applyFont="1" applyAlignment="1" applyProtection="1">
      <alignment horizontal="centerContinuous"/>
      <protection/>
    </xf>
    <xf numFmtId="10" fontId="7" fillId="0" borderId="21" xfId="21" applyNumberFormat="1" applyFont="1" applyBorder="1" applyAlignment="1" applyProtection="1">
      <alignment horizontal="center"/>
      <protection/>
    </xf>
    <xf numFmtId="10" fontId="7" fillId="0" borderId="22" xfId="21" applyNumberFormat="1" applyFont="1" applyBorder="1" applyAlignment="1" applyProtection="1">
      <alignment/>
      <protection/>
    </xf>
    <xf numFmtId="10" fontId="7" fillId="0" borderId="15" xfId="21" applyNumberFormat="1" applyFont="1" applyBorder="1" applyAlignment="1" applyProtection="1">
      <alignment horizontal="center"/>
      <protection/>
    </xf>
    <xf numFmtId="10" fontId="7" fillId="0" borderId="16" xfId="21" applyNumberFormat="1" applyFont="1" applyBorder="1" applyAlignment="1" applyProtection="1">
      <alignment horizontal="center"/>
      <protection/>
    </xf>
    <xf numFmtId="10" fontId="7" fillId="0" borderId="0" xfId="21" applyNumberFormat="1" applyFont="1" applyAlignment="1" applyProtection="1">
      <alignment/>
      <protection/>
    </xf>
    <xf numFmtId="10" fontId="7" fillId="0" borderId="0" xfId="21" applyNumberFormat="1" applyFont="1" applyBorder="1" applyAlignment="1" applyProtection="1">
      <alignment/>
      <protection/>
    </xf>
    <xf numFmtId="10" fontId="7" fillId="0" borderId="0" xfId="21" applyNumberFormat="1" applyFont="1" applyFill="1" applyAlignment="1" applyProtection="1">
      <alignment/>
      <protection/>
    </xf>
    <xf numFmtId="10" fontId="7" fillId="0" borderId="0" xfId="21" applyNumberFormat="1" applyFont="1" applyFill="1" applyBorder="1" applyAlignment="1" applyProtection="1">
      <alignment/>
      <protection/>
    </xf>
    <xf numFmtId="10" fontId="7" fillId="0" borderId="0" xfId="21" applyNumberFormat="1" applyFont="1" applyAlignment="1">
      <alignment/>
    </xf>
    <xf numFmtId="10" fontId="10" fillId="0" borderId="0" xfId="21" applyNumberFormat="1" applyFont="1" applyAlignment="1" applyProtection="1">
      <alignment horizontal="center"/>
      <protection/>
    </xf>
    <xf numFmtId="10" fontId="7" fillId="0" borderId="0" xfId="21" applyNumberFormat="1" applyFont="1" applyBorder="1" applyAlignment="1">
      <alignment/>
    </xf>
    <xf numFmtId="10" fontId="7" fillId="0" borderId="0" xfId="21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7" fontId="7" fillId="0" borderId="0" xfId="0" applyNumberFormat="1" applyFont="1" applyAlignment="1">
      <alignment/>
    </xf>
    <xf numFmtId="0" fontId="10" fillId="0" borderId="0" xfId="0" applyFont="1" applyAlignment="1" applyProtection="1">
      <alignment horizontal="center"/>
      <protection/>
    </xf>
    <xf numFmtId="44" fontId="7" fillId="0" borderId="0" xfId="17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2" fontId="7" fillId="0" borderId="0" xfId="15" applyNumberFormat="1" applyFont="1" applyFill="1" applyAlignment="1" applyProtection="1">
      <alignment/>
      <protection/>
    </xf>
    <xf numFmtId="172" fontId="7" fillId="0" borderId="0" xfId="15" applyNumberFormat="1" applyFont="1" applyAlignment="1" applyProtection="1">
      <alignment/>
      <protection/>
    </xf>
    <xf numFmtId="172" fontId="7" fillId="0" borderId="0" xfId="0" applyNumberFormat="1" applyFont="1" applyBorder="1" applyAlignment="1" applyProtection="1">
      <alignment/>
      <protection/>
    </xf>
    <xf numFmtId="172" fontId="7" fillId="0" borderId="0" xfId="15" applyNumberFormat="1" applyFont="1" applyBorder="1" applyAlignment="1" applyProtection="1">
      <alignment/>
      <protection/>
    </xf>
    <xf numFmtId="172" fontId="7" fillId="0" borderId="0" xfId="15" applyNumberFormat="1" applyFont="1" applyAlignment="1">
      <alignment/>
    </xf>
    <xf numFmtId="10" fontId="7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0" fontId="7" fillId="0" borderId="0" xfId="21" applyNumberFormat="1" applyFont="1" applyAlignment="1">
      <alignment/>
    </xf>
    <xf numFmtId="172" fontId="7" fillId="0" borderId="0" xfId="15" applyNumberFormat="1" applyFont="1" applyAlignment="1">
      <alignment/>
    </xf>
    <xf numFmtId="10" fontId="7" fillId="0" borderId="0" xfId="21" applyNumberFormat="1" applyFont="1" applyBorder="1" applyAlignment="1">
      <alignment/>
    </xf>
    <xf numFmtId="43" fontId="7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180"/>
    </xf>
    <xf numFmtId="0" fontId="7" fillId="0" borderId="0" xfId="0" applyFont="1" applyAlignment="1">
      <alignment horizontal="center"/>
    </xf>
    <xf numFmtId="10" fontId="7" fillId="0" borderId="9" xfId="21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view="pageBreakPreview" zoomScale="60" zoomScaleNormal="75" workbookViewId="0" topLeftCell="A1">
      <selection activeCell="R9" sqref="R9"/>
    </sheetView>
  </sheetViews>
  <sheetFormatPr defaultColWidth="9.140625" defaultRowHeight="12.75"/>
  <cols>
    <col min="1" max="1" width="69.421875" style="60" bestFit="1" customWidth="1"/>
    <col min="2" max="2" width="14.140625" style="60" bestFit="1" customWidth="1"/>
    <col min="3" max="3" width="12.57421875" style="60" customWidth="1"/>
    <col min="4" max="4" width="2.140625" style="60" customWidth="1"/>
    <col min="5" max="5" width="14.140625" style="60" bestFit="1" customWidth="1"/>
    <col min="6" max="6" width="8.7109375" style="60" bestFit="1" customWidth="1"/>
    <col min="7" max="7" width="1.8515625" style="60" customWidth="1"/>
    <col min="8" max="8" width="11.8515625" style="60" bestFit="1" customWidth="1"/>
    <col min="9" max="9" width="10.421875" style="60" bestFit="1" customWidth="1"/>
    <col min="10" max="10" width="3.421875" style="60" customWidth="1"/>
    <col min="11" max="11" width="3.57421875" style="60" customWidth="1"/>
    <col min="12" max="12" width="3.8515625" style="60" customWidth="1"/>
    <col min="13" max="13" width="4.140625" style="60" customWidth="1"/>
    <col min="14" max="16384" width="9.140625" style="60" customWidth="1"/>
  </cols>
  <sheetData>
    <row r="2" spans="1:10" ht="12.75">
      <c r="A2" s="175" t="s">
        <v>68</v>
      </c>
      <c r="B2" s="175"/>
      <c r="C2" s="175"/>
      <c r="D2" s="175"/>
      <c r="E2" s="175"/>
      <c r="F2" s="175"/>
      <c r="G2" s="175"/>
      <c r="H2" s="175"/>
      <c r="I2" s="175"/>
      <c r="J2" s="25"/>
    </row>
    <row r="3" spans="1:10" ht="12.75">
      <c r="A3" s="175" t="s">
        <v>18</v>
      </c>
      <c r="B3" s="175"/>
      <c r="C3" s="175"/>
      <c r="D3" s="175"/>
      <c r="E3" s="175"/>
      <c r="F3" s="175"/>
      <c r="G3" s="175"/>
      <c r="H3" s="175"/>
      <c r="I3" s="175"/>
      <c r="J3" s="25"/>
    </row>
    <row r="4" spans="1:10" ht="12.7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25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5"/>
      <c r="B7" s="114" t="s">
        <v>0</v>
      </c>
      <c r="C7" s="114" t="s">
        <v>106</v>
      </c>
      <c r="D7" s="25"/>
      <c r="E7" s="114" t="s">
        <v>1</v>
      </c>
      <c r="F7" s="114" t="s">
        <v>106</v>
      </c>
      <c r="G7" s="25"/>
      <c r="H7" s="114"/>
      <c r="I7" s="114"/>
      <c r="J7" s="25"/>
    </row>
    <row r="8" spans="1:10" ht="12.75">
      <c r="A8" s="25"/>
      <c r="B8" s="115" t="s">
        <v>69</v>
      </c>
      <c r="C8" s="115" t="s">
        <v>107</v>
      </c>
      <c r="D8" s="25"/>
      <c r="E8" s="115" t="s">
        <v>69</v>
      </c>
      <c r="F8" s="115" t="s">
        <v>107</v>
      </c>
      <c r="G8" s="25"/>
      <c r="H8" s="115" t="s">
        <v>2</v>
      </c>
      <c r="I8" s="115" t="s">
        <v>3</v>
      </c>
      <c r="J8" s="25"/>
    </row>
    <row r="9" spans="1:10" ht="12.75">
      <c r="A9" s="25" t="s">
        <v>96</v>
      </c>
      <c r="B9" s="61">
        <f>'Summary  (2)'!H9</f>
        <v>23288281.4945</v>
      </c>
      <c r="C9" s="62">
        <f>B9/$B$20</f>
        <v>0.6368423167645328</v>
      </c>
      <c r="D9" s="62"/>
      <c r="E9" s="61">
        <f>'Summary  (2)'!P9</f>
        <v>24496744.03459296</v>
      </c>
      <c r="F9" s="62">
        <f>E9/$E$20</f>
        <v>0.6364738466949978</v>
      </c>
      <c r="G9" s="62"/>
      <c r="H9" s="61">
        <f aca="true" t="shared" si="0" ref="H9:H18">E9-B9</f>
        <v>1208462.54009296</v>
      </c>
      <c r="I9" s="62">
        <f aca="true" t="shared" si="1" ref="I9:I18">H9/B9</f>
        <v>0.05189144335868505</v>
      </c>
      <c r="J9" s="62"/>
    </row>
    <row r="10" spans="1:10" ht="12.75">
      <c r="A10" s="25" t="s">
        <v>97</v>
      </c>
      <c r="B10" s="61">
        <f>'Summary  (2)'!H10</f>
        <v>112577.03064000001</v>
      </c>
      <c r="C10" s="62">
        <f aca="true" t="shared" si="2" ref="C10:C18">B10/$B$20</f>
        <v>0.0030785361738340958</v>
      </c>
      <c r="D10" s="61"/>
      <c r="E10" s="61">
        <f>'Summary  (2)'!P10</f>
        <v>118209.19684122357</v>
      </c>
      <c r="F10" s="62">
        <f aca="true" t="shared" si="3" ref="F10:F18">E10/$E$20</f>
        <v>0.0030713086654297443</v>
      </c>
      <c r="G10" s="62"/>
      <c r="H10" s="61">
        <f t="shared" si="0"/>
        <v>5632.166201223561</v>
      </c>
      <c r="I10" s="62">
        <f t="shared" si="1"/>
        <v>0.05002944356592741</v>
      </c>
      <c r="J10" s="62"/>
    </row>
    <row r="11" spans="1:10" ht="12.75">
      <c r="A11" s="25" t="s">
        <v>99</v>
      </c>
      <c r="B11" s="61">
        <f>'Summary  (2)'!H11</f>
        <v>2218849.3325799997</v>
      </c>
      <c r="C11" s="62">
        <f t="shared" si="2"/>
        <v>0.06067674636470736</v>
      </c>
      <c r="D11" s="61"/>
      <c r="E11" s="61">
        <f>'Summary  (2)'!P11</f>
        <v>2330518.866729928</v>
      </c>
      <c r="F11" s="62">
        <f t="shared" si="3"/>
        <v>0.06055148822260661</v>
      </c>
      <c r="G11" s="62"/>
      <c r="H11" s="61">
        <f t="shared" si="0"/>
        <v>111669.53414992848</v>
      </c>
      <c r="I11" s="62">
        <f t="shared" si="1"/>
        <v>0.05032767773379326</v>
      </c>
      <c r="J11" s="62"/>
    </row>
    <row r="12" spans="1:10" ht="12.75">
      <c r="A12" s="25" t="s">
        <v>98</v>
      </c>
      <c r="B12" s="61">
        <f>'Summary  (2)'!H12</f>
        <v>218.15424000000002</v>
      </c>
      <c r="C12" s="62">
        <f t="shared" si="2"/>
        <v>5.965654943084445E-06</v>
      </c>
      <c r="D12" s="61"/>
      <c r="E12" s="61">
        <f>'Summary  (2)'!P12</f>
        <v>228.76174844173684</v>
      </c>
      <c r="F12" s="62">
        <f t="shared" si="3"/>
        <v>5.943682548251151E-06</v>
      </c>
      <c r="G12" s="62"/>
      <c r="H12" s="61">
        <f t="shared" si="0"/>
        <v>10.607508441736826</v>
      </c>
      <c r="I12" s="62">
        <f t="shared" si="1"/>
        <v>0.04862389308471302</v>
      </c>
      <c r="J12" s="62"/>
    </row>
    <row r="13" spans="1:10" ht="12.75">
      <c r="A13" s="25" t="s">
        <v>104</v>
      </c>
      <c r="B13" s="61">
        <f>'Summary  (2)'!H13</f>
        <v>2348115.21788</v>
      </c>
      <c r="C13" s="62">
        <f t="shared" si="2"/>
        <v>0.06421165665392352</v>
      </c>
      <c r="D13" s="61"/>
      <c r="E13" s="61">
        <f>'Summary  (2)'!P13</f>
        <v>2468108.1048539877</v>
      </c>
      <c r="F13" s="62">
        <f t="shared" si="3"/>
        <v>0.06412632868013803</v>
      </c>
      <c r="G13" s="62"/>
      <c r="H13" s="61">
        <f t="shared" si="0"/>
        <v>119992.8869739878</v>
      </c>
      <c r="I13" s="62">
        <f t="shared" si="1"/>
        <v>0.05110178838767699</v>
      </c>
      <c r="J13" s="62"/>
    </row>
    <row r="14" spans="1:10" ht="12.75">
      <c r="A14" s="25" t="s">
        <v>105</v>
      </c>
      <c r="B14" s="61">
        <f>'Summary  (2)'!H14</f>
        <v>3915101.762</v>
      </c>
      <c r="C14" s="62">
        <f t="shared" si="2"/>
        <v>0.10706253602567578</v>
      </c>
      <c r="D14" s="61"/>
      <c r="E14" s="61">
        <f>'Summary  (2)'!P14</f>
        <v>4127039.3595101666</v>
      </c>
      <c r="F14" s="62">
        <f t="shared" si="3"/>
        <v>0.10722864283105296</v>
      </c>
      <c r="G14" s="62"/>
      <c r="H14" s="61">
        <f t="shared" si="0"/>
        <v>211937.59751016647</v>
      </c>
      <c r="I14" s="62">
        <f t="shared" si="1"/>
        <v>0.054133356013177994</v>
      </c>
      <c r="J14" s="62"/>
    </row>
    <row r="15" spans="1:10" ht="12.75">
      <c r="A15" s="25" t="s">
        <v>100</v>
      </c>
      <c r="B15" s="61">
        <f>'Summary  (2)'!H15</f>
        <v>442662.24520000006</v>
      </c>
      <c r="C15" s="62">
        <f t="shared" si="2"/>
        <v>0.012105060214251343</v>
      </c>
      <c r="D15" s="61"/>
      <c r="E15" s="61">
        <f>'Summary  (2)'!P15</f>
        <v>466377.1584</v>
      </c>
      <c r="F15" s="62">
        <f t="shared" si="3"/>
        <v>0.012117400728780672</v>
      </c>
      <c r="G15" s="62"/>
      <c r="H15" s="61">
        <f>E15-B15</f>
        <v>23714.91319999995</v>
      </c>
      <c r="I15" s="62">
        <f t="shared" si="1"/>
        <v>0.05357338118882326</v>
      </c>
      <c r="J15" s="62"/>
    </row>
    <row r="16" spans="1:10" ht="12.75">
      <c r="A16" s="25" t="s">
        <v>101</v>
      </c>
      <c r="B16" s="61">
        <f>'Summary  (2)'!H16</f>
        <v>3595739.892</v>
      </c>
      <c r="C16" s="62">
        <f t="shared" si="2"/>
        <v>0.09832925301271123</v>
      </c>
      <c r="D16" s="61"/>
      <c r="E16" s="61">
        <f>'Summary  (2)'!P16</f>
        <v>3804378.892</v>
      </c>
      <c r="F16" s="62">
        <f t="shared" si="3"/>
        <v>0.09884528589828684</v>
      </c>
      <c r="G16" s="62"/>
      <c r="H16" s="61">
        <f t="shared" si="0"/>
        <v>208639</v>
      </c>
      <c r="I16" s="62">
        <f t="shared" si="1"/>
        <v>0.05802394118222832</v>
      </c>
      <c r="J16" s="62"/>
    </row>
    <row r="17" spans="1:10" ht="12.75">
      <c r="A17" s="25" t="s">
        <v>102</v>
      </c>
      <c r="B17" s="61">
        <f>'Summary  (2)'!H17</f>
        <v>23710.46671</v>
      </c>
      <c r="C17" s="62">
        <f t="shared" si="2"/>
        <v>0.0006483874112708086</v>
      </c>
      <c r="D17" s="61"/>
      <c r="E17" s="61">
        <f>'Summary  (2)'!P17</f>
        <v>25481.93837455105</v>
      </c>
      <c r="F17" s="62">
        <f t="shared" si="3"/>
        <v>0.0006620711436422892</v>
      </c>
      <c r="G17" s="62"/>
      <c r="H17" s="61">
        <f t="shared" si="0"/>
        <v>1771.471664551049</v>
      </c>
      <c r="I17" s="62">
        <f t="shared" si="1"/>
        <v>0.0747126442603478</v>
      </c>
      <c r="J17" s="62"/>
    </row>
    <row r="18" spans="1:10" ht="12.75">
      <c r="A18" s="25" t="s">
        <v>77</v>
      </c>
      <c r="B18" s="61">
        <f>'Summary  (2)'!H18</f>
        <v>623108.1599999999</v>
      </c>
      <c r="C18" s="62">
        <f t="shared" si="2"/>
        <v>0.01703954172415009</v>
      </c>
      <c r="D18" s="61"/>
      <c r="E18" s="61">
        <f>'Summary  (2)'!P18</f>
        <v>651131.485365134</v>
      </c>
      <c r="F18" s="62">
        <f t="shared" si="3"/>
        <v>0.016917683452516864</v>
      </c>
      <c r="G18" s="62"/>
      <c r="H18" s="61">
        <f t="shared" si="0"/>
        <v>28023.32536513405</v>
      </c>
      <c r="I18" s="62">
        <f t="shared" si="1"/>
        <v>0.04497345270704536</v>
      </c>
      <c r="J18" s="62"/>
    </row>
    <row r="19" spans="1:10" ht="12.75">
      <c r="A19" s="25"/>
      <c r="B19" s="61"/>
      <c r="C19" s="61"/>
      <c r="D19" s="61"/>
      <c r="E19" s="61"/>
      <c r="F19" s="61"/>
      <c r="G19" s="61"/>
      <c r="H19" s="61"/>
      <c r="I19" s="62"/>
      <c r="J19" s="62"/>
    </row>
    <row r="20" spans="1:10" ht="13.5" thickBot="1">
      <c r="A20" s="25"/>
      <c r="B20" s="63">
        <f>SUM(B9:B19)</f>
        <v>36568363.75574999</v>
      </c>
      <c r="C20" s="64">
        <f>SUM(C9:C19)</f>
        <v>1.0000000000000002</v>
      </c>
      <c r="D20" s="63"/>
      <c r="E20" s="63">
        <f>SUM(E9:E19)</f>
        <v>38488217.79841639</v>
      </c>
      <c r="F20" s="64">
        <f>SUM(F9:F19)</f>
        <v>1</v>
      </c>
      <c r="G20" s="64"/>
      <c r="H20" s="63">
        <f>SUM(H9:H19)</f>
        <v>1919854.042666393</v>
      </c>
      <c r="I20" s="64">
        <f>H20/B20</f>
        <v>0.05250040869997953</v>
      </c>
      <c r="J20" s="107"/>
    </row>
    <row r="21" spans="1:10" ht="13.5" thickTop="1">
      <c r="A21" s="25"/>
      <c r="B21" s="61"/>
      <c r="C21" s="61"/>
      <c r="D21" s="61"/>
      <c r="E21" s="61"/>
      <c r="F21" s="61"/>
      <c r="G21" s="61"/>
      <c r="H21" s="61"/>
      <c r="I21" s="25"/>
      <c r="J21" s="25"/>
    </row>
    <row r="22" spans="1:10" ht="12.75">
      <c r="A22" s="25"/>
      <c r="B22" s="61"/>
      <c r="C22" s="61"/>
      <c r="D22" s="61"/>
      <c r="E22" s="61"/>
      <c r="F22" s="61"/>
      <c r="G22" s="61"/>
      <c r="H22" s="61"/>
      <c r="I22" s="25"/>
      <c r="J22" s="25"/>
    </row>
    <row r="23" spans="1:2" ht="12.75">
      <c r="A23" s="19"/>
      <c r="B23" s="65"/>
    </row>
    <row r="30" spans="2:10" ht="12.75">
      <c r="B30" s="69"/>
      <c r="H30" s="69"/>
      <c r="I30" s="70"/>
      <c r="J30" s="70"/>
    </row>
    <row r="31" spans="2:10" ht="12.75">
      <c r="B31" s="69"/>
      <c r="H31" s="69"/>
      <c r="I31" s="70"/>
      <c r="J31" s="70"/>
    </row>
    <row r="33" spans="11:13" ht="74.25" customHeight="1">
      <c r="K33" s="108" t="s">
        <v>111</v>
      </c>
      <c r="L33" s="108" t="s">
        <v>117</v>
      </c>
      <c r="M33" s="108" t="s">
        <v>110</v>
      </c>
    </row>
  </sheetData>
  <mergeCells count="3">
    <mergeCell ref="A2:I2"/>
    <mergeCell ref="A3:I3"/>
    <mergeCell ref="A4:I4"/>
  </mergeCells>
  <printOptions horizontalCentered="1"/>
  <pageMargins left="0.29" right="0.22" top="1.15" bottom="0.59" header="0.5" footer="0.5"/>
  <pageSetup fitToHeight="1" fitToWidth="1" horizontalDpi="600" verticalDpi="600" orientation="landscape" scale="8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75" zoomScaleNormal="75" workbookViewId="0" topLeftCell="A1">
      <pane xSplit="3990" topLeftCell="H1" activePane="topLeft" state="split"/>
      <selection pane="topLeft" activeCell="A51" sqref="A51"/>
      <selection pane="topRight" activeCell="T18" sqref="T18"/>
    </sheetView>
  </sheetViews>
  <sheetFormatPr defaultColWidth="9.140625" defaultRowHeight="12.75"/>
  <cols>
    <col min="1" max="1" width="46.140625" style="60" bestFit="1" customWidth="1"/>
    <col min="2" max="2" width="17.00390625" style="66" bestFit="1" customWidth="1"/>
    <col min="3" max="3" width="15.8515625" style="66" bestFit="1" customWidth="1"/>
    <col min="4" max="4" width="14.7109375" style="66" bestFit="1" customWidth="1"/>
    <col min="5" max="5" width="12.8515625" style="66" bestFit="1" customWidth="1"/>
    <col min="6" max="6" width="10.421875" style="66" bestFit="1" customWidth="1"/>
    <col min="7" max="7" width="14.421875" style="66" bestFit="1" customWidth="1"/>
    <col min="8" max="8" width="14.28125" style="66" bestFit="1" customWidth="1"/>
    <col min="9" max="9" width="3.140625" style="66" customWidth="1"/>
    <col min="10" max="15" width="14.140625" style="66" customWidth="1"/>
    <col min="16" max="16" width="14.28125" style="66" bestFit="1" customWidth="1"/>
    <col min="17" max="17" width="1.8515625" style="66" customWidth="1"/>
    <col min="18" max="18" width="14.7109375" style="66" bestFit="1" customWidth="1"/>
    <col min="19" max="19" width="12.00390625" style="60" bestFit="1" customWidth="1"/>
    <col min="20" max="16384" width="9.140625" style="60" customWidth="1"/>
  </cols>
  <sheetData>
    <row r="2" spans="1:19" ht="12.75">
      <c r="A2" s="176" t="s">
        <v>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2.75">
      <c r="A3" s="176" t="s">
        <v>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2.75">
      <c r="A4" s="176" t="s">
        <v>16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2.75">
      <c r="A5" s="25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5"/>
    </row>
    <row r="6" spans="1:19" ht="12.75">
      <c r="A6" s="2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5"/>
    </row>
    <row r="7" spans="1:19" ht="12.75">
      <c r="A7" s="25"/>
      <c r="B7" s="61" t="s">
        <v>0</v>
      </c>
      <c r="C7" s="61"/>
      <c r="D7" s="61"/>
      <c r="E7" s="61"/>
      <c r="F7" s="61"/>
      <c r="G7" s="61"/>
      <c r="I7" s="61"/>
      <c r="J7" s="61" t="s">
        <v>1</v>
      </c>
      <c r="K7" s="61"/>
      <c r="L7" s="61"/>
      <c r="M7" s="61"/>
      <c r="N7" s="61"/>
      <c r="O7" s="61"/>
      <c r="Q7" s="61"/>
      <c r="R7" s="61"/>
      <c r="S7" s="25"/>
    </row>
    <row r="8" spans="1:19" ht="12.75">
      <c r="A8" s="25"/>
      <c r="B8" s="61" t="s">
        <v>17</v>
      </c>
      <c r="C8" s="61" t="s">
        <v>19</v>
      </c>
      <c r="D8" s="61" t="s">
        <v>20</v>
      </c>
      <c r="E8" s="61" t="s">
        <v>82</v>
      </c>
      <c r="F8" s="61" t="s">
        <v>83</v>
      </c>
      <c r="G8" s="61" t="s">
        <v>84</v>
      </c>
      <c r="H8" s="61" t="s">
        <v>69</v>
      </c>
      <c r="I8" s="61"/>
      <c r="J8" s="61" t="s">
        <v>17</v>
      </c>
      <c r="K8" s="61" t="s">
        <v>19</v>
      </c>
      <c r="L8" s="61" t="s">
        <v>20</v>
      </c>
      <c r="M8" s="61" t="s">
        <v>82</v>
      </c>
      <c r="N8" s="61" t="s">
        <v>83</v>
      </c>
      <c r="O8" s="61" t="s">
        <v>84</v>
      </c>
      <c r="P8" s="61" t="s">
        <v>69</v>
      </c>
      <c r="Q8" s="61"/>
      <c r="R8" s="61" t="s">
        <v>2</v>
      </c>
      <c r="S8" s="25" t="s">
        <v>3</v>
      </c>
    </row>
    <row r="9" spans="1:19" ht="12.75">
      <c r="A9" s="25" t="s">
        <v>70</v>
      </c>
      <c r="B9" s="61">
        <f>3a2!E17</f>
        <v>221710.8</v>
      </c>
      <c r="C9" s="61"/>
      <c r="D9" s="61">
        <f>3a2!E20+3a2!E21</f>
        <v>19003710.6945</v>
      </c>
      <c r="E9" s="61">
        <f>SUM(B9:D9)</f>
        <v>19225421.4945</v>
      </c>
      <c r="F9" s="61">
        <f>3a2!E25</f>
        <v>2455296</v>
      </c>
      <c r="G9" s="61">
        <f>3a2!E26</f>
        <v>1607564</v>
      </c>
      <c r="H9" s="61">
        <f>SUM(E9:G9)</f>
        <v>23288281.4945</v>
      </c>
      <c r="I9" s="61"/>
      <c r="J9" s="61">
        <f>3a2!J17</f>
        <v>228319.0853732293</v>
      </c>
      <c r="K9" s="61"/>
      <c r="L9" s="61">
        <f>3a2!J20+3a2!J21</f>
        <v>20205564.94921973</v>
      </c>
      <c r="M9" s="61">
        <f>SUM(J9:L9)</f>
        <v>20433884.03459296</v>
      </c>
      <c r="N9" s="61">
        <f>F9</f>
        <v>2455296</v>
      </c>
      <c r="O9" s="61">
        <f>G9</f>
        <v>1607564</v>
      </c>
      <c r="P9" s="61">
        <f>SUM(M9:O9)</f>
        <v>24496744.03459296</v>
      </c>
      <c r="Q9" s="61"/>
      <c r="R9" s="61">
        <f>P9-H9</f>
        <v>1208462.54009296</v>
      </c>
      <c r="S9" s="62">
        <f>R9/H9</f>
        <v>0.05189144335868505</v>
      </c>
    </row>
    <row r="10" spans="1:19" ht="12.75">
      <c r="A10" s="25" t="s">
        <v>71</v>
      </c>
      <c r="B10" s="61"/>
      <c r="C10" s="61"/>
      <c r="D10" s="61">
        <f>3a2!E49</f>
        <v>84920.03064000001</v>
      </c>
      <c r="E10" s="61">
        <f aca="true" t="shared" si="0" ref="E10:E18">SUM(B10:D10)</f>
        <v>84920.03064000001</v>
      </c>
      <c r="F10" s="61">
        <f>3a2!E53</f>
        <v>20756</v>
      </c>
      <c r="G10" s="61">
        <f>3a2!E54</f>
        <v>6901</v>
      </c>
      <c r="H10" s="61">
        <f aca="true" t="shared" si="1" ref="H10:H19">SUM(E10:G10)</f>
        <v>112577.03064000001</v>
      </c>
      <c r="I10" s="61"/>
      <c r="J10" s="61"/>
      <c r="K10" s="61"/>
      <c r="L10" s="61">
        <f>3a2!J49</f>
        <v>90552.19684122357</v>
      </c>
      <c r="M10" s="61">
        <f aca="true" t="shared" si="2" ref="M10:M18">SUM(J10:L10)</f>
        <v>90552.19684122357</v>
      </c>
      <c r="N10" s="61">
        <f aca="true" t="shared" si="3" ref="N10:N18">F10</f>
        <v>20756</v>
      </c>
      <c r="O10" s="61">
        <f aca="true" t="shared" si="4" ref="O10:O18">G10</f>
        <v>6901</v>
      </c>
      <c r="P10" s="61">
        <f aca="true" t="shared" si="5" ref="P10:P18">SUM(M10:O10)</f>
        <v>118209.19684122357</v>
      </c>
      <c r="Q10" s="61"/>
      <c r="R10" s="61">
        <f aca="true" t="shared" si="6" ref="R10:R18">P10-H10</f>
        <v>5632.166201223561</v>
      </c>
      <c r="S10" s="62">
        <f aca="true" t="shared" si="7" ref="S10:S18">R10/H10</f>
        <v>0.05002944356592741</v>
      </c>
    </row>
    <row r="11" spans="1:19" ht="12.75">
      <c r="A11" s="25" t="s">
        <v>39</v>
      </c>
      <c r="B11" s="61">
        <f>3a2!E74</f>
        <v>25424.88</v>
      </c>
      <c r="C11" s="61"/>
      <c r="D11" s="61">
        <f>3a2!E79+3a2!E80</f>
        <v>1813450.4525799998</v>
      </c>
      <c r="E11" s="61">
        <f t="shared" si="0"/>
        <v>1838875.3325799997</v>
      </c>
      <c r="F11" s="61">
        <f>3a2!E84</f>
        <v>222890</v>
      </c>
      <c r="G11" s="61">
        <f>3a2!E85</f>
        <v>157084</v>
      </c>
      <c r="H11" s="61">
        <f t="shared" si="1"/>
        <v>2218849.3325799997</v>
      </c>
      <c r="I11" s="61"/>
      <c r="J11" s="61">
        <f>3a2!J74</f>
        <v>26182.69090781374</v>
      </c>
      <c r="K11" s="61"/>
      <c r="L11" s="61">
        <f>3a2!J79+3a2!J80</f>
        <v>1924362.1758221146</v>
      </c>
      <c r="M11" s="61">
        <f t="shared" si="2"/>
        <v>1950544.8667299284</v>
      </c>
      <c r="N11" s="61">
        <f t="shared" si="3"/>
        <v>222890</v>
      </c>
      <c r="O11" s="61">
        <f t="shared" si="4"/>
        <v>157084</v>
      </c>
      <c r="P11" s="61">
        <f t="shared" si="5"/>
        <v>2330518.866729928</v>
      </c>
      <c r="Q11" s="61"/>
      <c r="R11" s="61">
        <f t="shared" si="6"/>
        <v>111669.53414992848</v>
      </c>
      <c r="S11" s="62">
        <f t="shared" si="7"/>
        <v>0.05032767773379326</v>
      </c>
    </row>
    <row r="12" spans="1:19" ht="12.75">
      <c r="A12" s="25" t="s">
        <v>72</v>
      </c>
      <c r="B12" s="61"/>
      <c r="C12" s="61"/>
      <c r="D12" s="61">
        <f>3a2!E112</f>
        <v>168.07424</v>
      </c>
      <c r="E12" s="61">
        <f t="shared" si="0"/>
        <v>168.07424</v>
      </c>
      <c r="F12" s="61">
        <f>3a2!E116</f>
        <v>35.06</v>
      </c>
      <c r="G12" s="61">
        <f>3a2!E117</f>
        <v>15.02</v>
      </c>
      <c r="H12" s="61">
        <f t="shared" si="1"/>
        <v>218.15424000000002</v>
      </c>
      <c r="I12" s="61"/>
      <c r="J12" s="61"/>
      <c r="K12" s="61"/>
      <c r="L12" s="61">
        <f>3a2!J112</f>
        <v>178.68174844173683</v>
      </c>
      <c r="M12" s="61">
        <f t="shared" si="2"/>
        <v>178.68174844173683</v>
      </c>
      <c r="N12" s="61">
        <f t="shared" si="3"/>
        <v>35.06</v>
      </c>
      <c r="O12" s="61">
        <f t="shared" si="4"/>
        <v>15.02</v>
      </c>
      <c r="P12" s="61">
        <f t="shared" si="5"/>
        <v>228.76174844173684</v>
      </c>
      <c r="Q12" s="61"/>
      <c r="R12" s="61">
        <f t="shared" si="6"/>
        <v>10.607508441736826</v>
      </c>
      <c r="S12" s="62">
        <f t="shared" si="7"/>
        <v>0.04862389308471302</v>
      </c>
    </row>
    <row r="13" spans="1:19" ht="12.75">
      <c r="A13" s="25" t="s">
        <v>73</v>
      </c>
      <c r="B13" s="61"/>
      <c r="C13" s="61">
        <f>3a2!E140</f>
        <v>503293.83999999997</v>
      </c>
      <c r="D13" s="61">
        <f>3a2!E142</f>
        <v>1446609.31788</v>
      </c>
      <c r="E13" s="61">
        <f t="shared" si="0"/>
        <v>1949903.1578799998</v>
      </c>
      <c r="F13" s="61">
        <f>3a2!E147</f>
        <v>235198.75</v>
      </c>
      <c r="G13" s="61">
        <f>3a2!E148</f>
        <v>163013.31</v>
      </c>
      <c r="H13" s="61">
        <f t="shared" si="1"/>
        <v>2348115.21788</v>
      </c>
      <c r="I13" s="61"/>
      <c r="J13" s="61"/>
      <c r="K13" s="61">
        <f>3a2!J140</f>
        <v>503293.83999999997</v>
      </c>
      <c r="L13" s="61">
        <f>3a2!J142</f>
        <v>1566602.2048539876</v>
      </c>
      <c r="M13" s="61">
        <f t="shared" si="2"/>
        <v>2069896.0448539876</v>
      </c>
      <c r="N13" s="61">
        <f t="shared" si="3"/>
        <v>235198.75</v>
      </c>
      <c r="O13" s="61">
        <f t="shared" si="4"/>
        <v>163013.31</v>
      </c>
      <c r="P13" s="61">
        <f t="shared" si="5"/>
        <v>2468108.1048539877</v>
      </c>
      <c r="Q13" s="61"/>
      <c r="R13" s="61">
        <f t="shared" si="6"/>
        <v>119992.8869739878</v>
      </c>
      <c r="S13" s="62">
        <f t="shared" si="7"/>
        <v>0.05110178838767699</v>
      </c>
    </row>
    <row r="14" spans="1:19" ht="12.75">
      <c r="A14" s="25" t="s">
        <v>74</v>
      </c>
      <c r="B14" s="61"/>
      <c r="C14" s="61">
        <f>3a2!E171+3a2!E176</f>
        <v>343041.7899999999</v>
      </c>
      <c r="D14" s="61">
        <f>3a2!E174</f>
        <v>2834757.972</v>
      </c>
      <c r="E14" s="61">
        <f t="shared" si="0"/>
        <v>3177799.762</v>
      </c>
      <c r="F14" s="61">
        <f>3a2!E180</f>
        <v>473750</v>
      </c>
      <c r="G14" s="61">
        <f>3a2!E181</f>
        <v>263552</v>
      </c>
      <c r="H14" s="61">
        <f t="shared" si="1"/>
        <v>3915101.762</v>
      </c>
      <c r="I14" s="61"/>
      <c r="J14" s="61"/>
      <c r="K14" s="61">
        <f>3a2!J171+3a2!J176</f>
        <v>319842.7899999999</v>
      </c>
      <c r="L14" s="61">
        <f>3a2!J174</f>
        <v>3069894.5695101665</v>
      </c>
      <c r="M14" s="61">
        <f t="shared" si="2"/>
        <v>3389737.3595101666</v>
      </c>
      <c r="N14" s="61">
        <f t="shared" si="3"/>
        <v>473750</v>
      </c>
      <c r="O14" s="61">
        <f t="shared" si="4"/>
        <v>263552</v>
      </c>
      <c r="P14" s="61">
        <f t="shared" si="5"/>
        <v>4127039.3595101666</v>
      </c>
      <c r="Q14" s="61"/>
      <c r="R14" s="61">
        <f t="shared" si="6"/>
        <v>211937.59751016647</v>
      </c>
      <c r="S14" s="62">
        <f t="shared" si="7"/>
        <v>0.054133356013177994</v>
      </c>
    </row>
    <row r="15" spans="1:19" ht="12.75">
      <c r="A15" s="25" t="s">
        <v>86</v>
      </c>
      <c r="B15" s="61"/>
      <c r="C15" s="61">
        <f>3a2!E207</f>
        <v>80955.53</v>
      </c>
      <c r="D15" s="61">
        <f>3a2!E210</f>
        <v>285627.77520000003</v>
      </c>
      <c r="E15" s="61">
        <f t="shared" si="0"/>
        <v>366583.30520000006</v>
      </c>
      <c r="F15" s="61">
        <f>3a2!E214</f>
        <v>45770.25</v>
      </c>
      <c r="G15" s="61">
        <f>3a2!E215</f>
        <v>30308.69</v>
      </c>
      <c r="H15" s="61">
        <f t="shared" si="1"/>
        <v>442662.24520000006</v>
      </c>
      <c r="I15" s="61"/>
      <c r="J15" s="61"/>
      <c r="K15" s="61">
        <f>3a2!J207</f>
        <v>80955.53</v>
      </c>
      <c r="L15" s="61">
        <f>3a2!J210</f>
        <v>309342.6884</v>
      </c>
      <c r="M15" s="61">
        <f t="shared" si="2"/>
        <v>390298.2184</v>
      </c>
      <c r="N15" s="61">
        <f>F15</f>
        <v>45770.25</v>
      </c>
      <c r="O15" s="61">
        <f>G15</f>
        <v>30308.69</v>
      </c>
      <c r="P15" s="61">
        <f t="shared" si="5"/>
        <v>466377.1584</v>
      </c>
      <c r="Q15" s="61"/>
      <c r="R15" s="61">
        <f>P15-H15</f>
        <v>23714.91319999995</v>
      </c>
      <c r="S15" s="62">
        <f>R15/H15</f>
        <v>0.05357338118882326</v>
      </c>
    </row>
    <row r="16" spans="1:19" ht="12.75">
      <c r="A16" s="25" t="s">
        <v>75</v>
      </c>
      <c r="B16" s="61">
        <f>3a2!E236</f>
        <v>19260</v>
      </c>
      <c r="C16" s="61">
        <f>3a2!E238</f>
        <v>591875.8999999999</v>
      </c>
      <c r="D16" s="61">
        <f>3a2!E241</f>
        <v>2230396.992</v>
      </c>
      <c r="E16" s="61">
        <f t="shared" si="0"/>
        <v>2841532.892</v>
      </c>
      <c r="F16" s="61">
        <f>3a2!E245</f>
        <v>509234</v>
      </c>
      <c r="G16" s="61">
        <f>3a2!E246</f>
        <v>244973</v>
      </c>
      <c r="H16" s="61">
        <f t="shared" si="1"/>
        <v>3595739.892</v>
      </c>
      <c r="I16" s="61"/>
      <c r="J16" s="61">
        <f>3a2!J236</f>
        <v>19260</v>
      </c>
      <c r="K16" s="61">
        <f>3a2!J238</f>
        <v>800514.9</v>
      </c>
      <c r="L16" s="61">
        <f>3a2!J241</f>
        <v>2230396.992</v>
      </c>
      <c r="M16" s="61">
        <f t="shared" si="2"/>
        <v>3050171.892</v>
      </c>
      <c r="N16" s="61">
        <f t="shared" si="3"/>
        <v>509234</v>
      </c>
      <c r="O16" s="61">
        <f t="shared" si="4"/>
        <v>244973</v>
      </c>
      <c r="P16" s="61">
        <f t="shared" si="5"/>
        <v>3804378.892</v>
      </c>
      <c r="Q16" s="61"/>
      <c r="R16" s="61">
        <f t="shared" si="6"/>
        <v>208639</v>
      </c>
      <c r="S16" s="62">
        <f t="shared" si="7"/>
        <v>0.05802394118222832</v>
      </c>
    </row>
    <row r="17" spans="1:19" ht="12.75">
      <c r="A17" s="25" t="s">
        <v>76</v>
      </c>
      <c r="B17" s="61"/>
      <c r="C17" s="61"/>
      <c r="D17" s="61">
        <f>3a2!E269</f>
        <v>16812.46671</v>
      </c>
      <c r="E17" s="61">
        <f t="shared" si="0"/>
        <v>16812.46671</v>
      </c>
      <c r="F17" s="61">
        <f>3a2!E273</f>
        <v>3506</v>
      </c>
      <c r="G17" s="61">
        <f>3a2!E274</f>
        <v>3392</v>
      </c>
      <c r="H17" s="61">
        <f t="shared" si="1"/>
        <v>23710.46671</v>
      </c>
      <c r="I17" s="61"/>
      <c r="J17" s="61"/>
      <c r="K17" s="61"/>
      <c r="L17" s="61">
        <f>3a2!J269</f>
        <v>18583.93837455105</v>
      </c>
      <c r="M17" s="61">
        <f t="shared" si="2"/>
        <v>18583.93837455105</v>
      </c>
      <c r="N17" s="61">
        <f t="shared" si="3"/>
        <v>3506</v>
      </c>
      <c r="O17" s="61">
        <f t="shared" si="4"/>
        <v>3392</v>
      </c>
      <c r="P17" s="61">
        <f t="shared" si="5"/>
        <v>25481.93837455105</v>
      </c>
      <c r="Q17" s="61"/>
      <c r="R17" s="61">
        <f t="shared" si="6"/>
        <v>1771.471664551049</v>
      </c>
      <c r="S17" s="62">
        <f t="shared" si="7"/>
        <v>0.0747126442603478</v>
      </c>
    </row>
    <row r="18" spans="1:19" ht="12.75">
      <c r="A18" s="25" t="s">
        <v>77</v>
      </c>
      <c r="B18" s="61">
        <f>'3a2 Lighting'!G23</f>
        <v>623108.1599999999</v>
      </c>
      <c r="C18" s="61"/>
      <c r="D18" s="61"/>
      <c r="E18" s="61">
        <f t="shared" si="0"/>
        <v>623108.1599999999</v>
      </c>
      <c r="F18" s="61"/>
      <c r="G18" s="61"/>
      <c r="H18" s="61">
        <f t="shared" si="1"/>
        <v>623108.1599999999</v>
      </c>
      <c r="I18" s="61"/>
      <c r="J18" s="61">
        <f>'3a2 Lighting'!M23</f>
        <v>651131.485365134</v>
      </c>
      <c r="K18" s="61"/>
      <c r="L18" s="61"/>
      <c r="M18" s="61">
        <f t="shared" si="2"/>
        <v>651131.485365134</v>
      </c>
      <c r="N18" s="61">
        <f t="shared" si="3"/>
        <v>0</v>
      </c>
      <c r="O18" s="61">
        <f t="shared" si="4"/>
        <v>0</v>
      </c>
      <c r="P18" s="61">
        <f t="shared" si="5"/>
        <v>651131.485365134</v>
      </c>
      <c r="Q18" s="61"/>
      <c r="R18" s="61">
        <f t="shared" si="6"/>
        <v>28023.32536513405</v>
      </c>
      <c r="S18" s="62">
        <f t="shared" si="7"/>
        <v>0.04497345270704536</v>
      </c>
    </row>
    <row r="19" spans="1:19" ht="12.75">
      <c r="A19" s="25"/>
      <c r="B19" s="61"/>
      <c r="C19" s="61"/>
      <c r="D19" s="61"/>
      <c r="E19" s="61"/>
      <c r="F19" s="61"/>
      <c r="G19" s="61"/>
      <c r="H19" s="61">
        <f t="shared" si="1"/>
        <v>0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</row>
    <row r="20" spans="1:19" ht="13.5" thickBot="1">
      <c r="A20" s="25"/>
      <c r="B20" s="63"/>
      <c r="C20" s="63"/>
      <c r="D20" s="63"/>
      <c r="E20" s="63"/>
      <c r="F20" s="63"/>
      <c r="G20" s="63"/>
      <c r="H20" s="63">
        <f>SUM(H9:H19)</f>
        <v>36568363.75574999</v>
      </c>
      <c r="I20" s="63"/>
      <c r="J20" s="63"/>
      <c r="K20" s="63"/>
      <c r="L20" s="63"/>
      <c r="M20" s="63"/>
      <c r="N20" s="63"/>
      <c r="O20" s="63"/>
      <c r="P20" s="63">
        <f>SUM(P9:P19)</f>
        <v>38488217.79841639</v>
      </c>
      <c r="Q20" s="63"/>
      <c r="R20" s="63">
        <f>SUM(R9:R19)</f>
        <v>1919854.042666393</v>
      </c>
      <c r="S20" s="64">
        <f>R20/H20</f>
        <v>0.05250040869997953</v>
      </c>
    </row>
    <row r="21" spans="1:19" ht="13.5" thickTop="1">
      <c r="A21" s="2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25"/>
    </row>
    <row r="22" spans="1:19" ht="12.75">
      <c r="A22" s="2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25"/>
    </row>
    <row r="23" spans="1:15" ht="12.75">
      <c r="A23" s="19"/>
      <c r="B23" s="67"/>
      <c r="C23" s="67"/>
      <c r="D23" s="67"/>
      <c r="E23" s="67"/>
      <c r="F23" s="67"/>
      <c r="G23" s="67"/>
      <c r="H23" s="68"/>
      <c r="I23" s="68"/>
      <c r="J23" s="68"/>
      <c r="K23" s="68"/>
      <c r="L23" s="68"/>
      <c r="M23" s="68"/>
      <c r="N23" s="68"/>
      <c r="O23" s="68"/>
    </row>
  </sheetData>
  <mergeCells count="3">
    <mergeCell ref="A2:S2"/>
    <mergeCell ref="A3:S3"/>
    <mergeCell ref="A4:S4"/>
  </mergeCells>
  <printOptions gridLines="1" horizontalCentered="1"/>
  <pageMargins left="0.29" right="0.22" top="1" bottom="1" header="0.5" footer="0.5"/>
  <pageSetup fitToHeight="1" fitToWidth="1" horizontalDpi="600" verticalDpi="600" orientation="landscape" scale="49" r:id="rId1"/>
  <headerFooter alignWithMargins="0">
    <oddFooter>&amp;R&amp;A,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3"/>
  <sheetViews>
    <sheetView view="pageBreakPreview" zoomScale="60" zoomScaleNormal="75" workbookViewId="0" topLeftCell="A1">
      <selection activeCell="V5" sqref="V5"/>
    </sheetView>
  </sheetViews>
  <sheetFormatPr defaultColWidth="9.140625" defaultRowHeight="12.75"/>
  <cols>
    <col min="1" max="1" width="26.00390625" style="31" customWidth="1"/>
    <col min="2" max="2" width="18.28125" style="31" hidden="1" customWidth="1"/>
    <col min="3" max="3" width="15.00390625" style="31" bestFit="1" customWidth="1"/>
    <col min="4" max="4" width="12.00390625" style="31" bestFit="1" customWidth="1"/>
    <col min="5" max="5" width="15.00390625" style="31" bestFit="1" customWidth="1"/>
    <col min="6" max="6" width="10.8515625" style="134" bestFit="1" customWidth="1"/>
    <col min="7" max="7" width="3.28125" style="31" customWidth="1"/>
    <col min="8" max="8" width="15.00390625" style="31" bestFit="1" customWidth="1"/>
    <col min="9" max="9" width="18.8515625" style="31" bestFit="1" customWidth="1"/>
    <col min="10" max="10" width="15.00390625" style="31" bestFit="1" customWidth="1"/>
    <col min="11" max="11" width="10.8515625" style="140" bestFit="1" customWidth="1"/>
    <col min="12" max="12" width="2.8515625" style="31" customWidth="1"/>
    <col min="13" max="13" width="13.7109375" style="31" bestFit="1" customWidth="1"/>
    <col min="14" max="14" width="14.7109375" style="31" customWidth="1"/>
    <col min="15" max="15" width="3.57421875" style="31" hidden="1" customWidth="1"/>
    <col min="16" max="16" width="13.7109375" style="31" hidden="1" customWidth="1"/>
    <col min="17" max="17" width="13.140625" style="31" hidden="1" customWidth="1"/>
    <col min="18" max="18" width="12.57421875" style="31" hidden="1" customWidth="1"/>
    <col min="19" max="19" width="16.8515625" style="31" hidden="1" customWidth="1"/>
    <col min="20" max="16384" width="8.7109375" style="31" customWidth="1"/>
  </cols>
  <sheetData>
    <row r="1" spans="1:14" ht="12.75">
      <c r="A1" s="76"/>
      <c r="B1" s="77"/>
      <c r="C1" s="77"/>
      <c r="D1" s="77"/>
      <c r="E1" s="77"/>
      <c r="F1" s="123"/>
      <c r="G1" s="30"/>
      <c r="H1" s="30"/>
      <c r="I1" s="30"/>
      <c r="J1" s="30"/>
      <c r="K1" s="138"/>
      <c r="L1" s="30"/>
      <c r="M1" s="30"/>
      <c r="N1" s="109" t="s">
        <v>112</v>
      </c>
    </row>
    <row r="2" spans="1:14" ht="12.75">
      <c r="A2" s="76"/>
      <c r="B2" s="77"/>
      <c r="C2" s="77"/>
      <c r="D2" s="77"/>
      <c r="E2" s="77"/>
      <c r="F2" s="123"/>
      <c r="G2" s="30"/>
      <c r="H2" s="30"/>
      <c r="I2" s="30"/>
      <c r="J2" s="30"/>
      <c r="K2" s="138"/>
      <c r="L2" s="30"/>
      <c r="M2" s="30"/>
      <c r="N2" s="174" t="s">
        <v>117</v>
      </c>
    </row>
    <row r="3" spans="2:14" ht="12.75">
      <c r="B3" s="26"/>
      <c r="C3" s="26"/>
      <c r="D3" s="26"/>
      <c r="E3" s="26"/>
      <c r="F3" s="124"/>
      <c r="G3" s="26"/>
      <c r="H3" s="26"/>
      <c r="I3" s="26"/>
      <c r="J3" s="26"/>
      <c r="K3" s="139"/>
      <c r="L3" s="26"/>
      <c r="M3" s="26"/>
      <c r="N3" s="109" t="s">
        <v>113</v>
      </c>
    </row>
    <row r="4" spans="2:14" ht="12.75">
      <c r="B4" s="26"/>
      <c r="C4" s="26"/>
      <c r="D4" s="26"/>
      <c r="E4" s="26"/>
      <c r="F4" s="124"/>
      <c r="G4" s="26"/>
      <c r="H4" s="26" t="s">
        <v>32</v>
      </c>
      <c r="I4" s="26"/>
      <c r="J4" s="26"/>
      <c r="K4" s="139"/>
      <c r="L4" s="26"/>
      <c r="M4" s="26"/>
      <c r="N4" s="26"/>
    </row>
    <row r="5" spans="2:14" ht="12.75">
      <c r="B5" s="26"/>
      <c r="C5" s="26"/>
      <c r="D5" s="26"/>
      <c r="E5" s="26"/>
      <c r="F5" s="124"/>
      <c r="G5" s="26"/>
      <c r="H5" s="26" t="s">
        <v>18</v>
      </c>
      <c r="I5" s="26"/>
      <c r="J5" s="26"/>
      <c r="K5" s="139"/>
      <c r="L5" s="26"/>
      <c r="M5" s="26"/>
      <c r="N5" s="26"/>
    </row>
    <row r="6" spans="2:8" ht="12.75">
      <c r="B6" s="78"/>
      <c r="C6" s="78"/>
      <c r="D6" s="78"/>
      <c r="E6" s="78"/>
      <c r="F6" s="125"/>
      <c r="H6" s="26" t="s">
        <v>16</v>
      </c>
    </row>
    <row r="7" spans="2:14" ht="12.75">
      <c r="B7" s="26"/>
      <c r="C7" s="26"/>
      <c r="D7" s="26"/>
      <c r="E7" s="26"/>
      <c r="F7" s="124"/>
      <c r="G7" s="26"/>
      <c r="H7" s="78"/>
      <c r="I7" s="26"/>
      <c r="J7" s="26"/>
      <c r="K7" s="139"/>
      <c r="L7" s="26"/>
      <c r="M7" s="26"/>
      <c r="N7" s="26"/>
    </row>
    <row r="8" spans="2:14" ht="12.75">
      <c r="B8" s="26"/>
      <c r="C8" s="26"/>
      <c r="D8" s="26"/>
      <c r="E8" s="26"/>
      <c r="F8" s="124"/>
      <c r="G8" s="26"/>
      <c r="H8" s="26" t="s">
        <v>33</v>
      </c>
      <c r="I8" s="26"/>
      <c r="J8" s="26"/>
      <c r="K8" s="139"/>
      <c r="L8" s="26"/>
      <c r="M8" s="26"/>
      <c r="N8" s="26"/>
    </row>
    <row r="9" spans="1:14" ht="12.75">
      <c r="A9" s="26"/>
      <c r="B9" s="26"/>
      <c r="C9" s="26"/>
      <c r="D9" s="26"/>
      <c r="E9" s="26"/>
      <c r="F9" s="124"/>
      <c r="G9" s="26"/>
      <c r="H9" s="26" t="s">
        <v>36</v>
      </c>
      <c r="I9" s="26"/>
      <c r="J9" s="26"/>
      <c r="K9" s="139"/>
      <c r="L9" s="26"/>
      <c r="M9" s="26"/>
      <c r="N9" s="26"/>
    </row>
    <row r="10" spans="1:6" ht="12.75">
      <c r="A10" s="78"/>
      <c r="B10" s="78"/>
      <c r="C10" s="78"/>
      <c r="D10" s="78"/>
      <c r="E10" s="78"/>
      <c r="F10" s="125"/>
    </row>
    <row r="11" spans="2:17" ht="12.75">
      <c r="B11" s="116" t="s">
        <v>67</v>
      </c>
      <c r="C11" s="119" t="s">
        <v>0</v>
      </c>
      <c r="D11" s="120"/>
      <c r="E11" s="120"/>
      <c r="F11" s="126"/>
      <c r="H11" s="119" t="s">
        <v>1</v>
      </c>
      <c r="I11" s="120"/>
      <c r="J11" s="120"/>
      <c r="K11" s="141"/>
      <c r="M11" s="18" t="s">
        <v>2</v>
      </c>
      <c r="N11" s="79" t="s">
        <v>3</v>
      </c>
      <c r="P11" s="18" t="s">
        <v>23</v>
      </c>
      <c r="Q11" s="18" t="s">
        <v>24</v>
      </c>
    </row>
    <row r="12" spans="1:11" ht="12.75">
      <c r="A12" s="43"/>
      <c r="B12" s="43"/>
      <c r="C12" s="121"/>
      <c r="D12" s="122"/>
      <c r="E12" s="122"/>
      <c r="F12" s="127"/>
      <c r="H12" s="121"/>
      <c r="I12" s="122"/>
      <c r="J12" s="122"/>
      <c r="K12" s="142"/>
    </row>
    <row r="13" spans="1:11" ht="12.75">
      <c r="A13" s="43"/>
      <c r="B13" s="43"/>
      <c r="C13" s="117" t="s">
        <v>4</v>
      </c>
      <c r="D13" s="117" t="s">
        <v>5</v>
      </c>
      <c r="E13" s="117" t="s">
        <v>6</v>
      </c>
      <c r="F13" s="128" t="s">
        <v>108</v>
      </c>
      <c r="H13" s="117" t="s">
        <v>4</v>
      </c>
      <c r="I13" s="117" t="s">
        <v>1</v>
      </c>
      <c r="J13" s="117" t="s">
        <v>6</v>
      </c>
      <c r="K13" s="143" t="s">
        <v>108</v>
      </c>
    </row>
    <row r="14" spans="1:11" ht="12.75">
      <c r="A14" s="80"/>
      <c r="B14" s="80"/>
      <c r="C14" s="118" t="s">
        <v>7</v>
      </c>
      <c r="D14" s="118" t="s">
        <v>8</v>
      </c>
      <c r="E14" s="118" t="s">
        <v>9</v>
      </c>
      <c r="F14" s="129" t="s">
        <v>109</v>
      </c>
      <c r="H14" s="118" t="s">
        <v>7</v>
      </c>
      <c r="I14" s="118" t="s">
        <v>8</v>
      </c>
      <c r="J14" s="118" t="s">
        <v>9</v>
      </c>
      <c r="K14" s="144" t="s">
        <v>109</v>
      </c>
    </row>
    <row r="16" spans="1:11" ht="12.75">
      <c r="A16" s="43" t="s">
        <v>49</v>
      </c>
      <c r="B16" s="43"/>
      <c r="C16" s="51">
        <v>257884</v>
      </c>
      <c r="D16" s="43"/>
      <c r="E16" s="49"/>
      <c r="F16" s="130"/>
      <c r="H16" s="51">
        <f>C16</f>
        <v>257884</v>
      </c>
      <c r="I16" s="43"/>
      <c r="J16" s="43"/>
      <c r="K16" s="106"/>
    </row>
    <row r="17" spans="1:17" ht="12.75">
      <c r="A17" s="43" t="s">
        <v>40</v>
      </c>
      <c r="B17" s="75">
        <v>284292</v>
      </c>
      <c r="C17" s="51">
        <v>31855</v>
      </c>
      <c r="D17" s="49">
        <v>6.96</v>
      </c>
      <c r="E17" s="50">
        <f>C17*D17</f>
        <v>221710.8</v>
      </c>
      <c r="F17" s="130">
        <f>E17/E23</f>
        <v>0.01153216849177673</v>
      </c>
      <c r="H17" s="51">
        <f>C17</f>
        <v>31855</v>
      </c>
      <c r="I17" s="49">
        <f>I20*50</f>
        <v>7.1674489208359535</v>
      </c>
      <c r="J17" s="50">
        <f>I17*H17</f>
        <v>228319.0853732293</v>
      </c>
      <c r="K17" s="130">
        <f>J17/J23</f>
        <v>0.011173552956780172</v>
      </c>
      <c r="M17" s="32">
        <f>J17-E17</f>
        <v>6608.285373229301</v>
      </c>
      <c r="N17" s="33">
        <f>M17/E17</f>
        <v>0.0298058794304531</v>
      </c>
      <c r="Q17" s="34">
        <f>M17</f>
        <v>6608.285373229301</v>
      </c>
    </row>
    <row r="18" spans="1:14" ht="12.75">
      <c r="A18" s="43"/>
      <c r="B18" s="43"/>
      <c r="C18" s="51"/>
      <c r="D18" s="49"/>
      <c r="E18" s="49"/>
      <c r="F18" s="130"/>
      <c r="H18" s="51"/>
      <c r="I18" s="49"/>
      <c r="J18" s="43"/>
      <c r="K18" s="130"/>
      <c r="M18" s="32"/>
      <c r="N18" s="33"/>
    </row>
    <row r="19" spans="1:14" ht="12.75">
      <c r="A19" s="43" t="s">
        <v>10</v>
      </c>
      <c r="B19" s="43"/>
      <c r="C19" s="81"/>
      <c r="D19" s="82"/>
      <c r="E19" s="81"/>
      <c r="F19" s="131"/>
      <c r="G19" s="30"/>
      <c r="H19" s="81"/>
      <c r="I19" s="83"/>
      <c r="J19" s="81"/>
      <c r="K19" s="131"/>
      <c r="M19" s="32"/>
      <c r="N19" s="33"/>
    </row>
    <row r="20" spans="1:17" ht="12.75">
      <c r="A20" s="43" t="s">
        <v>34</v>
      </c>
      <c r="B20" s="51">
        <f>C20</f>
        <v>11301450</v>
      </c>
      <c r="C20" s="51">
        <v>11301450</v>
      </c>
      <c r="D20" s="84">
        <v>0.13929</v>
      </c>
      <c r="E20" s="81">
        <f>C20*D20</f>
        <v>1574178.9705</v>
      </c>
      <c r="F20" s="131">
        <f>E20/E23</f>
        <v>0.0818800758646743</v>
      </c>
      <c r="H20" s="51">
        <f>C20</f>
        <v>11301450</v>
      </c>
      <c r="I20" s="54">
        <f>D20+$R$287-((2324.33-10.39)/($B$17+$B$20+$B$21+($B$49*0.6)+$B$74+$B$79+$B$80+($B$112*0.6)))</f>
        <v>0.14334897841671906</v>
      </c>
      <c r="J20" s="81">
        <f>H20*I20</f>
        <v>1620051.3121276298</v>
      </c>
      <c r="K20" s="131">
        <f>J20/J23</f>
        <v>0.07928259303933655</v>
      </c>
      <c r="M20" s="32">
        <f aca="true" t="shared" si="0" ref="M20:M26">J20-E20</f>
        <v>45872.34162762971</v>
      </c>
      <c r="N20" s="33">
        <f aca="true" t="shared" si="1" ref="N20:N26">M20/E20</f>
        <v>0.029140486874284353</v>
      </c>
      <c r="Q20" s="34">
        <f>M20</f>
        <v>45872.34162762971</v>
      </c>
    </row>
    <row r="21" spans="1:17" ht="12.75">
      <c r="A21" s="43" t="s">
        <v>35</v>
      </c>
      <c r="B21" s="51">
        <f>C21</f>
        <v>284796270</v>
      </c>
      <c r="C21" s="51">
        <v>284796270</v>
      </c>
      <c r="D21" s="84">
        <v>0.0612</v>
      </c>
      <c r="E21" s="81">
        <f>C21*D21</f>
        <v>17429531.724</v>
      </c>
      <c r="F21" s="131">
        <f>E21/E23</f>
        <v>0.906587755643549</v>
      </c>
      <c r="H21" s="51">
        <f>C21</f>
        <v>284796270</v>
      </c>
      <c r="I21" s="54">
        <f>D21+$R$287-((2324.33-10.39)/($B$17+$B$20+$B$21+($B$49*0.6)+$B$74+$B$79+$B$80+($B$112*0.6)))</f>
        <v>0.06525897841671907</v>
      </c>
      <c r="J21" s="81">
        <f>H21*I21</f>
        <v>18585513.6370921</v>
      </c>
      <c r="K21" s="131">
        <f>J21/J23</f>
        <v>0.9095438540038834</v>
      </c>
      <c r="M21" s="32">
        <f t="shared" si="0"/>
        <v>1155981.9130920991</v>
      </c>
      <c r="N21" s="33">
        <f t="shared" si="1"/>
        <v>0.06632317674377579</v>
      </c>
      <c r="Q21" s="35">
        <f>M21</f>
        <v>1155981.9130920991</v>
      </c>
    </row>
    <row r="22" spans="1:14" ht="12.75">
      <c r="A22" s="43"/>
      <c r="B22" s="43"/>
      <c r="C22" s="51"/>
      <c r="D22" s="84"/>
      <c r="E22" s="51"/>
      <c r="F22" s="130"/>
      <c r="H22" s="51"/>
      <c r="I22" s="84"/>
      <c r="J22" s="51"/>
      <c r="K22" s="130"/>
      <c r="M22" s="32"/>
      <c r="N22" s="33"/>
    </row>
    <row r="23" spans="1:14" ht="12.75">
      <c r="A23" s="43" t="s">
        <v>11</v>
      </c>
      <c r="B23" s="43"/>
      <c r="C23" s="51"/>
      <c r="D23" s="43"/>
      <c r="E23" s="85">
        <f>SUM(E17:E21)</f>
        <v>19225421.4945</v>
      </c>
      <c r="F23" s="131">
        <f>SUM(F17:F21)</f>
        <v>1</v>
      </c>
      <c r="H23" s="51"/>
      <c r="I23" s="43"/>
      <c r="J23" s="85">
        <f>SUM(J17:J21)</f>
        <v>20433884.034592956</v>
      </c>
      <c r="K23" s="131">
        <f>SUM(K17:K21)</f>
        <v>1</v>
      </c>
      <c r="M23" s="36">
        <f t="shared" si="0"/>
        <v>1208462.5400929563</v>
      </c>
      <c r="N23" s="37">
        <f t="shared" si="1"/>
        <v>0.06285753165092753</v>
      </c>
    </row>
    <row r="24" spans="1:14" ht="12.75">
      <c r="A24" s="43"/>
      <c r="B24" s="43"/>
      <c r="C24" s="51"/>
      <c r="D24" s="84"/>
      <c r="E24" s="43"/>
      <c r="F24" s="130"/>
      <c r="H24" s="51"/>
      <c r="I24" s="84"/>
      <c r="J24" s="43"/>
      <c r="K24" s="106"/>
      <c r="M24" s="32"/>
      <c r="N24" s="33"/>
    </row>
    <row r="25" spans="1:14" ht="12.75">
      <c r="A25" s="43" t="s">
        <v>12</v>
      </c>
      <c r="B25" s="43"/>
      <c r="C25" s="51"/>
      <c r="D25" s="84"/>
      <c r="E25" s="86">
        <v>2455296</v>
      </c>
      <c r="F25" s="132"/>
      <c r="H25" s="51"/>
      <c r="I25" s="84"/>
      <c r="J25" s="51">
        <f>E25</f>
        <v>2455296</v>
      </c>
      <c r="K25" s="145"/>
      <c r="M25" s="32">
        <f t="shared" si="0"/>
        <v>0</v>
      </c>
      <c r="N25" s="33">
        <f t="shared" si="1"/>
        <v>0</v>
      </c>
    </row>
    <row r="26" spans="1:14" ht="12.75">
      <c r="A26" s="43" t="s">
        <v>13</v>
      </c>
      <c r="B26" s="43"/>
      <c r="C26" s="51"/>
      <c r="D26" s="84"/>
      <c r="E26" s="87">
        <v>1607564</v>
      </c>
      <c r="F26" s="133"/>
      <c r="H26" s="51"/>
      <c r="I26" s="84"/>
      <c r="J26" s="88">
        <f>E26</f>
        <v>1607564</v>
      </c>
      <c r="K26" s="146"/>
      <c r="M26" s="38">
        <f t="shared" si="0"/>
        <v>0</v>
      </c>
      <c r="N26" s="39">
        <f t="shared" si="1"/>
        <v>0</v>
      </c>
    </row>
    <row r="27" spans="1:14" ht="12.75">
      <c r="A27" s="43"/>
      <c r="B27" s="43"/>
      <c r="C27" s="51"/>
      <c r="D27" s="43"/>
      <c r="E27" s="43"/>
      <c r="F27" s="130"/>
      <c r="H27" s="51"/>
      <c r="I27" s="43"/>
      <c r="J27" s="43"/>
      <c r="K27" s="106"/>
      <c r="N27" s="33"/>
    </row>
    <row r="28" spans="1:14" ht="13.5" thickBot="1">
      <c r="A28" s="43" t="s">
        <v>14</v>
      </c>
      <c r="B28" s="43"/>
      <c r="C28" s="51"/>
      <c r="D28" s="43"/>
      <c r="E28" s="89">
        <f>SUM(E23:E26)</f>
        <v>23288281.4945</v>
      </c>
      <c r="F28" s="131"/>
      <c r="H28" s="51"/>
      <c r="I28" s="43"/>
      <c r="J28" s="89">
        <f>SUM(J23:J26)</f>
        <v>24496744.034592956</v>
      </c>
      <c r="K28" s="147"/>
      <c r="M28" s="40">
        <f>J28-E28</f>
        <v>1208462.5400929563</v>
      </c>
      <c r="N28" s="41">
        <f>M28/E28</f>
        <v>0.05189144335868489</v>
      </c>
    </row>
    <row r="29" spans="1:6" ht="13.5" thickTop="1">
      <c r="A29" s="43"/>
      <c r="B29" s="43"/>
      <c r="C29" s="43"/>
      <c r="D29" s="43"/>
      <c r="E29" s="43"/>
      <c r="F29" s="130"/>
    </row>
    <row r="30" spans="1:14" ht="12.75">
      <c r="A30" s="43" t="s">
        <v>15</v>
      </c>
      <c r="B30" s="43"/>
      <c r="E30" s="42">
        <f>E28/C16</f>
        <v>90.3052593200819</v>
      </c>
      <c r="J30" s="42">
        <f>J28/H16</f>
        <v>94.99132956908127</v>
      </c>
      <c r="K30" s="148"/>
      <c r="M30" s="42">
        <f>J30-E30</f>
        <v>4.686070248999371</v>
      </c>
      <c r="N30" s="33">
        <f>M30/E30</f>
        <v>0.051891443358684786</v>
      </c>
    </row>
    <row r="31" spans="1:14" ht="12.75">
      <c r="A31" s="43"/>
      <c r="B31" s="43"/>
      <c r="E31" s="42"/>
      <c r="J31" s="42"/>
      <c r="K31" s="148"/>
      <c r="M31" s="42"/>
      <c r="N31" s="33"/>
    </row>
    <row r="32" spans="1:14" ht="12.75" hidden="1">
      <c r="A32" s="43"/>
      <c r="B32" s="43"/>
      <c r="E32" s="42"/>
      <c r="J32" s="42"/>
      <c r="K32" s="148"/>
      <c r="M32" s="42"/>
      <c r="N32" s="33"/>
    </row>
    <row r="33" spans="2:14" ht="12.75" hidden="1">
      <c r="B33" s="26"/>
      <c r="C33" s="26"/>
      <c r="D33" s="26"/>
      <c r="E33" s="26"/>
      <c r="F33" s="124"/>
      <c r="G33" s="26"/>
      <c r="H33" s="26"/>
      <c r="I33" s="26"/>
      <c r="J33" s="26"/>
      <c r="K33" s="139"/>
      <c r="L33" s="26"/>
      <c r="M33" s="26"/>
      <c r="N33" s="26"/>
    </row>
    <row r="34" spans="2:14" ht="12.75" hidden="1">
      <c r="B34" s="26"/>
      <c r="C34" s="26"/>
      <c r="D34" s="26"/>
      <c r="E34" s="26"/>
      <c r="F34" s="124"/>
      <c r="G34" s="26"/>
      <c r="H34" s="26" t="str">
        <f>H4</f>
        <v>Farmers Rural Electric Cooperative</v>
      </c>
      <c r="I34" s="26"/>
      <c r="J34" s="26"/>
      <c r="K34" s="139"/>
      <c r="L34" s="26"/>
      <c r="M34" s="26"/>
      <c r="N34" s="26"/>
    </row>
    <row r="35" spans="2:14" ht="12.75" hidden="1">
      <c r="B35" s="26"/>
      <c r="C35" s="26"/>
      <c r="D35" s="26"/>
      <c r="E35" s="26"/>
      <c r="F35" s="124"/>
      <c r="G35" s="26"/>
      <c r="H35" s="26" t="s">
        <v>18</v>
      </c>
      <c r="I35" s="26"/>
      <c r="J35" s="26"/>
      <c r="K35" s="139"/>
      <c r="L35" s="26"/>
      <c r="M35" s="26"/>
      <c r="N35" s="26"/>
    </row>
    <row r="36" spans="2:8" ht="12.75" hidden="1">
      <c r="B36" s="78"/>
      <c r="C36" s="78"/>
      <c r="D36" s="78"/>
      <c r="E36" s="78"/>
      <c r="F36" s="125"/>
      <c r="H36" s="26" t="s">
        <v>16</v>
      </c>
    </row>
    <row r="37" spans="2:14" ht="12.75">
      <c r="B37" s="26"/>
      <c r="C37" s="26"/>
      <c r="D37" s="26"/>
      <c r="E37" s="26"/>
      <c r="F37" s="124"/>
      <c r="G37" s="26"/>
      <c r="H37" s="78"/>
      <c r="I37" s="26"/>
      <c r="J37" s="26"/>
      <c r="K37" s="139"/>
      <c r="L37" s="26"/>
      <c r="M37" s="26"/>
      <c r="N37" s="26"/>
    </row>
    <row r="38" spans="2:14" ht="12.75">
      <c r="B38" s="90"/>
      <c r="C38" s="90"/>
      <c r="D38" s="90"/>
      <c r="E38" s="90"/>
      <c r="F38" s="135"/>
      <c r="G38" s="90"/>
      <c r="H38" s="26" t="s">
        <v>41</v>
      </c>
      <c r="I38" s="90"/>
      <c r="J38" s="90"/>
      <c r="K38" s="149"/>
      <c r="L38" s="90"/>
      <c r="M38" s="90"/>
      <c r="N38" s="90"/>
    </row>
    <row r="39" spans="1:14" ht="12.75">
      <c r="A39" s="26"/>
      <c r="B39" s="26"/>
      <c r="C39" s="26"/>
      <c r="D39" s="26"/>
      <c r="E39" s="26"/>
      <c r="F39" s="124"/>
      <c r="G39" s="26"/>
      <c r="H39" s="25" t="s">
        <v>91</v>
      </c>
      <c r="I39" s="26"/>
      <c r="J39" s="26"/>
      <c r="K39" s="139"/>
      <c r="L39" s="26"/>
      <c r="M39" s="26"/>
      <c r="N39" s="26"/>
    </row>
    <row r="40" spans="1:6" ht="12.75">
      <c r="A40" s="78"/>
      <c r="B40" s="78"/>
      <c r="C40" s="78"/>
      <c r="D40" s="78"/>
      <c r="E40" s="78"/>
      <c r="F40" s="125"/>
    </row>
    <row r="41" spans="2:17" ht="12.75">
      <c r="B41" s="18" t="s">
        <v>67</v>
      </c>
      <c r="C41" s="119" t="s">
        <v>0</v>
      </c>
      <c r="D41" s="120"/>
      <c r="E41" s="120"/>
      <c r="F41" s="126"/>
      <c r="H41" s="119" t="s">
        <v>1</v>
      </c>
      <c r="I41" s="120"/>
      <c r="J41" s="120"/>
      <c r="K41" s="141"/>
      <c r="M41" s="18" t="s">
        <v>2</v>
      </c>
      <c r="N41" s="79" t="s">
        <v>3</v>
      </c>
      <c r="P41" s="18" t="s">
        <v>23</v>
      </c>
      <c r="Q41" s="18" t="s">
        <v>24</v>
      </c>
    </row>
    <row r="42" spans="1:11" ht="12.75">
      <c r="A42" s="43"/>
      <c r="B42" s="43"/>
      <c r="C42" s="121"/>
      <c r="D42" s="122"/>
      <c r="E42" s="122"/>
      <c r="F42" s="127"/>
      <c r="H42" s="121"/>
      <c r="I42" s="122"/>
      <c r="J42" s="122"/>
      <c r="K42" s="142"/>
    </row>
    <row r="43" spans="1:11" ht="12.75">
      <c r="A43" s="43"/>
      <c r="B43" s="43"/>
      <c r="C43" s="117" t="s">
        <v>4</v>
      </c>
      <c r="D43" s="117" t="s">
        <v>5</v>
      </c>
      <c r="E43" s="117" t="s">
        <v>6</v>
      </c>
      <c r="F43" s="128" t="s">
        <v>108</v>
      </c>
      <c r="H43" s="117" t="s">
        <v>4</v>
      </c>
      <c r="I43" s="117" t="s">
        <v>1</v>
      </c>
      <c r="J43" s="117" t="s">
        <v>6</v>
      </c>
      <c r="K43" s="143" t="s">
        <v>108</v>
      </c>
    </row>
    <row r="44" spans="1:11" ht="12.75">
      <c r="A44" s="80"/>
      <c r="B44" s="80"/>
      <c r="C44" s="118" t="s">
        <v>7</v>
      </c>
      <c r="D44" s="118" t="s">
        <v>8</v>
      </c>
      <c r="E44" s="118" t="s">
        <v>9</v>
      </c>
      <c r="F44" s="129" t="s">
        <v>109</v>
      </c>
      <c r="H44" s="118" t="s">
        <v>7</v>
      </c>
      <c r="I44" s="118" t="s">
        <v>8</v>
      </c>
      <c r="J44" s="118" t="s">
        <v>9</v>
      </c>
      <c r="K44" s="144" t="s">
        <v>109</v>
      </c>
    </row>
    <row r="46" spans="1:11" ht="12.75">
      <c r="A46" s="43"/>
      <c r="B46" s="43"/>
      <c r="C46" s="51"/>
      <c r="D46" s="43"/>
      <c r="E46" s="49"/>
      <c r="F46" s="130"/>
      <c r="H46" s="51"/>
      <c r="I46" s="43"/>
      <c r="J46" s="43"/>
      <c r="K46" s="106"/>
    </row>
    <row r="47" spans="1:11" ht="12.75">
      <c r="A47" s="43" t="s">
        <v>66</v>
      </c>
      <c r="B47" s="43"/>
      <c r="C47" s="51">
        <v>2013</v>
      </c>
      <c r="D47" s="49"/>
      <c r="E47" s="50">
        <f>C47*D47</f>
        <v>0</v>
      </c>
      <c r="F47" s="130">
        <f>E47/E51</f>
        <v>0</v>
      </c>
      <c r="H47" s="51">
        <f>C47</f>
        <v>2013</v>
      </c>
      <c r="I47" s="49">
        <f>D47</f>
        <v>0</v>
      </c>
      <c r="J47" s="50">
        <f>I47*H47</f>
        <v>0</v>
      </c>
      <c r="K47" s="130">
        <f>J47/J51</f>
        <v>0</v>
      </c>
    </row>
    <row r="48" spans="1:11" ht="12.75">
      <c r="A48" s="43"/>
      <c r="B48" s="43"/>
      <c r="C48" s="51"/>
      <c r="D48" s="49"/>
      <c r="E48" s="49"/>
      <c r="F48" s="130"/>
      <c r="H48" s="51"/>
      <c r="I48" s="49"/>
      <c r="J48" s="43"/>
      <c r="K48" s="130"/>
    </row>
    <row r="49" spans="1:17" ht="12.75">
      <c r="A49" s="43" t="s">
        <v>10</v>
      </c>
      <c r="B49" s="51">
        <f>C49</f>
        <v>2312637</v>
      </c>
      <c r="C49" s="51">
        <v>2312637</v>
      </c>
      <c r="D49" s="84">
        <v>0.03672</v>
      </c>
      <c r="E49" s="81">
        <f>D49*C49</f>
        <v>84920.03064000001</v>
      </c>
      <c r="F49" s="131">
        <f>E49/E51</f>
        <v>1</v>
      </c>
      <c r="G49" s="30"/>
      <c r="H49" s="81">
        <f>C49</f>
        <v>2312637</v>
      </c>
      <c r="I49" s="91">
        <f>I21*0.6</f>
        <v>0.039155387050031444</v>
      </c>
      <c r="J49" s="81">
        <f>I49*H49</f>
        <v>90552.19684122357</v>
      </c>
      <c r="K49" s="131">
        <f>J49/J51</f>
        <v>1</v>
      </c>
      <c r="M49" s="35">
        <f>J49-E49</f>
        <v>5632.166201223561</v>
      </c>
      <c r="N49" s="33">
        <f>M49/E49</f>
        <v>0.06632317674377561</v>
      </c>
      <c r="Q49" s="35">
        <f>M49</f>
        <v>5632.166201223561</v>
      </c>
    </row>
    <row r="50" spans="1:11" ht="12.75">
      <c r="A50" s="43"/>
      <c r="B50" s="43"/>
      <c r="C50" s="51"/>
      <c r="D50" s="84"/>
      <c r="E50" s="51"/>
      <c r="F50" s="130"/>
      <c r="H50" s="51"/>
      <c r="I50" s="84"/>
      <c r="J50" s="51"/>
      <c r="K50" s="130"/>
    </row>
    <row r="51" spans="1:14" ht="12.75">
      <c r="A51" s="43" t="s">
        <v>11</v>
      </c>
      <c r="B51" s="43"/>
      <c r="C51" s="51"/>
      <c r="D51" s="43"/>
      <c r="E51" s="85">
        <f>E47+E49</f>
        <v>84920.03064000001</v>
      </c>
      <c r="F51" s="131">
        <f>SUM(F47:F49)</f>
        <v>1</v>
      </c>
      <c r="H51" s="51"/>
      <c r="I51" s="43"/>
      <c r="J51" s="85">
        <f>J47+J49</f>
        <v>90552.19684122357</v>
      </c>
      <c r="K51" s="131">
        <f>SUM(K47:K49)</f>
        <v>1</v>
      </c>
      <c r="M51" s="44">
        <f>J51-E51</f>
        <v>5632.166201223561</v>
      </c>
      <c r="N51" s="37">
        <f>M51/E51</f>
        <v>0.06632317674377561</v>
      </c>
    </row>
    <row r="52" spans="1:11" ht="12.75">
      <c r="A52" s="43"/>
      <c r="B52" s="43"/>
      <c r="C52" s="51"/>
      <c r="D52" s="84"/>
      <c r="E52" s="43"/>
      <c r="F52" s="130"/>
      <c r="H52" s="51"/>
      <c r="I52" s="84"/>
      <c r="J52" s="43"/>
      <c r="K52" s="106"/>
    </row>
    <row r="53" spans="1:14" ht="12.75">
      <c r="A53" s="43" t="s">
        <v>12</v>
      </c>
      <c r="B53" s="43"/>
      <c r="C53" s="51"/>
      <c r="D53" s="84"/>
      <c r="E53" s="51">
        <v>20756</v>
      </c>
      <c r="F53" s="130"/>
      <c r="H53" s="51"/>
      <c r="I53" s="84"/>
      <c r="J53" s="51">
        <f>E53</f>
        <v>20756</v>
      </c>
      <c r="K53" s="145"/>
      <c r="M53" s="35">
        <f>J53-E53</f>
        <v>0</v>
      </c>
      <c r="N53" s="33">
        <f>M53/E53</f>
        <v>0</v>
      </c>
    </row>
    <row r="54" spans="1:14" ht="12.75">
      <c r="A54" s="43" t="s">
        <v>13</v>
      </c>
      <c r="B54" s="43"/>
      <c r="C54" s="51"/>
      <c r="D54" s="84"/>
      <c r="E54" s="87">
        <v>6901</v>
      </c>
      <c r="F54" s="133"/>
      <c r="H54" s="51"/>
      <c r="I54" s="84"/>
      <c r="J54" s="88">
        <f>E54</f>
        <v>6901</v>
      </c>
      <c r="K54" s="146"/>
      <c r="M54" s="45">
        <f>J54-E54</f>
        <v>0</v>
      </c>
      <c r="N54" s="39">
        <f>M54/E54</f>
        <v>0</v>
      </c>
    </row>
    <row r="55" spans="1:13" ht="12.75">
      <c r="A55" s="43"/>
      <c r="B55" s="43"/>
      <c r="C55" s="51"/>
      <c r="D55" s="43"/>
      <c r="E55" s="43"/>
      <c r="F55" s="130"/>
      <c r="H55" s="51"/>
      <c r="I55" s="43"/>
      <c r="J55" s="43"/>
      <c r="K55" s="106"/>
      <c r="M55" s="35"/>
    </row>
    <row r="56" spans="1:14" ht="13.5" thickBot="1">
      <c r="A56" s="43" t="s">
        <v>14</v>
      </c>
      <c r="B56" s="43"/>
      <c r="C56" s="51"/>
      <c r="D56" s="43"/>
      <c r="E56" s="89">
        <f>SUM(E51:E54)</f>
        <v>112577.03064000001</v>
      </c>
      <c r="F56" s="131"/>
      <c r="H56" s="51"/>
      <c r="I56" s="43"/>
      <c r="J56" s="89">
        <f>SUM(J51:J54)</f>
        <v>118209.19684122357</v>
      </c>
      <c r="K56" s="147"/>
      <c r="M56" s="46">
        <f>J56-E56</f>
        <v>5632.166201223561</v>
      </c>
      <c r="N56" s="41">
        <f>M56/E56</f>
        <v>0.05002944356592741</v>
      </c>
    </row>
    <row r="57" spans="1:6" ht="13.5" thickTop="1">
      <c r="A57" s="43"/>
      <c r="B57" s="43"/>
      <c r="C57" s="43"/>
      <c r="D57" s="43"/>
      <c r="E57" s="43"/>
      <c r="F57" s="130"/>
    </row>
    <row r="58" spans="1:14" ht="12.75">
      <c r="A58" s="43" t="s">
        <v>15</v>
      </c>
      <c r="B58" s="43"/>
      <c r="E58" s="42">
        <f>E56/C47</f>
        <v>55.92500280178838</v>
      </c>
      <c r="J58" s="42">
        <f>J56/H47</f>
        <v>58.72289957338479</v>
      </c>
      <c r="K58" s="148"/>
      <c r="M58" s="42">
        <f>J58-E58</f>
        <v>2.797896771596406</v>
      </c>
      <c r="N58" s="33">
        <f>M58/E58</f>
        <v>0.050029443565927444</v>
      </c>
    </row>
    <row r="59" spans="1:14" ht="12.75">
      <c r="A59" s="43"/>
      <c r="B59" s="43"/>
      <c r="E59" s="42"/>
      <c r="J59" s="42"/>
      <c r="K59" s="148"/>
      <c r="M59" s="42"/>
      <c r="N59" s="33"/>
    </row>
    <row r="60" spans="2:14" ht="12.75" hidden="1">
      <c r="B60" s="26"/>
      <c r="C60" s="26"/>
      <c r="D60" s="26"/>
      <c r="E60" s="26"/>
      <c r="F60" s="124"/>
      <c r="G60" s="26"/>
      <c r="H60" s="26"/>
      <c r="I60" s="26"/>
      <c r="J60" s="26"/>
      <c r="K60" s="139"/>
      <c r="L60" s="26"/>
      <c r="M60" s="26"/>
      <c r="N60" s="26"/>
    </row>
    <row r="61" spans="2:14" ht="12.75" hidden="1">
      <c r="B61" s="26"/>
      <c r="C61" s="26"/>
      <c r="D61" s="26"/>
      <c r="E61" s="26"/>
      <c r="F61" s="124"/>
      <c r="G61" s="26"/>
      <c r="H61" s="26" t="str">
        <f>H4</f>
        <v>Farmers Rural Electric Cooperative</v>
      </c>
      <c r="J61" s="26"/>
      <c r="K61" s="139"/>
      <c r="L61" s="26"/>
      <c r="M61" s="26"/>
      <c r="N61" s="26"/>
    </row>
    <row r="62" spans="2:14" ht="12.75" hidden="1">
      <c r="B62" s="26"/>
      <c r="C62" s="26"/>
      <c r="D62" s="26"/>
      <c r="E62" s="26"/>
      <c r="F62" s="124"/>
      <c r="G62" s="26"/>
      <c r="H62" s="26" t="s">
        <v>18</v>
      </c>
      <c r="J62" s="26"/>
      <c r="K62" s="139"/>
      <c r="L62" s="26"/>
      <c r="M62" s="26"/>
      <c r="N62" s="26"/>
    </row>
    <row r="63" spans="2:8" ht="12.75" hidden="1">
      <c r="B63" s="78"/>
      <c r="C63" s="78"/>
      <c r="D63" s="78"/>
      <c r="E63" s="78"/>
      <c r="F63" s="125"/>
      <c r="H63" s="26" t="str">
        <f>H6</f>
        <v>for the 12 months ended September 30, 2006</v>
      </c>
    </row>
    <row r="64" spans="2:14" ht="12.75">
      <c r="B64" s="26"/>
      <c r="C64" s="26"/>
      <c r="D64" s="26"/>
      <c r="E64" s="26"/>
      <c r="F64" s="124"/>
      <c r="G64" s="26"/>
      <c r="H64" s="78"/>
      <c r="J64" s="26"/>
      <c r="K64" s="139"/>
      <c r="L64" s="26"/>
      <c r="M64" s="26"/>
      <c r="N64" s="26"/>
    </row>
    <row r="65" spans="2:14" ht="12.75">
      <c r="B65" s="26"/>
      <c r="C65" s="26"/>
      <c r="D65" s="26"/>
      <c r="E65" s="26"/>
      <c r="F65" s="124"/>
      <c r="G65" s="26"/>
      <c r="H65" s="26" t="s">
        <v>88</v>
      </c>
      <c r="J65" s="26"/>
      <c r="K65" s="139"/>
      <c r="L65" s="26"/>
      <c r="M65" s="26"/>
      <c r="N65" s="26"/>
    </row>
    <row r="66" spans="1:14" ht="12.75">
      <c r="A66" s="26"/>
      <c r="B66" s="26"/>
      <c r="C66" s="26"/>
      <c r="D66" s="26"/>
      <c r="E66" s="26"/>
      <c r="F66" s="124"/>
      <c r="G66" s="26"/>
      <c r="H66" s="26" t="s">
        <v>79</v>
      </c>
      <c r="J66" s="26"/>
      <c r="K66" s="139"/>
      <c r="L66" s="26"/>
      <c r="M66" s="26"/>
      <c r="N66" s="26"/>
    </row>
    <row r="67" spans="1:6" ht="12.75">
      <c r="A67" s="78"/>
      <c r="B67" s="78"/>
      <c r="C67" s="78"/>
      <c r="D67" s="78"/>
      <c r="E67" s="78"/>
      <c r="F67" s="125"/>
    </row>
    <row r="68" spans="2:17" ht="12.75">
      <c r="B68" s="18" t="s">
        <v>67</v>
      </c>
      <c r="C68" s="119" t="s">
        <v>0</v>
      </c>
      <c r="D68" s="120"/>
      <c r="E68" s="120"/>
      <c r="F68" s="126"/>
      <c r="H68" s="119" t="s">
        <v>1</v>
      </c>
      <c r="I68" s="120"/>
      <c r="J68" s="120"/>
      <c r="K68" s="141"/>
      <c r="M68" s="18" t="s">
        <v>2</v>
      </c>
      <c r="N68" s="79" t="s">
        <v>3</v>
      </c>
      <c r="P68" s="18" t="s">
        <v>23</v>
      </c>
      <c r="Q68" s="18" t="s">
        <v>24</v>
      </c>
    </row>
    <row r="69" spans="1:11" ht="12.75">
      <c r="A69" s="43"/>
      <c r="B69" s="43"/>
      <c r="C69" s="121"/>
      <c r="D69" s="122"/>
      <c r="E69" s="122"/>
      <c r="F69" s="127"/>
      <c r="H69" s="121"/>
      <c r="I69" s="122"/>
      <c r="J69" s="122"/>
      <c r="K69" s="142"/>
    </row>
    <row r="70" spans="1:11" ht="12.75">
      <c r="A70" s="43"/>
      <c r="B70" s="43"/>
      <c r="C70" s="117" t="s">
        <v>4</v>
      </c>
      <c r="D70" s="117" t="s">
        <v>5</v>
      </c>
      <c r="E70" s="117" t="s">
        <v>6</v>
      </c>
      <c r="F70" s="128" t="s">
        <v>108</v>
      </c>
      <c r="H70" s="117" t="s">
        <v>4</v>
      </c>
      <c r="I70" s="117" t="s">
        <v>1</v>
      </c>
      <c r="J70" s="117" t="s">
        <v>6</v>
      </c>
      <c r="K70" s="143" t="s">
        <v>108</v>
      </c>
    </row>
    <row r="71" spans="1:11" ht="12.75">
      <c r="A71" s="80"/>
      <c r="B71" s="80"/>
      <c r="C71" s="118" t="s">
        <v>7</v>
      </c>
      <c r="D71" s="118" t="s">
        <v>8</v>
      </c>
      <c r="E71" s="118" t="s">
        <v>9</v>
      </c>
      <c r="F71" s="129" t="s">
        <v>109</v>
      </c>
      <c r="H71" s="118" t="s">
        <v>7</v>
      </c>
      <c r="I71" s="118" t="s">
        <v>8</v>
      </c>
      <c r="J71" s="118" t="s">
        <v>9</v>
      </c>
      <c r="K71" s="144" t="s">
        <v>109</v>
      </c>
    </row>
    <row r="73" spans="1:11" ht="12.75">
      <c r="A73" s="43" t="s">
        <v>50</v>
      </c>
      <c r="B73" s="43"/>
      <c r="C73" s="51">
        <v>18212</v>
      </c>
      <c r="D73" s="43"/>
      <c r="E73" s="43"/>
      <c r="F73" s="130"/>
      <c r="H73" s="51">
        <f>C73</f>
        <v>18212</v>
      </c>
      <c r="I73" s="43"/>
      <c r="J73" s="43"/>
      <c r="K73" s="106"/>
    </row>
    <row r="74" spans="1:17" ht="12.75">
      <c r="A74" s="43" t="s">
        <v>40</v>
      </c>
      <c r="B74" s="75">
        <v>37571</v>
      </c>
      <c r="C74" s="51">
        <v>3653</v>
      </c>
      <c r="D74" s="49">
        <v>6.96</v>
      </c>
      <c r="E74" s="50">
        <f>C74*D74</f>
        <v>25424.88</v>
      </c>
      <c r="F74" s="130">
        <f>E74/E82</f>
        <v>0.013826320658904101</v>
      </c>
      <c r="H74" s="51">
        <f>C74</f>
        <v>3653</v>
      </c>
      <c r="I74" s="49">
        <f>I79*50</f>
        <v>7.1674489208359535</v>
      </c>
      <c r="J74" s="50">
        <f>I74*H74</f>
        <v>26182.69090781374</v>
      </c>
      <c r="K74" s="130">
        <f>J74/J82</f>
        <v>0.013423270263815464</v>
      </c>
      <c r="M74" s="32">
        <f>J74-E74</f>
        <v>757.8109078137386</v>
      </c>
      <c r="N74" s="33"/>
      <c r="Q74" s="34">
        <f>M74</f>
        <v>757.8109078137386</v>
      </c>
    </row>
    <row r="75" spans="1:14" ht="12.75">
      <c r="A75" s="43"/>
      <c r="B75" s="43"/>
      <c r="C75" s="51"/>
      <c r="D75" s="49"/>
      <c r="E75" s="43"/>
      <c r="F75" s="130"/>
      <c r="H75" s="51"/>
      <c r="I75" s="49"/>
      <c r="J75" s="43"/>
      <c r="K75" s="130"/>
      <c r="M75" s="32"/>
      <c r="N75" s="33"/>
    </row>
    <row r="76" spans="1:16" ht="12.75">
      <c r="A76" s="43" t="s">
        <v>19</v>
      </c>
      <c r="B76" s="43"/>
      <c r="C76" s="51"/>
      <c r="D76" s="49"/>
      <c r="E76" s="75">
        <f>D76*C76</f>
        <v>0</v>
      </c>
      <c r="F76" s="130"/>
      <c r="H76" s="51">
        <f>C76</f>
        <v>0</v>
      </c>
      <c r="I76" s="92">
        <v>0</v>
      </c>
      <c r="J76" s="49">
        <f>I76*H76</f>
        <v>0</v>
      </c>
      <c r="K76" s="130"/>
      <c r="M76" s="32">
        <f aca="true" t="shared" si="2" ref="M76:M87">J76-E76</f>
        <v>0</v>
      </c>
      <c r="N76" s="33"/>
      <c r="P76" s="34">
        <f>M76</f>
        <v>0</v>
      </c>
    </row>
    <row r="77" spans="1:14" ht="12.75">
      <c r="A77" s="43"/>
      <c r="B77" s="43"/>
      <c r="C77" s="51"/>
      <c r="D77" s="49"/>
      <c r="E77" s="43"/>
      <c r="F77" s="130"/>
      <c r="H77" s="51"/>
      <c r="I77" s="49"/>
      <c r="J77" s="43"/>
      <c r="K77" s="130"/>
      <c r="M77" s="32"/>
      <c r="N77" s="33"/>
    </row>
    <row r="78" spans="1:14" ht="12.75">
      <c r="A78" s="43" t="s">
        <v>20</v>
      </c>
      <c r="B78" s="43"/>
      <c r="C78" s="51"/>
      <c r="D78" s="84"/>
      <c r="E78" s="51"/>
      <c r="F78" s="130"/>
      <c r="H78" s="51"/>
      <c r="I78" s="93"/>
      <c r="J78" s="51"/>
      <c r="K78" s="130"/>
      <c r="M78" s="32"/>
      <c r="N78" s="33"/>
    </row>
    <row r="79" spans="1:17" ht="12.75">
      <c r="A79" s="43" t="s">
        <v>37</v>
      </c>
      <c r="B79" s="51">
        <f>C79</f>
        <v>727950</v>
      </c>
      <c r="C79" s="51">
        <v>727950</v>
      </c>
      <c r="D79" s="84">
        <v>0.13929</v>
      </c>
      <c r="E79" s="51">
        <f>C79*D79</f>
        <v>101396.1555</v>
      </c>
      <c r="F79" s="130">
        <f>E79/E82</f>
        <v>0.055140309788014825</v>
      </c>
      <c r="H79" s="51">
        <f>C79</f>
        <v>727950</v>
      </c>
      <c r="I79" s="54">
        <f>D79+$R$287-((2324.33-10.39)/($B$17+$B$20+$B$21+($B$49*0.6)+$B$74+$B$79+$B$80+($B$112*0.6)))</f>
        <v>0.14334897841671906</v>
      </c>
      <c r="J79" s="51">
        <f>H79*I79</f>
        <v>104350.88883845064</v>
      </c>
      <c r="K79" s="130">
        <f>J79/J82</f>
        <v>0.05349832788691194</v>
      </c>
      <c r="M79" s="32">
        <f t="shared" si="2"/>
        <v>2954.733338450649</v>
      </c>
      <c r="N79" s="33">
        <f aca="true" t="shared" si="3" ref="N79:N89">M79/E79</f>
        <v>0.029140486874284395</v>
      </c>
      <c r="Q79" s="34">
        <f>M79</f>
        <v>2954.733338450649</v>
      </c>
    </row>
    <row r="80" spans="1:17" ht="12.75">
      <c r="A80" s="43" t="s">
        <v>38</v>
      </c>
      <c r="B80" s="51">
        <f>C80</f>
        <v>26597084</v>
      </c>
      <c r="C80" s="51">
        <v>26597084</v>
      </c>
      <c r="D80" s="84">
        <v>0.06437</v>
      </c>
      <c r="E80" s="51">
        <f>C80*D80</f>
        <v>1712054.29708</v>
      </c>
      <c r="F80" s="130">
        <f>E80/E82</f>
        <v>0.931033369553081</v>
      </c>
      <c r="H80" s="51">
        <f>C80</f>
        <v>26597084</v>
      </c>
      <c r="I80" s="54">
        <f>D80+$R$287-((2324.33-10.39)/($B$17+$B$20+$B$21+($B$49*0.6)+$B$74+$B$79+$B$80+($B$112*0.6)))</f>
        <v>0.06842897841671906</v>
      </c>
      <c r="J80" s="51">
        <f>H80*I80</f>
        <v>1820011.286983664</v>
      </c>
      <c r="K80" s="130">
        <f>J80/J82</f>
        <v>0.9330784018492727</v>
      </c>
      <c r="M80" s="32">
        <f t="shared" si="2"/>
        <v>107956.98990366398</v>
      </c>
      <c r="N80" s="33">
        <f t="shared" si="3"/>
        <v>0.06305698954045465</v>
      </c>
      <c r="Q80" s="34">
        <f>M80</f>
        <v>107956.98990366398</v>
      </c>
    </row>
    <row r="81" spans="1:14" ht="12.75">
      <c r="A81" s="43"/>
      <c r="B81" s="43"/>
      <c r="C81" s="51"/>
      <c r="D81" s="43"/>
      <c r="E81" s="43"/>
      <c r="F81" s="130"/>
      <c r="H81" s="51"/>
      <c r="I81" s="43"/>
      <c r="J81" s="43"/>
      <c r="K81" s="130"/>
      <c r="M81" s="32"/>
      <c r="N81" s="33"/>
    </row>
    <row r="82" spans="1:14" ht="12.75">
      <c r="A82" s="43" t="s">
        <v>21</v>
      </c>
      <c r="B82" s="43"/>
      <c r="C82" s="51"/>
      <c r="D82" s="43"/>
      <c r="E82" s="94">
        <f>SUM(E74:E80)</f>
        <v>1838875.33258</v>
      </c>
      <c r="F82" s="131">
        <f>SUM(F74:F81)</f>
        <v>1</v>
      </c>
      <c r="H82" s="51"/>
      <c r="I82" s="43"/>
      <c r="J82" s="94">
        <f>SUM(J74:J81)</f>
        <v>1950544.8667299282</v>
      </c>
      <c r="K82" s="131">
        <f>SUM(K74:K81)</f>
        <v>1</v>
      </c>
      <c r="M82" s="36">
        <f t="shared" si="2"/>
        <v>111669.53414992825</v>
      </c>
      <c r="N82" s="37">
        <f t="shared" si="3"/>
        <v>0.06072708256587051</v>
      </c>
    </row>
    <row r="83" spans="1:14" ht="12.75">
      <c r="A83" s="95"/>
      <c r="B83" s="95"/>
      <c r="C83" s="51"/>
      <c r="D83" s="84"/>
      <c r="E83" s="43"/>
      <c r="F83" s="130"/>
      <c r="H83" s="51"/>
      <c r="I83" s="84"/>
      <c r="J83" s="43"/>
      <c r="K83" s="106"/>
      <c r="M83" s="32"/>
      <c r="N83" s="33"/>
    </row>
    <row r="84" spans="1:14" ht="12.75">
      <c r="A84" s="43" t="s">
        <v>12</v>
      </c>
      <c r="B84" s="43"/>
      <c r="C84" s="51"/>
      <c r="D84" s="84"/>
      <c r="E84" s="51">
        <v>222890</v>
      </c>
      <c r="F84" s="130"/>
      <c r="H84" s="51"/>
      <c r="I84" s="84"/>
      <c r="J84" s="51">
        <f>E84</f>
        <v>222890</v>
      </c>
      <c r="K84" s="145"/>
      <c r="M84" s="32">
        <f t="shared" si="2"/>
        <v>0</v>
      </c>
      <c r="N84" s="33">
        <f t="shared" si="3"/>
        <v>0</v>
      </c>
    </row>
    <row r="85" spans="1:14" ht="12.75">
      <c r="A85" s="43" t="s">
        <v>13</v>
      </c>
      <c r="B85" s="43"/>
      <c r="C85" s="51"/>
      <c r="D85" s="84"/>
      <c r="E85" s="87">
        <v>157084</v>
      </c>
      <c r="F85" s="133"/>
      <c r="H85" s="51"/>
      <c r="I85" s="84"/>
      <c r="J85" s="88">
        <f>E85</f>
        <v>157084</v>
      </c>
      <c r="K85" s="146"/>
      <c r="M85" s="38">
        <f t="shared" si="2"/>
        <v>0</v>
      </c>
      <c r="N85" s="39">
        <f t="shared" si="3"/>
        <v>0</v>
      </c>
    </row>
    <row r="86" spans="1:14" ht="12.75">
      <c r="A86" s="43"/>
      <c r="B86" s="43"/>
      <c r="C86" s="51"/>
      <c r="D86" s="43"/>
      <c r="E86" s="43"/>
      <c r="F86" s="130"/>
      <c r="H86" s="51"/>
      <c r="I86" s="43"/>
      <c r="J86" s="43"/>
      <c r="K86" s="106"/>
      <c r="M86" s="32"/>
      <c r="N86" s="33"/>
    </row>
    <row r="87" spans="1:14" ht="13.5" thickBot="1">
      <c r="A87" s="43" t="s">
        <v>14</v>
      </c>
      <c r="B87" s="43"/>
      <c r="C87" s="51"/>
      <c r="D87" s="43"/>
      <c r="E87" s="89">
        <f>SUM(E82:E85)</f>
        <v>2218849.33258</v>
      </c>
      <c r="F87" s="131"/>
      <c r="H87" s="51"/>
      <c r="I87" s="43"/>
      <c r="J87" s="89">
        <f>SUM(J82:J85)</f>
        <v>2330518.866729928</v>
      </c>
      <c r="K87" s="147"/>
      <c r="M87" s="47">
        <f t="shared" si="2"/>
        <v>111669.53414992802</v>
      </c>
      <c r="N87" s="41">
        <f t="shared" si="3"/>
        <v>0.05032767773379304</v>
      </c>
    </row>
    <row r="88" spans="1:19" ht="13.5" thickTop="1">
      <c r="A88" s="43"/>
      <c r="B88" s="43"/>
      <c r="C88" s="43"/>
      <c r="D88" s="43"/>
      <c r="E88" s="43"/>
      <c r="F88" s="130"/>
      <c r="M88" s="32"/>
      <c r="N88" s="33"/>
      <c r="R88" s="55"/>
      <c r="S88" s="34"/>
    </row>
    <row r="89" spans="1:19" ht="12.75">
      <c r="A89" s="43" t="s">
        <v>15</v>
      </c>
      <c r="B89" s="43"/>
      <c r="C89" s="51"/>
      <c r="D89" s="51"/>
      <c r="E89" s="96">
        <f>E87/C73</f>
        <v>121.83446807489568</v>
      </c>
      <c r="F89" s="130"/>
      <c r="G89" s="48"/>
      <c r="H89" s="48"/>
      <c r="I89" s="48"/>
      <c r="J89" s="96">
        <f>J87/H73</f>
        <v>127.96611392103713</v>
      </c>
      <c r="K89" s="150"/>
      <c r="M89" s="53">
        <f>J89-E89</f>
        <v>6.131645846141453</v>
      </c>
      <c r="N89" s="33">
        <f t="shared" si="3"/>
        <v>0.05032767773379309</v>
      </c>
      <c r="S89" s="35"/>
    </row>
    <row r="90" spans="1:20" ht="12.75">
      <c r="A90" s="43"/>
      <c r="B90" s="43"/>
      <c r="C90" s="51"/>
      <c r="D90" s="51"/>
      <c r="E90" s="97"/>
      <c r="F90" s="130"/>
      <c r="J90" s="97"/>
      <c r="K90" s="151"/>
      <c r="N90" s="33"/>
      <c r="R90" s="42"/>
      <c r="S90" s="58"/>
      <c r="T90" s="33"/>
    </row>
    <row r="91" spans="1:19" ht="12.75">
      <c r="A91" s="43"/>
      <c r="B91" s="43"/>
      <c r="C91" s="51"/>
      <c r="D91" s="51"/>
      <c r="E91" s="97"/>
      <c r="F91" s="130"/>
      <c r="J91" s="97"/>
      <c r="K91" s="151"/>
      <c r="N91" s="33"/>
      <c r="S91" s="71"/>
    </row>
    <row r="92" spans="1:19" ht="12.75">
      <c r="A92" s="43"/>
      <c r="B92" s="43"/>
      <c r="C92" s="51"/>
      <c r="D92" s="51"/>
      <c r="E92" s="97"/>
      <c r="F92" s="130"/>
      <c r="J92" s="97"/>
      <c r="K92" s="151"/>
      <c r="N92" s="109" t="s">
        <v>112</v>
      </c>
      <c r="S92" s="71"/>
    </row>
    <row r="93" spans="1:19" ht="12.75">
      <c r="A93" s="43"/>
      <c r="B93" s="43"/>
      <c r="C93" s="51"/>
      <c r="D93" s="51"/>
      <c r="E93" s="97"/>
      <c r="F93" s="130"/>
      <c r="J93" s="97"/>
      <c r="K93" s="151"/>
      <c r="N93" s="174" t="s">
        <v>117</v>
      </c>
      <c r="S93" s="71"/>
    </row>
    <row r="94" spans="1:19" ht="12.75">
      <c r="A94" s="43"/>
      <c r="B94" s="43"/>
      <c r="C94" s="51"/>
      <c r="D94" s="51"/>
      <c r="E94" s="97"/>
      <c r="F94" s="130"/>
      <c r="J94" s="97"/>
      <c r="K94" s="151"/>
      <c r="N94" s="109" t="s">
        <v>114</v>
      </c>
      <c r="S94" s="71"/>
    </row>
    <row r="95" spans="2:14" ht="12.75">
      <c r="B95" s="26"/>
      <c r="C95" s="26"/>
      <c r="D95" s="26"/>
      <c r="E95" s="26"/>
      <c r="F95" s="124"/>
      <c r="G95" s="26"/>
      <c r="H95" s="26" t="str">
        <f>H61</f>
        <v>Farmers Rural Electric Cooperative</v>
      </c>
      <c r="J95" s="26"/>
      <c r="K95" s="139"/>
      <c r="L95" s="26"/>
      <c r="M95" s="26"/>
      <c r="N95" s="26"/>
    </row>
    <row r="96" spans="2:14" ht="12.75">
      <c r="B96" s="26"/>
      <c r="C96" s="26"/>
      <c r="D96" s="26"/>
      <c r="E96" s="26"/>
      <c r="F96" s="124"/>
      <c r="G96" s="26"/>
      <c r="H96" s="26" t="str">
        <f>H62</f>
        <v>Billing Analysis</v>
      </c>
      <c r="J96" s="26"/>
      <c r="K96" s="139"/>
      <c r="L96" s="26"/>
      <c r="M96" s="26"/>
      <c r="N96" s="26"/>
    </row>
    <row r="97" spans="2:14" ht="12.75">
      <c r="B97" s="26"/>
      <c r="C97" s="26"/>
      <c r="D97" s="26"/>
      <c r="E97" s="26"/>
      <c r="F97" s="124"/>
      <c r="G97" s="26"/>
      <c r="H97" s="26" t="str">
        <f>H63</f>
        <v>for the 12 months ended September 30, 2006</v>
      </c>
      <c r="J97" s="26"/>
      <c r="K97" s="139"/>
      <c r="L97" s="26"/>
      <c r="M97" s="26"/>
      <c r="N97" s="26"/>
    </row>
    <row r="98" spans="2:8" ht="12.75">
      <c r="B98" s="78"/>
      <c r="C98" s="78"/>
      <c r="D98" s="78"/>
      <c r="E98" s="78"/>
      <c r="F98" s="125"/>
      <c r="H98" s="78"/>
    </row>
    <row r="99" spans="2:14" ht="12.75">
      <c r="B99" s="26"/>
      <c r="C99" s="26"/>
      <c r="D99" s="26"/>
      <c r="E99" s="26"/>
      <c r="F99" s="124"/>
      <c r="G99" s="26"/>
      <c r="H99" s="26" t="s">
        <v>46</v>
      </c>
      <c r="J99" s="26"/>
      <c r="K99" s="139"/>
      <c r="L99" s="26"/>
      <c r="M99" s="26"/>
      <c r="N99" s="26"/>
    </row>
    <row r="100" spans="2:14" ht="12.75">
      <c r="B100" s="26"/>
      <c r="C100" s="26"/>
      <c r="D100" s="26"/>
      <c r="E100" s="26"/>
      <c r="F100" s="124"/>
      <c r="G100" s="26"/>
      <c r="H100" s="25" t="s">
        <v>92</v>
      </c>
      <c r="J100" s="26"/>
      <c r="K100" s="139"/>
      <c r="L100" s="26"/>
      <c r="M100" s="26"/>
      <c r="N100" s="26"/>
    </row>
    <row r="101" spans="2:14" ht="12.75">
      <c r="B101" s="26"/>
      <c r="C101" s="26"/>
      <c r="D101" s="26"/>
      <c r="E101" s="26"/>
      <c r="F101" s="124"/>
      <c r="G101" s="26"/>
      <c r="H101" s="26" t="s">
        <v>47</v>
      </c>
      <c r="J101" s="26"/>
      <c r="K101" s="139"/>
      <c r="L101" s="26"/>
      <c r="M101" s="26"/>
      <c r="N101" s="26"/>
    </row>
    <row r="102" spans="1:6" ht="12.75">
      <c r="A102" s="78"/>
      <c r="B102" s="78"/>
      <c r="C102" s="78"/>
      <c r="D102" s="78"/>
      <c r="E102" s="78"/>
      <c r="F102" s="125"/>
    </row>
    <row r="103" spans="2:17" ht="12.75">
      <c r="B103" s="18" t="s">
        <v>67</v>
      </c>
      <c r="C103" s="119" t="s">
        <v>0</v>
      </c>
      <c r="D103" s="120"/>
      <c r="E103" s="120"/>
      <c r="F103" s="126"/>
      <c r="H103" s="119" t="s">
        <v>1</v>
      </c>
      <c r="I103" s="120"/>
      <c r="J103" s="120"/>
      <c r="K103" s="141"/>
      <c r="M103" s="18" t="s">
        <v>2</v>
      </c>
      <c r="N103" s="79" t="s">
        <v>3</v>
      </c>
      <c r="P103" s="18" t="s">
        <v>23</v>
      </c>
      <c r="Q103" s="18" t="s">
        <v>24</v>
      </c>
    </row>
    <row r="104" spans="1:11" ht="12.75">
      <c r="A104" s="43"/>
      <c r="B104" s="43"/>
      <c r="C104" s="121"/>
      <c r="D104" s="122"/>
      <c r="E104" s="122"/>
      <c r="F104" s="127"/>
      <c r="H104" s="121"/>
      <c r="I104" s="122"/>
      <c r="J104" s="122"/>
      <c r="K104" s="142"/>
    </row>
    <row r="105" spans="1:11" ht="12.75">
      <c r="A105" s="43"/>
      <c r="B105" s="43"/>
      <c r="C105" s="117" t="s">
        <v>4</v>
      </c>
      <c r="D105" s="117" t="s">
        <v>5</v>
      </c>
      <c r="E105" s="117" t="s">
        <v>6</v>
      </c>
      <c r="F105" s="128" t="s">
        <v>108</v>
      </c>
      <c r="H105" s="117" t="s">
        <v>4</v>
      </c>
      <c r="I105" s="117" t="s">
        <v>1</v>
      </c>
      <c r="J105" s="117" t="s">
        <v>6</v>
      </c>
      <c r="K105" s="143" t="s">
        <v>108</v>
      </c>
    </row>
    <row r="106" spans="1:11" ht="12.75">
      <c r="A106" s="80"/>
      <c r="B106" s="80"/>
      <c r="C106" s="118" t="s">
        <v>7</v>
      </c>
      <c r="D106" s="118" t="s">
        <v>8</v>
      </c>
      <c r="E106" s="118" t="s">
        <v>9</v>
      </c>
      <c r="F106" s="129" t="s">
        <v>109</v>
      </c>
      <c r="H106" s="118" t="s">
        <v>7</v>
      </c>
      <c r="I106" s="118" t="s">
        <v>8</v>
      </c>
      <c r="J106" s="118" t="s">
        <v>9</v>
      </c>
      <c r="K106" s="144" t="s">
        <v>109</v>
      </c>
    </row>
    <row r="108" spans="1:11" ht="12.75">
      <c r="A108" s="95"/>
      <c r="B108" s="43"/>
      <c r="C108" s="51"/>
      <c r="D108" s="43"/>
      <c r="E108" s="43"/>
      <c r="F108" s="130"/>
      <c r="H108" s="51"/>
      <c r="I108" s="43"/>
      <c r="J108" s="43"/>
      <c r="K108" s="106"/>
    </row>
    <row r="109" spans="1:14" ht="12.75">
      <c r="A109" s="43" t="s">
        <v>65</v>
      </c>
      <c r="B109" s="43"/>
      <c r="C109" s="86">
        <v>5</v>
      </c>
      <c r="D109" s="49"/>
      <c r="E109" s="50">
        <f>C109*D109</f>
        <v>0</v>
      </c>
      <c r="F109" s="130">
        <f>E109/E114</f>
        <v>0</v>
      </c>
      <c r="H109" s="51">
        <f>C109</f>
        <v>5</v>
      </c>
      <c r="I109" s="49"/>
      <c r="J109" s="50">
        <f>I109*H109</f>
        <v>0</v>
      </c>
      <c r="K109" s="130">
        <f>J109/J114</f>
        <v>0</v>
      </c>
      <c r="M109" s="32">
        <f>J109-E109</f>
        <v>0</v>
      </c>
      <c r="N109" s="33"/>
    </row>
    <row r="110" spans="1:14" ht="12.75" hidden="1">
      <c r="A110" s="43"/>
      <c r="B110" s="43"/>
      <c r="C110" s="51"/>
      <c r="D110" s="49"/>
      <c r="E110" s="43"/>
      <c r="F110" s="130"/>
      <c r="H110" s="51"/>
      <c r="I110" s="49"/>
      <c r="J110" s="43"/>
      <c r="K110" s="130"/>
      <c r="M110" s="32"/>
      <c r="N110" s="33"/>
    </row>
    <row r="111" spans="2:14" ht="12.75">
      <c r="B111" s="43"/>
      <c r="C111" s="51"/>
      <c r="D111" s="84"/>
      <c r="E111" s="51"/>
      <c r="F111" s="130"/>
      <c r="H111" s="51"/>
      <c r="I111" s="93"/>
      <c r="J111" s="51"/>
      <c r="K111" s="130"/>
      <c r="M111" s="32"/>
      <c r="N111" s="33"/>
    </row>
    <row r="112" spans="1:17" ht="12.75">
      <c r="A112" s="43" t="s">
        <v>20</v>
      </c>
      <c r="B112" s="51">
        <f>C112</f>
        <v>4352</v>
      </c>
      <c r="C112" s="51">
        <v>4352</v>
      </c>
      <c r="D112" s="84">
        <v>0.03862</v>
      </c>
      <c r="E112" s="51">
        <f>C112*D112</f>
        <v>168.07424</v>
      </c>
      <c r="F112" s="130">
        <f>E112/E114</f>
        <v>1</v>
      </c>
      <c r="H112" s="51">
        <f>C112</f>
        <v>4352</v>
      </c>
      <c r="I112" s="54">
        <f>I80*0.6</f>
        <v>0.04105738705003144</v>
      </c>
      <c r="J112" s="51">
        <f>H112*I112</f>
        <v>178.68174844173683</v>
      </c>
      <c r="K112" s="130">
        <f>J112/J114</f>
        <v>1</v>
      </c>
      <c r="M112" s="32">
        <f>J112-E112</f>
        <v>10.607508441736826</v>
      </c>
      <c r="N112" s="33">
        <f>M112/E112</f>
        <v>0.06311204168905851</v>
      </c>
      <c r="Q112" s="34">
        <f>M112</f>
        <v>10.607508441736826</v>
      </c>
    </row>
    <row r="113" spans="1:14" ht="12.75">
      <c r="A113" s="43"/>
      <c r="B113" s="43"/>
      <c r="C113" s="51"/>
      <c r="D113" s="43"/>
      <c r="E113" s="43"/>
      <c r="F113" s="130"/>
      <c r="H113" s="51"/>
      <c r="I113" s="43"/>
      <c r="J113" s="43"/>
      <c r="K113" s="130"/>
      <c r="M113" s="32"/>
      <c r="N113" s="33"/>
    </row>
    <row r="114" spans="1:14" ht="12.75">
      <c r="A114" s="43" t="s">
        <v>21</v>
      </c>
      <c r="B114" s="43"/>
      <c r="C114" s="51"/>
      <c r="D114" s="43"/>
      <c r="E114" s="94">
        <f>SUM(E109:E112)</f>
        <v>168.07424</v>
      </c>
      <c r="F114" s="131">
        <f>SUM(F109:F113)</f>
        <v>1</v>
      </c>
      <c r="H114" s="51"/>
      <c r="I114" s="43"/>
      <c r="J114" s="94">
        <f>SUM(J109:J113)</f>
        <v>178.68174844173683</v>
      </c>
      <c r="K114" s="131">
        <f>SUM(K109:K113)</f>
        <v>1</v>
      </c>
      <c r="M114" s="36">
        <f>J114-E114</f>
        <v>10.607508441736826</v>
      </c>
      <c r="N114" s="37">
        <f>M114/E114</f>
        <v>0.06311204168905851</v>
      </c>
    </row>
    <row r="115" spans="1:14" ht="12.75">
      <c r="A115" s="95"/>
      <c r="B115" s="95"/>
      <c r="C115" s="51"/>
      <c r="D115" s="84"/>
      <c r="E115" s="43"/>
      <c r="F115" s="130"/>
      <c r="H115" s="51"/>
      <c r="I115" s="84"/>
      <c r="J115" s="43"/>
      <c r="K115" s="106"/>
      <c r="M115" s="32"/>
      <c r="N115" s="33"/>
    </row>
    <row r="116" spans="1:14" ht="12.75">
      <c r="A116" s="43" t="s">
        <v>12</v>
      </c>
      <c r="B116" s="43"/>
      <c r="C116" s="51"/>
      <c r="D116" s="84"/>
      <c r="E116" s="51">
        <v>35.06</v>
      </c>
      <c r="F116" s="130"/>
      <c r="H116" s="51"/>
      <c r="I116" s="84"/>
      <c r="J116" s="51">
        <f>E116</f>
        <v>35.06</v>
      </c>
      <c r="K116" s="145"/>
      <c r="M116" s="32">
        <f>J116-E116</f>
        <v>0</v>
      </c>
      <c r="N116" s="33">
        <f>M116/E116</f>
        <v>0</v>
      </c>
    </row>
    <row r="117" spans="1:14" ht="12.75">
      <c r="A117" s="43" t="s">
        <v>13</v>
      </c>
      <c r="B117" s="43"/>
      <c r="C117" s="51"/>
      <c r="D117" s="84"/>
      <c r="E117" s="87">
        <v>15.02</v>
      </c>
      <c r="F117" s="133"/>
      <c r="H117" s="51"/>
      <c r="I117" s="84"/>
      <c r="J117" s="88">
        <f>E117</f>
        <v>15.02</v>
      </c>
      <c r="K117" s="146"/>
      <c r="M117" s="38">
        <f>J117-E117</f>
        <v>0</v>
      </c>
      <c r="N117" s="39">
        <f>M117/E117</f>
        <v>0</v>
      </c>
    </row>
    <row r="118" spans="1:14" ht="12.75">
      <c r="A118" s="43"/>
      <c r="B118" s="43"/>
      <c r="C118" s="51"/>
      <c r="D118" s="43"/>
      <c r="E118" s="43"/>
      <c r="F118" s="130"/>
      <c r="H118" s="51"/>
      <c r="I118" s="43"/>
      <c r="J118" s="43"/>
      <c r="K118" s="106"/>
      <c r="M118" s="32"/>
      <c r="N118" s="33"/>
    </row>
    <row r="119" spans="1:14" ht="13.5" thickBot="1">
      <c r="A119" s="43" t="s">
        <v>14</v>
      </c>
      <c r="B119" s="43"/>
      <c r="C119" s="51"/>
      <c r="D119" s="43"/>
      <c r="E119" s="89">
        <f>SUM(E114:E117)</f>
        <v>218.15424000000002</v>
      </c>
      <c r="F119" s="131"/>
      <c r="H119" s="51"/>
      <c r="I119" s="43"/>
      <c r="J119" s="89">
        <f>SUM(J114:J117)</f>
        <v>228.76174844173684</v>
      </c>
      <c r="K119" s="147"/>
      <c r="M119" s="47">
        <f>J119-E119</f>
        <v>10.607508441736826</v>
      </c>
      <c r="N119" s="41">
        <f>M119/E119</f>
        <v>0.04862389308471302</v>
      </c>
    </row>
    <row r="120" spans="1:14" ht="13.5" thickTop="1">
      <c r="A120" s="43"/>
      <c r="B120" s="43"/>
      <c r="C120" s="43"/>
      <c r="D120" s="43"/>
      <c r="E120" s="43"/>
      <c r="F120" s="130"/>
      <c r="M120" s="32"/>
      <c r="N120" s="33"/>
    </row>
    <row r="121" spans="1:14" ht="12.75">
      <c r="A121" s="43" t="s">
        <v>15</v>
      </c>
      <c r="B121" s="43"/>
      <c r="C121" s="51"/>
      <c r="D121" s="51"/>
      <c r="E121" s="96">
        <f>E119/C109</f>
        <v>43.630848</v>
      </c>
      <c r="F121" s="130"/>
      <c r="G121" s="48"/>
      <c r="H121" s="48"/>
      <c r="I121" s="48"/>
      <c r="J121" s="96">
        <f>J119/H109</f>
        <v>45.752349688347365</v>
      </c>
      <c r="K121" s="150"/>
      <c r="M121" s="53">
        <f>J121-E121</f>
        <v>2.121501688347365</v>
      </c>
      <c r="N121" s="33">
        <f>M121/E121</f>
        <v>0.04862389308471303</v>
      </c>
    </row>
    <row r="122" spans="1:14" ht="12.75">
      <c r="A122" s="43"/>
      <c r="B122" s="43"/>
      <c r="C122" s="51"/>
      <c r="D122" s="51"/>
      <c r="E122" s="96"/>
      <c r="F122" s="130"/>
      <c r="G122" s="48"/>
      <c r="H122" s="48"/>
      <c r="I122" s="48"/>
      <c r="J122" s="96"/>
      <c r="K122" s="150"/>
      <c r="M122" s="32"/>
      <c r="N122" s="33"/>
    </row>
    <row r="123" spans="1:14" ht="12.75">
      <c r="A123" s="43"/>
      <c r="B123" s="43"/>
      <c r="C123" s="51"/>
      <c r="D123" s="51"/>
      <c r="E123" s="96"/>
      <c r="F123" s="130"/>
      <c r="G123" s="48"/>
      <c r="H123" s="48"/>
      <c r="I123" s="48"/>
      <c r="J123" s="96"/>
      <c r="K123" s="150"/>
      <c r="M123" s="32"/>
      <c r="N123" s="33"/>
    </row>
    <row r="124" spans="2:14" ht="12.75" hidden="1">
      <c r="B124" s="26"/>
      <c r="C124" s="26"/>
      <c r="D124" s="26"/>
      <c r="E124" s="26"/>
      <c r="F124" s="124"/>
      <c r="G124" s="26"/>
      <c r="H124" s="26" t="str">
        <f>H4</f>
        <v>Farmers Rural Electric Cooperative</v>
      </c>
      <c r="J124" s="26"/>
      <c r="K124" s="139"/>
      <c r="L124" s="26"/>
      <c r="M124" s="26"/>
      <c r="N124" s="26"/>
    </row>
    <row r="125" spans="2:14" ht="12.75" hidden="1">
      <c r="B125" s="26"/>
      <c r="C125" s="26"/>
      <c r="D125" s="26"/>
      <c r="E125" s="26"/>
      <c r="F125" s="124"/>
      <c r="G125" s="26"/>
      <c r="H125" s="26" t="s">
        <v>18</v>
      </c>
      <c r="J125" s="26"/>
      <c r="K125" s="139"/>
      <c r="L125" s="26"/>
      <c r="M125" s="26"/>
      <c r="N125" s="26"/>
    </row>
    <row r="126" spans="2:14" ht="12.75" hidden="1">
      <c r="B126" s="26"/>
      <c r="C126" s="26"/>
      <c r="D126" s="26"/>
      <c r="E126" s="26"/>
      <c r="F126" s="124"/>
      <c r="G126" s="26"/>
      <c r="H126" s="26" t="str">
        <f>H6</f>
        <v>for the 12 months ended September 30, 2006</v>
      </c>
      <c r="J126" s="26"/>
      <c r="K126" s="139"/>
      <c r="L126" s="26"/>
      <c r="M126" s="26"/>
      <c r="N126" s="26"/>
    </row>
    <row r="127" spans="2:8" ht="12.75" hidden="1">
      <c r="B127" s="78"/>
      <c r="C127" s="78"/>
      <c r="D127" s="78"/>
      <c r="E127" s="78"/>
      <c r="F127" s="125"/>
      <c r="H127" s="78"/>
    </row>
    <row r="128" spans="2:14" ht="12.75">
      <c r="B128" s="26"/>
      <c r="C128" s="26"/>
      <c r="D128" s="26"/>
      <c r="E128" s="26"/>
      <c r="F128" s="124"/>
      <c r="G128" s="26"/>
      <c r="H128" s="26" t="s">
        <v>80</v>
      </c>
      <c r="J128" s="26"/>
      <c r="K128" s="139"/>
      <c r="L128" s="26"/>
      <c r="M128" s="26"/>
      <c r="N128" s="26"/>
    </row>
    <row r="129" spans="1:14" ht="12.75">
      <c r="A129" s="98"/>
      <c r="B129" s="26"/>
      <c r="C129" s="26"/>
      <c r="D129" s="26"/>
      <c r="E129" s="26"/>
      <c r="F129" s="124"/>
      <c r="G129" s="26"/>
      <c r="H129" s="26" t="s">
        <v>78</v>
      </c>
      <c r="J129" s="26"/>
      <c r="K129" s="139"/>
      <c r="L129" s="26"/>
      <c r="M129" s="26"/>
      <c r="N129" s="26"/>
    </row>
    <row r="130" spans="2:14" ht="12.75">
      <c r="B130" s="26"/>
      <c r="C130" s="26"/>
      <c r="D130" s="26"/>
      <c r="E130" s="26"/>
      <c r="F130" s="124"/>
      <c r="G130" s="26"/>
      <c r="H130" s="26" t="s">
        <v>42</v>
      </c>
      <c r="J130" s="26"/>
      <c r="K130" s="139"/>
      <c r="L130" s="26"/>
      <c r="M130" s="26"/>
      <c r="N130" s="26"/>
    </row>
    <row r="132" spans="2:17" ht="12.75">
      <c r="B132" s="18" t="s">
        <v>67</v>
      </c>
      <c r="C132" s="119" t="s">
        <v>0</v>
      </c>
      <c r="D132" s="120"/>
      <c r="E132" s="120"/>
      <c r="F132" s="126"/>
      <c r="H132" s="119" t="s">
        <v>1</v>
      </c>
      <c r="I132" s="120"/>
      <c r="J132" s="120"/>
      <c r="K132" s="141"/>
      <c r="M132" s="18" t="s">
        <v>2</v>
      </c>
      <c r="N132" s="79" t="s">
        <v>3</v>
      </c>
      <c r="P132" s="18" t="s">
        <v>23</v>
      </c>
      <c r="Q132" s="18" t="s">
        <v>24</v>
      </c>
    </row>
    <row r="133" spans="1:11" ht="12.75">
      <c r="A133" s="43"/>
      <c r="B133" s="43"/>
      <c r="C133" s="121"/>
      <c r="D133" s="122"/>
      <c r="E133" s="122"/>
      <c r="F133" s="127"/>
      <c r="H133" s="121"/>
      <c r="I133" s="122"/>
      <c r="J133" s="122"/>
      <c r="K133" s="142"/>
    </row>
    <row r="134" spans="1:11" ht="12.75">
      <c r="A134" s="43"/>
      <c r="B134" s="43"/>
      <c r="C134" s="117" t="s">
        <v>4</v>
      </c>
      <c r="D134" s="117" t="s">
        <v>5</v>
      </c>
      <c r="E134" s="117" t="s">
        <v>6</v>
      </c>
      <c r="F134" s="128" t="s">
        <v>108</v>
      </c>
      <c r="H134" s="117" t="s">
        <v>4</v>
      </c>
      <c r="I134" s="117" t="s">
        <v>1</v>
      </c>
      <c r="J134" s="117" t="s">
        <v>6</v>
      </c>
      <c r="K134" s="143" t="s">
        <v>108</v>
      </c>
    </row>
    <row r="135" spans="1:11" ht="12.75">
      <c r="A135" s="80"/>
      <c r="B135" s="80"/>
      <c r="C135" s="118" t="s">
        <v>7</v>
      </c>
      <c r="D135" s="118" t="s">
        <v>8</v>
      </c>
      <c r="E135" s="118" t="s">
        <v>9</v>
      </c>
      <c r="F135" s="129" t="s">
        <v>109</v>
      </c>
      <c r="H135" s="118" t="s">
        <v>7</v>
      </c>
      <c r="I135" s="118" t="s">
        <v>8</v>
      </c>
      <c r="J135" s="118" t="s">
        <v>9</v>
      </c>
      <c r="K135" s="144" t="s">
        <v>109</v>
      </c>
    </row>
    <row r="137" spans="1:11" ht="12.75">
      <c r="A137" s="95"/>
      <c r="B137" s="43"/>
      <c r="C137" s="51"/>
      <c r="D137" s="43"/>
      <c r="E137" s="43"/>
      <c r="F137" s="130"/>
      <c r="H137" s="51"/>
      <c r="I137" s="43"/>
      <c r="J137" s="43"/>
      <c r="K137" s="106"/>
    </row>
    <row r="138" spans="1:11" ht="12.75">
      <c r="A138" s="43" t="s">
        <v>17</v>
      </c>
      <c r="B138" s="43"/>
      <c r="C138" s="51">
        <f>1005-84</f>
        <v>921</v>
      </c>
      <c r="D138" s="49"/>
      <c r="E138" s="50"/>
      <c r="F138" s="130"/>
      <c r="H138" s="51"/>
      <c r="I138" s="49"/>
      <c r="J138" s="50"/>
      <c r="K138" s="152"/>
    </row>
    <row r="139" spans="1:14" ht="12.75">
      <c r="A139" s="43"/>
      <c r="B139" s="43"/>
      <c r="C139" s="51"/>
      <c r="D139" s="49"/>
      <c r="E139" s="50"/>
      <c r="F139" s="130"/>
      <c r="H139" s="51"/>
      <c r="I139" s="49"/>
      <c r="J139" s="50"/>
      <c r="K139" s="152"/>
      <c r="M139" s="32"/>
      <c r="N139" s="33"/>
    </row>
    <row r="140" spans="1:16" ht="12.75">
      <c r="A140" s="43" t="s">
        <v>19</v>
      </c>
      <c r="B140" s="43"/>
      <c r="C140" s="51">
        <f>118509-16421</f>
        <v>102088</v>
      </c>
      <c r="D140" s="49">
        <v>4.93</v>
      </c>
      <c r="E140" s="50">
        <f>C140*D140</f>
        <v>503293.83999999997</v>
      </c>
      <c r="F140" s="130">
        <f>E140/E145</f>
        <v>0.2581122236589421</v>
      </c>
      <c r="H140" s="51">
        <f>C140</f>
        <v>102088</v>
      </c>
      <c r="I140" s="73">
        <f>D140</f>
        <v>4.93</v>
      </c>
      <c r="J140" s="50">
        <f>H140*I140</f>
        <v>503293.83999999997</v>
      </c>
      <c r="K140" s="130">
        <f>J140/J145</f>
        <v>0.24314933170255068</v>
      </c>
      <c r="M140" s="32">
        <f aca="true" t="shared" si="4" ref="M140:M148">J140-E140</f>
        <v>0</v>
      </c>
      <c r="N140" s="33">
        <f aca="true" t="shared" si="5" ref="N140:N152">M140/E140</f>
        <v>0</v>
      </c>
      <c r="P140" s="34">
        <f>M140</f>
        <v>0</v>
      </c>
    </row>
    <row r="141" spans="1:14" ht="12.75">
      <c r="A141" s="43"/>
      <c r="B141" s="43"/>
      <c r="C141" s="51"/>
      <c r="D141" s="49"/>
      <c r="E141" s="50"/>
      <c r="F141" s="130"/>
      <c r="H141" s="51"/>
      <c r="I141" s="49"/>
      <c r="J141" s="50"/>
      <c r="K141" s="130"/>
      <c r="M141" s="32">
        <f t="shared" si="4"/>
        <v>0</v>
      </c>
      <c r="N141" s="33"/>
    </row>
    <row r="142" spans="1:17" ht="12.75">
      <c r="A142" s="43" t="s">
        <v>10</v>
      </c>
      <c r="B142" s="51">
        <f>C142</f>
        <v>29510594</v>
      </c>
      <c r="C142" s="51">
        <f>35337354-5826760</f>
        <v>29510594</v>
      </c>
      <c r="D142" s="84">
        <v>0.04902</v>
      </c>
      <c r="E142" s="51">
        <f>C142*D142</f>
        <v>1446609.31788</v>
      </c>
      <c r="F142" s="130">
        <f>E142/E145</f>
        <v>0.741887776341058</v>
      </c>
      <c r="H142" s="51">
        <f>C142</f>
        <v>29510594</v>
      </c>
      <c r="I142" s="54">
        <f>D142+R287</f>
        <v>0.053086095280020035</v>
      </c>
      <c r="J142" s="51">
        <f>I142*H142</f>
        <v>1566602.2048539876</v>
      </c>
      <c r="K142" s="130">
        <f>J142/J145</f>
        <v>0.7568506682974493</v>
      </c>
      <c r="M142" s="32">
        <f t="shared" si="4"/>
        <v>119992.88697398757</v>
      </c>
      <c r="N142" s="33">
        <f t="shared" si="5"/>
        <v>0.08294768013096766</v>
      </c>
      <c r="Q142" s="34">
        <f>M142</f>
        <v>119992.88697398757</v>
      </c>
    </row>
    <row r="143" spans="1:14" ht="12.75">
      <c r="A143" s="43"/>
      <c r="B143" s="43"/>
      <c r="C143" s="51"/>
      <c r="D143" s="43"/>
      <c r="E143" s="81"/>
      <c r="F143" s="131"/>
      <c r="G143" s="30"/>
      <c r="H143" s="81"/>
      <c r="I143" s="99"/>
      <c r="J143" s="81"/>
      <c r="K143" s="131"/>
      <c r="M143" s="32">
        <f t="shared" si="4"/>
        <v>0</v>
      </c>
      <c r="N143" s="33"/>
    </row>
    <row r="144" spans="5:14" ht="12.75">
      <c r="E144" s="30"/>
      <c r="F144" s="136"/>
      <c r="G144" s="30"/>
      <c r="H144" s="30"/>
      <c r="I144" s="30"/>
      <c r="J144" s="30"/>
      <c r="K144" s="136"/>
      <c r="M144" s="32">
        <f t="shared" si="4"/>
        <v>0</v>
      </c>
      <c r="N144" s="33"/>
    </row>
    <row r="145" spans="1:14" ht="12.75">
      <c r="A145" s="43" t="s">
        <v>11</v>
      </c>
      <c r="B145" s="43"/>
      <c r="C145" s="51"/>
      <c r="D145" s="43"/>
      <c r="E145" s="85">
        <f>SUM(E138:E142)</f>
        <v>1949903.1578799998</v>
      </c>
      <c r="F145" s="131">
        <f>SUM(F140:F142)</f>
        <v>1</v>
      </c>
      <c r="H145" s="51"/>
      <c r="I145" s="43"/>
      <c r="J145" s="85">
        <f>SUM(J138:J142)</f>
        <v>2069896.0448539876</v>
      </c>
      <c r="K145" s="131">
        <f>SUM(K140:K142)</f>
        <v>1</v>
      </c>
      <c r="M145" s="36">
        <f t="shared" si="4"/>
        <v>119992.8869739878</v>
      </c>
      <c r="N145" s="37">
        <f t="shared" si="5"/>
        <v>0.06153786996501308</v>
      </c>
    </row>
    <row r="146" spans="1:14" ht="12.75">
      <c r="A146" s="43"/>
      <c r="B146" s="43"/>
      <c r="C146" s="51"/>
      <c r="D146" s="84"/>
      <c r="E146" s="43"/>
      <c r="F146" s="130"/>
      <c r="H146" s="51"/>
      <c r="I146" s="84"/>
      <c r="J146" s="43"/>
      <c r="K146" s="106"/>
      <c r="M146" s="32">
        <f t="shared" si="4"/>
        <v>0</v>
      </c>
      <c r="N146" s="33"/>
    </row>
    <row r="147" spans="1:14" ht="12.75">
      <c r="A147" s="43" t="s">
        <v>12</v>
      </c>
      <c r="B147" s="43"/>
      <c r="C147" s="51"/>
      <c r="D147" s="84"/>
      <c r="E147" s="51">
        <f>280969-45770.25</f>
        <v>235198.75</v>
      </c>
      <c r="F147" s="130"/>
      <c r="H147" s="51"/>
      <c r="I147" s="84"/>
      <c r="J147" s="51">
        <f>E147</f>
        <v>235198.75</v>
      </c>
      <c r="K147" s="145"/>
      <c r="M147" s="32">
        <f t="shared" si="4"/>
        <v>0</v>
      </c>
      <c r="N147" s="33">
        <f t="shared" si="5"/>
        <v>0</v>
      </c>
    </row>
    <row r="148" spans="1:14" ht="12.75">
      <c r="A148" s="43" t="s">
        <v>13</v>
      </c>
      <c r="B148" s="43"/>
      <c r="C148" s="51"/>
      <c r="D148" s="84"/>
      <c r="E148" s="87">
        <f>193322-30308.69</f>
        <v>163013.31</v>
      </c>
      <c r="F148" s="133"/>
      <c r="H148" s="51"/>
      <c r="I148" s="84"/>
      <c r="J148" s="88">
        <f>E148</f>
        <v>163013.31</v>
      </c>
      <c r="K148" s="146"/>
      <c r="M148" s="38">
        <f t="shared" si="4"/>
        <v>0</v>
      </c>
      <c r="N148" s="39">
        <f t="shared" si="5"/>
        <v>0</v>
      </c>
    </row>
    <row r="149" spans="1:14" ht="12.75">
      <c r="A149" s="43"/>
      <c r="B149" s="43"/>
      <c r="C149" s="51"/>
      <c r="D149" s="43"/>
      <c r="E149" s="43"/>
      <c r="F149" s="130"/>
      <c r="H149" s="51"/>
      <c r="I149" s="43"/>
      <c r="J149" s="43"/>
      <c r="K149" s="106"/>
      <c r="M149" s="32"/>
      <c r="N149" s="33"/>
    </row>
    <row r="150" spans="1:14" ht="13.5" thickBot="1">
      <c r="A150" s="43" t="s">
        <v>14</v>
      </c>
      <c r="B150" s="43"/>
      <c r="C150" s="51"/>
      <c r="D150" s="43"/>
      <c r="E150" s="89">
        <f>SUM(E145:E148)</f>
        <v>2348115.21788</v>
      </c>
      <c r="F150" s="131"/>
      <c r="H150" s="51"/>
      <c r="I150" s="43"/>
      <c r="J150" s="89">
        <f>SUM(J145:J148)</f>
        <v>2468108.1048539877</v>
      </c>
      <c r="K150" s="147"/>
      <c r="M150" s="47">
        <f>J150-E150</f>
        <v>119992.8869739878</v>
      </c>
      <c r="N150" s="41">
        <f t="shared" si="5"/>
        <v>0.05110178838767699</v>
      </c>
    </row>
    <row r="151" spans="1:14" ht="13.5" thickTop="1">
      <c r="A151" s="43"/>
      <c r="B151" s="43"/>
      <c r="C151" s="43"/>
      <c r="D151" s="43"/>
      <c r="E151" s="43"/>
      <c r="F151" s="130"/>
      <c r="N151" s="33"/>
    </row>
    <row r="152" spans="1:14" ht="12.75">
      <c r="A152" s="43" t="s">
        <v>15</v>
      </c>
      <c r="B152" s="43"/>
      <c r="C152" s="51"/>
      <c r="D152" s="51"/>
      <c r="E152" s="96">
        <f>E150/C138</f>
        <v>2549.527923865364</v>
      </c>
      <c r="F152" s="130"/>
      <c r="G152" s="48"/>
      <c r="H152" s="48"/>
      <c r="I152" s="48"/>
      <c r="J152" s="96">
        <f>J150/C138</f>
        <v>2679.813360319205</v>
      </c>
      <c r="K152" s="150"/>
      <c r="L152" s="48"/>
      <c r="M152" s="48">
        <f>J152-E152</f>
        <v>130.28543645384116</v>
      </c>
      <c r="N152" s="33">
        <f t="shared" si="5"/>
        <v>0.05110178838767694</v>
      </c>
    </row>
    <row r="153" spans="1:14" ht="12.75">
      <c r="A153" s="43"/>
      <c r="B153" s="43"/>
      <c r="C153" s="51"/>
      <c r="D153" s="51"/>
      <c r="E153" s="96"/>
      <c r="F153" s="130"/>
      <c r="G153" s="48"/>
      <c r="H153" s="48"/>
      <c r="I153" s="48"/>
      <c r="J153" s="96"/>
      <c r="K153" s="150"/>
      <c r="L153" s="48"/>
      <c r="M153" s="48"/>
      <c r="N153" s="33"/>
    </row>
    <row r="154" spans="1:14" ht="12.75">
      <c r="A154" s="43"/>
      <c r="B154" s="43"/>
      <c r="C154" s="51"/>
      <c r="D154" s="51"/>
      <c r="E154" s="97"/>
      <c r="F154" s="130"/>
      <c r="J154" s="52"/>
      <c r="K154" s="153"/>
      <c r="M154" s="55"/>
      <c r="N154" s="33"/>
    </row>
    <row r="155" spans="2:14" ht="12.75" hidden="1">
      <c r="B155" s="24"/>
      <c r="C155" s="24"/>
      <c r="D155" s="24"/>
      <c r="E155" s="24"/>
      <c r="F155" s="137"/>
      <c r="G155" s="24"/>
      <c r="H155" s="24" t="str">
        <f>H124</f>
        <v>Farmers Rural Electric Cooperative</v>
      </c>
      <c r="J155" s="24"/>
      <c r="K155" s="154"/>
      <c r="L155" s="24"/>
      <c r="M155" s="24"/>
      <c r="N155" s="24"/>
    </row>
    <row r="156" spans="2:14" ht="12.75" hidden="1">
      <c r="B156" s="24"/>
      <c r="C156" s="24"/>
      <c r="D156" s="24"/>
      <c r="E156" s="24"/>
      <c r="F156" s="137"/>
      <c r="G156" s="24"/>
      <c r="H156" s="24" t="str">
        <f>H125</f>
        <v>Billing Analysis</v>
      </c>
      <c r="J156" s="24"/>
      <c r="K156" s="154"/>
      <c r="L156" s="24"/>
      <c r="M156" s="24"/>
      <c r="N156" s="24"/>
    </row>
    <row r="157" spans="2:14" ht="12.75" hidden="1">
      <c r="B157" s="24"/>
      <c r="C157" s="24"/>
      <c r="D157" s="24"/>
      <c r="E157" s="24"/>
      <c r="F157" s="137"/>
      <c r="G157" s="24"/>
      <c r="H157" s="24" t="str">
        <f>H126</f>
        <v>for the 12 months ended September 30, 2006</v>
      </c>
      <c r="J157" s="24"/>
      <c r="K157" s="154"/>
      <c r="L157" s="24"/>
      <c r="M157" s="24"/>
      <c r="N157" s="24"/>
    </row>
    <row r="158" ht="12.75" hidden="1"/>
    <row r="159" spans="2:14" ht="12.75">
      <c r="B159" s="26"/>
      <c r="C159" s="26"/>
      <c r="D159" s="26"/>
      <c r="E159" s="26"/>
      <c r="F159" s="124"/>
      <c r="G159" s="26"/>
      <c r="H159" s="26" t="s">
        <v>87</v>
      </c>
      <c r="J159" s="26"/>
      <c r="K159" s="139"/>
      <c r="L159" s="26"/>
      <c r="M159" s="26"/>
      <c r="N159" s="26"/>
    </row>
    <row r="160" spans="2:14" ht="12.75">
      <c r="B160" s="26"/>
      <c r="C160" s="26"/>
      <c r="D160" s="26"/>
      <c r="E160" s="26"/>
      <c r="F160" s="124"/>
      <c r="G160" s="26"/>
      <c r="H160" s="25" t="s">
        <v>103</v>
      </c>
      <c r="J160" s="26"/>
      <c r="K160" s="139"/>
      <c r="L160" s="26"/>
      <c r="M160" s="26"/>
      <c r="N160" s="26"/>
    </row>
    <row r="161" spans="2:14" ht="12.75">
      <c r="B161" s="26"/>
      <c r="C161" s="26"/>
      <c r="D161" s="26"/>
      <c r="E161" s="26"/>
      <c r="F161" s="124"/>
      <c r="G161" s="26"/>
      <c r="H161" s="26" t="s">
        <v>43</v>
      </c>
      <c r="J161" s="26"/>
      <c r="K161" s="139"/>
      <c r="L161" s="26"/>
      <c r="M161" s="26"/>
      <c r="N161" s="26"/>
    </row>
    <row r="162" spans="1:6" ht="12.75">
      <c r="A162" s="78"/>
      <c r="B162" s="78"/>
      <c r="C162" s="78"/>
      <c r="D162" s="78"/>
      <c r="E162" s="78"/>
      <c r="F162" s="125"/>
    </row>
    <row r="163" spans="2:17" ht="12.75">
      <c r="B163" s="18" t="s">
        <v>67</v>
      </c>
      <c r="C163" s="119" t="s">
        <v>0</v>
      </c>
      <c r="D163" s="120"/>
      <c r="E163" s="120"/>
      <c r="F163" s="126"/>
      <c r="H163" s="119" t="s">
        <v>1</v>
      </c>
      <c r="I163" s="120"/>
      <c r="J163" s="120"/>
      <c r="K163" s="141"/>
      <c r="M163" s="18" t="s">
        <v>2</v>
      </c>
      <c r="N163" s="79" t="s">
        <v>3</v>
      </c>
      <c r="P163" s="18" t="s">
        <v>23</v>
      </c>
      <c r="Q163" s="18" t="s">
        <v>24</v>
      </c>
    </row>
    <row r="164" spans="1:11" ht="12.75">
      <c r="A164" s="43"/>
      <c r="B164" s="43"/>
      <c r="C164" s="121"/>
      <c r="D164" s="122"/>
      <c r="E164" s="122"/>
      <c r="F164" s="127"/>
      <c r="H164" s="121"/>
      <c r="I164" s="122"/>
      <c r="J164" s="122"/>
      <c r="K164" s="142"/>
    </row>
    <row r="165" spans="1:11" ht="12.75">
      <c r="A165" s="43"/>
      <c r="B165" s="43"/>
      <c r="C165" s="117" t="s">
        <v>4</v>
      </c>
      <c r="D165" s="117" t="s">
        <v>5</v>
      </c>
      <c r="E165" s="117" t="s">
        <v>6</v>
      </c>
      <c r="F165" s="128" t="s">
        <v>108</v>
      </c>
      <c r="H165" s="117" t="s">
        <v>4</v>
      </c>
      <c r="I165" s="117" t="s">
        <v>1</v>
      </c>
      <c r="J165" s="117" t="s">
        <v>6</v>
      </c>
      <c r="K165" s="143" t="s">
        <v>108</v>
      </c>
    </row>
    <row r="166" spans="1:11" ht="12.75">
      <c r="A166" s="80"/>
      <c r="B166" s="80"/>
      <c r="C166" s="118" t="s">
        <v>7</v>
      </c>
      <c r="D166" s="118" t="s">
        <v>8</v>
      </c>
      <c r="E166" s="118" t="s">
        <v>9</v>
      </c>
      <c r="F166" s="129" t="s">
        <v>109</v>
      </c>
      <c r="H166" s="118" t="s">
        <v>7</v>
      </c>
      <c r="I166" s="118" t="s">
        <v>8</v>
      </c>
      <c r="J166" s="118" t="s">
        <v>9</v>
      </c>
      <c r="K166" s="144" t="s">
        <v>109</v>
      </c>
    </row>
    <row r="168" spans="1:11" ht="12.75" hidden="1">
      <c r="A168" s="95"/>
      <c r="B168" s="43"/>
      <c r="C168" s="51"/>
      <c r="D168" s="43"/>
      <c r="E168" s="43"/>
      <c r="F168" s="130"/>
      <c r="H168" s="51"/>
      <c r="I168" s="43"/>
      <c r="J168" s="43"/>
      <c r="K168" s="106"/>
    </row>
    <row r="169" spans="1:14" ht="12.75">
      <c r="A169" s="43" t="s">
        <v>17</v>
      </c>
      <c r="B169" s="43"/>
      <c r="C169" s="72">
        <v>63</v>
      </c>
      <c r="D169" s="49"/>
      <c r="E169" s="50">
        <f>C169*D169</f>
        <v>0</v>
      </c>
      <c r="F169" s="130"/>
      <c r="H169" s="51">
        <f>C169</f>
        <v>63</v>
      </c>
      <c r="I169" s="73"/>
      <c r="J169" s="74">
        <f>I169*H169</f>
        <v>0</v>
      </c>
      <c r="K169" s="155"/>
      <c r="M169" s="34">
        <f>J169-E169</f>
        <v>0</v>
      </c>
      <c r="N169" s="33"/>
    </row>
    <row r="170" spans="1:14" ht="12.75">
      <c r="A170" s="43"/>
      <c r="B170" s="43"/>
      <c r="C170" s="51"/>
      <c r="D170" s="49"/>
      <c r="E170" s="43"/>
      <c r="F170" s="130"/>
      <c r="H170" s="51"/>
      <c r="I170" s="49"/>
      <c r="J170" s="75"/>
      <c r="K170" s="156"/>
      <c r="M170" s="34"/>
      <c r="N170" s="33"/>
    </row>
    <row r="171" spans="1:16" ht="12.75">
      <c r="A171" s="43" t="s">
        <v>19</v>
      </c>
      <c r="B171" s="43"/>
      <c r="C171" s="51">
        <f>141203</f>
        <v>141203</v>
      </c>
      <c r="D171" s="49">
        <v>4.93</v>
      </c>
      <c r="E171" s="75">
        <f>D171*C171</f>
        <v>696130.7899999999</v>
      </c>
      <c r="F171" s="130">
        <f>E171/E178</f>
        <v>0.21906062122739875</v>
      </c>
      <c r="H171" s="51">
        <f>C171</f>
        <v>141203</v>
      </c>
      <c r="I171" s="73">
        <f>D171</f>
        <v>4.93</v>
      </c>
      <c r="J171" s="75">
        <f>I171*H171</f>
        <v>696130.7899999999</v>
      </c>
      <c r="K171" s="130">
        <f>J171/J178</f>
        <v>0.20536422624217535</v>
      </c>
      <c r="M171" s="34">
        <f aca="true" t="shared" si="6" ref="M171:M183">J171-E171</f>
        <v>0</v>
      </c>
      <c r="N171" s="33">
        <f aca="true" t="shared" si="7" ref="N171:N181">M171/E171</f>
        <v>0</v>
      </c>
      <c r="P171" s="34">
        <f>M171</f>
        <v>0</v>
      </c>
    </row>
    <row r="172" spans="1:14" ht="12.75" hidden="1">
      <c r="A172" s="43"/>
      <c r="B172" s="43"/>
      <c r="C172" s="51"/>
      <c r="D172" s="49"/>
      <c r="E172" s="75"/>
      <c r="F172" s="130"/>
      <c r="H172" s="51"/>
      <c r="I172" s="73"/>
      <c r="J172" s="75"/>
      <c r="K172" s="130"/>
      <c r="M172" s="34"/>
      <c r="N172" s="33"/>
    </row>
    <row r="173" spans="2:14" ht="12.75">
      <c r="B173" s="43"/>
      <c r="C173" s="51"/>
      <c r="D173" s="84"/>
      <c r="E173" s="51"/>
      <c r="F173" s="130"/>
      <c r="H173" s="51"/>
      <c r="I173" s="93"/>
      <c r="J173" s="75"/>
      <c r="K173" s="130"/>
      <c r="M173" s="34"/>
      <c r="N173" s="33"/>
    </row>
    <row r="174" spans="1:17" ht="12.75">
      <c r="A174" s="43" t="s">
        <v>20</v>
      </c>
      <c r="B174" s="51">
        <f>C174</f>
        <v>57828600</v>
      </c>
      <c r="C174" s="51">
        <f>57828600</f>
        <v>57828600</v>
      </c>
      <c r="D174" s="84">
        <v>0.04902</v>
      </c>
      <c r="E174" s="51">
        <f>C174*D174</f>
        <v>2834757.972</v>
      </c>
      <c r="F174" s="130">
        <f>E174/E178</f>
        <v>0.8920505331701262</v>
      </c>
      <c r="H174" s="51">
        <f>C174</f>
        <v>57828600</v>
      </c>
      <c r="I174" s="54">
        <f>D174+R287</f>
        <v>0.053086095280020035</v>
      </c>
      <c r="J174" s="75">
        <f>H174*I174</f>
        <v>3069894.5695101665</v>
      </c>
      <c r="K174" s="130">
        <f>J174/J178</f>
        <v>0.9056437841407811</v>
      </c>
      <c r="M174" s="34">
        <f t="shared" si="6"/>
        <v>235136.59751016647</v>
      </c>
      <c r="N174" s="33">
        <f t="shared" si="7"/>
        <v>0.08294768013096762</v>
      </c>
      <c r="Q174" s="34">
        <f>M174</f>
        <v>235136.59751016647</v>
      </c>
    </row>
    <row r="175" spans="1:14" ht="12.75">
      <c r="A175" s="43"/>
      <c r="B175" s="43"/>
      <c r="C175" s="51"/>
      <c r="D175" s="43"/>
      <c r="E175" s="43"/>
      <c r="F175" s="130"/>
      <c r="H175" s="51"/>
      <c r="I175" s="43"/>
      <c r="J175" s="43"/>
      <c r="K175" s="130"/>
      <c r="M175" s="34"/>
      <c r="N175" s="33"/>
    </row>
    <row r="176" spans="1:16" ht="12.75">
      <c r="A176" s="43" t="s">
        <v>90</v>
      </c>
      <c r="B176" s="43"/>
      <c r="C176" s="51"/>
      <c r="D176" s="43"/>
      <c r="E176" s="75">
        <v>-353089</v>
      </c>
      <c r="F176" s="130">
        <f>E176/E178</f>
        <v>-0.11111115439752493</v>
      </c>
      <c r="H176" s="51"/>
      <c r="I176" s="43"/>
      <c r="J176" s="75">
        <f>E176-23199</f>
        <v>-376288</v>
      </c>
      <c r="K176" s="130">
        <f>J176/J178</f>
        <v>-0.11100801038295646</v>
      </c>
      <c r="M176" s="34">
        <v>-23199</v>
      </c>
      <c r="N176" s="33"/>
      <c r="P176" s="32">
        <v>-23199</v>
      </c>
    </row>
    <row r="177" spans="1:14" ht="12.75">
      <c r="A177" s="43" t="s">
        <v>89</v>
      </c>
      <c r="B177" s="43"/>
      <c r="C177" s="51"/>
      <c r="D177" s="43"/>
      <c r="E177" s="43"/>
      <c r="F177" s="130"/>
      <c r="H177" s="51"/>
      <c r="I177" s="43"/>
      <c r="J177" s="43"/>
      <c r="K177" s="130"/>
      <c r="M177" s="34"/>
      <c r="N177" s="33"/>
    </row>
    <row r="178" spans="1:14" ht="12.75">
      <c r="A178" s="43" t="s">
        <v>21</v>
      </c>
      <c r="B178" s="43"/>
      <c r="C178" s="51"/>
      <c r="D178" s="43"/>
      <c r="E178" s="94">
        <f>SUM(E169:E176)</f>
        <v>3177799.762</v>
      </c>
      <c r="F178" s="131">
        <f>SUM(F171:F176)</f>
        <v>1</v>
      </c>
      <c r="H178" s="51"/>
      <c r="I178" s="43"/>
      <c r="J178" s="100">
        <f>SUM(J169:J176)</f>
        <v>3389737.3595101666</v>
      </c>
      <c r="K178" s="131">
        <f>SUM(K171:K176)</f>
        <v>1</v>
      </c>
      <c r="M178" s="100">
        <f t="shared" si="6"/>
        <v>211937.59751016647</v>
      </c>
      <c r="N178" s="37">
        <f t="shared" si="7"/>
        <v>0.06669318817519833</v>
      </c>
    </row>
    <row r="179" spans="1:14" ht="12.75">
      <c r="A179" s="95"/>
      <c r="B179" s="95"/>
      <c r="C179" s="51"/>
      <c r="D179" s="84"/>
      <c r="E179" s="43"/>
      <c r="F179" s="130"/>
      <c r="H179" s="51"/>
      <c r="I179" s="84"/>
      <c r="J179" s="43"/>
      <c r="K179" s="106"/>
      <c r="M179" s="43"/>
      <c r="N179" s="33"/>
    </row>
    <row r="180" spans="1:14" ht="12.75">
      <c r="A180" s="43" t="s">
        <v>12</v>
      </c>
      <c r="B180" s="43"/>
      <c r="C180" s="51"/>
      <c r="D180" s="84"/>
      <c r="E180" s="51">
        <f>473750</f>
        <v>473750</v>
      </c>
      <c r="F180" s="130"/>
      <c r="H180" s="51"/>
      <c r="I180" s="84"/>
      <c r="J180" s="51">
        <f>E180</f>
        <v>473750</v>
      </c>
      <c r="K180" s="145"/>
      <c r="M180" s="51">
        <f t="shared" si="6"/>
        <v>0</v>
      </c>
      <c r="N180" s="33">
        <f t="shared" si="7"/>
        <v>0</v>
      </c>
    </row>
    <row r="181" spans="1:14" ht="12.75">
      <c r="A181" s="43" t="s">
        <v>13</v>
      </c>
      <c r="B181" s="43"/>
      <c r="C181" s="51"/>
      <c r="D181" s="84"/>
      <c r="E181" s="87">
        <f>263552</f>
        <v>263552</v>
      </c>
      <c r="F181" s="133"/>
      <c r="H181" s="51"/>
      <c r="I181" s="84"/>
      <c r="J181" s="88">
        <f>E181</f>
        <v>263552</v>
      </c>
      <c r="K181" s="146"/>
      <c r="M181" s="88">
        <f t="shared" si="6"/>
        <v>0</v>
      </c>
      <c r="N181" s="39">
        <f t="shared" si="7"/>
        <v>0</v>
      </c>
    </row>
    <row r="182" spans="1:13" ht="12.75">
      <c r="A182" s="43"/>
      <c r="B182" s="43"/>
      <c r="C182" s="51"/>
      <c r="D182" s="43"/>
      <c r="E182" s="43"/>
      <c r="F182" s="130"/>
      <c r="H182" s="51"/>
      <c r="I182" s="43"/>
      <c r="J182" s="43"/>
      <c r="K182" s="106"/>
      <c r="M182" s="43"/>
    </row>
    <row r="183" spans="1:14" ht="13.5" thickBot="1">
      <c r="A183" s="43" t="s">
        <v>22</v>
      </c>
      <c r="B183" s="43"/>
      <c r="C183" s="51"/>
      <c r="D183" s="43"/>
      <c r="E183" s="89">
        <f>SUM(E178:E181)</f>
        <v>3915101.762</v>
      </c>
      <c r="F183" s="131"/>
      <c r="H183" s="51"/>
      <c r="I183" s="43"/>
      <c r="J183" s="101">
        <f>SUM(J178:J181)</f>
        <v>4127039.3595101666</v>
      </c>
      <c r="K183" s="157"/>
      <c r="M183" s="101">
        <f t="shared" si="6"/>
        <v>211937.59751016647</v>
      </c>
      <c r="N183" s="41">
        <f>M183/E183</f>
        <v>0.054133356013177994</v>
      </c>
    </row>
    <row r="184" spans="1:6" ht="13.5" thickTop="1">
      <c r="A184" s="43"/>
      <c r="B184" s="43"/>
      <c r="C184" s="43"/>
      <c r="D184" s="43"/>
      <c r="E184" s="43"/>
      <c r="F184" s="130"/>
    </row>
    <row r="185" spans="1:14" ht="12.75">
      <c r="A185" s="43" t="s">
        <v>15</v>
      </c>
      <c r="B185" s="43"/>
      <c r="C185" s="51"/>
      <c r="D185" s="51"/>
      <c r="E185" s="96">
        <f>E183/C169</f>
        <v>62144.472412698415</v>
      </c>
      <c r="F185" s="130"/>
      <c r="G185" s="48"/>
      <c r="H185" s="48"/>
      <c r="I185" s="48"/>
      <c r="J185" s="96">
        <f>J183/H169</f>
        <v>65508.561262066134</v>
      </c>
      <c r="K185" s="150"/>
      <c r="M185" s="96">
        <f>J185-E185</f>
        <v>3364.0888493677194</v>
      </c>
      <c r="N185" s="33">
        <f>M185/E185</f>
        <v>0.05413335601317796</v>
      </c>
    </row>
    <row r="186" spans="1:14" ht="12.75">
      <c r="A186" s="43"/>
      <c r="B186" s="43"/>
      <c r="C186" s="51"/>
      <c r="D186" s="51"/>
      <c r="E186" s="96"/>
      <c r="F186" s="130"/>
      <c r="G186" s="48"/>
      <c r="H186" s="48"/>
      <c r="I186" s="48"/>
      <c r="J186" s="96"/>
      <c r="K186" s="150"/>
      <c r="M186" s="96"/>
      <c r="N186" s="33"/>
    </row>
    <row r="187" spans="1:14" ht="12.75">
      <c r="A187" s="43"/>
      <c r="B187" s="43"/>
      <c r="C187" s="51"/>
      <c r="D187" s="51"/>
      <c r="E187" s="96"/>
      <c r="F187" s="130"/>
      <c r="G187" s="48"/>
      <c r="H187" s="48"/>
      <c r="I187" s="48"/>
      <c r="J187" s="96"/>
      <c r="K187" s="150"/>
      <c r="M187" s="96"/>
      <c r="N187" s="33"/>
    </row>
    <row r="188" spans="1:14" ht="12.75">
      <c r="A188" s="43"/>
      <c r="B188" s="43"/>
      <c r="C188" s="51"/>
      <c r="D188" s="51"/>
      <c r="E188" s="96"/>
      <c r="F188" s="130"/>
      <c r="G188" s="48"/>
      <c r="H188" s="48"/>
      <c r="I188" s="48"/>
      <c r="J188" s="96"/>
      <c r="K188" s="150"/>
      <c r="M188" s="96"/>
      <c r="N188" s="109" t="s">
        <v>112</v>
      </c>
    </row>
    <row r="189" spans="1:14" ht="12.75">
      <c r="A189" s="43"/>
      <c r="B189" s="43"/>
      <c r="C189" s="51"/>
      <c r="D189" s="51"/>
      <c r="E189" s="96"/>
      <c r="F189" s="130"/>
      <c r="G189" s="48"/>
      <c r="H189" s="48"/>
      <c r="I189" s="48"/>
      <c r="J189" s="96"/>
      <c r="K189" s="150"/>
      <c r="M189" s="96"/>
      <c r="N189" s="174" t="s">
        <v>117</v>
      </c>
    </row>
    <row r="190" spans="1:14" ht="12.75">
      <c r="A190" s="43"/>
      <c r="B190" s="43"/>
      <c r="C190" s="51"/>
      <c r="D190" s="51"/>
      <c r="E190" s="96"/>
      <c r="F190" s="130"/>
      <c r="G190" s="48"/>
      <c r="H190" s="48"/>
      <c r="I190" s="48"/>
      <c r="J190" s="96"/>
      <c r="K190" s="150"/>
      <c r="M190" s="96"/>
      <c r="N190" s="109" t="s">
        <v>115</v>
      </c>
    </row>
    <row r="191" spans="2:14" ht="12.75">
      <c r="B191" s="24"/>
      <c r="C191" s="24"/>
      <c r="D191" s="24"/>
      <c r="E191" s="24"/>
      <c r="F191" s="137"/>
      <c r="G191" s="24"/>
      <c r="H191" s="24" t="str">
        <f>H124</f>
        <v>Farmers Rural Electric Cooperative</v>
      </c>
      <c r="J191" s="24"/>
      <c r="K191" s="154"/>
      <c r="L191" s="24"/>
      <c r="M191" s="24"/>
      <c r="N191" s="24"/>
    </row>
    <row r="192" spans="2:14" ht="12.75">
      <c r="B192" s="24"/>
      <c r="C192" s="24"/>
      <c r="D192" s="24"/>
      <c r="E192" s="24"/>
      <c r="F192" s="137"/>
      <c r="G192" s="24"/>
      <c r="H192" s="24" t="str">
        <f>H125</f>
        <v>Billing Analysis</v>
      </c>
      <c r="J192" s="24"/>
      <c r="K192" s="154"/>
      <c r="L192" s="24"/>
      <c r="M192" s="24"/>
      <c r="N192" s="24"/>
    </row>
    <row r="193" spans="2:14" ht="12.75">
      <c r="B193" s="24"/>
      <c r="C193" s="24"/>
      <c r="D193" s="24"/>
      <c r="E193" s="24"/>
      <c r="F193" s="137"/>
      <c r="G193" s="24"/>
      <c r="H193" s="24" t="str">
        <f>H126</f>
        <v>for the 12 months ended September 30, 2006</v>
      </c>
      <c r="J193" s="24"/>
      <c r="K193" s="154"/>
      <c r="L193" s="24"/>
      <c r="M193" s="24"/>
      <c r="N193" s="24"/>
    </row>
    <row r="195" spans="2:14" ht="12.75">
      <c r="B195" s="26"/>
      <c r="C195" s="26"/>
      <c r="D195" s="26"/>
      <c r="E195" s="26"/>
      <c r="F195" s="124"/>
      <c r="G195" s="26"/>
      <c r="H195" s="26" t="s">
        <v>85</v>
      </c>
      <c r="J195" s="26"/>
      <c r="K195" s="139"/>
      <c r="L195" s="26"/>
      <c r="M195" s="26"/>
      <c r="N195" s="26"/>
    </row>
    <row r="196" spans="2:14" ht="12.75">
      <c r="B196" s="26"/>
      <c r="C196" s="26"/>
      <c r="D196" s="26"/>
      <c r="E196" s="26"/>
      <c r="F196" s="124"/>
      <c r="G196" s="26"/>
      <c r="H196" s="25" t="s">
        <v>93</v>
      </c>
      <c r="J196" s="26"/>
      <c r="K196" s="139"/>
      <c r="L196" s="26"/>
      <c r="M196" s="26"/>
      <c r="N196" s="26"/>
    </row>
    <row r="197" spans="2:14" ht="12.75" hidden="1">
      <c r="B197" s="26"/>
      <c r="C197" s="26"/>
      <c r="D197" s="26"/>
      <c r="E197" s="26"/>
      <c r="F197" s="124"/>
      <c r="G197" s="26"/>
      <c r="H197" s="26"/>
      <c r="J197" s="26"/>
      <c r="K197" s="139"/>
      <c r="L197" s="26"/>
      <c r="M197" s="26"/>
      <c r="N197" s="26"/>
    </row>
    <row r="198" spans="1:6" ht="12.75">
      <c r="A198" s="78"/>
      <c r="B198" s="78"/>
      <c r="C198" s="78"/>
      <c r="D198" s="78"/>
      <c r="E198" s="78"/>
      <c r="F198" s="125"/>
    </row>
    <row r="199" spans="2:17" ht="12.75">
      <c r="B199" s="18" t="s">
        <v>67</v>
      </c>
      <c r="C199" s="119" t="s">
        <v>0</v>
      </c>
      <c r="D199" s="120"/>
      <c r="E199" s="120"/>
      <c r="F199" s="126"/>
      <c r="H199" s="119" t="s">
        <v>1</v>
      </c>
      <c r="I199" s="120"/>
      <c r="J199" s="120"/>
      <c r="K199" s="141"/>
      <c r="M199" s="18" t="s">
        <v>2</v>
      </c>
      <c r="N199" s="79" t="s">
        <v>3</v>
      </c>
      <c r="P199" s="18" t="s">
        <v>23</v>
      </c>
      <c r="Q199" s="18" t="s">
        <v>24</v>
      </c>
    </row>
    <row r="200" spans="1:11" ht="12.75">
      <c r="A200" s="43"/>
      <c r="B200" s="43"/>
      <c r="C200" s="121"/>
      <c r="D200" s="122"/>
      <c r="E200" s="122"/>
      <c r="F200" s="127"/>
      <c r="H200" s="121"/>
      <c r="I200" s="122"/>
      <c r="J200" s="122"/>
      <c r="K200" s="142"/>
    </row>
    <row r="201" spans="1:11" ht="12.75">
      <c r="A201" s="43"/>
      <c r="B201" s="43"/>
      <c r="C201" s="117" t="s">
        <v>4</v>
      </c>
      <c r="D201" s="117" t="s">
        <v>5</v>
      </c>
      <c r="E201" s="117" t="s">
        <v>6</v>
      </c>
      <c r="F201" s="128" t="s">
        <v>108</v>
      </c>
      <c r="H201" s="117" t="s">
        <v>4</v>
      </c>
      <c r="I201" s="117" t="s">
        <v>1</v>
      </c>
      <c r="J201" s="117" t="s">
        <v>6</v>
      </c>
      <c r="K201" s="143" t="s">
        <v>108</v>
      </c>
    </row>
    <row r="202" spans="1:11" ht="12.75">
      <c r="A202" s="80"/>
      <c r="B202" s="80"/>
      <c r="C202" s="118" t="s">
        <v>7</v>
      </c>
      <c r="D202" s="118" t="s">
        <v>8</v>
      </c>
      <c r="E202" s="118" t="s">
        <v>9</v>
      </c>
      <c r="F202" s="129" t="s">
        <v>109</v>
      </c>
      <c r="H202" s="118" t="s">
        <v>7</v>
      </c>
      <c r="I202" s="118" t="s">
        <v>8</v>
      </c>
      <c r="J202" s="118" t="s">
        <v>9</v>
      </c>
      <c r="K202" s="144" t="s">
        <v>109</v>
      </c>
    </row>
    <row r="204" spans="1:11" ht="12.75">
      <c r="A204" s="95"/>
      <c r="B204" s="43"/>
      <c r="C204" s="51"/>
      <c r="D204" s="43"/>
      <c r="E204" s="43"/>
      <c r="F204" s="130"/>
      <c r="H204" s="51"/>
      <c r="I204" s="43"/>
      <c r="J204" s="75"/>
      <c r="K204" s="156"/>
    </row>
    <row r="205" spans="1:14" ht="12.75">
      <c r="A205" s="43" t="s">
        <v>17</v>
      </c>
      <c r="B205" s="43"/>
      <c r="C205" s="51">
        <v>84</v>
      </c>
      <c r="D205" s="49"/>
      <c r="E205" s="50">
        <f>C205*D205</f>
        <v>0</v>
      </c>
      <c r="F205" s="130">
        <f>E205/E212</f>
        <v>0</v>
      </c>
      <c r="H205" s="51">
        <f>C205</f>
        <v>84</v>
      </c>
      <c r="I205" s="102">
        <f>D205</f>
        <v>0</v>
      </c>
      <c r="J205" s="75">
        <f>I205*H205</f>
        <v>0</v>
      </c>
      <c r="K205" s="130">
        <f>J205/J212</f>
        <v>0</v>
      </c>
      <c r="M205" s="34">
        <f>J205-E205</f>
        <v>0</v>
      </c>
      <c r="N205" s="33"/>
    </row>
    <row r="206" spans="1:14" ht="12.75">
      <c r="A206" s="43"/>
      <c r="B206" s="43"/>
      <c r="C206" s="51"/>
      <c r="D206" s="49"/>
      <c r="E206" s="43"/>
      <c r="F206" s="130"/>
      <c r="H206" s="51"/>
      <c r="I206" s="49"/>
      <c r="J206" s="75"/>
      <c r="K206" s="130"/>
      <c r="M206" s="34"/>
      <c r="N206" s="33"/>
    </row>
    <row r="207" spans="1:16" ht="12.75">
      <c r="A207" s="43" t="s">
        <v>19</v>
      </c>
      <c r="B207" s="43"/>
      <c r="C207" s="51">
        <v>16421</v>
      </c>
      <c r="D207" s="49">
        <v>4.93</v>
      </c>
      <c r="E207" s="75">
        <f>D207*C207</f>
        <v>80955.53</v>
      </c>
      <c r="F207" s="130">
        <f>E207/E212</f>
        <v>0.22083801649350174</v>
      </c>
      <c r="H207" s="51">
        <f>C207</f>
        <v>16421</v>
      </c>
      <c r="I207" s="73">
        <f>D207</f>
        <v>4.93</v>
      </c>
      <c r="J207" s="75">
        <f>I207*H207</f>
        <v>80955.53</v>
      </c>
      <c r="K207" s="130">
        <f>J207/J212</f>
        <v>0.20741967598999422</v>
      </c>
      <c r="M207" s="34">
        <f>J207-E207</f>
        <v>0</v>
      </c>
      <c r="N207" s="33">
        <f>M207/E207</f>
        <v>0</v>
      </c>
      <c r="P207" s="34">
        <f>M207</f>
        <v>0</v>
      </c>
    </row>
    <row r="208" spans="1:14" ht="12.75">
      <c r="A208" s="43"/>
      <c r="B208" s="43"/>
      <c r="C208" s="51"/>
      <c r="D208" s="49"/>
      <c r="E208" s="75"/>
      <c r="F208" s="130"/>
      <c r="H208" s="51"/>
      <c r="I208" s="73"/>
      <c r="J208" s="75"/>
      <c r="K208" s="130"/>
      <c r="M208" s="34"/>
      <c r="N208" s="33"/>
    </row>
    <row r="209" spans="1:14" ht="12.75">
      <c r="A209" s="43" t="s">
        <v>20</v>
      </c>
      <c r="B209" s="43"/>
      <c r="C209" s="51"/>
      <c r="D209" s="84"/>
      <c r="E209" s="51"/>
      <c r="F209" s="130"/>
      <c r="H209" s="51"/>
      <c r="I209" s="93"/>
      <c r="J209" s="75"/>
      <c r="K209" s="130"/>
      <c r="M209" s="34"/>
      <c r="N209" s="33"/>
    </row>
    <row r="210" spans="1:17" ht="12.75">
      <c r="A210" s="43" t="s">
        <v>27</v>
      </c>
      <c r="B210" s="51">
        <f>C210</f>
        <v>5826760</v>
      </c>
      <c r="C210" s="51">
        <v>5826760</v>
      </c>
      <c r="D210" s="84">
        <v>0.04902</v>
      </c>
      <c r="E210" s="51">
        <f>C210*D210</f>
        <v>285627.77520000003</v>
      </c>
      <c r="F210" s="130">
        <f>E210/E212</f>
        <v>0.7791619835064981</v>
      </c>
      <c r="H210" s="51">
        <f>C210</f>
        <v>5826760</v>
      </c>
      <c r="I210" s="54">
        <v>0.05309</v>
      </c>
      <c r="J210" s="75">
        <f>H210*I210</f>
        <v>309342.6884</v>
      </c>
      <c r="K210" s="130">
        <f>J210/J212</f>
        <v>0.7925803240100057</v>
      </c>
      <c r="M210" s="34">
        <f>J210-E210</f>
        <v>23714.91319999995</v>
      </c>
      <c r="N210" s="33">
        <f>M210/E210</f>
        <v>0.08302733578131358</v>
      </c>
      <c r="Q210" s="34">
        <f>M210</f>
        <v>23714.91319999995</v>
      </c>
    </row>
    <row r="211" spans="1:14" ht="12.75">
      <c r="A211" s="43"/>
      <c r="B211" s="43"/>
      <c r="C211" s="51"/>
      <c r="D211" s="43"/>
      <c r="E211" s="43"/>
      <c r="F211" s="130"/>
      <c r="H211" s="51"/>
      <c r="I211" s="43"/>
      <c r="J211" s="75"/>
      <c r="K211" s="130"/>
      <c r="M211" s="34"/>
      <c r="N211" s="33"/>
    </row>
    <row r="212" spans="1:14" ht="12.75">
      <c r="A212" s="43" t="s">
        <v>21</v>
      </c>
      <c r="B212" s="43"/>
      <c r="C212" s="51"/>
      <c r="D212" s="43"/>
      <c r="E212" s="94">
        <f>SUM(E205:E210)</f>
        <v>366583.30520000006</v>
      </c>
      <c r="F212" s="131">
        <f>SUM(F205:F211)</f>
        <v>0.9999999999999999</v>
      </c>
      <c r="H212" s="51"/>
      <c r="I212" s="43"/>
      <c r="J212" s="94">
        <f>SUM(J205:J210)</f>
        <v>390298.2184</v>
      </c>
      <c r="K212" s="131">
        <f>SUM(K205:K211)</f>
        <v>0.9999999999999999</v>
      </c>
      <c r="M212" s="94">
        <f>J212-E212</f>
        <v>23714.91319999995</v>
      </c>
      <c r="N212" s="37">
        <f>M212/E212</f>
        <v>0.06469174363262833</v>
      </c>
    </row>
    <row r="213" spans="1:14" ht="12.75">
      <c r="A213" s="95"/>
      <c r="B213" s="95"/>
      <c r="C213" s="51"/>
      <c r="D213" s="84"/>
      <c r="E213" s="43"/>
      <c r="F213" s="130"/>
      <c r="H213" s="51"/>
      <c r="I213" s="84"/>
      <c r="J213" s="75"/>
      <c r="K213" s="156"/>
      <c r="M213" s="75"/>
      <c r="N213" s="33"/>
    </row>
    <row r="214" spans="1:14" ht="12.75">
      <c r="A214" s="43" t="s">
        <v>12</v>
      </c>
      <c r="B214" s="43"/>
      <c r="C214" s="51"/>
      <c r="D214" s="84"/>
      <c r="E214" s="51">
        <v>45770.25</v>
      </c>
      <c r="F214" s="130"/>
      <c r="H214" s="51"/>
      <c r="I214" s="84"/>
      <c r="J214" s="75">
        <f>E214</f>
        <v>45770.25</v>
      </c>
      <c r="K214" s="156"/>
      <c r="M214" s="75">
        <f>J214-E214</f>
        <v>0</v>
      </c>
      <c r="N214" s="33">
        <f>M214/E214</f>
        <v>0</v>
      </c>
    </row>
    <row r="215" spans="1:14" ht="12.75">
      <c r="A215" s="43" t="s">
        <v>13</v>
      </c>
      <c r="B215" s="43"/>
      <c r="C215" s="51"/>
      <c r="D215" s="84"/>
      <c r="E215" s="87">
        <v>30308.69</v>
      </c>
      <c r="F215" s="133"/>
      <c r="H215" s="51"/>
      <c r="I215" s="84"/>
      <c r="J215" s="103">
        <f>E215</f>
        <v>30308.69</v>
      </c>
      <c r="K215" s="158"/>
      <c r="M215" s="103">
        <f>J215-E215</f>
        <v>0</v>
      </c>
      <c r="N215" s="39">
        <f>M215/E215</f>
        <v>0</v>
      </c>
    </row>
    <row r="216" spans="1:13" ht="12.75">
      <c r="A216" s="43"/>
      <c r="B216" s="43"/>
      <c r="C216" s="51"/>
      <c r="D216" s="43"/>
      <c r="E216" s="43"/>
      <c r="F216" s="130"/>
      <c r="H216" s="51"/>
      <c r="I216" s="43"/>
      <c r="J216" s="75"/>
      <c r="K216" s="156"/>
      <c r="M216" s="75"/>
    </row>
    <row r="217" spans="1:14" ht="13.5" thickBot="1">
      <c r="A217" s="43" t="s">
        <v>22</v>
      </c>
      <c r="B217" s="43"/>
      <c r="C217" s="51"/>
      <c r="D217" s="43"/>
      <c r="E217" s="89">
        <f>SUM(E212:E215)</f>
        <v>442662.24520000006</v>
      </c>
      <c r="F217" s="131"/>
      <c r="H217" s="51"/>
      <c r="I217" s="43"/>
      <c r="J217" s="104">
        <f>SUM(J212:J215)</f>
        <v>466377.1584</v>
      </c>
      <c r="K217" s="158"/>
      <c r="M217" s="104">
        <f>J217-E217</f>
        <v>23714.91319999995</v>
      </c>
      <c r="N217" s="41">
        <f>M217/E217</f>
        <v>0.05357338118882326</v>
      </c>
    </row>
    <row r="218" spans="1:11" ht="13.5" thickTop="1">
      <c r="A218" s="43"/>
      <c r="B218" s="43"/>
      <c r="C218" s="43"/>
      <c r="D218" s="43"/>
      <c r="E218" s="43"/>
      <c r="F218" s="130"/>
      <c r="J218" s="32"/>
      <c r="K218" s="159"/>
    </row>
    <row r="219" spans="1:14" ht="12.75">
      <c r="A219" s="43" t="s">
        <v>15</v>
      </c>
      <c r="B219" s="43"/>
      <c r="C219" s="51"/>
      <c r="D219" s="51"/>
      <c r="E219" s="105">
        <f>E217/C205</f>
        <v>5269.7886333333345</v>
      </c>
      <c r="F219" s="130"/>
      <c r="G219" s="48"/>
      <c r="H219" s="48"/>
      <c r="I219" s="48"/>
      <c r="J219" s="75">
        <f>J217/H205</f>
        <v>5552.109028571429</v>
      </c>
      <c r="K219" s="156"/>
      <c r="M219" s="53">
        <f>J219-E219</f>
        <v>282.32039523809453</v>
      </c>
      <c r="N219" s="33">
        <f>M219/E219</f>
        <v>0.05357338118882323</v>
      </c>
    </row>
    <row r="220" ht="12.75" hidden="1"/>
    <row r="222" spans="2:14" ht="12.75" hidden="1">
      <c r="B222" s="24"/>
      <c r="C222" s="24"/>
      <c r="D222" s="24"/>
      <c r="E222" s="24"/>
      <c r="F222" s="137"/>
      <c r="G222" s="24"/>
      <c r="H222" s="24" t="str">
        <f>H155</f>
        <v>Farmers Rural Electric Cooperative</v>
      </c>
      <c r="J222" s="24"/>
      <c r="K222" s="154"/>
      <c r="L222" s="24"/>
      <c r="M222" s="24"/>
      <c r="N222" s="24"/>
    </row>
    <row r="223" spans="2:14" ht="12.75" hidden="1">
      <c r="B223" s="24"/>
      <c r="C223" s="24"/>
      <c r="D223" s="24"/>
      <c r="E223" s="24"/>
      <c r="F223" s="137"/>
      <c r="G223" s="24"/>
      <c r="H223" s="24" t="str">
        <f>H156</f>
        <v>Billing Analysis</v>
      </c>
      <c r="J223" s="24"/>
      <c r="K223" s="154"/>
      <c r="L223" s="24"/>
      <c r="M223" s="24"/>
      <c r="N223" s="24"/>
    </row>
    <row r="224" spans="2:14" ht="12.75" hidden="1">
      <c r="B224" s="24"/>
      <c r="C224" s="24"/>
      <c r="D224" s="24"/>
      <c r="E224" s="24"/>
      <c r="F224" s="137"/>
      <c r="G224" s="24"/>
      <c r="H224" s="24" t="str">
        <f>H157</f>
        <v>for the 12 months ended September 30, 2006</v>
      </c>
      <c r="J224" s="24"/>
      <c r="K224" s="154"/>
      <c r="L224" s="24"/>
      <c r="M224" s="24"/>
      <c r="N224" s="24"/>
    </row>
    <row r="225" ht="12.75" hidden="1"/>
    <row r="226" spans="2:14" ht="12.75">
      <c r="B226" s="26"/>
      <c r="C226" s="26"/>
      <c r="D226" s="26"/>
      <c r="E226" s="26"/>
      <c r="F226" s="124"/>
      <c r="G226" s="26"/>
      <c r="H226" s="26" t="s">
        <v>44</v>
      </c>
      <c r="J226" s="26"/>
      <c r="K226" s="139"/>
      <c r="L226" s="26"/>
      <c r="M226" s="26"/>
      <c r="N226" s="26"/>
    </row>
    <row r="227" spans="2:14" ht="12.75">
      <c r="B227" s="26"/>
      <c r="C227" s="26"/>
      <c r="D227" s="26"/>
      <c r="E227" s="26"/>
      <c r="F227" s="124"/>
      <c r="G227" s="26"/>
      <c r="H227" s="26" t="s">
        <v>94</v>
      </c>
      <c r="J227" s="26"/>
      <c r="K227" s="139"/>
      <c r="L227" s="26"/>
      <c r="M227" s="26"/>
      <c r="N227" s="26"/>
    </row>
    <row r="228" spans="2:14" ht="12.75">
      <c r="B228" s="26"/>
      <c r="C228" s="26"/>
      <c r="D228" s="26"/>
      <c r="E228" s="26"/>
      <c r="F228" s="124"/>
      <c r="G228" s="26"/>
      <c r="H228" s="26" t="s">
        <v>45</v>
      </c>
      <c r="J228" s="26"/>
      <c r="K228" s="139"/>
      <c r="L228" s="26"/>
      <c r="M228" s="26"/>
      <c r="N228" s="26"/>
    </row>
    <row r="229" spans="1:6" ht="12.75">
      <c r="A229" s="78"/>
      <c r="B229" s="78"/>
      <c r="C229" s="78"/>
      <c r="D229" s="78"/>
      <c r="E229" s="78"/>
      <c r="F229" s="125"/>
    </row>
    <row r="230" spans="2:17" ht="12.75">
      <c r="B230" s="18" t="s">
        <v>67</v>
      </c>
      <c r="C230" s="119" t="s">
        <v>0</v>
      </c>
      <c r="D230" s="120"/>
      <c r="E230" s="120"/>
      <c r="F230" s="126"/>
      <c r="H230" s="119" t="s">
        <v>1</v>
      </c>
      <c r="I230" s="120"/>
      <c r="J230" s="120"/>
      <c r="K230" s="141"/>
      <c r="M230" s="18" t="s">
        <v>2</v>
      </c>
      <c r="N230" s="79" t="s">
        <v>3</v>
      </c>
      <c r="P230" s="18" t="s">
        <v>23</v>
      </c>
      <c r="Q230" s="18" t="s">
        <v>24</v>
      </c>
    </row>
    <row r="231" spans="1:11" ht="12.75">
      <c r="A231" s="43"/>
      <c r="B231" s="43"/>
      <c r="C231" s="121"/>
      <c r="D231" s="122"/>
      <c r="E231" s="122"/>
      <c r="F231" s="127"/>
      <c r="H231" s="121"/>
      <c r="I231" s="122"/>
      <c r="J231" s="122"/>
      <c r="K231" s="142"/>
    </row>
    <row r="232" spans="1:11" ht="12.75">
      <c r="A232" s="43"/>
      <c r="B232" s="43"/>
      <c r="C232" s="117" t="s">
        <v>4</v>
      </c>
      <c r="D232" s="117" t="s">
        <v>5</v>
      </c>
      <c r="E232" s="117" t="s">
        <v>6</v>
      </c>
      <c r="F232" s="128" t="s">
        <v>108</v>
      </c>
      <c r="H232" s="117" t="s">
        <v>4</v>
      </c>
      <c r="I232" s="117" t="s">
        <v>1</v>
      </c>
      <c r="J232" s="117" t="s">
        <v>6</v>
      </c>
      <c r="K232" s="143" t="s">
        <v>108</v>
      </c>
    </row>
    <row r="233" spans="1:11" ht="12.75">
      <c r="A233" s="80"/>
      <c r="B233" s="80"/>
      <c r="C233" s="118" t="s">
        <v>7</v>
      </c>
      <c r="D233" s="118" t="s">
        <v>8</v>
      </c>
      <c r="E233" s="118" t="s">
        <v>9</v>
      </c>
      <c r="F233" s="129" t="s">
        <v>109</v>
      </c>
      <c r="H233" s="118" t="s">
        <v>7</v>
      </c>
      <c r="I233" s="118" t="s">
        <v>8</v>
      </c>
      <c r="J233" s="118" t="s">
        <v>9</v>
      </c>
      <c r="K233" s="144" t="s">
        <v>109</v>
      </c>
    </row>
    <row r="235" spans="1:11" ht="12.75">
      <c r="A235" s="95"/>
      <c r="B235" s="43"/>
      <c r="C235" s="51"/>
      <c r="D235" s="43"/>
      <c r="E235" s="43"/>
      <c r="F235" s="130"/>
      <c r="H235" s="51"/>
      <c r="I235" s="43"/>
      <c r="J235" s="75"/>
      <c r="K235" s="156"/>
    </row>
    <row r="236" spans="1:14" ht="12.75">
      <c r="A236" s="43" t="s">
        <v>17</v>
      </c>
      <c r="B236" s="43"/>
      <c r="C236" s="51">
        <f>3*12</f>
        <v>36</v>
      </c>
      <c r="D236" s="49">
        <v>535</v>
      </c>
      <c r="E236" s="50">
        <f>C236*D236</f>
        <v>19260</v>
      </c>
      <c r="F236" s="130">
        <f>E236/E243</f>
        <v>0.006778031693465261</v>
      </c>
      <c r="H236" s="51">
        <f>C236</f>
        <v>36</v>
      </c>
      <c r="I236" s="102">
        <f>D236</f>
        <v>535</v>
      </c>
      <c r="J236" s="75">
        <f>I236*H236</f>
        <v>19260</v>
      </c>
      <c r="K236" s="130">
        <f>J236/J243</f>
        <v>0.006314398231298107</v>
      </c>
      <c r="M236" s="34">
        <f>J236-E236</f>
        <v>0</v>
      </c>
      <c r="N236" s="33">
        <f>M236/E236</f>
        <v>0</v>
      </c>
    </row>
    <row r="237" spans="1:14" ht="12.75">
      <c r="A237" s="43"/>
      <c r="B237" s="43"/>
      <c r="C237" s="51"/>
      <c r="D237" s="49"/>
      <c r="E237" s="43"/>
      <c r="F237" s="130"/>
      <c r="H237" s="51"/>
      <c r="I237" s="49"/>
      <c r="J237" s="75"/>
      <c r="K237" s="130"/>
      <c r="M237" s="34"/>
      <c r="N237" s="33"/>
    </row>
    <row r="238" spans="1:16" ht="12.75">
      <c r="A238" s="43" t="s">
        <v>19</v>
      </c>
      <c r="B238" s="43"/>
      <c r="C238" s="51">
        <v>109810</v>
      </c>
      <c r="D238" s="49">
        <v>5.39</v>
      </c>
      <c r="E238" s="75">
        <f>D238*C238</f>
        <v>591875.8999999999</v>
      </c>
      <c r="F238" s="130">
        <f>E238/E243</f>
        <v>0.20829457989606825</v>
      </c>
      <c r="H238" s="51">
        <f>C238</f>
        <v>109810</v>
      </c>
      <c r="I238" s="92">
        <v>7.29</v>
      </c>
      <c r="J238" s="75">
        <f>I238*H238</f>
        <v>800514.9</v>
      </c>
      <c r="K238" s="130">
        <f>J238/J243</f>
        <v>0.26244911052376846</v>
      </c>
      <c r="M238" s="34">
        <f aca="true" t="shared" si="8" ref="M238:M246">J238-E238</f>
        <v>208639.00000000012</v>
      </c>
      <c r="N238" s="33">
        <f aca="true" t="shared" si="9" ref="N238:N246">M238/E238</f>
        <v>0.3525046382189242</v>
      </c>
      <c r="P238" s="34">
        <f>M238</f>
        <v>208639.00000000012</v>
      </c>
    </row>
    <row r="239" spans="1:14" ht="12.75">
      <c r="A239" s="43"/>
      <c r="B239" s="43"/>
      <c r="C239" s="51"/>
      <c r="D239" s="49"/>
      <c r="E239" s="75"/>
      <c r="F239" s="130"/>
      <c r="H239" s="51"/>
      <c r="I239" s="73"/>
      <c r="J239" s="75"/>
      <c r="K239" s="130"/>
      <c r="M239" s="34"/>
      <c r="N239" s="33"/>
    </row>
    <row r="240" spans="1:14" ht="12.75">
      <c r="A240" s="43" t="s">
        <v>20</v>
      </c>
      <c r="B240" s="43"/>
      <c r="C240" s="51"/>
      <c r="D240" s="84"/>
      <c r="E240" s="51"/>
      <c r="F240" s="130"/>
      <c r="H240" s="51"/>
      <c r="I240" s="93"/>
      <c r="J240" s="75"/>
      <c r="K240" s="130"/>
      <c r="M240" s="34"/>
      <c r="N240" s="33"/>
    </row>
    <row r="241" spans="1:17" ht="12.75">
      <c r="A241" s="43" t="s">
        <v>27</v>
      </c>
      <c r="B241" s="43"/>
      <c r="C241" s="51">
        <v>63417600</v>
      </c>
      <c r="D241" s="84">
        <v>0.03517</v>
      </c>
      <c r="E241" s="51">
        <f>C241*D241</f>
        <v>2230396.992</v>
      </c>
      <c r="F241" s="130">
        <f>E241/E243</f>
        <v>0.7849273884104665</v>
      </c>
      <c r="H241" s="51">
        <f>C241</f>
        <v>63417600</v>
      </c>
      <c r="I241" s="93">
        <f>D241</f>
        <v>0.03517</v>
      </c>
      <c r="J241" s="75">
        <f>H241*I241</f>
        <v>2230396.992</v>
      </c>
      <c r="K241" s="130">
        <f>J241/J243</f>
        <v>0.7312364912449334</v>
      </c>
      <c r="M241" s="34">
        <f t="shared" si="8"/>
        <v>0</v>
      </c>
      <c r="N241" s="33">
        <f t="shared" si="9"/>
        <v>0</v>
      </c>
      <c r="Q241" s="34">
        <f>M241</f>
        <v>0</v>
      </c>
    </row>
    <row r="242" spans="1:14" ht="12.75">
      <c r="A242" s="43"/>
      <c r="B242" s="43"/>
      <c r="C242" s="51"/>
      <c r="D242" s="43"/>
      <c r="E242" s="43"/>
      <c r="F242" s="130"/>
      <c r="H242" s="51"/>
      <c r="I242" s="43"/>
      <c r="J242" s="75"/>
      <c r="K242" s="130"/>
      <c r="M242" s="34"/>
      <c r="N242" s="33"/>
    </row>
    <row r="243" spans="1:14" ht="12.75">
      <c r="A243" s="43" t="s">
        <v>21</v>
      </c>
      <c r="B243" s="43"/>
      <c r="C243" s="51"/>
      <c r="D243" s="43"/>
      <c r="E243" s="94">
        <f>SUM(E236:E241)</f>
        <v>2841532.892</v>
      </c>
      <c r="F243" s="131">
        <f>SUM(F236:F241)</f>
        <v>1</v>
      </c>
      <c r="H243" s="51"/>
      <c r="I243" s="43"/>
      <c r="J243" s="94">
        <f>SUM(J236:J241)</f>
        <v>3050171.892</v>
      </c>
      <c r="K243" s="131">
        <f>SUM(K236:K241)</f>
        <v>1</v>
      </c>
      <c r="M243" s="94">
        <f t="shared" si="8"/>
        <v>208639</v>
      </c>
      <c r="N243" s="37">
        <f t="shared" si="9"/>
        <v>0.0734248055292263</v>
      </c>
    </row>
    <row r="244" spans="1:14" ht="12.75">
      <c r="A244" s="95"/>
      <c r="B244" s="95"/>
      <c r="C244" s="51"/>
      <c r="D244" s="84"/>
      <c r="E244" s="43"/>
      <c r="F244" s="130"/>
      <c r="H244" s="51"/>
      <c r="I244" s="84"/>
      <c r="J244" s="75"/>
      <c r="K244" s="156"/>
      <c r="M244" s="75"/>
      <c r="N244" s="33"/>
    </row>
    <row r="245" spans="1:14" ht="12.75">
      <c r="A245" s="43" t="s">
        <v>12</v>
      </c>
      <c r="B245" s="43"/>
      <c r="C245" s="51"/>
      <c r="D245" s="84"/>
      <c r="E245" s="51">
        <v>509234</v>
      </c>
      <c r="F245" s="130"/>
      <c r="H245" s="51"/>
      <c r="I245" s="84"/>
      <c r="J245" s="75">
        <f>E245</f>
        <v>509234</v>
      </c>
      <c r="K245" s="156"/>
      <c r="M245" s="75">
        <f t="shared" si="8"/>
        <v>0</v>
      </c>
      <c r="N245" s="33">
        <f t="shared" si="9"/>
        <v>0</v>
      </c>
    </row>
    <row r="246" spans="1:14" ht="12.75">
      <c r="A246" s="43" t="s">
        <v>13</v>
      </c>
      <c r="B246" s="43"/>
      <c r="C246" s="51"/>
      <c r="D246" s="84"/>
      <c r="E246" s="87">
        <v>244973</v>
      </c>
      <c r="F246" s="133"/>
      <c r="H246" s="51"/>
      <c r="I246" s="84"/>
      <c r="J246" s="103">
        <f>E246</f>
        <v>244973</v>
      </c>
      <c r="K246" s="158"/>
      <c r="M246" s="103">
        <f t="shared" si="8"/>
        <v>0</v>
      </c>
      <c r="N246" s="39">
        <f t="shared" si="9"/>
        <v>0</v>
      </c>
    </row>
    <row r="247" spans="1:13" ht="12.75">
      <c r="A247" s="43"/>
      <c r="B247" s="43"/>
      <c r="C247" s="51"/>
      <c r="D247" s="43"/>
      <c r="E247" s="43"/>
      <c r="F247" s="130"/>
      <c r="H247" s="51"/>
      <c r="I247" s="43"/>
      <c r="J247" s="75"/>
      <c r="K247" s="156"/>
      <c r="M247" s="75"/>
    </row>
    <row r="248" spans="1:14" ht="13.5" thickBot="1">
      <c r="A248" s="43" t="s">
        <v>22</v>
      </c>
      <c r="B248" s="43"/>
      <c r="C248" s="51"/>
      <c r="D248" s="43"/>
      <c r="E248" s="89">
        <f>SUM(E243:E246)</f>
        <v>3595739.892</v>
      </c>
      <c r="F248" s="131"/>
      <c r="H248" s="51"/>
      <c r="I248" s="43"/>
      <c r="J248" s="104">
        <f>SUM(J243:J246)</f>
        <v>3804378.892</v>
      </c>
      <c r="K248" s="158"/>
      <c r="M248" s="104">
        <f>J248-E248</f>
        <v>208639</v>
      </c>
      <c r="N248" s="41">
        <f>M248/E248</f>
        <v>0.05802394118222832</v>
      </c>
    </row>
    <row r="249" spans="1:11" ht="13.5" thickTop="1">
      <c r="A249" s="43"/>
      <c r="B249" s="43"/>
      <c r="C249" s="43"/>
      <c r="D249" s="43"/>
      <c r="E249" s="43"/>
      <c r="F249" s="130"/>
      <c r="J249" s="32"/>
      <c r="K249" s="159"/>
    </row>
    <row r="250" spans="1:14" ht="12.75">
      <c r="A250" s="43" t="s">
        <v>15</v>
      </c>
      <c r="B250" s="43"/>
      <c r="C250" s="51"/>
      <c r="D250" s="51"/>
      <c r="E250" s="96">
        <f>E248/C236</f>
        <v>99881.66366666666</v>
      </c>
      <c r="F250" s="130"/>
      <c r="G250" s="48"/>
      <c r="H250" s="48"/>
      <c r="I250" s="48"/>
      <c r="J250" s="75">
        <f>J248/H236</f>
        <v>105677.19144444444</v>
      </c>
      <c r="K250" s="156"/>
      <c r="M250" s="53">
        <f>J250-E250</f>
        <v>5795.527777777781</v>
      </c>
      <c r="N250" s="33">
        <f>M250/E250</f>
        <v>0.05802394118222835</v>
      </c>
    </row>
    <row r="251" spans="1:14" ht="12.75">
      <c r="A251" s="106"/>
      <c r="B251" s="43"/>
      <c r="C251" s="51"/>
      <c r="D251" s="51"/>
      <c r="E251" s="96"/>
      <c r="F251" s="130"/>
      <c r="G251" s="48"/>
      <c r="H251" s="48"/>
      <c r="I251" s="48"/>
      <c r="J251" s="75"/>
      <c r="K251" s="156"/>
      <c r="M251" s="53"/>
      <c r="N251" s="33"/>
    </row>
    <row r="252" spans="2:14" ht="12.75" hidden="1">
      <c r="B252" s="24"/>
      <c r="C252" s="24"/>
      <c r="D252" s="24"/>
      <c r="E252" s="24"/>
      <c r="F252" s="137"/>
      <c r="G252" s="24"/>
      <c r="H252" s="24" t="str">
        <f>H222</f>
        <v>Farmers Rural Electric Cooperative</v>
      </c>
      <c r="I252" s="24"/>
      <c r="J252" s="24"/>
      <c r="K252" s="154"/>
      <c r="L252" s="24"/>
      <c r="M252" s="24"/>
      <c r="N252" s="24"/>
    </row>
    <row r="253" spans="2:14" ht="12.75" hidden="1">
      <c r="B253" s="24"/>
      <c r="C253" s="24"/>
      <c r="D253" s="24"/>
      <c r="E253" s="24"/>
      <c r="F253" s="137"/>
      <c r="G253" s="24"/>
      <c r="H253" s="24" t="str">
        <f>H223</f>
        <v>Billing Analysis</v>
      </c>
      <c r="I253" s="24"/>
      <c r="J253" s="24"/>
      <c r="K253" s="154"/>
      <c r="L253" s="24"/>
      <c r="M253" s="24"/>
      <c r="N253" s="24"/>
    </row>
    <row r="254" spans="2:14" ht="12.75" hidden="1">
      <c r="B254" s="24"/>
      <c r="C254" s="24"/>
      <c r="D254" s="24"/>
      <c r="E254" s="24"/>
      <c r="F254" s="137"/>
      <c r="G254" s="24"/>
      <c r="H254" s="24" t="str">
        <f>H224</f>
        <v>for the 12 months ended September 30, 2006</v>
      </c>
      <c r="I254" s="24"/>
      <c r="J254" s="24"/>
      <c r="K254" s="154"/>
      <c r="L254" s="24"/>
      <c r="M254" s="24"/>
      <c r="N254" s="24"/>
    </row>
    <row r="255" ht="12.75" hidden="1">
      <c r="I255" s="98"/>
    </row>
    <row r="256" spans="2:14" ht="12.75">
      <c r="B256" s="26"/>
      <c r="C256" s="26"/>
      <c r="D256" s="26"/>
      <c r="E256" s="26"/>
      <c r="F256" s="124"/>
      <c r="G256" s="26"/>
      <c r="H256" s="26" t="s">
        <v>51</v>
      </c>
      <c r="I256" s="26"/>
      <c r="J256" s="26"/>
      <c r="K256" s="139"/>
      <c r="L256" s="26"/>
      <c r="M256" s="26"/>
      <c r="N256" s="26"/>
    </row>
    <row r="257" spans="2:14" ht="12.75">
      <c r="B257" s="26"/>
      <c r="C257" s="26"/>
      <c r="D257" s="26"/>
      <c r="E257" s="26"/>
      <c r="F257" s="124"/>
      <c r="G257" s="26"/>
      <c r="H257" s="26" t="s">
        <v>95</v>
      </c>
      <c r="I257" s="26"/>
      <c r="J257" s="26"/>
      <c r="K257" s="139"/>
      <c r="L257" s="26"/>
      <c r="M257" s="26"/>
      <c r="N257" s="26"/>
    </row>
    <row r="258" spans="2:14" ht="12.75">
      <c r="B258" s="26"/>
      <c r="C258" s="26"/>
      <c r="D258" s="26"/>
      <c r="E258" s="26"/>
      <c r="F258" s="124"/>
      <c r="G258" s="26"/>
      <c r="H258" s="26" t="s">
        <v>52</v>
      </c>
      <c r="I258" s="26"/>
      <c r="J258" s="26"/>
      <c r="K258" s="139"/>
      <c r="L258" s="26"/>
      <c r="M258" s="26"/>
      <c r="N258" s="26"/>
    </row>
    <row r="259" spans="1:6" ht="12.75">
      <c r="A259" s="78"/>
      <c r="B259" s="78"/>
      <c r="C259" s="78"/>
      <c r="D259" s="78"/>
      <c r="E259" s="78"/>
      <c r="F259" s="125"/>
    </row>
    <row r="260" spans="2:17" ht="12.75">
      <c r="B260" s="18" t="s">
        <v>67</v>
      </c>
      <c r="C260" s="119" t="s">
        <v>0</v>
      </c>
      <c r="D260" s="120"/>
      <c r="E260" s="120"/>
      <c r="F260" s="126"/>
      <c r="H260" s="119" t="s">
        <v>1</v>
      </c>
      <c r="I260" s="120"/>
      <c r="J260" s="120"/>
      <c r="K260" s="141"/>
      <c r="M260" s="18" t="s">
        <v>2</v>
      </c>
      <c r="N260" s="79" t="s">
        <v>3</v>
      </c>
      <c r="P260" s="18" t="s">
        <v>23</v>
      </c>
      <c r="Q260" s="18" t="s">
        <v>24</v>
      </c>
    </row>
    <row r="261" spans="1:11" ht="12.75">
      <c r="A261" s="43"/>
      <c r="B261" s="43"/>
      <c r="C261" s="121"/>
      <c r="D261" s="122"/>
      <c r="E261" s="122"/>
      <c r="F261" s="127"/>
      <c r="H261" s="121"/>
      <c r="I261" s="122"/>
      <c r="J261" s="122"/>
      <c r="K261" s="142"/>
    </row>
    <row r="262" spans="1:11" ht="12.75">
      <c r="A262" s="43"/>
      <c r="B262" s="43"/>
      <c r="C262" s="117" t="s">
        <v>4</v>
      </c>
      <c r="D262" s="117" t="s">
        <v>5</v>
      </c>
      <c r="E262" s="117" t="s">
        <v>6</v>
      </c>
      <c r="F262" s="128" t="s">
        <v>108</v>
      </c>
      <c r="H262" s="117" t="s">
        <v>4</v>
      </c>
      <c r="I262" s="117" t="s">
        <v>1</v>
      </c>
      <c r="J262" s="117" t="s">
        <v>6</v>
      </c>
      <c r="K262" s="143" t="s">
        <v>108</v>
      </c>
    </row>
    <row r="263" spans="1:11" ht="12.75">
      <c r="A263" s="80"/>
      <c r="B263" s="80"/>
      <c r="C263" s="118" t="s">
        <v>7</v>
      </c>
      <c r="D263" s="118" t="s">
        <v>8</v>
      </c>
      <c r="E263" s="118" t="s">
        <v>9</v>
      </c>
      <c r="F263" s="129" t="s">
        <v>109</v>
      </c>
      <c r="H263" s="118" t="s">
        <v>7</v>
      </c>
      <c r="I263" s="118" t="s">
        <v>8</v>
      </c>
      <c r="J263" s="118" t="s">
        <v>9</v>
      </c>
      <c r="K263" s="144" t="s">
        <v>109</v>
      </c>
    </row>
    <row r="265" spans="1:11" ht="12.75">
      <c r="A265" s="95"/>
      <c r="B265" s="43"/>
      <c r="C265" s="51"/>
      <c r="D265" s="43"/>
      <c r="E265" s="43"/>
      <c r="F265" s="130"/>
      <c r="H265" s="51"/>
      <c r="I265" s="43"/>
      <c r="J265" s="75"/>
      <c r="K265" s="156"/>
    </row>
    <row r="266" spans="1:14" ht="12.75">
      <c r="A266" s="43" t="s">
        <v>17</v>
      </c>
      <c r="B266" s="43"/>
      <c r="C266" s="51">
        <f>96+12</f>
        <v>108</v>
      </c>
      <c r="D266" s="49"/>
      <c r="E266" s="50"/>
      <c r="F266" s="130"/>
      <c r="H266" s="51">
        <f>C266</f>
        <v>108</v>
      </c>
      <c r="I266" s="102"/>
      <c r="J266" s="75">
        <f>I266*H266</f>
        <v>0</v>
      </c>
      <c r="K266" s="156"/>
      <c r="M266" s="34">
        <f>J266-E266</f>
        <v>0</v>
      </c>
      <c r="N266" s="33"/>
    </row>
    <row r="267" spans="1:14" ht="12.75">
      <c r="A267" s="43"/>
      <c r="B267" s="43"/>
      <c r="C267" s="51"/>
      <c r="D267" s="49"/>
      <c r="E267" s="43"/>
      <c r="F267" s="130"/>
      <c r="H267" s="51"/>
      <c r="I267" s="49"/>
      <c r="J267" s="75"/>
      <c r="K267" s="156"/>
      <c r="M267" s="34"/>
      <c r="N267" s="33"/>
    </row>
    <row r="268" spans="1:14" ht="12.75">
      <c r="A268" s="43" t="s">
        <v>20</v>
      </c>
      <c r="B268" s="43"/>
      <c r="C268" s="51"/>
      <c r="D268" s="84"/>
      <c r="E268" s="51"/>
      <c r="F268" s="130"/>
      <c r="H268" s="51"/>
      <c r="I268" s="93"/>
      <c r="J268" s="75"/>
      <c r="K268" s="156"/>
      <c r="M268" s="34"/>
      <c r="N268" s="33"/>
    </row>
    <row r="269" spans="1:17" ht="12.75">
      <c r="A269" s="43" t="s">
        <v>27</v>
      </c>
      <c r="B269" s="51">
        <f>C269</f>
        <v>435669</v>
      </c>
      <c r="C269" s="51">
        <f>434109+1560</f>
        <v>435669</v>
      </c>
      <c r="D269" s="84">
        <v>0.03859</v>
      </c>
      <c r="E269" s="51">
        <f>C269*D269</f>
        <v>16812.46671</v>
      </c>
      <c r="F269" s="130">
        <f>E269/E271</f>
        <v>1</v>
      </c>
      <c r="H269" s="51">
        <f>C269</f>
        <v>435669</v>
      </c>
      <c r="I269" s="54">
        <f>D269+R287</f>
        <v>0.04265609528002003</v>
      </c>
      <c r="J269" s="75">
        <f>H269*I269</f>
        <v>18583.93837455105</v>
      </c>
      <c r="K269" s="130">
        <f>J269/J271</f>
        <v>1</v>
      </c>
      <c r="M269" s="34">
        <f>J269-E269</f>
        <v>1771.471664551049</v>
      </c>
      <c r="N269" s="33">
        <f>M269/E269</f>
        <v>0.10536655299352256</v>
      </c>
      <c r="Q269" s="34">
        <f>M269</f>
        <v>1771.471664551049</v>
      </c>
    </row>
    <row r="270" spans="1:14" ht="12.75">
      <c r="A270" s="43"/>
      <c r="B270" s="43"/>
      <c r="C270" s="51"/>
      <c r="D270" s="43"/>
      <c r="E270" s="43"/>
      <c r="F270" s="130"/>
      <c r="H270" s="51"/>
      <c r="I270" s="43"/>
      <c r="J270" s="75"/>
      <c r="K270" s="156"/>
      <c r="M270" s="34"/>
      <c r="N270" s="33"/>
    </row>
    <row r="271" spans="1:14" ht="12.75">
      <c r="A271" s="43" t="s">
        <v>21</v>
      </c>
      <c r="B271" s="43"/>
      <c r="C271" s="51"/>
      <c r="D271" s="43"/>
      <c r="E271" s="94">
        <f>SUM(E266:E269)</f>
        <v>16812.46671</v>
      </c>
      <c r="F271" s="131">
        <f>SUM(F269:F270)</f>
        <v>1</v>
      </c>
      <c r="H271" s="51"/>
      <c r="I271" s="43"/>
      <c r="J271" s="94">
        <f>SUM(J266:J269)</f>
        <v>18583.93837455105</v>
      </c>
      <c r="K271" s="160">
        <f>SUM(K269:K270)</f>
        <v>1</v>
      </c>
      <c r="M271" s="94">
        <f>J271-E271</f>
        <v>1771.471664551049</v>
      </c>
      <c r="N271" s="37">
        <f>M271/E271</f>
        <v>0.10536655299352256</v>
      </c>
    </row>
    <row r="272" spans="1:14" ht="12.75">
      <c r="A272" s="95"/>
      <c r="B272" s="95"/>
      <c r="C272" s="51"/>
      <c r="D272" s="84"/>
      <c r="E272" s="43"/>
      <c r="F272" s="130"/>
      <c r="H272" s="51"/>
      <c r="I272" s="84"/>
      <c r="J272" s="75"/>
      <c r="K272" s="156"/>
      <c r="M272" s="75"/>
      <c r="N272" s="33"/>
    </row>
    <row r="273" spans="1:14" ht="12.75">
      <c r="A273" s="43" t="s">
        <v>12</v>
      </c>
      <c r="B273" s="43"/>
      <c r="C273" s="51"/>
      <c r="D273" s="84"/>
      <c r="E273" s="51">
        <v>3506</v>
      </c>
      <c r="F273" s="130"/>
      <c r="H273" s="51"/>
      <c r="I273" s="84"/>
      <c r="J273" s="75">
        <f>E273</f>
        <v>3506</v>
      </c>
      <c r="K273" s="156"/>
      <c r="M273" s="75">
        <f>J273-E273</f>
        <v>0</v>
      </c>
      <c r="N273" s="33">
        <f>M273/E273</f>
        <v>0</v>
      </c>
    </row>
    <row r="274" spans="1:14" ht="12.75">
      <c r="A274" s="43" t="s">
        <v>13</v>
      </c>
      <c r="B274" s="43"/>
      <c r="C274" s="51"/>
      <c r="D274" s="84"/>
      <c r="E274" s="87">
        <v>3392</v>
      </c>
      <c r="F274" s="133"/>
      <c r="H274" s="51"/>
      <c r="I274" s="84"/>
      <c r="J274" s="103">
        <f>E274</f>
        <v>3392</v>
      </c>
      <c r="K274" s="158"/>
      <c r="M274" s="103">
        <f>J274-E274</f>
        <v>0</v>
      </c>
      <c r="N274" s="39">
        <f>M274/E274</f>
        <v>0</v>
      </c>
    </row>
    <row r="275" spans="1:13" ht="12.75">
      <c r="A275" s="43"/>
      <c r="B275" s="43"/>
      <c r="C275" s="51"/>
      <c r="D275" s="43"/>
      <c r="E275" s="43"/>
      <c r="F275" s="130"/>
      <c r="H275" s="51"/>
      <c r="I275" s="43"/>
      <c r="J275" s="75"/>
      <c r="K275" s="156"/>
      <c r="M275" s="75"/>
    </row>
    <row r="276" spans="1:14" ht="13.5" thickBot="1">
      <c r="A276" s="43" t="s">
        <v>22</v>
      </c>
      <c r="B276" s="43"/>
      <c r="C276" s="51"/>
      <c r="D276" s="43"/>
      <c r="E276" s="89">
        <f>SUM(E271:E274)</f>
        <v>23710.46671</v>
      </c>
      <c r="F276" s="131"/>
      <c r="H276" s="51"/>
      <c r="I276" s="43"/>
      <c r="J276" s="104">
        <f>SUM(J271:J274)</f>
        <v>25481.93837455105</v>
      </c>
      <c r="K276" s="158"/>
      <c r="M276" s="104">
        <f>J276-E276</f>
        <v>1771.471664551049</v>
      </c>
      <c r="N276" s="41">
        <f>M276/E276</f>
        <v>0.0747126442603478</v>
      </c>
    </row>
    <row r="277" spans="1:11" ht="13.5" thickTop="1">
      <c r="A277" s="43"/>
      <c r="B277" s="43"/>
      <c r="C277" s="43"/>
      <c r="D277" s="43"/>
      <c r="E277" s="43"/>
      <c r="F277" s="130"/>
      <c r="J277" s="32"/>
      <c r="K277" s="159"/>
    </row>
    <row r="278" spans="1:14" ht="12.75">
      <c r="A278" s="43" t="s">
        <v>15</v>
      </c>
      <c r="B278" s="43"/>
      <c r="C278" s="51"/>
      <c r="D278" s="51"/>
      <c r="E278" s="96">
        <f>E276/C266</f>
        <v>219.54135842592592</v>
      </c>
      <c r="F278" s="130"/>
      <c r="G278" s="48"/>
      <c r="H278" s="48"/>
      <c r="I278" s="48"/>
      <c r="J278" s="75">
        <f>J276/H266</f>
        <v>235.94387383843565</v>
      </c>
      <c r="K278" s="156"/>
      <c r="M278" s="53">
        <f>J278-E278</f>
        <v>16.40251541250973</v>
      </c>
      <c r="N278" s="33">
        <f>M278/E278</f>
        <v>0.07471264426034788</v>
      </c>
    </row>
    <row r="279" spans="1:14" ht="12.75" hidden="1">
      <c r="A279" s="43"/>
      <c r="B279" s="43"/>
      <c r="C279" s="51"/>
      <c r="D279" s="51"/>
      <c r="E279" s="96"/>
      <c r="F279" s="130"/>
      <c r="G279" s="48"/>
      <c r="H279" s="48"/>
      <c r="I279" s="48"/>
      <c r="J279" s="75"/>
      <c r="K279" s="156"/>
      <c r="M279" s="53"/>
      <c r="N279" s="33"/>
    </row>
    <row r="280" spans="1:17" ht="12.75" hidden="1">
      <c r="A280" s="43" t="s">
        <v>48</v>
      </c>
      <c r="B280" s="51">
        <f>C280</f>
        <v>6891950</v>
      </c>
      <c r="C280" s="51">
        <f>'3a2 Lighting'!E23</f>
        <v>6891950</v>
      </c>
      <c r="D280" s="51"/>
      <c r="E280" s="96">
        <f>'3a2 Lighting'!G23</f>
        <v>623108.1599999999</v>
      </c>
      <c r="F280" s="130"/>
      <c r="G280" s="48"/>
      <c r="H280" s="48"/>
      <c r="I280" s="48"/>
      <c r="J280" s="75">
        <f>'3a2 Lighting'!M23</f>
        <v>651131.485365134</v>
      </c>
      <c r="K280" s="156"/>
      <c r="M280" s="53">
        <f>J280-E280</f>
        <v>28023.32536513405</v>
      </c>
      <c r="N280" s="33"/>
      <c r="Q280" s="55">
        <f>'3a2 Lighting'!Q23</f>
        <v>28023.32536513405</v>
      </c>
    </row>
    <row r="281" spans="1:18" ht="12.75" hidden="1">
      <c r="A281" s="43"/>
      <c r="B281" s="43"/>
      <c r="C281" s="51"/>
      <c r="D281" s="51"/>
      <c r="E281" s="96"/>
      <c r="F281" s="130"/>
      <c r="G281" s="48"/>
      <c r="H281" s="48"/>
      <c r="I281" s="48"/>
      <c r="J281" s="75"/>
      <c r="K281" s="156"/>
      <c r="M281" s="53"/>
      <c r="N281" s="33"/>
      <c r="R281" s="56"/>
    </row>
    <row r="282" spans="1:19" ht="12.75" hidden="1">
      <c r="A282" s="31" t="s">
        <v>64</v>
      </c>
      <c r="B282" s="35">
        <f>SUM(B17:B280)</f>
        <v>426555179</v>
      </c>
      <c r="R282" s="59">
        <v>1919854</v>
      </c>
      <c r="S282" s="31" t="s">
        <v>30</v>
      </c>
    </row>
    <row r="283" ht="12.75" hidden="1">
      <c r="R283" s="56"/>
    </row>
    <row r="284" ht="12.75" hidden="1">
      <c r="R284" s="32"/>
    </row>
    <row r="285" spans="2:19" ht="12.75" hidden="1">
      <c r="B285" s="35">
        <f>B282+C241</f>
        <v>489972779</v>
      </c>
      <c r="P285" s="32">
        <f>SUM(P12:P280)</f>
        <v>185440.00000000012</v>
      </c>
      <c r="R285" s="32">
        <f>R282-P285</f>
        <v>1734414</v>
      </c>
      <c r="S285" s="31" t="s">
        <v>28</v>
      </c>
    </row>
    <row r="286" spans="2:17" ht="12.75" hidden="1">
      <c r="B286" s="35">
        <v>489972779</v>
      </c>
      <c r="Q286" s="32">
        <f>SUM(Q14:Q281)</f>
        <v>1734414.0426663908</v>
      </c>
    </row>
    <row r="287" spans="2:19" ht="12.75" hidden="1">
      <c r="B287" s="35">
        <f>B285-B286</f>
        <v>0</v>
      </c>
      <c r="R287" s="57">
        <f>R285/B282</f>
        <v>0.004066095280020032</v>
      </c>
      <c r="S287" s="31" t="s">
        <v>29</v>
      </c>
    </row>
    <row r="288" ht="12.75" hidden="1">
      <c r="R288" s="57"/>
    </row>
    <row r="289" ht="12.75" hidden="1"/>
    <row r="290" ht="12.75" hidden="1"/>
    <row r="291" ht="12.75" hidden="1">
      <c r="Q291" s="32">
        <f>SUM(P285:Q288)</f>
        <v>1919854.042666391</v>
      </c>
    </row>
    <row r="292" ht="12.75" hidden="1"/>
    <row r="293" ht="12.75" hidden="1">
      <c r="Q293" s="32">
        <f>Q291-R282</f>
        <v>0.042666391003876925</v>
      </c>
    </row>
  </sheetData>
  <printOptions/>
  <pageMargins left="0.53" right="0.22" top="0.54" bottom="0.54" header="0.24" footer="0.24"/>
  <pageSetup fitToHeight="0" fitToWidth="1" horizontalDpi="600" verticalDpi="600" orientation="portrait" scale="58" r:id="rId1"/>
  <headerFooter alignWithMargins="0">
    <oddHeader>&amp;R&amp;"Times New Roman,Regular"&amp;12
</oddHeader>
    <oddFooter>&amp;C&amp;P of &amp;N&amp;R&amp;A, &amp;F</oddFooter>
  </headerFooter>
  <rowBreaks count="2" manualBreakCount="2">
    <brk id="91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60" zoomScaleNormal="75" workbookViewId="0" topLeftCell="A1">
      <selection activeCell="V49" sqref="V49"/>
    </sheetView>
  </sheetViews>
  <sheetFormatPr defaultColWidth="9.140625" defaultRowHeight="12.75"/>
  <cols>
    <col min="2" max="2" width="29.140625" style="0" bestFit="1" customWidth="1"/>
    <col min="4" max="4" width="13.7109375" style="0" bestFit="1" customWidth="1"/>
    <col min="5" max="5" width="13.7109375" style="0" customWidth="1"/>
    <col min="6" max="6" width="11.7109375" style="0" bestFit="1" customWidth="1"/>
    <col min="7" max="7" width="11.140625" style="0" bestFit="1" customWidth="1"/>
    <col min="8" max="8" width="11.140625" style="169" customWidth="1"/>
    <col min="9" max="9" width="11.140625" style="0" hidden="1" customWidth="1"/>
    <col min="10" max="10" width="3.421875" style="0" customWidth="1"/>
    <col min="11" max="11" width="13.28125" style="0" customWidth="1"/>
    <col min="12" max="12" width="9.7109375" style="0" customWidth="1"/>
    <col min="13" max="13" width="11.140625" style="0" bestFit="1" customWidth="1"/>
    <col min="14" max="14" width="11.140625" style="169" customWidth="1"/>
    <col min="15" max="15" width="11.140625" style="0" hidden="1" customWidth="1"/>
    <col min="16" max="16" width="3.00390625" style="0" customWidth="1"/>
    <col min="17" max="17" width="12.140625" style="0" customWidth="1"/>
    <col min="18" max="18" width="11.7109375" style="0" customWidth="1"/>
    <col min="19" max="19" width="3.140625" style="0" customWidth="1"/>
    <col min="20" max="21" width="4.00390625" style="0" customWidth="1"/>
    <col min="22" max="22" width="3.28125" style="0" customWidth="1"/>
  </cols>
  <sheetData>
    <row r="1" spans="7:15" ht="12.75">
      <c r="G1" s="25" t="s">
        <v>68</v>
      </c>
      <c r="H1" s="162"/>
      <c r="I1" s="111"/>
      <c r="J1" s="111"/>
      <c r="K1" s="111"/>
      <c r="L1" s="111"/>
      <c r="M1" s="111"/>
      <c r="N1" s="161"/>
      <c r="O1" s="111"/>
    </row>
    <row r="2" spans="7:15" ht="12.75">
      <c r="G2" s="25" t="s">
        <v>18</v>
      </c>
      <c r="H2" s="162"/>
      <c r="I2" s="111"/>
      <c r="J2" s="111"/>
      <c r="K2" s="111"/>
      <c r="L2" s="111"/>
      <c r="M2" s="111"/>
      <c r="N2" s="161"/>
      <c r="O2" s="111"/>
    </row>
    <row r="3" spans="7:15" ht="12.75">
      <c r="G3" s="25" t="s">
        <v>16</v>
      </c>
      <c r="H3" s="162"/>
      <c r="I3" s="111"/>
      <c r="J3" s="111"/>
      <c r="K3" s="111"/>
      <c r="L3" s="111"/>
      <c r="M3" s="111"/>
      <c r="N3" s="161"/>
      <c r="O3" s="111"/>
    </row>
    <row r="4" spans="7:15" ht="12.75">
      <c r="G4" s="25"/>
      <c r="H4" s="162"/>
      <c r="I4" s="25"/>
      <c r="J4" s="25"/>
      <c r="K4" s="25"/>
      <c r="L4" s="25"/>
      <c r="M4" s="25"/>
      <c r="N4" s="162"/>
      <c r="O4" s="25"/>
    </row>
    <row r="5" spans="7:15" ht="12.75">
      <c r="G5" s="113" t="s">
        <v>77</v>
      </c>
      <c r="H5" s="171"/>
      <c r="I5" s="25"/>
      <c r="J5" s="25"/>
      <c r="K5" s="25"/>
      <c r="L5" s="25"/>
      <c r="M5" s="25"/>
      <c r="N5" s="162"/>
      <c r="O5" s="25"/>
    </row>
    <row r="6" spans="7:15" ht="12.75">
      <c r="G6" s="25"/>
      <c r="H6" s="162"/>
      <c r="I6" s="25"/>
      <c r="J6" s="25"/>
      <c r="K6" s="25"/>
      <c r="L6" s="25"/>
      <c r="M6" s="25"/>
      <c r="N6" s="162"/>
      <c r="O6" s="25"/>
    </row>
    <row r="7" spans="4:18" ht="14.25">
      <c r="D7" s="177" t="s">
        <v>0</v>
      </c>
      <c r="E7" s="178"/>
      <c r="F7" s="178"/>
      <c r="G7" s="179"/>
      <c r="H7" s="163"/>
      <c r="I7" s="17"/>
      <c r="K7" s="177" t="s">
        <v>1</v>
      </c>
      <c r="L7" s="178"/>
      <c r="M7" s="179"/>
      <c r="N7" s="163"/>
      <c r="O7" s="17"/>
      <c r="Q7" s="8" t="s">
        <v>2</v>
      </c>
      <c r="R7" s="9" t="s">
        <v>3</v>
      </c>
    </row>
    <row r="8" spans="4:15" ht="14.25">
      <c r="D8" s="1"/>
      <c r="E8" s="2"/>
      <c r="F8" s="2"/>
      <c r="G8" s="3"/>
      <c r="H8" s="164"/>
      <c r="I8" s="16"/>
      <c r="K8" s="1"/>
      <c r="L8" s="2"/>
      <c r="M8" s="3"/>
      <c r="N8" s="164"/>
      <c r="O8" s="16"/>
    </row>
    <row r="9" spans="2:15" ht="14.25">
      <c r="B9" t="s">
        <v>77</v>
      </c>
      <c r="D9" s="4" t="s">
        <v>4</v>
      </c>
      <c r="E9" s="4"/>
      <c r="F9" s="5" t="s">
        <v>5</v>
      </c>
      <c r="G9" s="5" t="s">
        <v>6</v>
      </c>
      <c r="H9" s="163" t="s">
        <v>106</v>
      </c>
      <c r="I9" s="17" t="s">
        <v>25</v>
      </c>
      <c r="K9" s="4" t="s">
        <v>4</v>
      </c>
      <c r="L9" s="5"/>
      <c r="M9" s="5" t="s">
        <v>6</v>
      </c>
      <c r="N9" s="163" t="s">
        <v>106</v>
      </c>
      <c r="O9" s="17"/>
    </row>
    <row r="10" spans="4:15" ht="14.25">
      <c r="D10" s="6" t="s">
        <v>7</v>
      </c>
      <c r="E10" s="7" t="s">
        <v>26</v>
      </c>
      <c r="F10" s="7" t="s">
        <v>8</v>
      </c>
      <c r="G10" s="5" t="s">
        <v>9</v>
      </c>
      <c r="H10" s="163" t="s">
        <v>107</v>
      </c>
      <c r="I10" s="17"/>
      <c r="K10" s="6" t="s">
        <v>7</v>
      </c>
      <c r="L10" s="7" t="s">
        <v>8</v>
      </c>
      <c r="M10" s="5" t="s">
        <v>9</v>
      </c>
      <c r="N10" s="163" t="s">
        <v>107</v>
      </c>
      <c r="O10" s="17" t="s">
        <v>25</v>
      </c>
    </row>
    <row r="11" spans="1:18" ht="12.75">
      <c r="A11" t="s">
        <v>63</v>
      </c>
      <c r="B11" s="27" t="s">
        <v>61</v>
      </c>
      <c r="C11" s="27">
        <v>70</v>
      </c>
      <c r="D11" s="28">
        <f>86846+26</f>
        <v>86872</v>
      </c>
      <c r="E11" s="13">
        <f>6022817+1820-12384</f>
        <v>6012253</v>
      </c>
      <c r="F11" s="29">
        <v>6.35</v>
      </c>
      <c r="G11" s="14">
        <f aca="true" t="shared" si="0" ref="G11:G20">F11*D11</f>
        <v>551637.2</v>
      </c>
      <c r="H11" s="165">
        <f>G11/$G$23</f>
        <v>0.885299271317519</v>
      </c>
      <c r="I11" s="20">
        <f aca="true" t="shared" si="1" ref="I11:I19">G11/E11</f>
        <v>0.09175216013032052</v>
      </c>
      <c r="K11" s="13">
        <f aca="true" t="shared" si="2" ref="K11:K20">D11</f>
        <v>86872</v>
      </c>
      <c r="L11" s="21">
        <f aca="true" t="shared" si="3" ref="L11:L19">M11/K11</f>
        <v>6.631407053430175</v>
      </c>
      <c r="M11" s="14">
        <f>O11*E11</f>
        <v>576083.5935455862</v>
      </c>
      <c r="N11" s="165">
        <f>M11/$M$23</f>
        <v>0.8847423392873357</v>
      </c>
      <c r="O11" s="20">
        <f>I11+3a2!$R$287</f>
        <v>0.09581825541034054</v>
      </c>
      <c r="Q11" s="15">
        <f>M11-G11</f>
        <v>24446.393545586267</v>
      </c>
      <c r="R11" s="11">
        <f>Q11/G11</f>
        <v>0.044316071406326964</v>
      </c>
    </row>
    <row r="12" spans="1:18" ht="12.75">
      <c r="A12" t="s">
        <v>63</v>
      </c>
      <c r="B12" s="27" t="s">
        <v>62</v>
      </c>
      <c r="C12" s="27">
        <v>23</v>
      </c>
      <c r="D12" s="28">
        <v>640</v>
      </c>
      <c r="E12" s="13">
        <f aca="true" t="shared" si="4" ref="E12:E20">D12*C12</f>
        <v>14720</v>
      </c>
      <c r="F12" s="29">
        <v>6.35</v>
      </c>
      <c r="G12" s="14">
        <f t="shared" si="0"/>
        <v>4064</v>
      </c>
      <c r="H12" s="165">
        <f aca="true" t="shared" si="5" ref="H12:H20">G12/$G$23</f>
        <v>0.006522142159075562</v>
      </c>
      <c r="I12" s="20">
        <f t="shared" si="1"/>
        <v>0.27608695652173915</v>
      </c>
      <c r="K12" s="13">
        <f t="shared" si="2"/>
        <v>640</v>
      </c>
      <c r="L12" s="21">
        <f t="shared" si="3"/>
        <v>6.443520191440461</v>
      </c>
      <c r="M12" s="14">
        <f aca="true" t="shared" si="6" ref="M12:M20">O12*E12</f>
        <v>4123.852922521895</v>
      </c>
      <c r="N12" s="165">
        <f aca="true" t="shared" si="7" ref="N12:N20">M12/$M$23</f>
        <v>0.006333364328418812</v>
      </c>
      <c r="O12" s="20">
        <f>I12+3a2!$R$287</f>
        <v>0.2801530518017592</v>
      </c>
      <c r="Q12" s="15">
        <f aca="true" t="shared" si="8" ref="Q12:Q20">M12-G12</f>
        <v>59.85292252189538</v>
      </c>
      <c r="R12" s="11">
        <f aca="true" t="shared" si="9" ref="R12:R23">Q12/G12</f>
        <v>0.014727589203222289</v>
      </c>
    </row>
    <row r="13" spans="1:18" ht="12.75">
      <c r="A13" t="s">
        <v>63</v>
      </c>
      <c r="B13" s="27" t="s">
        <v>60</v>
      </c>
      <c r="C13" s="27">
        <v>98</v>
      </c>
      <c r="D13" s="28">
        <v>1024</v>
      </c>
      <c r="E13" s="13">
        <f t="shared" si="4"/>
        <v>100352</v>
      </c>
      <c r="F13" s="29">
        <v>7.12</v>
      </c>
      <c r="G13" s="14">
        <f t="shared" si="0"/>
        <v>7290.88</v>
      </c>
      <c r="H13" s="165">
        <f t="shared" si="5"/>
        <v>0.0117008257442817</v>
      </c>
      <c r="I13" s="20">
        <f t="shared" si="1"/>
        <v>0.07265306122448979</v>
      </c>
      <c r="K13" s="13">
        <f t="shared" si="2"/>
        <v>1024</v>
      </c>
      <c r="L13" s="21">
        <f t="shared" si="3"/>
        <v>7.518477337441962</v>
      </c>
      <c r="M13" s="14">
        <f t="shared" si="6"/>
        <v>7698.920793540569</v>
      </c>
      <c r="N13" s="165">
        <f t="shared" si="7"/>
        <v>0.011823911094121424</v>
      </c>
      <c r="O13" s="20">
        <f>I13+3a2!$R$287</f>
        <v>0.07671915650450982</v>
      </c>
      <c r="Q13" s="15">
        <f t="shared" si="8"/>
        <v>408.0407935405692</v>
      </c>
      <c r="R13" s="11">
        <f t="shared" si="9"/>
        <v>0.05596591818005086</v>
      </c>
    </row>
    <row r="14" spans="1:18" ht="12.75">
      <c r="A14" t="s">
        <v>63</v>
      </c>
      <c r="B14" s="27" t="s">
        <v>59</v>
      </c>
      <c r="C14" s="27">
        <v>156</v>
      </c>
      <c r="D14" s="28">
        <v>2096</v>
      </c>
      <c r="E14" s="13">
        <f t="shared" si="4"/>
        <v>326976</v>
      </c>
      <c r="F14" s="29">
        <v>10.76</v>
      </c>
      <c r="G14" s="14">
        <f t="shared" si="0"/>
        <v>22552.96</v>
      </c>
      <c r="H14" s="165">
        <f t="shared" si="5"/>
        <v>0.03619429410136436</v>
      </c>
      <c r="I14" s="20">
        <f t="shared" si="1"/>
        <v>0.06897435897435897</v>
      </c>
      <c r="K14" s="13">
        <f t="shared" si="2"/>
        <v>2096</v>
      </c>
      <c r="L14" s="21">
        <f t="shared" si="3"/>
        <v>11.394310863683122</v>
      </c>
      <c r="M14" s="14">
        <f t="shared" si="6"/>
        <v>23882.475570279825</v>
      </c>
      <c r="N14" s="165">
        <f t="shared" si="7"/>
        <v>0.0366784222650319</v>
      </c>
      <c r="O14" s="20">
        <f>I14+3a2!$R$287</f>
        <v>0.073040454254379</v>
      </c>
      <c r="Q14" s="15">
        <f t="shared" si="8"/>
        <v>1329.5155702798256</v>
      </c>
      <c r="R14" s="11">
        <f t="shared" si="9"/>
        <v>0.05895082376237202</v>
      </c>
    </row>
    <row r="15" spans="1:18" ht="12.75">
      <c r="A15" t="s">
        <v>63</v>
      </c>
      <c r="B15" s="27" t="s">
        <v>58</v>
      </c>
      <c r="C15" s="27">
        <v>378</v>
      </c>
      <c r="D15" s="28">
        <v>14</v>
      </c>
      <c r="E15" s="13">
        <f t="shared" si="4"/>
        <v>5292</v>
      </c>
      <c r="F15" s="29">
        <v>18.14</v>
      </c>
      <c r="G15" s="14">
        <f t="shared" si="0"/>
        <v>253.96</v>
      </c>
      <c r="H15" s="165">
        <f t="shared" si="5"/>
        <v>0.0004075696906296333</v>
      </c>
      <c r="I15" s="20">
        <f t="shared" si="1"/>
        <v>0.04798941798941799</v>
      </c>
      <c r="K15" s="13">
        <f t="shared" si="2"/>
        <v>14</v>
      </c>
      <c r="L15" s="21">
        <f t="shared" si="3"/>
        <v>19.676984015847573</v>
      </c>
      <c r="M15" s="14">
        <f t="shared" si="6"/>
        <v>275.477776221866</v>
      </c>
      <c r="N15" s="165">
        <f t="shared" si="7"/>
        <v>0.00042307549613790644</v>
      </c>
      <c r="O15" s="20">
        <f>I15+3a2!$R$287</f>
        <v>0.052055513269438025</v>
      </c>
      <c r="Q15" s="15">
        <f t="shared" si="8"/>
        <v>21.517776221866</v>
      </c>
      <c r="R15" s="11">
        <f t="shared" si="9"/>
        <v>0.08472899756601827</v>
      </c>
    </row>
    <row r="16" spans="1:18" ht="12.75">
      <c r="A16" t="s">
        <v>63</v>
      </c>
      <c r="B16" s="27" t="s">
        <v>57</v>
      </c>
      <c r="C16" s="27">
        <v>42</v>
      </c>
      <c r="D16" s="28">
        <v>298</v>
      </c>
      <c r="E16" s="13">
        <f t="shared" si="4"/>
        <v>12516</v>
      </c>
      <c r="F16" s="29">
        <v>6.85</v>
      </c>
      <c r="G16" s="14">
        <f t="shared" si="0"/>
        <v>2041.3</v>
      </c>
      <c r="H16" s="165">
        <f t="shared" si="5"/>
        <v>0.003275996257214799</v>
      </c>
      <c r="I16" s="20">
        <f t="shared" si="1"/>
        <v>0.1630952380952381</v>
      </c>
      <c r="K16" s="13">
        <f t="shared" si="2"/>
        <v>298</v>
      </c>
      <c r="L16" s="21">
        <f t="shared" si="3"/>
        <v>7.020776001760842</v>
      </c>
      <c r="M16" s="14">
        <f t="shared" si="6"/>
        <v>2092.191248524731</v>
      </c>
      <c r="N16" s="165">
        <f t="shared" si="7"/>
        <v>0.0032131624649535968</v>
      </c>
      <c r="O16" s="20">
        <f>I16+3a2!$R$287</f>
        <v>0.16716133337525813</v>
      </c>
      <c r="Q16" s="15">
        <f t="shared" si="8"/>
        <v>50.89124852473083</v>
      </c>
      <c r="R16" s="11">
        <f t="shared" si="9"/>
        <v>0.02493080317676521</v>
      </c>
    </row>
    <row r="17" spans="1:18" ht="12.75">
      <c r="A17" t="s">
        <v>63</v>
      </c>
      <c r="B17" s="27" t="s">
        <v>56</v>
      </c>
      <c r="C17" s="27">
        <v>63</v>
      </c>
      <c r="D17" s="28">
        <v>252</v>
      </c>
      <c r="E17" s="13">
        <f t="shared" si="4"/>
        <v>15876</v>
      </c>
      <c r="F17" s="29">
        <v>7.85</v>
      </c>
      <c r="G17" s="14">
        <f t="shared" si="0"/>
        <v>1978.1999999999998</v>
      </c>
      <c r="H17" s="165">
        <f t="shared" si="5"/>
        <v>0.0031747297291051363</v>
      </c>
      <c r="I17" s="20">
        <f t="shared" si="1"/>
        <v>0.12460317460317459</v>
      </c>
      <c r="K17" s="13">
        <f t="shared" si="2"/>
        <v>252</v>
      </c>
      <c r="L17" s="21">
        <f t="shared" si="3"/>
        <v>8.106164002641261</v>
      </c>
      <c r="M17" s="14">
        <f t="shared" si="6"/>
        <v>2042.753328665598</v>
      </c>
      <c r="N17" s="165">
        <f t="shared" si="7"/>
        <v>0.0031372362949398562</v>
      </c>
      <c r="O17" s="20">
        <f>I17+3a2!$R$287</f>
        <v>0.12866926988319463</v>
      </c>
      <c r="Q17" s="15">
        <f t="shared" si="8"/>
        <v>64.5533286655982</v>
      </c>
      <c r="R17" s="11">
        <f t="shared" si="9"/>
        <v>0.03263235702436468</v>
      </c>
    </row>
    <row r="18" spans="1:18" ht="12.75">
      <c r="A18" t="s">
        <v>63</v>
      </c>
      <c r="B18" s="27" t="s">
        <v>55</v>
      </c>
      <c r="C18" s="27">
        <v>105</v>
      </c>
      <c r="D18" s="28">
        <v>343</v>
      </c>
      <c r="E18" s="13">
        <f t="shared" si="4"/>
        <v>36015</v>
      </c>
      <c r="F18" s="29">
        <v>10.52</v>
      </c>
      <c r="G18" s="14">
        <f t="shared" si="0"/>
        <v>3608.3599999999997</v>
      </c>
      <c r="H18" s="165">
        <f t="shared" si="5"/>
        <v>0.005790904744370544</v>
      </c>
      <c r="I18" s="20">
        <f t="shared" si="1"/>
        <v>0.10019047619047618</v>
      </c>
      <c r="K18" s="13">
        <f t="shared" si="2"/>
        <v>343</v>
      </c>
      <c r="L18" s="21">
        <f t="shared" si="3"/>
        <v>10.946940004402101</v>
      </c>
      <c r="M18" s="14">
        <f t="shared" si="6"/>
        <v>3754.800421509921</v>
      </c>
      <c r="N18" s="165">
        <f t="shared" si="7"/>
        <v>0.00576657788158462</v>
      </c>
      <c r="O18" s="20">
        <f>I18+3a2!$R$287</f>
        <v>0.1042565714704962</v>
      </c>
      <c r="Q18" s="15">
        <f t="shared" si="8"/>
        <v>146.44042150992118</v>
      </c>
      <c r="R18" s="11">
        <f t="shared" si="9"/>
        <v>0.040583650608564885</v>
      </c>
    </row>
    <row r="19" spans="1:18" ht="12.75">
      <c r="A19" t="s">
        <v>63</v>
      </c>
      <c r="B19" s="27" t="s">
        <v>54</v>
      </c>
      <c r="C19" s="27">
        <v>165</v>
      </c>
      <c r="D19" s="28">
        <v>2230</v>
      </c>
      <c r="E19" s="13">
        <f t="shared" si="4"/>
        <v>367950</v>
      </c>
      <c r="F19" s="29">
        <v>13.31</v>
      </c>
      <c r="G19" s="14">
        <f t="shared" si="0"/>
        <v>29681.300000000003</v>
      </c>
      <c r="H19" s="165">
        <f t="shared" si="5"/>
        <v>0.047634266256439343</v>
      </c>
      <c r="I19" s="20">
        <f t="shared" si="1"/>
        <v>0.08066666666666668</v>
      </c>
      <c r="K19" s="13">
        <f t="shared" si="2"/>
        <v>2230</v>
      </c>
      <c r="L19" s="21">
        <f t="shared" si="3"/>
        <v>13.980905721203307</v>
      </c>
      <c r="M19" s="14">
        <f t="shared" si="6"/>
        <v>31177.419758283373</v>
      </c>
      <c r="N19" s="165">
        <f t="shared" si="7"/>
        <v>0.047881910887476224</v>
      </c>
      <c r="O19" s="20">
        <f>I19+3a2!$R$287</f>
        <v>0.0847327619466867</v>
      </c>
      <c r="Q19" s="15">
        <f t="shared" si="8"/>
        <v>1496.1197582833702</v>
      </c>
      <c r="R19" s="11">
        <f t="shared" si="9"/>
        <v>0.05040613983495905</v>
      </c>
    </row>
    <row r="20" spans="1:18" ht="12.75">
      <c r="A20" t="s">
        <v>63</v>
      </c>
      <c r="B20" s="27" t="s">
        <v>53</v>
      </c>
      <c r="C20" s="27">
        <v>385</v>
      </c>
      <c r="D20" s="28">
        <v>0</v>
      </c>
      <c r="E20" s="13">
        <f t="shared" si="4"/>
        <v>0</v>
      </c>
      <c r="F20" s="29">
        <v>28.6</v>
      </c>
      <c r="G20" s="14">
        <f t="shared" si="0"/>
        <v>0</v>
      </c>
      <c r="H20" s="165">
        <f t="shared" si="5"/>
        <v>0</v>
      </c>
      <c r="I20" s="20">
        <f>F20/C20</f>
        <v>0.07428571428571429</v>
      </c>
      <c r="K20" s="13">
        <f t="shared" si="2"/>
        <v>0</v>
      </c>
      <c r="L20" s="21">
        <f>O20*C20</f>
        <v>30.165446682807712</v>
      </c>
      <c r="M20" s="14">
        <f t="shared" si="6"/>
        <v>0</v>
      </c>
      <c r="N20" s="165">
        <f t="shared" si="7"/>
        <v>0</v>
      </c>
      <c r="O20" s="20">
        <f>I20+3a2!$R$287</f>
        <v>0.07835180956573431</v>
      </c>
      <c r="Q20" s="15">
        <f t="shared" si="8"/>
        <v>0</v>
      </c>
      <c r="R20" s="11"/>
    </row>
    <row r="21" spans="2:18" ht="12.75">
      <c r="B21" s="27"/>
      <c r="C21" s="27"/>
      <c r="M21" s="14"/>
      <c r="N21" s="166"/>
      <c r="O21" s="14"/>
      <c r="R21" s="11"/>
    </row>
    <row r="22" spans="2:18" ht="12.75">
      <c r="B22" s="27"/>
      <c r="C22" s="27"/>
      <c r="M22" s="14"/>
      <c r="N22" s="166"/>
      <c r="O22" s="14"/>
      <c r="R22" s="11"/>
    </row>
    <row r="23" spans="2:18" ht="12.75">
      <c r="B23" t="s">
        <v>31</v>
      </c>
      <c r="D23" s="23">
        <f>SUM(D11:D22)</f>
        <v>93769</v>
      </c>
      <c r="E23" s="23">
        <f aca="true" t="shared" si="10" ref="E23:M23">SUM(E11:E22)</f>
        <v>6891950</v>
      </c>
      <c r="F23" s="23"/>
      <c r="G23" s="23">
        <f t="shared" si="10"/>
        <v>623108.1599999999</v>
      </c>
      <c r="H23" s="172">
        <f>SUM(H11:H22)</f>
        <v>0.9999999999999998</v>
      </c>
      <c r="I23" s="23"/>
      <c r="J23" s="23"/>
      <c r="K23" s="23">
        <f t="shared" si="10"/>
        <v>93769</v>
      </c>
      <c r="L23" s="23"/>
      <c r="M23" s="23">
        <f t="shared" si="10"/>
        <v>651131.485365134</v>
      </c>
      <c r="N23" s="167">
        <f>SUM(N11:N22)</f>
        <v>1.0000000000000002</v>
      </c>
      <c r="O23" s="22"/>
      <c r="Q23" s="10">
        <f>M23-G23</f>
        <v>28023.32536513405</v>
      </c>
      <c r="R23" s="11">
        <f t="shared" si="9"/>
        <v>0.04497345270704536</v>
      </c>
    </row>
    <row r="25" spans="2:18" ht="12.75">
      <c r="B25" t="s">
        <v>15</v>
      </c>
      <c r="G25" s="15">
        <f>G23/D23</f>
        <v>6.645140291567575</v>
      </c>
      <c r="H25" s="173"/>
      <c r="I25" s="15"/>
      <c r="M25" s="12">
        <f>M23/D23</f>
        <v>6.943995194202071</v>
      </c>
      <c r="N25" s="168"/>
      <c r="O25" s="12"/>
      <c r="Q25" s="15">
        <f>M25-G25</f>
        <v>0.29885490263449555</v>
      </c>
      <c r="R25" s="11">
        <f>Q25/G25</f>
        <v>0.0449734527070453</v>
      </c>
    </row>
    <row r="26" ht="12.75">
      <c r="A26" t="s">
        <v>81</v>
      </c>
    </row>
    <row r="29" spans="1:18" ht="12.75">
      <c r="A29" t="s">
        <v>63</v>
      </c>
      <c r="B29" s="27" t="s">
        <v>61</v>
      </c>
      <c r="C29" s="27"/>
      <c r="D29" s="28"/>
      <c r="E29" s="13"/>
      <c r="F29" s="29">
        <v>6.35</v>
      </c>
      <c r="G29" s="14"/>
      <c r="H29" s="166"/>
      <c r="I29" s="20"/>
      <c r="K29" s="13"/>
      <c r="L29" s="21">
        <f>L11</f>
        <v>6.631407053430175</v>
      </c>
      <c r="M29" s="14"/>
      <c r="N29" s="166"/>
      <c r="O29" s="20"/>
      <c r="Q29" s="15">
        <f>L29-F29</f>
        <v>0.2814070534301756</v>
      </c>
      <c r="R29" s="11">
        <f>Q29/F29</f>
        <v>0.04431607140632687</v>
      </c>
    </row>
    <row r="30" spans="1:18" ht="12.75">
      <c r="A30" t="s">
        <v>63</v>
      </c>
      <c r="B30" s="27" t="s">
        <v>62</v>
      </c>
      <c r="C30" s="27"/>
      <c r="D30" s="28"/>
      <c r="E30" s="13"/>
      <c r="F30" s="29">
        <v>6.35</v>
      </c>
      <c r="G30" s="14"/>
      <c r="H30" s="166"/>
      <c r="I30" s="20"/>
      <c r="K30" s="13"/>
      <c r="L30" s="21">
        <f aca="true" t="shared" si="11" ref="L30:L38">L12</f>
        <v>6.443520191440461</v>
      </c>
      <c r="M30" s="14"/>
      <c r="N30" s="166"/>
      <c r="O30" s="20"/>
      <c r="Q30" s="15">
        <f aca="true" t="shared" si="12" ref="Q30:Q38">L30-F30</f>
        <v>0.09352019144046153</v>
      </c>
      <c r="R30" s="11">
        <f aca="true" t="shared" si="13" ref="R30:R38">Q30/F30</f>
        <v>0.014727589203222289</v>
      </c>
    </row>
    <row r="31" spans="1:18" ht="12.75">
      <c r="A31" t="s">
        <v>63</v>
      </c>
      <c r="B31" s="27" t="s">
        <v>60</v>
      </c>
      <c r="C31" s="27"/>
      <c r="D31" s="28"/>
      <c r="E31" s="13"/>
      <c r="F31" s="29">
        <v>7.12</v>
      </c>
      <c r="G31" s="14"/>
      <c r="H31" s="166"/>
      <c r="I31" s="20"/>
      <c r="K31" s="13"/>
      <c r="L31" s="21">
        <f t="shared" si="11"/>
        <v>7.518477337441962</v>
      </c>
      <c r="M31" s="14"/>
      <c r="N31" s="166"/>
      <c r="O31" s="20"/>
      <c r="Q31" s="15">
        <f t="shared" si="12"/>
        <v>0.3984773374419621</v>
      </c>
      <c r="R31" s="11">
        <f t="shared" si="13"/>
        <v>0.05596591818005086</v>
      </c>
    </row>
    <row r="32" spans="1:18" ht="12.75">
      <c r="A32" t="s">
        <v>63</v>
      </c>
      <c r="B32" s="27" t="s">
        <v>59</v>
      </c>
      <c r="C32" s="27"/>
      <c r="D32" s="28"/>
      <c r="E32" s="13"/>
      <c r="F32" s="29">
        <v>10.76</v>
      </c>
      <c r="G32" s="14"/>
      <c r="H32" s="166"/>
      <c r="I32" s="20"/>
      <c r="K32" s="13"/>
      <c r="L32" s="21">
        <f t="shared" si="11"/>
        <v>11.394310863683122</v>
      </c>
      <c r="M32" s="14"/>
      <c r="N32" s="166"/>
      <c r="O32" s="20"/>
      <c r="Q32" s="15">
        <f t="shared" si="12"/>
        <v>0.6343108636831225</v>
      </c>
      <c r="R32" s="11">
        <f t="shared" si="13"/>
        <v>0.058950823762371984</v>
      </c>
    </row>
    <row r="33" spans="1:18" ht="12.75">
      <c r="A33" t="s">
        <v>63</v>
      </c>
      <c r="B33" s="27" t="s">
        <v>58</v>
      </c>
      <c r="C33" s="27"/>
      <c r="D33" s="28"/>
      <c r="E33" s="13"/>
      <c r="F33" s="29">
        <v>18.14</v>
      </c>
      <c r="G33" s="14"/>
      <c r="H33" s="166"/>
      <c r="I33" s="20"/>
      <c r="K33" s="13"/>
      <c r="L33" s="21">
        <f t="shared" si="11"/>
        <v>19.676984015847573</v>
      </c>
      <c r="M33" s="14"/>
      <c r="N33" s="166"/>
      <c r="O33" s="20"/>
      <c r="Q33" s="15">
        <f t="shared" si="12"/>
        <v>1.5369840158475725</v>
      </c>
      <c r="R33" s="11">
        <f t="shared" si="13"/>
        <v>0.08472899756601833</v>
      </c>
    </row>
    <row r="34" spans="1:18" ht="12.75">
      <c r="A34" t="s">
        <v>63</v>
      </c>
      <c r="B34" s="27" t="s">
        <v>57</v>
      </c>
      <c r="C34" s="27"/>
      <c r="D34" s="28"/>
      <c r="E34" s="13"/>
      <c r="F34" s="29">
        <v>6.85</v>
      </c>
      <c r="G34" s="14"/>
      <c r="H34" s="166"/>
      <c r="I34" s="20"/>
      <c r="K34" s="13"/>
      <c r="L34" s="21">
        <f t="shared" si="11"/>
        <v>7.020776001760842</v>
      </c>
      <c r="M34" s="14"/>
      <c r="N34" s="166"/>
      <c r="O34" s="20"/>
      <c r="Q34" s="15">
        <f t="shared" si="12"/>
        <v>0.17077600176084218</v>
      </c>
      <c r="R34" s="11">
        <f t="shared" si="13"/>
        <v>0.024930803176765284</v>
      </c>
    </row>
    <row r="35" spans="1:18" ht="12.75">
      <c r="A35" t="s">
        <v>63</v>
      </c>
      <c r="B35" s="27" t="s">
        <v>56</v>
      </c>
      <c r="C35" s="27"/>
      <c r="D35" s="28"/>
      <c r="E35" s="13"/>
      <c r="F35" s="29">
        <v>7.85</v>
      </c>
      <c r="G35" s="14"/>
      <c r="H35" s="166"/>
      <c r="I35" s="20"/>
      <c r="K35" s="13"/>
      <c r="L35" s="21">
        <f t="shared" si="11"/>
        <v>8.106164002641261</v>
      </c>
      <c r="M35" s="14"/>
      <c r="N35" s="166"/>
      <c r="O35" s="20"/>
      <c r="Q35" s="15">
        <f t="shared" si="12"/>
        <v>0.2561640026412615</v>
      </c>
      <c r="R35" s="11">
        <f t="shared" si="13"/>
        <v>0.032632357024364525</v>
      </c>
    </row>
    <row r="36" spans="1:18" ht="12.75">
      <c r="A36" t="s">
        <v>63</v>
      </c>
      <c r="B36" s="27" t="s">
        <v>55</v>
      </c>
      <c r="C36" s="27"/>
      <c r="D36" s="28"/>
      <c r="E36" s="13"/>
      <c r="F36" s="29">
        <v>10.52</v>
      </c>
      <c r="G36" s="14"/>
      <c r="H36" s="166"/>
      <c r="I36" s="20"/>
      <c r="K36" s="13"/>
      <c r="L36" s="21">
        <f t="shared" si="11"/>
        <v>10.946940004402101</v>
      </c>
      <c r="M36" s="14"/>
      <c r="N36" s="166"/>
      <c r="O36" s="20"/>
      <c r="Q36" s="15">
        <f t="shared" si="12"/>
        <v>0.4269400044021019</v>
      </c>
      <c r="R36" s="11">
        <f t="shared" si="13"/>
        <v>0.04058365060856482</v>
      </c>
    </row>
    <row r="37" spans="1:18" ht="12.75">
      <c r="A37" t="s">
        <v>63</v>
      </c>
      <c r="B37" s="27" t="s">
        <v>54</v>
      </c>
      <c r="C37" s="27"/>
      <c r="D37" s="28"/>
      <c r="E37" s="13"/>
      <c r="F37" s="29">
        <v>13.31</v>
      </c>
      <c r="G37" s="14"/>
      <c r="H37" s="166"/>
      <c r="I37" s="20"/>
      <c r="K37" s="13"/>
      <c r="L37" s="21">
        <f t="shared" si="11"/>
        <v>13.980905721203307</v>
      </c>
      <c r="M37" s="14"/>
      <c r="N37" s="166"/>
      <c r="O37" s="20"/>
      <c r="Q37" s="15">
        <f t="shared" si="12"/>
        <v>0.6709057212033063</v>
      </c>
      <c r="R37" s="11">
        <f t="shared" si="13"/>
        <v>0.050406139834959146</v>
      </c>
    </row>
    <row r="38" spans="1:18" ht="12.75">
      <c r="A38" t="s">
        <v>63</v>
      </c>
      <c r="B38" s="27" t="s">
        <v>53</v>
      </c>
      <c r="C38" s="27"/>
      <c r="D38" s="28"/>
      <c r="E38" s="13"/>
      <c r="F38" s="29">
        <v>28.6</v>
      </c>
      <c r="G38" s="14"/>
      <c r="H38" s="166"/>
      <c r="I38" s="20"/>
      <c r="K38" s="13"/>
      <c r="L38" s="21">
        <f t="shared" si="11"/>
        <v>30.165446682807712</v>
      </c>
      <c r="M38" s="14"/>
      <c r="N38" s="166"/>
      <c r="O38" s="20"/>
      <c r="Q38" s="15">
        <f t="shared" si="12"/>
        <v>1.5654466828077105</v>
      </c>
      <c r="R38" s="11">
        <f t="shared" si="13"/>
        <v>0.054735898000269595</v>
      </c>
    </row>
    <row r="47" spans="13:14" ht="12.75">
      <c r="M47" s="110"/>
      <c r="N47" s="170"/>
    </row>
    <row r="49" spans="20:22" ht="78" customHeight="1">
      <c r="T49" s="112" t="s">
        <v>116</v>
      </c>
      <c r="U49" s="112" t="s">
        <v>117</v>
      </c>
      <c r="V49" s="112" t="s">
        <v>112</v>
      </c>
    </row>
  </sheetData>
  <mergeCells count="2">
    <mergeCell ref="D7:G7"/>
    <mergeCell ref="K7:M7"/>
  </mergeCells>
  <printOptions/>
  <pageMargins left="0.26" right="0.53" top="1.26" bottom="0.44" header="0.5" footer="0.22"/>
  <pageSetup fitToHeight="1" fitToWidth="1" horizontalDpi="600" verticalDpi="600" orientation="landscape" scale="6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2007-03-20T16:14:09Z</cp:lastPrinted>
  <dcterms:created xsi:type="dcterms:W3CDTF">2006-12-02T15:53:04Z</dcterms:created>
  <dcterms:modified xsi:type="dcterms:W3CDTF">2007-03-20T16:14:50Z</dcterms:modified>
  <cp:category/>
  <cp:version/>
  <cp:contentType/>
  <cp:contentStatus/>
</cp:coreProperties>
</file>