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105" windowWidth="9135" windowHeight="4770" activeTab="1"/>
  </bookViews>
  <sheets>
    <sheet name="Request 3a(1)" sheetId="1" r:id="rId1"/>
    <sheet name="Request 3a(2)" sheetId="2" r:id="rId2"/>
    <sheet name="Summary" sheetId="3" r:id="rId3"/>
    <sheet name="Detailed Summary" sheetId="4" r:id="rId4"/>
  </sheets>
  <definedNames>
    <definedName name="\P">'Request 3a(2)'!#REF!</definedName>
    <definedName name="__123Graph_A" hidden="1">'Request 3a(2)'!$C$6:$C$86</definedName>
    <definedName name="__123Graph_B" hidden="1">'Request 3a(2)'!$D$6:$D$86</definedName>
    <definedName name="__123Graph_C" hidden="1">'Request 3a(2)'!$E$6:$E$86</definedName>
    <definedName name="__123Graph_D" hidden="1">'Request 3a(2)'!$F$6:$F$86</definedName>
    <definedName name="__123Graph_E" hidden="1">'Request 3a(2)'!#REF!</definedName>
    <definedName name="__123Graph_F" hidden="1">'Request 3a(2)'!#REF!</definedName>
    <definedName name="__123Graph_X" hidden="1">'Request 3a(2)'!$B$6:$B$86</definedName>
    <definedName name="_Fill" hidden="1">'Request 3a(2)'!#REF!</definedName>
    <definedName name="_P">'Request 3a(2)'!#REF!</definedName>
    <definedName name="_xlnm.Print_Area" localSheetId="3">'Detailed Summary'!$A$2:$T$28</definedName>
    <definedName name="_xlnm.Print_Area" localSheetId="0">'Request 3a(1)'!$D$2:$O$30</definedName>
    <definedName name="_xlnm.Print_Area" localSheetId="1">'Request 3a(2)'!$G$96:$P$364</definedName>
    <definedName name="_xlnm.Print_Area" localSheetId="2">'Summary'!$D$5:$N$38</definedName>
    <definedName name="Print_Area_MI" localSheetId="1">'Request 3a(2)'!$A$92:$F$409</definedName>
    <definedName name="TEMP">'Request 3a(2)'!#REF!</definedName>
  </definedNames>
  <calcPr fullCalcOnLoad="1"/>
</workbook>
</file>

<file path=xl/sharedStrings.xml><?xml version="1.0" encoding="utf-8"?>
<sst xmlns="http://schemas.openxmlformats.org/spreadsheetml/2006/main" count="1699" uniqueCount="199">
  <si>
    <t xml:space="preserve"> </t>
  </si>
  <si>
    <t>MONTH</t>
  </si>
  <si>
    <t>TOTALS</t>
  </si>
  <si>
    <t>reports #billings and lights at EL1380</t>
  </si>
  <si>
    <t>JANUARY 94 - DECEMBER 94</t>
  </si>
  <si>
    <t>RATE</t>
  </si>
  <si>
    <t>KWH USED</t>
  </si>
  <si>
    <t>REVENUE</t>
  </si>
  <si>
    <t># BILLINGS</t>
  </si>
  <si>
    <t># SEC LIGHTS</t>
  </si>
  <si>
    <t>LIGHT CHG</t>
  </si>
  <si>
    <t>RATE R</t>
  </si>
  <si>
    <t>DEMAND</t>
  </si>
  <si>
    <t>All KWH</t>
  </si>
  <si>
    <t>ADJUSTMENTS</t>
  </si>
  <si>
    <t>TOTAL BASIC RATES</t>
  </si>
  <si>
    <t>FUEL</t>
  </si>
  <si>
    <t>TOTAL REVENUE</t>
  </si>
  <si>
    <t>RATE D</t>
  </si>
  <si>
    <t>ALL ENERGY</t>
  </si>
  <si>
    <t>RATE E</t>
  </si>
  <si>
    <t>Customer Charge</t>
  </si>
  <si>
    <t>RATE A</t>
  </si>
  <si>
    <t>RATE B</t>
  </si>
  <si>
    <t>DEMAND - OVER 10 KW</t>
  </si>
  <si>
    <t>RATE L</t>
  </si>
  <si>
    <t>RATE P</t>
  </si>
  <si>
    <t>RATE M</t>
  </si>
  <si>
    <t>RATE T</t>
  </si>
  <si>
    <t>PER MONTH</t>
  </si>
  <si>
    <t>200 WATT</t>
  </si>
  <si>
    <t>300 WATT</t>
  </si>
  <si>
    <t>400 WATT</t>
  </si>
  <si>
    <t xml:space="preserve">  BILLING ANALYSIS</t>
  </si>
  <si>
    <t>NUMBER</t>
  </si>
  <si>
    <t>KWH</t>
  </si>
  <si>
    <t xml:space="preserve">        EXISTING</t>
  </si>
  <si>
    <t>RATE STEP</t>
  </si>
  <si>
    <t>BILLINGS</t>
  </si>
  <si>
    <t>USED</t>
  </si>
  <si>
    <t>-</t>
  </si>
  <si>
    <t>Schedule "R"</t>
  </si>
  <si>
    <t>CUSTOMER CHARGE</t>
  </si>
  <si>
    <t>Schedule "R-TOD"</t>
  </si>
  <si>
    <t>ON-PEAK</t>
  </si>
  <si>
    <t xml:space="preserve">   SERVICE CHARGE</t>
  </si>
  <si>
    <t>OFF-PEAK</t>
  </si>
  <si>
    <t>Schedule "D"</t>
  </si>
  <si>
    <t>EXISTING</t>
  </si>
  <si>
    <t>RATE/YR</t>
  </si>
  <si>
    <t>Schedule "T"</t>
  </si>
  <si>
    <t>Schedule "S"</t>
  </si>
  <si>
    <t>175 WATT</t>
  </si>
  <si>
    <t>Schedule "E"</t>
  </si>
  <si>
    <t>KW/KWH</t>
  </si>
  <si>
    <t>Schedule "A"</t>
  </si>
  <si>
    <t>Schedule "B"</t>
  </si>
  <si>
    <t>Schedule "L"</t>
  </si>
  <si>
    <t>Schedule "P"</t>
  </si>
  <si>
    <t>Schedule "H"</t>
  </si>
  <si>
    <t>Schedule "G"</t>
  </si>
  <si>
    <t>Schedule "M"</t>
  </si>
  <si>
    <t>Schedule "J"</t>
  </si>
  <si>
    <t xml:space="preserve">    #BILLINGS BY RATE</t>
  </si>
  <si>
    <t>TOTAL</t>
  </si>
  <si>
    <t>RATE R-TOD</t>
  </si>
  <si>
    <t>RATE S</t>
  </si>
  <si>
    <t>RATE H</t>
  </si>
  <si>
    <t>RATE G</t>
  </si>
  <si>
    <t>RATE J</t>
  </si>
  <si>
    <t>RATE R (KWH)</t>
  </si>
  <si>
    <t>RATE D (KWH)</t>
  </si>
  <si>
    <t>RATE T (KWH)</t>
  </si>
  <si>
    <t>RATE S (KWH)</t>
  </si>
  <si>
    <t>RATE E (KWH)</t>
  </si>
  <si>
    <t>RATE A (KWH)</t>
  </si>
  <si>
    <t>RATE B (KWH)</t>
  </si>
  <si>
    <t xml:space="preserve">    (DEMAND)</t>
  </si>
  <si>
    <t>RATE L (KWH)</t>
  </si>
  <si>
    <t>RATE P (KWH)</t>
  </si>
  <si>
    <t>RATE H (KWH)</t>
  </si>
  <si>
    <t>RATE G (KWH)</t>
  </si>
  <si>
    <t>RATE M (KWH)</t>
  </si>
  <si>
    <t>RATE J (KWH)</t>
  </si>
  <si>
    <t xml:space="preserve">    # 175 MV SECURITY LIGHT ONLY CONSUMERS</t>
  </si>
  <si>
    <t># CONSUMERS</t>
  </si>
  <si>
    <t># LIGHTS</t>
  </si>
  <si>
    <t>PERCENT OF POLES WITH ONLY SECURITY LIGHTS</t>
  </si>
  <si>
    <t>LIGHT CHARGE</t>
  </si>
  <si>
    <t xml:space="preserve">        CLARK ENERGY COOPERATIVE, INC.</t>
  </si>
  <si>
    <t xml:space="preserve">          CLARK ENERGY COOPERATIVE, INC.</t>
  </si>
  <si>
    <t xml:space="preserve">               KWH &amp; DEMAND BY MONTH</t>
  </si>
  <si>
    <t xml:space="preserve">             CLARK ENERGY COOPERATIVE, INC.</t>
  </si>
  <si>
    <t>CLAY CITY, STANTON, AND FRENCHBURG.</t>
  </si>
  <si>
    <t>NOTE: NUMBERS INCLUDE 175 WATT LIGHTS USED BY THE CITIES OF</t>
  </si>
  <si>
    <t>175 WATT SECURITY ADDED 1991 - 1998</t>
  </si>
  <si>
    <t># POLES SET FOR SECURITY LIGHTS 1991 - 1998</t>
  </si>
  <si>
    <t>175 WATT SECURITY ADDED 1999</t>
  </si>
  <si>
    <t># POLES SET FOR SECURITY LIGHTS 1999</t>
  </si>
  <si>
    <t>ESC</t>
  </si>
  <si>
    <t xml:space="preserve">      TEST YEAR ENDING SEPTEMBER 30, 2006</t>
  </si>
  <si>
    <t xml:space="preserve">   ALL KWH</t>
  </si>
  <si>
    <t>Billing</t>
  </si>
  <si>
    <t>Actual</t>
  </si>
  <si>
    <t>Proposed</t>
  </si>
  <si>
    <t>Percent</t>
  </si>
  <si>
    <t>Determinants</t>
  </si>
  <si>
    <t>Rate</t>
  </si>
  <si>
    <t>Revenues</t>
  </si>
  <si>
    <t>Increase</t>
  </si>
  <si>
    <t>(1)</t>
  </si>
  <si>
    <t>(2)</t>
  </si>
  <si>
    <t>(3)=(1)*(2)</t>
  </si>
  <si>
    <t>(4)</t>
  </si>
  <si>
    <t>(5)=(1)*(4)</t>
  </si>
  <si>
    <t>(6)</t>
  </si>
  <si>
    <t>Energy Charge per kWh</t>
  </si>
  <si>
    <t>Billing Adjustments</t>
  </si>
  <si>
    <t>Total from Base Rates</t>
  </si>
  <si>
    <t>Plus Fuel Adjustment</t>
  </si>
  <si>
    <t>Plus Environmental Surcharge</t>
  </si>
  <si>
    <t>Green Power</t>
  </si>
  <si>
    <t>Total Revenues</t>
  </si>
  <si>
    <t>Number of Bills</t>
  </si>
  <si>
    <t>Energy</t>
  </si>
  <si>
    <t>Rev from Bases Rates</t>
  </si>
  <si>
    <t>Demand Charge</t>
  </si>
  <si>
    <t>Average</t>
  </si>
  <si>
    <t>Sch T</t>
  </si>
  <si>
    <t>Dollar</t>
  </si>
  <si>
    <t>(7)</t>
  </si>
  <si>
    <t>Clark</t>
  </si>
  <si>
    <t>Billing Analysis</t>
  </si>
  <si>
    <t>for the 12 months ended September 30, 2006</t>
  </si>
  <si>
    <t>Present</t>
  </si>
  <si>
    <t>Customer</t>
  </si>
  <si>
    <t>Demand</t>
  </si>
  <si>
    <t>Total Base $</t>
  </si>
  <si>
    <t>FAC</t>
  </si>
  <si>
    <t>ES</t>
  </si>
  <si>
    <t>Total</t>
  </si>
  <si>
    <t>$ Increase</t>
  </si>
  <si>
    <t>% Increase</t>
  </si>
  <si>
    <t>Clark Energy</t>
  </si>
  <si>
    <t>Schedule D</t>
  </si>
  <si>
    <t>Schedule E</t>
  </si>
  <si>
    <t>Schedule A</t>
  </si>
  <si>
    <t>Schedule B</t>
  </si>
  <si>
    <t>Schedule L</t>
  </si>
  <si>
    <t>Schedule P</t>
  </si>
  <si>
    <t>Schedule H</t>
  </si>
  <si>
    <t>Schedule G</t>
  </si>
  <si>
    <t>Schedule M</t>
  </si>
  <si>
    <t>Schedule J</t>
  </si>
  <si>
    <t>Schedule R</t>
  </si>
  <si>
    <t>Schedule R-TOD</t>
  </si>
  <si>
    <t>Totals</t>
  </si>
  <si>
    <t>Non-demand</t>
  </si>
  <si>
    <t>kWh</t>
  </si>
  <si>
    <t>Total $</t>
  </si>
  <si>
    <t>Less Dmd $</t>
  </si>
  <si>
    <t>Less Cust Chg $</t>
  </si>
  <si>
    <t>per kWh</t>
  </si>
  <si>
    <t>Demand $</t>
  </si>
  <si>
    <t>Customer$</t>
  </si>
  <si>
    <t>Total Increase</t>
  </si>
  <si>
    <t>Schedule T*</t>
  </si>
  <si>
    <t>Schedule S*</t>
  </si>
  <si>
    <t>Schedules T &amp; S</t>
  </si>
  <si>
    <t xml:space="preserve"> are both outdoor</t>
  </si>
  <si>
    <t xml:space="preserve"> lighting facility</t>
  </si>
  <si>
    <t xml:space="preserve"> tariffs</t>
  </si>
  <si>
    <t>Schedule</t>
  </si>
  <si>
    <t>Customer Charge (Lamp Charge)</t>
  </si>
  <si>
    <t>Actual Annual</t>
  </si>
  <si>
    <t>EKPC Calculated Increase</t>
  </si>
  <si>
    <t>Difference</t>
  </si>
  <si>
    <t>for the 12 month ending September 30, 2006</t>
  </si>
  <si>
    <t>Total Present</t>
  </si>
  <si>
    <t>Annualized</t>
  </si>
  <si>
    <t>Total - All Rate Classes</t>
  </si>
  <si>
    <t>Schedule T</t>
  </si>
  <si>
    <t>Schedule S</t>
  </si>
  <si>
    <t>Non-B/C kWh</t>
  </si>
  <si>
    <t>Percent of</t>
  </si>
  <si>
    <t>Total Rev.</t>
  </si>
  <si>
    <t xml:space="preserve">Actual </t>
  </si>
  <si>
    <t>Component %</t>
  </si>
  <si>
    <t>of Base Rates</t>
  </si>
  <si>
    <t>Request 3a (1)</t>
  </si>
  <si>
    <t>Attachment</t>
  </si>
  <si>
    <t>Page 1 of 1</t>
  </si>
  <si>
    <t>Request 3a (2)</t>
  </si>
  <si>
    <t>Page 1 of 5</t>
  </si>
  <si>
    <t xml:space="preserve">Attachment </t>
  </si>
  <si>
    <t>Page 2 of 5</t>
  </si>
  <si>
    <t>Page 3 of 5</t>
  </si>
  <si>
    <t>Page 4 of 5</t>
  </si>
  <si>
    <t>Page 5 of 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</si>
</sst>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_)"/>
    <numFmt numFmtId="166" formatCode="#,##0.00000_);\(#,##0.00000\)"/>
    <numFmt numFmtId="167" formatCode="0.00000_)"/>
    <numFmt numFmtId="168" formatCode="0.00_)"/>
    <numFmt numFmtId="169" formatCode="#,##0.0_);\(#,##0.0\)"/>
    <numFmt numFmtId="170" formatCode="0.0000%"/>
    <numFmt numFmtId="171" formatCode="0_);\(0\)"/>
    <numFmt numFmtId="172" formatCode="_(* #,##0.0_);_(* \(#,##0.0\);_(* &quot;-&quot;??_);_(@_)"/>
    <numFmt numFmtId="173" formatCode="_(* #,##0_);_(* \(#,##0\);_(* &quot;-&quot;??_);_(@_)"/>
    <numFmt numFmtId="174" formatCode="0.0000"/>
    <numFmt numFmtId="175" formatCode="0.000"/>
    <numFmt numFmtId="176" formatCode="0.0"/>
    <numFmt numFmtId="177" formatCode="0.00000"/>
    <numFmt numFmtId="178" formatCode="mmmm\-yy"/>
    <numFmt numFmtId="179" formatCode="mmmm\ d\,\ yyyy"/>
    <numFmt numFmtId="180" formatCode="&quot;$&quot;#,##0"/>
    <numFmt numFmtId="181" formatCode="&quot;$&quot;#,##0.00"/>
    <numFmt numFmtId="182" formatCode="0.00000%"/>
    <numFmt numFmtId="183" formatCode="&quot;$&quot;#,##0.0"/>
    <numFmt numFmtId="184" formatCode="&quot;$&quot;#,##0.0000"/>
    <numFmt numFmtId="185" formatCode="&quot;$&quot;#,##0.00000"/>
    <numFmt numFmtId="186" formatCode="&quot;$&quot;#,##0.00000_);\(&quot;$&quot;#,##0.00000\)"/>
    <numFmt numFmtId="187" formatCode="_(&quot;$&quot;* #,##0_);_(&quot;$&quot;* \(#,##0\);_(&quot;$&quot;* &quot;-&quot;??_);_(@_)"/>
    <numFmt numFmtId="188" formatCode="_(&quot;$&quot;* #,##0.00000_);_(&quot;$&quot;* \(#,##0.00000\);_(&quot;$&quot;* &quot;-&quot;??_);_(@_)"/>
    <numFmt numFmtId="189" formatCode="&quot;$&quot;#,##0.000_);\(&quot;$&quot;#,##0.000\)"/>
    <numFmt numFmtId="190" formatCode="&quot;$&quot;#,##0.0000_);\(&quot;$&quot;#,##0.0000\)"/>
    <numFmt numFmtId="191" formatCode="_(* #,##0.00000_);_(* \(#,##0.00000\);_(* &quot;-&quot;?????_);_(@_)"/>
    <numFmt numFmtId="192" formatCode="&quot;$&quot;#,##0.000000"/>
    <numFmt numFmtId="193" formatCode="0.0%"/>
    <numFmt numFmtId="194" formatCode="#,##0.0"/>
    <numFmt numFmtId="195" formatCode="_(&quot;$&quot;* #,##0.0_);_(&quot;$&quot;* \(#,##0.0\);_(&quot;$&quot;* &quot;-&quot;??_);_(@_)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_);_(@_)"/>
    <numFmt numFmtId="198" formatCode="&quot;$&quot;#,##0.000"/>
    <numFmt numFmtId="199" formatCode="_(* #,##0.000000_);_(* \(#,##0.000000\);_(* &quot;-&quot;??????_);_(@_)"/>
    <numFmt numFmtId="200" formatCode="&quot;$&quot;#,##0.000000_);\(&quot;$&quot;#,##0.000000\)"/>
    <numFmt numFmtId="201" formatCode="_(* #,##0.000_);_(* \(#,##0.000\);_(* &quot;-&quot;??_);_(@_)"/>
  </numFmts>
  <fonts count="1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u val="singleAccounting"/>
      <sz val="10"/>
      <name val="Courier"/>
      <family val="3"/>
    </font>
    <font>
      <sz val="11"/>
      <color indexed="8"/>
      <name val="P-TIMES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name val="Courier"/>
      <family val="0"/>
    </font>
    <font>
      <b/>
      <sz val="10"/>
      <name val="Courier"/>
      <family val="3"/>
    </font>
    <font>
      <b/>
      <i/>
      <u val="singleAccounting"/>
      <sz val="10"/>
      <name val="Courier"/>
      <family val="3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fill"/>
    </xf>
    <xf numFmtId="0" fontId="0" fillId="0" borderId="0" xfId="0" applyAlignment="1" quotePrefix="1">
      <alignment horizontal="left"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170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fill"/>
    </xf>
    <xf numFmtId="177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 applyProtection="1">
      <alignment/>
      <protection/>
    </xf>
    <xf numFmtId="17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0" fillId="0" borderId="2" xfId="0" applyBorder="1" applyAlignment="1">
      <alignment/>
    </xf>
    <xf numFmtId="18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7" fontId="0" fillId="0" borderId="2" xfId="0" applyNumberFormat="1" applyBorder="1" applyAlignment="1" applyProtection="1">
      <alignment/>
      <protection/>
    </xf>
    <xf numFmtId="0" fontId="3" fillId="0" borderId="2" xfId="0" applyFont="1" applyBorder="1" applyAlignment="1">
      <alignment/>
    </xf>
    <xf numFmtId="17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 horizontal="center"/>
    </xf>
    <xf numFmtId="39" fontId="0" fillId="0" borderId="1" xfId="0" applyNumberFormat="1" applyBorder="1" applyAlignment="1" applyProtection="1">
      <alignment/>
      <protection/>
    </xf>
    <xf numFmtId="181" fontId="0" fillId="0" borderId="1" xfId="0" applyNumberFormat="1" applyBorder="1" applyAlignment="1">
      <alignment/>
    </xf>
    <xf numFmtId="166" fontId="0" fillId="0" borderId="1" xfId="0" applyNumberFormat="1" applyBorder="1" applyAlignment="1" applyProtection="1">
      <alignment/>
      <protection/>
    </xf>
    <xf numFmtId="181" fontId="0" fillId="0" borderId="2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7" fontId="0" fillId="0" borderId="0" xfId="0" applyNumberFormat="1" applyAlignment="1">
      <alignment/>
    </xf>
    <xf numFmtId="180" fontId="0" fillId="2" borderId="0" xfId="0" applyNumberFormat="1" applyFill="1" applyAlignment="1">
      <alignment/>
    </xf>
    <xf numFmtId="17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Alignment="1">
      <alignment horizontal="center"/>
    </xf>
    <xf numFmtId="5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3" fontId="0" fillId="0" borderId="0" xfId="2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/>
    </xf>
    <xf numFmtId="3" fontId="0" fillId="0" borderId="2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6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1" xfId="0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3" fontId="1" fillId="0" borderId="0" xfId="0" applyNumberFormat="1" applyFont="1" applyFill="1" applyBorder="1" applyAlignment="1">
      <alignment/>
    </xf>
    <xf numFmtId="7" fontId="0" fillId="0" borderId="0" xfId="17" applyNumberFormat="1" applyBorder="1" applyAlignment="1">
      <alignment/>
    </xf>
    <xf numFmtId="187" fontId="0" fillId="0" borderId="0" xfId="17" applyNumberFormat="1" applyBorder="1" applyAlignment="1">
      <alignment/>
    </xf>
    <xf numFmtId="180" fontId="0" fillId="0" borderId="0" xfId="17" applyNumberFormat="1" applyBorder="1" applyAlignment="1">
      <alignment/>
    </xf>
    <xf numFmtId="3" fontId="0" fillId="0" borderId="0" xfId="0" applyNumberFormat="1" applyBorder="1" applyAlignment="1">
      <alignment/>
    </xf>
    <xf numFmtId="188" fontId="0" fillId="0" borderId="0" xfId="17" applyNumberFormat="1" applyBorder="1" applyAlignment="1">
      <alignment/>
    </xf>
    <xf numFmtId="187" fontId="8" fillId="0" borderId="2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Border="1" applyAlignment="1" quotePrefix="1">
      <alignment horizontal="center"/>
    </xf>
    <xf numFmtId="10" fontId="6" fillId="0" borderId="17" xfId="21" applyNumberFormat="1" applyFont="1" applyBorder="1" applyAlignment="1">
      <alignment/>
    </xf>
    <xf numFmtId="0" fontId="0" fillId="0" borderId="21" xfId="0" applyBorder="1" applyAlignment="1">
      <alignment/>
    </xf>
    <xf numFmtId="186" fontId="0" fillId="0" borderId="0" xfId="17" applyNumberFormat="1" applyBorder="1" applyAlignment="1">
      <alignment/>
    </xf>
    <xf numFmtId="37" fontId="0" fillId="0" borderId="0" xfId="0" applyNumberFormat="1" applyBorder="1" applyAlignment="1">
      <alignment/>
    </xf>
    <xf numFmtId="187" fontId="1" fillId="0" borderId="0" xfId="0" applyNumberFormat="1" applyFont="1" applyBorder="1" applyAlignment="1">
      <alignment/>
    </xf>
    <xf numFmtId="181" fontId="0" fillId="0" borderId="0" xfId="17" applyNumberFormat="1" applyBorder="1" applyAlignment="1">
      <alignment/>
    </xf>
    <xf numFmtId="180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 quotePrefix="1">
      <alignment horizontal="center"/>
    </xf>
    <xf numFmtId="7" fontId="0" fillId="0" borderId="6" xfId="17" applyNumberFormat="1" applyBorder="1" applyAlignment="1">
      <alignment/>
    </xf>
    <xf numFmtId="188" fontId="0" fillId="0" borderId="6" xfId="17" applyNumberFormat="1" applyBorder="1" applyAlignment="1">
      <alignment/>
    </xf>
    <xf numFmtId="0" fontId="1" fillId="0" borderId="6" xfId="0" applyFont="1" applyBorder="1" applyAlignment="1">
      <alignment/>
    </xf>
    <xf numFmtId="192" fontId="0" fillId="0" borderId="0" xfId="17" applyNumberFormat="1" applyBorder="1" applyAlignment="1">
      <alignment/>
    </xf>
    <xf numFmtId="0" fontId="0" fillId="0" borderId="6" xfId="0" applyFill="1" applyBorder="1" applyAlignment="1">
      <alignment/>
    </xf>
    <xf numFmtId="4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44" fontId="0" fillId="0" borderId="17" xfId="0" applyNumberFormat="1" applyBorder="1" applyAlignment="1">
      <alignment/>
    </xf>
    <xf numFmtId="181" fontId="0" fillId="0" borderId="6" xfId="17" applyNumberFormat="1" applyBorder="1" applyAlignment="1">
      <alignment/>
    </xf>
    <xf numFmtId="187" fontId="9" fillId="0" borderId="0" xfId="0" applyNumberFormat="1" applyFont="1" applyBorder="1" applyAlignment="1">
      <alignment/>
    </xf>
    <xf numFmtId="187" fontId="1" fillId="0" borderId="2" xfId="0" applyNumberFormat="1" applyFont="1" applyBorder="1" applyAlignment="1">
      <alignment/>
    </xf>
    <xf numFmtId="187" fontId="0" fillId="0" borderId="2" xfId="0" applyNumberFormat="1" applyBorder="1" applyAlignment="1">
      <alignment/>
    </xf>
    <xf numFmtId="187" fontId="0" fillId="0" borderId="17" xfId="0" applyNumberFormat="1" applyBorder="1" applyAlignment="1">
      <alignment/>
    </xf>
    <xf numFmtId="187" fontId="1" fillId="0" borderId="23" xfId="17" applyNumberFormat="1" applyFont="1" applyBorder="1" applyAlignment="1">
      <alignment/>
    </xf>
    <xf numFmtId="43" fontId="0" fillId="0" borderId="0" xfId="0" applyNumberFormat="1" applyBorder="1" applyAlignment="1">
      <alignment/>
    </xf>
    <xf numFmtId="10" fontId="0" fillId="0" borderId="21" xfId="21" applyNumberFormat="1" applyBorder="1" applyAlignment="1">
      <alignment/>
    </xf>
    <xf numFmtId="0" fontId="7" fillId="0" borderId="7" xfId="0" applyFont="1" applyBorder="1" applyAlignment="1" quotePrefix="1">
      <alignment horizontal="center"/>
    </xf>
    <xf numFmtId="180" fontId="0" fillId="0" borderId="15" xfId="17" applyNumberFormat="1" applyBorder="1" applyAlignment="1">
      <alignment/>
    </xf>
    <xf numFmtId="44" fontId="0" fillId="0" borderId="0" xfId="17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 quotePrefix="1">
      <alignment horizontal="center"/>
    </xf>
    <xf numFmtId="187" fontId="0" fillId="0" borderId="17" xfId="17" applyNumberFormat="1" applyBorder="1" applyAlignment="1">
      <alignment/>
    </xf>
    <xf numFmtId="187" fontId="1" fillId="0" borderId="23" xfId="0" applyNumberFormat="1" applyFont="1" applyBorder="1" applyAlignment="1">
      <alignment horizontal="right"/>
    </xf>
    <xf numFmtId="187" fontId="9" fillId="0" borderId="17" xfId="17" applyNumberFormat="1" applyFont="1" applyBorder="1" applyAlignment="1">
      <alignment/>
    </xf>
    <xf numFmtId="43" fontId="0" fillId="0" borderId="17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17" applyNumberFormat="1" applyBorder="1" applyAlignment="1">
      <alignment/>
    </xf>
    <xf numFmtId="180" fontId="0" fillId="0" borderId="0" xfId="21" applyNumberFormat="1" applyBorder="1" applyAlignment="1">
      <alignment/>
    </xf>
    <xf numFmtId="187" fontId="0" fillId="0" borderId="6" xfId="17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24" xfId="0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Border="1" applyAlignment="1" applyProtection="1">
      <alignment horizontal="centerContinuous"/>
      <protection/>
    </xf>
    <xf numFmtId="180" fontId="0" fillId="3" borderId="0" xfId="17" applyNumberFormat="1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180" fontId="0" fillId="0" borderId="2" xfId="17" applyNumberFormat="1" applyBorder="1" applyAlignment="1">
      <alignment/>
    </xf>
    <xf numFmtId="181" fontId="0" fillId="5" borderId="6" xfId="17" applyNumberFormat="1" applyFill="1" applyBorder="1" applyAlignment="1">
      <alignment/>
    </xf>
    <xf numFmtId="3" fontId="0" fillId="5" borderId="0" xfId="0" applyNumberFormat="1" applyFont="1" applyFill="1" applyAlignment="1">
      <alignment/>
    </xf>
    <xf numFmtId="180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87" fontId="0" fillId="0" borderId="2" xfId="0" applyNumberFormat="1" applyFont="1" applyBorder="1" applyAlignment="1">
      <alignment/>
    </xf>
    <xf numFmtId="181" fontId="0" fillId="0" borderId="2" xfId="17" applyNumberFormat="1" applyBorder="1" applyAlignment="1">
      <alignment/>
    </xf>
    <xf numFmtId="188" fontId="0" fillId="3" borderId="6" xfId="17" applyNumberFormat="1" applyFill="1" applyBorder="1" applyAlignment="1">
      <alignment/>
    </xf>
    <xf numFmtId="188" fontId="0" fillId="0" borderId="6" xfId="17" applyNumberFormat="1" applyFill="1" applyBorder="1" applyAlignment="1">
      <alignment/>
    </xf>
    <xf numFmtId="7" fontId="0" fillId="3" borderId="6" xfId="17" applyNumberFormat="1" applyFill="1" applyBorder="1" applyAlignment="1">
      <alignment/>
    </xf>
    <xf numFmtId="180" fontId="1" fillId="0" borderId="0" xfId="0" applyNumberFormat="1" applyFont="1" applyAlignment="1">
      <alignment/>
    </xf>
    <xf numFmtId="18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180" fontId="1" fillId="0" borderId="1" xfId="0" applyNumberFormat="1" applyFont="1" applyBorder="1" applyAlignment="1">
      <alignment/>
    </xf>
    <xf numFmtId="180" fontId="1" fillId="0" borderId="25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180" fontId="1" fillId="0" borderId="3" xfId="0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0" fontId="1" fillId="0" borderId="5" xfId="21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 applyProtection="1">
      <alignment horizontal="left"/>
      <protection/>
    </xf>
    <xf numFmtId="0" fontId="11" fillId="6" borderId="7" xfId="0" applyFont="1" applyFill="1" applyBorder="1" applyAlignment="1" applyProtection="1">
      <alignment horizontal="center"/>
      <protection/>
    </xf>
    <xf numFmtId="0" fontId="11" fillId="6" borderId="26" xfId="0" applyFont="1" applyFill="1" applyBorder="1" applyAlignment="1" applyProtection="1">
      <alignment horizontal="center"/>
      <protection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 quotePrefix="1">
      <alignment horizontal="center"/>
    </xf>
    <xf numFmtId="0" fontId="1" fillId="0" borderId="7" xfId="0" applyFont="1" applyBorder="1" applyAlignment="1">
      <alignment/>
    </xf>
    <xf numFmtId="180" fontId="1" fillId="0" borderId="8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80" fontId="1" fillId="0" borderId="7" xfId="0" applyNumberFormat="1" applyFont="1" applyBorder="1" applyAlignment="1">
      <alignment/>
    </xf>
    <xf numFmtId="180" fontId="1" fillId="0" borderId="26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 quotePrefix="1">
      <alignment horizontal="center"/>
    </xf>
    <xf numFmtId="10" fontId="1" fillId="0" borderId="7" xfId="21" applyNumberFormat="1" applyFont="1" applyBorder="1" applyAlignment="1">
      <alignment/>
    </xf>
    <xf numFmtId="10" fontId="1" fillId="0" borderId="26" xfId="21" applyNumberFormat="1" applyFont="1" applyBorder="1" applyAlignment="1">
      <alignment/>
    </xf>
    <xf numFmtId="10" fontId="1" fillId="0" borderId="10" xfId="21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7" fontId="0" fillId="0" borderId="6" xfId="17" applyNumberFormat="1" applyFill="1" applyBorder="1" applyAlignment="1">
      <alignment/>
    </xf>
    <xf numFmtId="181" fontId="0" fillId="0" borderId="6" xfId="17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11" fillId="0" borderId="7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5" xfId="0" applyFont="1" applyBorder="1" applyAlignment="1">
      <alignment horizontal="center"/>
    </xf>
    <xf numFmtId="7" fontId="0" fillId="0" borderId="0" xfId="0" applyNumberFormat="1" applyBorder="1" applyAlignment="1">
      <alignment/>
    </xf>
    <xf numFmtId="0" fontId="7" fillId="0" borderId="9" xfId="0" applyFont="1" applyBorder="1" applyAlignment="1" quotePrefix="1">
      <alignment horizontal="center"/>
    </xf>
    <xf numFmtId="7" fontId="0" fillId="0" borderId="15" xfId="17" applyNumberFormat="1" applyBorder="1" applyAlignment="1">
      <alignment/>
    </xf>
    <xf numFmtId="7" fontId="0" fillId="3" borderId="0" xfId="17" applyNumberFormat="1" applyFill="1" applyBorder="1" applyAlignment="1">
      <alignment/>
    </xf>
    <xf numFmtId="7" fontId="0" fillId="3" borderId="0" xfId="0" applyNumberFormat="1" applyFill="1" applyBorder="1" applyAlignment="1">
      <alignment/>
    </xf>
    <xf numFmtId="187" fontId="0" fillId="0" borderId="23" xfId="17" applyNumberFormat="1" applyFont="1" applyBorder="1" applyAlignment="1">
      <alignment/>
    </xf>
    <xf numFmtId="187" fontId="1" fillId="0" borderId="17" xfId="17" applyNumberFormat="1" applyFont="1" applyBorder="1" applyAlignment="1">
      <alignment/>
    </xf>
    <xf numFmtId="187" fontId="0" fillId="0" borderId="23" xfId="0" applyNumberFormat="1" applyBorder="1" applyAlignment="1">
      <alignment/>
    </xf>
    <xf numFmtId="44" fontId="0" fillId="0" borderId="17" xfId="17" applyBorder="1" applyAlignment="1">
      <alignment/>
    </xf>
    <xf numFmtId="186" fontId="0" fillId="3" borderId="0" xfId="0" applyNumberFormat="1" applyFill="1" applyBorder="1" applyAlignment="1">
      <alignment/>
    </xf>
    <xf numFmtId="187" fontId="1" fillId="0" borderId="17" xfId="0" applyNumberFormat="1" applyFont="1" applyBorder="1" applyAlignment="1">
      <alignment horizontal="right"/>
    </xf>
    <xf numFmtId="187" fontId="8" fillId="0" borderId="17" xfId="17" applyNumberFormat="1" applyFont="1" applyBorder="1" applyAlignment="1">
      <alignment/>
    </xf>
    <xf numFmtId="5" fontId="0" fillId="0" borderId="23" xfId="0" applyNumberFormat="1" applyBorder="1" applyAlignment="1">
      <alignment/>
    </xf>
    <xf numFmtId="187" fontId="0" fillId="0" borderId="23" xfId="17" applyNumberFormat="1" applyBorder="1" applyAlignment="1">
      <alignment/>
    </xf>
    <xf numFmtId="173" fontId="0" fillId="0" borderId="17" xfId="0" applyNumberForma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0" fontId="12" fillId="0" borderId="7" xfId="21" applyNumberFormat="1" applyFont="1" applyBorder="1" applyAlignment="1">
      <alignment/>
    </xf>
    <xf numFmtId="10" fontId="12" fillId="0" borderId="26" xfId="21" applyNumberFormat="1" applyFont="1" applyBorder="1" applyAlignment="1">
      <alignment/>
    </xf>
    <xf numFmtId="10" fontId="12" fillId="0" borderId="10" xfId="21" applyNumberFormat="1" applyFont="1" applyBorder="1" applyAlignment="1">
      <alignment/>
    </xf>
    <xf numFmtId="0" fontId="13" fillId="0" borderId="7" xfId="0" applyFont="1" applyBorder="1" applyAlignment="1">
      <alignment/>
    </xf>
    <xf numFmtId="10" fontId="12" fillId="0" borderId="10" xfId="0" applyNumberFormat="1" applyFont="1" applyBorder="1" applyAlignment="1">
      <alignment/>
    </xf>
    <xf numFmtId="187" fontId="1" fillId="0" borderId="0" xfId="17" applyNumberFormat="1" applyFont="1" applyBorder="1" applyAlignment="1">
      <alignment/>
    </xf>
    <xf numFmtId="187" fontId="9" fillId="0" borderId="0" xfId="17" applyNumberFormat="1" applyFont="1" applyBorder="1" applyAlignment="1">
      <alignment/>
    </xf>
    <xf numFmtId="5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 quotePrefix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0" fontId="13" fillId="0" borderId="30" xfId="21" applyNumberFormat="1" applyFont="1" applyBorder="1" applyAlignment="1">
      <alignment/>
    </xf>
    <xf numFmtId="10" fontId="13" fillId="0" borderId="29" xfId="21" applyNumberFormat="1" applyFont="1" applyBorder="1" applyAlignment="1">
      <alignment/>
    </xf>
    <xf numFmtId="187" fontId="12" fillId="0" borderId="31" xfId="0" applyNumberFormat="1" applyFont="1" applyBorder="1" applyAlignment="1">
      <alignment horizontal="right"/>
    </xf>
    <xf numFmtId="10" fontId="13" fillId="0" borderId="32" xfId="21" applyNumberFormat="1" applyFont="1" applyBorder="1" applyAlignment="1">
      <alignment/>
    </xf>
    <xf numFmtId="10" fontId="13" fillId="0" borderId="30" xfId="21" applyNumberFormat="1" applyFont="1" applyBorder="1" applyAlignment="1">
      <alignment/>
    </xf>
    <xf numFmtId="10" fontId="13" fillId="0" borderId="29" xfId="21" applyNumberFormat="1" applyFont="1" applyBorder="1" applyAlignment="1">
      <alignment/>
    </xf>
    <xf numFmtId="0" fontId="13" fillId="0" borderId="31" xfId="0" applyFont="1" applyBorder="1" applyAlignment="1">
      <alignment/>
    </xf>
    <xf numFmtId="10" fontId="13" fillId="0" borderId="32" xfId="0" applyNumberFormat="1" applyFont="1" applyBorder="1" applyAlignment="1">
      <alignment/>
    </xf>
    <xf numFmtId="0" fontId="13" fillId="0" borderId="29" xfId="0" applyFont="1" applyBorder="1" applyAlignment="1">
      <alignment/>
    </xf>
    <xf numFmtId="10" fontId="6" fillId="0" borderId="0" xfId="21" applyNumberFormat="1" applyFont="1" applyBorder="1" applyAlignment="1">
      <alignment/>
    </xf>
    <xf numFmtId="10" fontId="13" fillId="0" borderId="29" xfId="0" applyNumberFormat="1" applyFont="1" applyBorder="1" applyAlignment="1">
      <alignment/>
    </xf>
    <xf numFmtId="187" fontId="0" fillId="0" borderId="29" xfId="17" applyNumberFormat="1" applyBorder="1" applyAlignment="1">
      <alignment/>
    </xf>
    <xf numFmtId="187" fontId="0" fillId="0" borderId="29" xfId="0" applyNumberFormat="1" applyBorder="1" applyAlignment="1">
      <alignment/>
    </xf>
    <xf numFmtId="187" fontId="8" fillId="0" borderId="29" xfId="17" applyNumberFormat="1" applyFont="1" applyBorder="1" applyAlignment="1">
      <alignment/>
    </xf>
    <xf numFmtId="43" fontId="0" fillId="0" borderId="29" xfId="0" applyNumberFormat="1" applyBorder="1" applyAlignment="1">
      <alignment/>
    </xf>
    <xf numFmtId="187" fontId="0" fillId="0" borderId="30" xfId="17" applyNumberFormat="1" applyBorder="1" applyAlignment="1">
      <alignment/>
    </xf>
    <xf numFmtId="10" fontId="12" fillId="0" borderId="29" xfId="21" applyNumberFormat="1" applyFont="1" applyBorder="1" applyAlignment="1">
      <alignment horizontal="right"/>
    </xf>
    <xf numFmtId="187" fontId="15" fillId="0" borderId="31" xfId="17" applyNumberFormat="1" applyFont="1" applyBorder="1" applyAlignment="1">
      <alignment/>
    </xf>
    <xf numFmtId="187" fontId="1" fillId="0" borderId="29" xfId="17" applyNumberFormat="1" applyFont="1" applyBorder="1" applyAlignment="1">
      <alignment/>
    </xf>
    <xf numFmtId="44" fontId="0" fillId="0" borderId="29" xfId="17" applyBorder="1" applyAlignment="1">
      <alignment/>
    </xf>
    <xf numFmtId="187" fontId="13" fillId="0" borderId="29" xfId="17" applyNumberFormat="1" applyFont="1" applyBorder="1" applyAlignment="1">
      <alignment/>
    </xf>
    <xf numFmtId="10" fontId="13" fillId="0" borderId="32" xfId="21" applyNumberFormat="1" applyFont="1" applyBorder="1" applyAlignment="1">
      <alignment/>
    </xf>
    <xf numFmtId="10" fontId="13" fillId="0" borderId="0" xfId="21" applyNumberFormat="1" applyFont="1" applyBorder="1" applyAlignment="1">
      <alignment/>
    </xf>
    <xf numFmtId="187" fontId="13" fillId="0" borderId="0" xfId="17" applyNumberFormat="1" applyFont="1" applyBorder="1" applyAlignment="1">
      <alignment/>
    </xf>
    <xf numFmtId="187" fontId="12" fillId="0" borderId="0" xfId="0" applyNumberFormat="1" applyFont="1" applyBorder="1" applyAlignment="1">
      <alignment horizontal="right"/>
    </xf>
    <xf numFmtId="10" fontId="13" fillId="0" borderId="0" xfId="21" applyNumberFormat="1" applyFont="1" applyBorder="1" applyAlignment="1">
      <alignment/>
    </xf>
    <xf numFmtId="5" fontId="13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2:O29"/>
  <sheetViews>
    <sheetView workbookViewId="0" topLeftCell="B5">
      <selection activeCell="N8" sqref="N8"/>
    </sheetView>
  </sheetViews>
  <sheetFormatPr defaultColWidth="9.00390625" defaultRowHeight="12.75"/>
  <cols>
    <col min="5" max="5" width="18.50390625" style="0" customWidth="1"/>
    <col min="6" max="6" width="1.37890625" style="0" customWidth="1"/>
    <col min="7" max="7" width="10.75390625" style="0" customWidth="1"/>
    <col min="8" max="8" width="9.875" style="0" customWidth="1"/>
    <col min="9" max="9" width="10.625" style="0" customWidth="1"/>
    <col min="10" max="10" width="9.75390625" style="0" customWidth="1"/>
    <col min="12" max="12" width="0.6171875" style="0" customWidth="1"/>
    <col min="14" max="14" width="1.75390625" style="0" customWidth="1"/>
    <col min="15" max="15" width="15.375" style="0" customWidth="1"/>
  </cols>
  <sheetData>
    <row r="2" ht="15.75">
      <c r="O2" s="268" t="s">
        <v>189</v>
      </c>
    </row>
    <row r="3" ht="15.75">
      <c r="O3" s="268" t="s">
        <v>190</v>
      </c>
    </row>
    <row r="4" ht="15.75">
      <c r="O4" s="268" t="s">
        <v>191</v>
      </c>
    </row>
    <row r="5" spans="5:13" ht="12.75">
      <c r="E5" s="270" t="s">
        <v>143</v>
      </c>
      <c r="F5" s="270"/>
      <c r="G5" s="270"/>
      <c r="H5" s="270"/>
      <c r="I5" s="270"/>
      <c r="J5" s="270"/>
      <c r="K5" s="270"/>
      <c r="L5" s="270"/>
      <c r="M5" s="270"/>
    </row>
    <row r="7" spans="5:13" ht="12.75">
      <c r="E7" s="270" t="s">
        <v>132</v>
      </c>
      <c r="F7" s="270"/>
      <c r="G7" s="270"/>
      <c r="H7" s="270"/>
      <c r="I7" s="270"/>
      <c r="J7" s="270"/>
      <c r="K7" s="270"/>
      <c r="L7" s="270"/>
      <c r="M7" s="270"/>
    </row>
    <row r="8" spans="5:13" ht="12.75">
      <c r="E8" s="145"/>
      <c r="F8" s="145"/>
      <c r="G8" s="145"/>
      <c r="H8" s="145"/>
      <c r="I8" s="145"/>
      <c r="J8" s="145"/>
      <c r="K8" s="145"/>
      <c r="L8" s="145"/>
      <c r="M8" s="145"/>
    </row>
    <row r="9" spans="5:13" ht="12.75">
      <c r="E9" s="270" t="s">
        <v>177</v>
      </c>
      <c r="F9" s="270"/>
      <c r="G9" s="270"/>
      <c r="H9" s="270"/>
      <c r="I9" s="270"/>
      <c r="J9" s="270"/>
      <c r="K9" s="270"/>
      <c r="L9" s="270"/>
      <c r="M9" s="270"/>
    </row>
    <row r="11" spans="5:13" ht="12.75">
      <c r="E11" s="69"/>
      <c r="G11" s="186" t="s">
        <v>178</v>
      </c>
      <c r="H11" s="221"/>
      <c r="I11" s="186" t="s">
        <v>140</v>
      </c>
      <c r="J11" s="221"/>
      <c r="K11" s="186"/>
      <c r="L11" s="185"/>
      <c r="M11" s="186"/>
    </row>
    <row r="12" spans="5:13" ht="12.75">
      <c r="E12" s="191"/>
      <c r="G12" s="187" t="s">
        <v>179</v>
      </c>
      <c r="H12" s="222" t="s">
        <v>184</v>
      </c>
      <c r="I12" s="187" t="s">
        <v>104</v>
      </c>
      <c r="J12" s="222" t="s">
        <v>184</v>
      </c>
      <c r="K12" s="187"/>
      <c r="L12" s="185"/>
      <c r="M12" s="187"/>
    </row>
    <row r="13" spans="5:13" ht="12.75">
      <c r="E13" s="177" t="s">
        <v>172</v>
      </c>
      <c r="G13" s="187" t="s">
        <v>108</v>
      </c>
      <c r="H13" s="223" t="s">
        <v>185</v>
      </c>
      <c r="I13" s="187" t="s">
        <v>108</v>
      </c>
      <c r="J13" s="223" t="s">
        <v>185</v>
      </c>
      <c r="K13" s="192" t="s">
        <v>141</v>
      </c>
      <c r="L13" s="185"/>
      <c r="M13" s="187" t="s">
        <v>142</v>
      </c>
    </row>
    <row r="14" spans="5:13" ht="12.75">
      <c r="E14" s="183" t="s">
        <v>154</v>
      </c>
      <c r="G14" s="188">
        <f>'Detailed Summary'!H9</f>
        <v>26439864.265490003</v>
      </c>
      <c r="H14" s="224">
        <f>G14/$G$29</f>
        <v>0.7222658853977358</v>
      </c>
      <c r="I14" s="188">
        <f>'Detailed Summary'!P9</f>
        <v>27654261.4223142</v>
      </c>
      <c r="J14" s="224">
        <f>I14/$I$29</f>
        <v>0.7222953018023203</v>
      </c>
      <c r="K14" s="188">
        <f>I14-G14</f>
        <v>1214397.1568241976</v>
      </c>
      <c r="M14" s="193">
        <f>I14/G14-1</f>
        <v>0.04593053673158454</v>
      </c>
    </row>
    <row r="15" spans="5:13" ht="12.75">
      <c r="E15" s="176" t="s">
        <v>155</v>
      </c>
      <c r="G15" s="189">
        <f>'Detailed Summary'!H10</f>
        <v>0</v>
      </c>
      <c r="H15" s="225">
        <f aca="true" t="shared" si="0" ref="H15:H27">G15/$G$29</f>
        <v>0</v>
      </c>
      <c r="I15" s="189">
        <f>'Detailed Summary'!P10</f>
        <v>0</v>
      </c>
      <c r="J15" s="225">
        <f aca="true" t="shared" si="1" ref="J15:J27">I15/$I$29</f>
        <v>0</v>
      </c>
      <c r="K15" s="189">
        <f aca="true" t="shared" si="2" ref="K15:K27">I15-G15</f>
        <v>0</v>
      </c>
      <c r="M15" s="194">
        <v>0</v>
      </c>
    </row>
    <row r="16" spans="5:13" ht="12.75">
      <c r="E16" s="176" t="s">
        <v>144</v>
      </c>
      <c r="G16" s="189">
        <f>'Detailed Summary'!H11</f>
        <v>97869.72254999999</v>
      </c>
      <c r="H16" s="225">
        <f t="shared" si="0"/>
        <v>0.0026735372429074933</v>
      </c>
      <c r="I16" s="189">
        <f>'Detailed Summary'!P11</f>
        <v>105205.42061585198</v>
      </c>
      <c r="J16" s="225">
        <f t="shared" si="1"/>
        <v>0.0027478362149875057</v>
      </c>
      <c r="K16" s="189">
        <f t="shared" si="2"/>
        <v>7335.69806585199</v>
      </c>
      <c r="M16" s="194">
        <f aca="true" t="shared" si="3" ref="M16:M27">I16/G16-1</f>
        <v>0.0749537024803999</v>
      </c>
    </row>
    <row r="17" spans="5:13" ht="12.75">
      <c r="E17" s="176" t="s">
        <v>181</v>
      </c>
      <c r="G17" s="189">
        <f>'Detailed Summary'!H12</f>
        <v>101125.77436639857</v>
      </c>
      <c r="H17" s="225">
        <f t="shared" si="0"/>
        <v>0.0027624838095183352</v>
      </c>
      <c r="I17" s="189">
        <f>'Detailed Summary'!P12</f>
        <v>106250.37226888954</v>
      </c>
      <c r="J17" s="225">
        <f t="shared" si="1"/>
        <v>0.002775129067183897</v>
      </c>
      <c r="K17" s="189">
        <f t="shared" si="2"/>
        <v>5124.597902490961</v>
      </c>
      <c r="M17" s="194">
        <f t="shared" si="3"/>
        <v>0.050675487377960904</v>
      </c>
    </row>
    <row r="18" spans="5:13" ht="12.75">
      <c r="E18" s="176" t="s">
        <v>182</v>
      </c>
      <c r="G18" s="189">
        <f>'Detailed Summary'!H13</f>
        <v>681287.5581336014</v>
      </c>
      <c r="H18" s="225">
        <f t="shared" si="0"/>
        <v>0.018610941283389665</v>
      </c>
      <c r="I18" s="189">
        <f>'Detailed Summary'!P13</f>
        <v>709902.8036051245</v>
      </c>
      <c r="J18" s="225">
        <f t="shared" si="1"/>
        <v>0.01854178826003762</v>
      </c>
      <c r="K18" s="189">
        <f t="shared" si="2"/>
        <v>28615.245471523027</v>
      </c>
      <c r="M18" s="194">
        <f t="shared" si="3"/>
        <v>0.04200171444480061</v>
      </c>
    </row>
    <row r="19" spans="5:13" ht="12.75">
      <c r="E19" s="176" t="s">
        <v>145</v>
      </c>
      <c r="G19" s="189">
        <f>'Detailed Summary'!H14</f>
        <v>354122.08444</v>
      </c>
      <c r="H19" s="225">
        <f t="shared" si="0"/>
        <v>0.009673661645486827</v>
      </c>
      <c r="I19" s="189">
        <f>'Detailed Summary'!P14</f>
        <v>368996.61374713347</v>
      </c>
      <c r="J19" s="225">
        <f t="shared" si="1"/>
        <v>0.00963773779456144</v>
      </c>
      <c r="K19" s="189">
        <f t="shared" si="2"/>
        <v>14874.52930713346</v>
      </c>
      <c r="M19" s="194">
        <f t="shared" si="3"/>
        <v>0.042003958410715025</v>
      </c>
    </row>
    <row r="20" spans="5:13" ht="12.75">
      <c r="E20" s="176" t="s">
        <v>146</v>
      </c>
      <c r="G20" s="189">
        <f>'Detailed Summary'!H15</f>
        <v>1458732.838263617</v>
      </c>
      <c r="H20" s="225">
        <f t="shared" si="0"/>
        <v>0.03984865256522517</v>
      </c>
      <c r="I20" s="189">
        <f>'Detailed Summary'!P15</f>
        <v>1511886.4258685317</v>
      </c>
      <c r="J20" s="225">
        <f t="shared" si="1"/>
        <v>0.03948861427130307</v>
      </c>
      <c r="K20" s="189">
        <f t="shared" si="2"/>
        <v>53153.58760491479</v>
      </c>
      <c r="M20" s="194">
        <f t="shared" si="3"/>
        <v>0.03643819225197231</v>
      </c>
    </row>
    <row r="21" spans="5:13" ht="12.75">
      <c r="E21" s="176" t="s">
        <v>147</v>
      </c>
      <c r="G21" s="189">
        <f>'Detailed Summary'!H16</f>
        <v>1238085.512146383</v>
      </c>
      <c r="H21" s="225">
        <f t="shared" si="0"/>
        <v>0.033821161850504836</v>
      </c>
      <c r="I21" s="189">
        <f>'Detailed Summary'!P16</f>
        <v>1288265.0459745638</v>
      </c>
      <c r="J21" s="225">
        <f t="shared" si="1"/>
        <v>0.03364789881651844</v>
      </c>
      <c r="K21" s="189">
        <f t="shared" si="2"/>
        <v>50179.53382818075</v>
      </c>
      <c r="M21" s="194">
        <f t="shared" si="3"/>
        <v>0.0405299418625682</v>
      </c>
    </row>
    <row r="22" spans="5:13" ht="12.75">
      <c r="E22" s="176" t="s">
        <v>148</v>
      </c>
      <c r="G22" s="189">
        <f>'Detailed Summary'!H17</f>
        <v>4646916.381560001</v>
      </c>
      <c r="H22" s="225">
        <f t="shared" si="0"/>
        <v>0.12694124073387997</v>
      </c>
      <c r="I22" s="189">
        <f>'Detailed Summary'!P17</f>
        <v>4864583.172934014</v>
      </c>
      <c r="J22" s="225">
        <f t="shared" si="1"/>
        <v>0.1270569304809453</v>
      </c>
      <c r="K22" s="189">
        <f t="shared" si="2"/>
        <v>217666.79137401376</v>
      </c>
      <c r="M22" s="194">
        <f t="shared" si="3"/>
        <v>0.046841125060430144</v>
      </c>
    </row>
    <row r="23" spans="5:13" ht="12.75">
      <c r="E23" s="176" t="s">
        <v>149</v>
      </c>
      <c r="G23" s="189">
        <f>'Detailed Summary'!H18</f>
        <v>669593.9078600002</v>
      </c>
      <c r="H23" s="225">
        <f t="shared" si="0"/>
        <v>0.018291502250587295</v>
      </c>
      <c r="I23" s="189">
        <f>'Detailed Summary'!P18</f>
        <v>705970.0551715577</v>
      </c>
      <c r="J23" s="225">
        <f t="shared" si="1"/>
        <v>0.018439069707068288</v>
      </c>
      <c r="K23" s="189">
        <f t="shared" si="2"/>
        <v>36376.14731155755</v>
      </c>
      <c r="M23" s="194">
        <f t="shared" si="3"/>
        <v>0.054325684395508445</v>
      </c>
    </row>
    <row r="24" spans="5:13" ht="12.75">
      <c r="E24" s="176" t="s">
        <v>150</v>
      </c>
      <c r="G24" s="189">
        <f>'Detailed Summary'!H19</f>
        <v>0</v>
      </c>
      <c r="H24" s="225">
        <f t="shared" si="0"/>
        <v>0</v>
      </c>
      <c r="I24" s="189">
        <f>'Detailed Summary'!P19</f>
        <v>0</v>
      </c>
      <c r="J24" s="225">
        <f t="shared" si="1"/>
        <v>0</v>
      </c>
      <c r="K24" s="189">
        <f t="shared" si="2"/>
        <v>0</v>
      </c>
      <c r="M24" s="194">
        <v>0</v>
      </c>
    </row>
    <row r="25" spans="5:13" ht="12.75">
      <c r="E25" s="176" t="s">
        <v>151</v>
      </c>
      <c r="G25" s="189">
        <f>'Detailed Summary'!H20</f>
        <v>0</v>
      </c>
      <c r="H25" s="225">
        <f t="shared" si="0"/>
        <v>0</v>
      </c>
      <c r="I25" s="189">
        <f>'Detailed Summary'!P20</f>
        <v>0</v>
      </c>
      <c r="J25" s="225">
        <f t="shared" si="1"/>
        <v>0</v>
      </c>
      <c r="K25" s="189">
        <f t="shared" si="2"/>
        <v>0</v>
      </c>
      <c r="M25" s="194">
        <v>0</v>
      </c>
    </row>
    <row r="26" spans="5:13" ht="12.75">
      <c r="E26" s="176" t="s">
        <v>152</v>
      </c>
      <c r="G26" s="189">
        <f>'Detailed Summary'!H21</f>
        <v>782047.210342</v>
      </c>
      <c r="H26" s="225">
        <f t="shared" si="0"/>
        <v>0.02136342362157077</v>
      </c>
      <c r="I26" s="189">
        <f>'Detailed Summary'!P21</f>
        <v>823964.5351521383</v>
      </c>
      <c r="J26" s="225">
        <f t="shared" si="1"/>
        <v>0.021520940425908453</v>
      </c>
      <c r="K26" s="189">
        <f t="shared" si="2"/>
        <v>41917.32481013832</v>
      </c>
      <c r="M26" s="194">
        <f t="shared" si="3"/>
        <v>0.05359948127915093</v>
      </c>
    </row>
    <row r="27" spans="5:13" ht="12.75">
      <c r="E27" s="177" t="s">
        <v>153</v>
      </c>
      <c r="G27" s="190">
        <f>'Detailed Summary'!H22</f>
        <v>137184.44569999998</v>
      </c>
      <c r="H27" s="226">
        <f t="shared" si="0"/>
        <v>0.0037475095991939206</v>
      </c>
      <c r="I27" s="190">
        <f>'Detailed Summary'!P22</f>
        <v>147355.8332</v>
      </c>
      <c r="J27" s="226">
        <f t="shared" si="1"/>
        <v>0.0038487531591657157</v>
      </c>
      <c r="K27" s="190">
        <f t="shared" si="2"/>
        <v>10171.387500000012</v>
      </c>
      <c r="M27" s="195">
        <f t="shared" si="3"/>
        <v>0.0741438830626846</v>
      </c>
    </row>
    <row r="28" spans="5:13" ht="12">
      <c r="E28" s="69"/>
      <c r="G28" s="191"/>
      <c r="H28" s="69"/>
      <c r="I28" s="191"/>
      <c r="J28" s="227"/>
      <c r="K28" s="69"/>
      <c r="M28" s="69"/>
    </row>
    <row r="29" spans="5:13" ht="12.75">
      <c r="E29" s="196" t="s">
        <v>180</v>
      </c>
      <c r="G29" s="190">
        <f>SUM(G14:G27)</f>
        <v>36606829.700852</v>
      </c>
      <c r="H29" s="228">
        <f>SUM(H14:H28)</f>
        <v>1.0000000000000002</v>
      </c>
      <c r="I29" s="190">
        <f>SUM(I14:I27)</f>
        <v>38286641.70085201</v>
      </c>
      <c r="J29" s="228">
        <f>SUM(J14:J28)</f>
        <v>1</v>
      </c>
      <c r="K29" s="190">
        <f>SUM(K14:K27)</f>
        <v>1679812.0000000026</v>
      </c>
      <c r="L29" s="145"/>
      <c r="M29" s="195">
        <f>I29/G29-1</f>
        <v>0.045887939866065874</v>
      </c>
    </row>
  </sheetData>
  <mergeCells count="3">
    <mergeCell ref="E5:M5"/>
    <mergeCell ref="E7:M7"/>
    <mergeCell ref="E9:M9"/>
  </mergeCells>
  <printOptions horizontalCentered="1"/>
  <pageMargins left="0.75" right="0.75" top="1.19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CJ1233"/>
  <sheetViews>
    <sheetView tabSelected="1" workbookViewId="0" topLeftCell="A342">
      <selection activeCell="K337" sqref="K337:K340"/>
    </sheetView>
  </sheetViews>
  <sheetFormatPr defaultColWidth="12.625" defaultRowHeight="12.75"/>
  <cols>
    <col min="1" max="1" width="4.625" style="0" customWidth="1"/>
    <col min="2" max="2" width="24.75390625" style="0" customWidth="1"/>
    <col min="3" max="3" width="13.125" style="0" customWidth="1"/>
    <col min="4" max="6" width="18.125" style="0" customWidth="1"/>
    <col min="7" max="7" width="32.25390625" style="29" customWidth="1"/>
    <col min="8" max="8" width="12.75390625" style="28" bestFit="1" customWidth="1"/>
    <col min="9" max="9" width="12.75390625" style="0" bestFit="1" customWidth="1"/>
    <col min="10" max="10" width="14.375" style="0" customWidth="1"/>
    <col min="11" max="11" width="15.125" style="0" customWidth="1"/>
    <col min="12" max="12" width="12.625" style="29" customWidth="1"/>
    <col min="13" max="14" width="13.875" style="28" customWidth="1"/>
    <col min="15" max="15" width="14.00390625" style="0" bestFit="1" customWidth="1"/>
    <col min="16" max="16" width="19.875" style="0" customWidth="1"/>
    <col min="17" max="17" width="13.00390625" style="29" bestFit="1" customWidth="1"/>
    <col min="18" max="18" width="12.75390625" style="28" bestFit="1" customWidth="1"/>
    <col min="19" max="20" width="12.75390625" style="0" bestFit="1" customWidth="1"/>
    <col min="21" max="21" width="12.75390625" style="29" bestFit="1" customWidth="1"/>
    <col min="22" max="22" width="12.75390625" style="28" bestFit="1" customWidth="1"/>
    <col min="23" max="24" width="12.75390625" style="0" bestFit="1" customWidth="1"/>
    <col min="25" max="25" width="12.75390625" style="29" bestFit="1" customWidth="1"/>
    <col min="26" max="26" width="12.75390625" style="28" bestFit="1" customWidth="1"/>
    <col min="27" max="28" width="12.75390625" style="0" bestFit="1" customWidth="1"/>
    <col min="29" max="29" width="12.75390625" style="29" bestFit="1" customWidth="1"/>
    <col min="30" max="30" width="12.75390625" style="28" bestFit="1" customWidth="1"/>
    <col min="31" max="31" width="12.75390625" style="0" bestFit="1" customWidth="1"/>
    <col min="32" max="32" width="12.875" style="0" bestFit="1" customWidth="1"/>
    <col min="33" max="33" width="12.75390625" style="29" bestFit="1" customWidth="1"/>
    <col min="34" max="34" width="12.75390625" style="28" bestFit="1" customWidth="1"/>
    <col min="35" max="36" width="12.75390625" style="0" bestFit="1" customWidth="1"/>
    <col min="37" max="37" width="12.75390625" style="29" bestFit="1" customWidth="1"/>
    <col min="38" max="38" width="12.75390625" style="28" bestFit="1" customWidth="1"/>
    <col min="39" max="40" width="12.75390625" style="0" bestFit="1" customWidth="1"/>
    <col min="41" max="41" width="12.75390625" style="29" bestFit="1" customWidth="1"/>
    <col min="42" max="42" width="12.75390625" style="28" bestFit="1" customWidth="1"/>
    <col min="43" max="44" width="12.75390625" style="0" bestFit="1" customWidth="1"/>
    <col min="45" max="45" width="12.75390625" style="29" bestFit="1" customWidth="1"/>
    <col min="46" max="46" width="12.75390625" style="28" bestFit="1" customWidth="1"/>
    <col min="47" max="48" width="12.75390625" style="0" bestFit="1" customWidth="1"/>
    <col min="49" max="49" width="12.75390625" style="29" bestFit="1" customWidth="1"/>
    <col min="50" max="50" width="12.75390625" style="28" bestFit="1" customWidth="1"/>
    <col min="51" max="52" width="12.75390625" style="0" bestFit="1" customWidth="1"/>
    <col min="53" max="53" width="13.00390625" style="49" bestFit="1" customWidth="1"/>
    <col min="54" max="54" width="13.00390625" style="0" bestFit="1" customWidth="1"/>
    <col min="55" max="55" width="13.00390625" style="0" customWidth="1"/>
    <col min="56" max="56" width="13.00390625" style="0" bestFit="1" customWidth="1"/>
    <col min="57" max="60" width="12.75390625" style="0" bestFit="1" customWidth="1"/>
    <col min="67" max="69" width="12.75390625" style="0" bestFit="1" customWidth="1"/>
    <col min="73" max="73" width="25.625" style="0" customWidth="1"/>
    <col min="74" max="74" width="12.625" style="12" customWidth="1"/>
    <col min="75" max="77" width="12.75390625" style="12" bestFit="1" customWidth="1"/>
    <col min="78" max="78" width="12.25390625" style="12" customWidth="1"/>
    <col min="79" max="79" width="12.75390625" style="12" bestFit="1" customWidth="1"/>
    <col min="80" max="80" width="13.125" style="12" customWidth="1"/>
    <col min="81" max="86" width="12.75390625" style="12" bestFit="1" customWidth="1"/>
    <col min="87" max="87" width="12.875" style="12" bestFit="1" customWidth="1"/>
  </cols>
  <sheetData>
    <row r="1" spans="1:87" s="21" customFormat="1" ht="15.75" hidden="1">
      <c r="A1" s="21" t="s">
        <v>0</v>
      </c>
      <c r="B1" s="21" t="s">
        <v>1</v>
      </c>
      <c r="C1" s="22">
        <f>DATE(2005,10,1)</f>
        <v>38626</v>
      </c>
      <c r="G1" s="37">
        <f>DATE(YEAR($C$1),MONTH(C1)+1,1)</f>
        <v>38657</v>
      </c>
      <c r="H1" s="28"/>
      <c r="L1" s="37">
        <f>DATE((YEAR($G$1)-1900),MONTH(G1)+1,1)</f>
        <v>38687</v>
      </c>
      <c r="M1" s="28"/>
      <c r="N1" s="28"/>
      <c r="Q1" s="37">
        <f>DATE((YEAR($L$1)+1),1,1)</f>
        <v>38718</v>
      </c>
      <c r="R1" s="28"/>
      <c r="U1" s="37">
        <f>DATE((YEAR($Q$1)-1900),MONTH(Q1)+1,1)</f>
        <v>38749</v>
      </c>
      <c r="V1" s="28"/>
      <c r="Y1" s="37">
        <f>DATE((YEAR($U$1)-1900),MONTH(U1)+1,1)</f>
        <v>38777</v>
      </c>
      <c r="Z1" s="28"/>
      <c r="AC1" s="37">
        <f>DATE((YEAR($Y$1)-1900),MONTH(Y1)+1,1)</f>
        <v>38808</v>
      </c>
      <c r="AD1" s="28"/>
      <c r="AG1" s="37">
        <f>DATE((YEAR($AC$1)-1900),MONTH(AC1)+1,1)</f>
        <v>38838</v>
      </c>
      <c r="AH1" s="28"/>
      <c r="AK1" s="37">
        <f>DATE((YEAR($AG$1)-1900),MONTH(AG1)+1,1)</f>
        <v>38869</v>
      </c>
      <c r="AL1" s="28"/>
      <c r="AO1" s="37">
        <f>DATE((YEAR($AK$1)-1900),MONTH(AK1)+1,1)</f>
        <v>38899</v>
      </c>
      <c r="AP1" s="28"/>
      <c r="AS1" s="37">
        <f>DATE((YEAR($AO$1)-1900),MONTH(AO1)+1,1)</f>
        <v>38930</v>
      </c>
      <c r="AT1" s="28"/>
      <c r="AW1" s="37">
        <f>DATE((YEAR($AS$1)-1900),MONTH(AS1)+1,1)</f>
        <v>38961</v>
      </c>
      <c r="AX1" s="28"/>
      <c r="BA1" s="48"/>
      <c r="BB1" s="21" t="s">
        <v>2</v>
      </c>
      <c r="BG1" s="21" t="s">
        <v>2</v>
      </c>
      <c r="BM1" s="21" t="s">
        <v>2</v>
      </c>
      <c r="BO1" s="21" t="s">
        <v>2</v>
      </c>
      <c r="BR1" s="21" t="s">
        <v>2</v>
      </c>
      <c r="BV1" s="23" t="s">
        <v>3</v>
      </c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</row>
    <row r="2" spans="17:49" ht="15.75" hidden="1">
      <c r="Q2" s="29" t="s">
        <v>0</v>
      </c>
      <c r="AW2" s="29" t="s">
        <v>0</v>
      </c>
    </row>
    <row r="3" ht="15.75" hidden="1"/>
    <row r="4" spans="3:67" ht="15.75" hidden="1">
      <c r="C4" s="26"/>
      <c r="BB4" s="9"/>
      <c r="BC4" s="9"/>
      <c r="BO4" t="s">
        <v>4</v>
      </c>
    </row>
    <row r="5" spans="3:68" ht="15.75" hidden="1">
      <c r="C5" s="7" t="s">
        <v>5</v>
      </c>
      <c r="D5" s="7" t="s">
        <v>8</v>
      </c>
      <c r="E5" s="7" t="s">
        <v>6</v>
      </c>
      <c r="F5" s="7" t="s">
        <v>7</v>
      </c>
      <c r="G5" s="38" t="s">
        <v>5</v>
      </c>
      <c r="H5" s="57" t="s">
        <v>8</v>
      </c>
      <c r="I5" s="7" t="s">
        <v>6</v>
      </c>
      <c r="J5" s="7" t="s">
        <v>7</v>
      </c>
      <c r="K5" s="7"/>
      <c r="L5" s="38" t="s">
        <v>5</v>
      </c>
      <c r="M5" s="57" t="s">
        <v>8</v>
      </c>
      <c r="N5" s="57"/>
      <c r="O5" s="7" t="s">
        <v>6</v>
      </c>
      <c r="P5" s="7" t="s">
        <v>7</v>
      </c>
      <c r="Q5" s="38" t="s">
        <v>5</v>
      </c>
      <c r="R5" s="57" t="s">
        <v>8</v>
      </c>
      <c r="S5" s="7" t="s">
        <v>6</v>
      </c>
      <c r="T5" s="7" t="s">
        <v>7</v>
      </c>
      <c r="U5" s="38" t="s">
        <v>5</v>
      </c>
      <c r="V5" s="57" t="s">
        <v>8</v>
      </c>
      <c r="W5" s="7" t="s">
        <v>6</v>
      </c>
      <c r="X5" s="7" t="s">
        <v>7</v>
      </c>
      <c r="Y5" s="38" t="s">
        <v>5</v>
      </c>
      <c r="Z5" s="57" t="s">
        <v>8</v>
      </c>
      <c r="AA5" s="7" t="s">
        <v>6</v>
      </c>
      <c r="AB5" s="7" t="s">
        <v>7</v>
      </c>
      <c r="AC5" s="38" t="s">
        <v>5</v>
      </c>
      <c r="AD5" s="57" t="s">
        <v>8</v>
      </c>
      <c r="AE5" s="7" t="s">
        <v>6</v>
      </c>
      <c r="AF5" s="7" t="s">
        <v>7</v>
      </c>
      <c r="AG5" s="38" t="s">
        <v>5</v>
      </c>
      <c r="AH5" s="57" t="s">
        <v>8</v>
      </c>
      <c r="AI5" s="7" t="s">
        <v>6</v>
      </c>
      <c r="AJ5" s="7" t="s">
        <v>7</v>
      </c>
      <c r="AK5" s="38" t="s">
        <v>5</v>
      </c>
      <c r="AL5" s="57" t="s">
        <v>8</v>
      </c>
      <c r="AM5" s="7" t="s">
        <v>6</v>
      </c>
      <c r="AN5" s="7" t="s">
        <v>7</v>
      </c>
      <c r="AO5" s="38" t="s">
        <v>5</v>
      </c>
      <c r="AP5" s="57" t="s">
        <v>8</v>
      </c>
      <c r="AQ5" s="7" t="s">
        <v>6</v>
      </c>
      <c r="AR5" s="7" t="s">
        <v>7</v>
      </c>
      <c r="AS5" s="38" t="s">
        <v>5</v>
      </c>
      <c r="AT5" s="57" t="s">
        <v>8</v>
      </c>
      <c r="AU5" s="7" t="s">
        <v>6</v>
      </c>
      <c r="AV5" s="7" t="s">
        <v>7</v>
      </c>
      <c r="AW5" s="38" t="s">
        <v>5</v>
      </c>
      <c r="AX5" s="57" t="s">
        <v>8</v>
      </c>
      <c r="AY5" s="7" t="s">
        <v>6</v>
      </c>
      <c r="AZ5" s="7" t="s">
        <v>7</v>
      </c>
      <c r="BB5" s="7" t="s">
        <v>5</v>
      </c>
      <c r="BC5" s="7" t="s">
        <v>8</v>
      </c>
      <c r="BD5" s="7" t="s">
        <v>6</v>
      </c>
      <c r="BE5" s="7" t="s">
        <v>7</v>
      </c>
      <c r="BF5" s="7"/>
      <c r="BO5" t="s">
        <v>9</v>
      </c>
      <c r="BP5" s="7" t="s">
        <v>10</v>
      </c>
    </row>
    <row r="6" spans="2:12" ht="15.75" hidden="1">
      <c r="B6" t="s">
        <v>11</v>
      </c>
      <c r="L6" s="29" t="s">
        <v>0</v>
      </c>
    </row>
    <row r="7" spans="2:70" ht="15.75" hidden="1">
      <c r="B7" t="s">
        <v>21</v>
      </c>
      <c r="C7" s="25">
        <v>5.35</v>
      </c>
      <c r="F7" s="1">
        <v>125553.8</v>
      </c>
      <c r="G7" s="40">
        <f>C7</f>
        <v>5.35</v>
      </c>
      <c r="J7" s="31">
        <v>125377.25</v>
      </c>
      <c r="K7" s="31"/>
      <c r="L7" s="29">
        <f>G7</f>
        <v>5.35</v>
      </c>
      <c r="P7" s="31">
        <v>125762.45</v>
      </c>
      <c r="Q7" s="29">
        <f>L7</f>
        <v>5.35</v>
      </c>
      <c r="T7" s="31">
        <v>126099.5</v>
      </c>
      <c r="U7" s="29">
        <f>Q7</f>
        <v>5.35</v>
      </c>
      <c r="X7" s="31">
        <v>126078.1</v>
      </c>
      <c r="Y7" s="29">
        <f>U7</f>
        <v>5.35</v>
      </c>
      <c r="AB7" s="31">
        <v>125944.35</v>
      </c>
      <c r="AC7" s="29">
        <f>Y7</f>
        <v>5.35</v>
      </c>
      <c r="AF7" s="31">
        <v>126789.65</v>
      </c>
      <c r="AG7" s="29">
        <f>AC7</f>
        <v>5.35</v>
      </c>
      <c r="AJ7" s="31">
        <v>126356.3</v>
      </c>
      <c r="AK7" s="29">
        <f>AG7</f>
        <v>5.35</v>
      </c>
      <c r="AN7" s="31">
        <v>126436.55</v>
      </c>
      <c r="AO7" s="29">
        <f>AK7</f>
        <v>5.35</v>
      </c>
      <c r="AR7" s="31">
        <v>126827.1</v>
      </c>
      <c r="AS7" s="29">
        <f>AO7</f>
        <v>5.35</v>
      </c>
      <c r="AV7" s="31">
        <v>126805.7</v>
      </c>
      <c r="AW7" s="29">
        <f>AS7</f>
        <v>5.35</v>
      </c>
      <c r="AZ7" s="31">
        <v>127190.9</v>
      </c>
      <c r="BB7">
        <v>5.35</v>
      </c>
      <c r="BD7" s="2"/>
      <c r="BE7" s="2">
        <f>F7+J7+P7+T7+X7+AB7+AF7+AJ7+AN7+AR7+AV7+AZ7</f>
        <v>1515221.65</v>
      </c>
      <c r="BF7" s="2"/>
      <c r="BH7" s="2"/>
      <c r="BI7" s="2"/>
      <c r="BJ7" s="2"/>
      <c r="BO7" s="2" t="e">
        <f>#REF!+#REF!+#REF!+#REF!+#REF!+#REF!+#REF!+#REF!+#REF!+#REF!+#REF!+#REF!</f>
        <v>#REF!</v>
      </c>
      <c r="BP7" s="2" t="e">
        <f>#REF!+#REF!+#REF!+#REF!+#REF!+#REF!+#REF!+#REF!+#REF!+#REF!+#REF!+#REF!</f>
        <v>#REF!</v>
      </c>
      <c r="BQ7" s="2"/>
      <c r="BR7" s="2"/>
    </row>
    <row r="8" spans="2:70" ht="15.75" hidden="1">
      <c r="B8" t="s">
        <v>13</v>
      </c>
      <c r="C8" s="20">
        <v>0.06783</v>
      </c>
      <c r="D8" s="2">
        <v>23489</v>
      </c>
      <c r="E8" s="28">
        <v>20390661</v>
      </c>
      <c r="F8" s="1">
        <v>1383367</v>
      </c>
      <c r="G8" s="29">
        <f>C8</f>
        <v>0.06783</v>
      </c>
      <c r="H8" s="58">
        <v>23462</v>
      </c>
      <c r="I8" s="28">
        <v>19347423</v>
      </c>
      <c r="J8" s="31">
        <v>1312853</v>
      </c>
      <c r="K8" s="31"/>
      <c r="L8" s="29">
        <f>G8</f>
        <v>0.06783</v>
      </c>
      <c r="M8" s="58">
        <v>23525</v>
      </c>
      <c r="N8" s="58"/>
      <c r="O8" s="28">
        <v>31206550</v>
      </c>
      <c r="P8" s="31">
        <f>2116407-6</f>
        <v>2116401</v>
      </c>
      <c r="Q8" s="29">
        <f>L8</f>
        <v>0.06783</v>
      </c>
      <c r="R8" s="58">
        <v>23590</v>
      </c>
      <c r="S8" s="28">
        <v>34716104</v>
      </c>
      <c r="T8" s="31">
        <f>2354353+6</f>
        <v>2354359</v>
      </c>
      <c r="U8" s="29">
        <f>Q8</f>
        <v>0.06783</v>
      </c>
      <c r="V8" s="58">
        <v>23589</v>
      </c>
      <c r="W8" s="28">
        <v>30668454</v>
      </c>
      <c r="X8" s="31">
        <f>2080694+6</f>
        <v>2080700</v>
      </c>
      <c r="Y8" s="29">
        <f>U8</f>
        <v>0.06783</v>
      </c>
      <c r="Z8" s="58">
        <v>23563</v>
      </c>
      <c r="AA8" s="28">
        <v>29925612</v>
      </c>
      <c r="AB8" s="31">
        <f>2029778-6</f>
        <v>2029772</v>
      </c>
      <c r="AC8" s="29">
        <f>Y8</f>
        <v>0.06783</v>
      </c>
      <c r="AD8" s="58">
        <v>23678</v>
      </c>
      <c r="AE8" s="28">
        <v>24380206</v>
      </c>
      <c r="AF8" s="31">
        <f>1653324+12+149.1</f>
        <v>1653485.1</v>
      </c>
      <c r="AG8" s="29">
        <f>AC8</f>
        <v>0.06783</v>
      </c>
      <c r="AH8" s="58">
        <v>23642</v>
      </c>
      <c r="AI8" s="28">
        <v>18038128</v>
      </c>
      <c r="AJ8" s="31">
        <f>1223428+6</f>
        <v>1223434</v>
      </c>
      <c r="AK8" s="29">
        <f>AG8</f>
        <v>0.06783</v>
      </c>
      <c r="AL8" s="58">
        <v>23664</v>
      </c>
      <c r="AM8" s="28">
        <v>19556314</v>
      </c>
      <c r="AN8" s="31">
        <f>1327154-6</f>
        <v>1327148</v>
      </c>
      <c r="AO8" s="41">
        <f>AK8</f>
        <v>0.06783</v>
      </c>
      <c r="AP8" s="58">
        <v>23727</v>
      </c>
      <c r="AQ8" s="28">
        <v>22934358</v>
      </c>
      <c r="AR8" s="31">
        <f>1561429+6-5766.21</f>
        <v>1555668.79</v>
      </c>
      <c r="AS8" s="29">
        <f>AO8</f>
        <v>0.06783</v>
      </c>
      <c r="AT8" s="58">
        <v>23725</v>
      </c>
      <c r="AU8" s="28">
        <v>29537005</v>
      </c>
      <c r="AV8" s="31">
        <f>2003778+1511.68</f>
        <v>2005289.68</v>
      </c>
      <c r="AW8" s="29">
        <f>AS8</f>
        <v>0.06783</v>
      </c>
      <c r="AX8" s="58">
        <v>23801</v>
      </c>
      <c r="AY8" s="28">
        <v>24863588</v>
      </c>
      <c r="AZ8" s="31">
        <v>1686768</v>
      </c>
      <c r="BB8">
        <f>AW8</f>
        <v>0.06783</v>
      </c>
      <c r="BC8" s="2">
        <f>D8+H8+M8+R8+V8+Z8+AD8+AH8+AL8+AP8+AT8+AX8</f>
        <v>283455</v>
      </c>
      <c r="BD8" s="2">
        <f>E8+I8+O8+S8+W8+AA8+AE8+AI8+AM8+AQ8+AU8+AY8</f>
        <v>305564403</v>
      </c>
      <c r="BE8" s="2">
        <f>F8+J8+P8+T8+X8+AB8+AF8+AJ8+AN8+AR8+AV8+AZ8</f>
        <v>20729245.57</v>
      </c>
      <c r="BF8" s="2"/>
      <c r="BH8" s="2"/>
      <c r="BI8" s="2"/>
      <c r="BJ8" s="2"/>
      <c r="BO8" s="2" t="e">
        <f>#REF!+#REF!+#REF!+#REF!+#REF!+#REF!+#REF!+#REF!+#REF!+#REF!+#REF!+#REF!</f>
        <v>#REF!</v>
      </c>
      <c r="BP8" s="2" t="e">
        <f>#REF!+#REF!+#REF!+#REF!+#REF!+#REF!+#REF!+#REF!+#REF!+#REF!+#REF!+#REF!</f>
        <v>#REF!</v>
      </c>
      <c r="BQ8" s="2"/>
      <c r="BR8" s="2"/>
    </row>
    <row r="9" spans="2:61" ht="15.75" hidden="1">
      <c r="B9" t="s">
        <v>16</v>
      </c>
      <c r="F9" s="1">
        <v>111278.36</v>
      </c>
      <c r="J9" s="31">
        <v>228378.51</v>
      </c>
      <c r="K9" s="31"/>
      <c r="P9" s="31">
        <v>344729.73</v>
      </c>
      <c r="T9" s="31">
        <v>334182.26</v>
      </c>
      <c r="X9" s="31">
        <v>138180.46</v>
      </c>
      <c r="AB9" s="31">
        <v>330866.25</v>
      </c>
      <c r="AF9" s="31">
        <v>220125.73</v>
      </c>
      <c r="AJ9" s="31">
        <v>134891.52</v>
      </c>
      <c r="AN9" s="31">
        <v>165536.32</v>
      </c>
      <c r="AR9" s="31">
        <v>228892.63</v>
      </c>
      <c r="AV9" s="31">
        <v>224070.31</v>
      </c>
      <c r="AZ9" s="31">
        <v>95294.02</v>
      </c>
      <c r="BE9" s="2">
        <f>F9+J9+P9+T9+X9+AB9+AF9+AJ9+AN9+AR9+AV9+AZ9</f>
        <v>2556426.1</v>
      </c>
      <c r="BF9" s="10"/>
      <c r="BI9" s="2"/>
    </row>
    <row r="10" spans="2:67" ht="15.75" hidden="1">
      <c r="B10" t="s">
        <v>99</v>
      </c>
      <c r="F10" s="24">
        <v>125235.65</v>
      </c>
      <c r="J10" s="24">
        <v>118142.28</v>
      </c>
      <c r="K10" s="24"/>
      <c r="P10" s="24">
        <v>172524.22</v>
      </c>
      <c r="T10" s="24">
        <v>213774.96</v>
      </c>
      <c r="X10" s="24">
        <v>93510.99</v>
      </c>
      <c r="AB10" s="24">
        <v>136149</v>
      </c>
      <c r="AF10" s="24">
        <f>120884.43-149.1</f>
        <v>120735.32999999999</v>
      </c>
      <c r="AJ10" s="24">
        <v>94187.04</v>
      </c>
      <c r="AN10" s="24">
        <v>98802.84</v>
      </c>
      <c r="AR10" s="24">
        <f>122651.49+5766.21</f>
        <v>128417.70000000001</v>
      </c>
      <c r="AV10" s="24">
        <f>167032.21+1511.68</f>
        <v>168543.88999999998</v>
      </c>
      <c r="AZ10" s="24">
        <v>170496.56</v>
      </c>
      <c r="BE10" s="2">
        <f>F10+J10+P10+T10+X10+AB10+AF10+AJ10+AN10+AR10+AV10+AZ10</f>
        <v>1640520.46</v>
      </c>
      <c r="BO10" t="s">
        <v>4</v>
      </c>
    </row>
    <row r="11" spans="2:57" ht="15.75" hidden="1">
      <c r="B11" t="s">
        <v>17</v>
      </c>
      <c r="F11" s="24">
        <f>SUM(F7:F10)</f>
        <v>1745434.81</v>
      </c>
      <c r="J11" s="24">
        <f>SUM(J7:J10)</f>
        <v>1784751.04</v>
      </c>
      <c r="K11" s="24"/>
      <c r="P11" s="24">
        <f>SUM(P7:P10)</f>
        <v>2759417.4000000004</v>
      </c>
      <c r="T11" s="24">
        <f>SUM(T7:T10)</f>
        <v>3028415.7199999997</v>
      </c>
      <c r="X11" s="24">
        <f>SUM(X7:X10)</f>
        <v>2438469.5500000003</v>
      </c>
      <c r="AB11" s="24">
        <f>SUM(AB7:AB10)</f>
        <v>2622731.6</v>
      </c>
      <c r="AE11" s="25"/>
      <c r="AF11" s="24">
        <f>SUM(AF7:AF10)</f>
        <v>2121135.81</v>
      </c>
      <c r="AJ11" s="24">
        <f>SUM(AJ7:AJ10)</f>
        <v>1578868.86</v>
      </c>
      <c r="AN11" s="24">
        <f>SUM(AN7:AN10)</f>
        <v>1717923.7100000002</v>
      </c>
      <c r="AR11" s="24">
        <f>SUM(AR7:AR10)</f>
        <v>2039806.22</v>
      </c>
      <c r="AU11" s="25"/>
      <c r="AV11" s="24">
        <f>SUM(AV7:AV10)</f>
        <v>2524709.58</v>
      </c>
      <c r="AZ11" s="24">
        <f>SUM(AZ7:AZ10)</f>
        <v>2079749.48</v>
      </c>
      <c r="BE11" s="10">
        <f>SUM(BE7:BE10)</f>
        <v>26441413.78</v>
      </c>
    </row>
    <row r="12" spans="3:68" ht="15.75" hidden="1">
      <c r="C12" s="7" t="s">
        <v>5</v>
      </c>
      <c r="D12" s="7" t="s">
        <v>8</v>
      </c>
      <c r="E12" s="7" t="s">
        <v>6</v>
      </c>
      <c r="F12" s="7" t="s">
        <v>7</v>
      </c>
      <c r="G12" s="38" t="s">
        <v>5</v>
      </c>
      <c r="H12" s="57" t="s">
        <v>8</v>
      </c>
      <c r="I12" s="7" t="s">
        <v>6</v>
      </c>
      <c r="J12" s="7" t="s">
        <v>7</v>
      </c>
      <c r="K12" s="7"/>
      <c r="L12" s="38" t="s">
        <v>5</v>
      </c>
      <c r="M12" s="57" t="s">
        <v>8</v>
      </c>
      <c r="N12" s="57"/>
      <c r="O12" s="7" t="s">
        <v>6</v>
      </c>
      <c r="P12" s="7" t="s">
        <v>7</v>
      </c>
      <c r="Q12" s="38" t="s">
        <v>5</v>
      </c>
      <c r="R12" s="57" t="s">
        <v>8</v>
      </c>
      <c r="S12" s="7" t="s">
        <v>6</v>
      </c>
      <c r="T12" s="7" t="s">
        <v>7</v>
      </c>
      <c r="U12" s="38" t="s">
        <v>5</v>
      </c>
      <c r="V12" s="57" t="s">
        <v>8</v>
      </c>
      <c r="W12" s="7" t="s">
        <v>6</v>
      </c>
      <c r="X12" s="7" t="s">
        <v>7</v>
      </c>
      <c r="Y12" s="38" t="s">
        <v>5</v>
      </c>
      <c r="Z12" s="57" t="s">
        <v>8</v>
      </c>
      <c r="AA12" s="7" t="s">
        <v>6</v>
      </c>
      <c r="AB12" s="7" t="s">
        <v>7</v>
      </c>
      <c r="AC12" s="38" t="s">
        <v>5</v>
      </c>
      <c r="AD12" s="57" t="s">
        <v>8</v>
      </c>
      <c r="AE12" s="7" t="s">
        <v>6</v>
      </c>
      <c r="AF12" s="7" t="s">
        <v>7</v>
      </c>
      <c r="AG12" s="38" t="s">
        <v>5</v>
      </c>
      <c r="AH12" s="57" t="s">
        <v>8</v>
      </c>
      <c r="AI12" s="7" t="s">
        <v>6</v>
      </c>
      <c r="AJ12" s="7" t="s">
        <v>7</v>
      </c>
      <c r="AK12" s="38" t="s">
        <v>5</v>
      </c>
      <c r="AL12" s="57" t="s">
        <v>8</v>
      </c>
      <c r="AM12" s="7" t="s">
        <v>6</v>
      </c>
      <c r="AN12" s="7" t="s">
        <v>7</v>
      </c>
      <c r="AO12" s="38" t="s">
        <v>5</v>
      </c>
      <c r="AP12" s="57" t="s">
        <v>8</v>
      </c>
      <c r="AQ12" s="7" t="s">
        <v>6</v>
      </c>
      <c r="AR12" s="7" t="s">
        <v>7</v>
      </c>
      <c r="AS12" s="38" t="s">
        <v>5</v>
      </c>
      <c r="AT12" s="57" t="s">
        <v>8</v>
      </c>
      <c r="AU12" s="7" t="s">
        <v>6</v>
      </c>
      <c r="AV12" s="7" t="s">
        <v>7</v>
      </c>
      <c r="AW12" s="38" t="s">
        <v>5</v>
      </c>
      <c r="AX12" s="57" t="s">
        <v>8</v>
      </c>
      <c r="AY12" s="7" t="s">
        <v>6</v>
      </c>
      <c r="AZ12" s="7" t="s">
        <v>7</v>
      </c>
      <c r="BB12" s="7" t="s">
        <v>5</v>
      </c>
      <c r="BC12" s="7" t="s">
        <v>8</v>
      </c>
      <c r="BD12" s="7" t="s">
        <v>6</v>
      </c>
      <c r="BE12" s="7" t="s">
        <v>7</v>
      </c>
      <c r="BF12" s="7"/>
      <c r="BO12" t="s">
        <v>9</v>
      </c>
      <c r="BP12" s="7" t="s">
        <v>10</v>
      </c>
    </row>
    <row r="13" ht="15.75" hidden="1">
      <c r="B13" t="s">
        <v>18</v>
      </c>
    </row>
    <row r="14" spans="2:70" ht="15.75" hidden="1">
      <c r="B14" t="s">
        <v>19</v>
      </c>
      <c r="C14">
        <v>0.04389</v>
      </c>
      <c r="D14">
        <v>235</v>
      </c>
      <c r="E14" s="28">
        <v>10675</v>
      </c>
      <c r="F14" s="31">
        <v>454</v>
      </c>
      <c r="G14" s="29">
        <f>C14</f>
        <v>0.04389</v>
      </c>
      <c r="H14" s="28">
        <v>237</v>
      </c>
      <c r="I14" s="28">
        <v>109322</v>
      </c>
      <c r="J14" s="31">
        <v>4798</v>
      </c>
      <c r="K14" s="31"/>
      <c r="L14" s="29">
        <f>G14</f>
        <v>0.04389</v>
      </c>
      <c r="M14" s="28">
        <v>234</v>
      </c>
      <c r="O14" s="28">
        <v>320235</v>
      </c>
      <c r="P14" s="31">
        <v>14055</v>
      </c>
      <c r="Q14" s="29">
        <f>L14</f>
        <v>0.04389</v>
      </c>
      <c r="R14" s="28">
        <v>233</v>
      </c>
      <c r="S14" s="28">
        <v>373243</v>
      </c>
      <c r="T14" s="31">
        <v>16382</v>
      </c>
      <c r="U14" s="29">
        <f>Q14</f>
        <v>0.04389</v>
      </c>
      <c r="V14" s="28">
        <v>236</v>
      </c>
      <c r="W14" s="28">
        <v>336088</v>
      </c>
      <c r="X14" s="31">
        <v>14751</v>
      </c>
      <c r="Y14" s="29">
        <f>U14</f>
        <v>0.04389</v>
      </c>
      <c r="Z14" s="28">
        <v>236</v>
      </c>
      <c r="AA14" s="28">
        <v>336935</v>
      </c>
      <c r="AB14" s="31">
        <v>14788</v>
      </c>
      <c r="AC14" s="29">
        <f>Y14</f>
        <v>0.04389</v>
      </c>
      <c r="AD14" s="28">
        <v>236</v>
      </c>
      <c r="AE14" s="28">
        <v>242728</v>
      </c>
      <c r="AF14" s="31">
        <v>10653</v>
      </c>
      <c r="AG14" s="29">
        <f>AC14</f>
        <v>0.04389</v>
      </c>
      <c r="AH14" s="28">
        <v>235</v>
      </c>
      <c r="AI14" s="28">
        <v>76426</v>
      </c>
      <c r="AJ14" s="31">
        <v>3354</v>
      </c>
      <c r="AK14" s="29">
        <f>AG14</f>
        <v>0.04389</v>
      </c>
      <c r="AL14" s="28">
        <v>238</v>
      </c>
      <c r="AM14" s="28">
        <v>32635</v>
      </c>
      <c r="AN14" s="31">
        <v>1432</v>
      </c>
      <c r="AO14" s="41">
        <f>AK14</f>
        <v>0.04389</v>
      </c>
      <c r="AP14" s="28">
        <v>235</v>
      </c>
      <c r="AQ14" s="28">
        <v>4359</v>
      </c>
      <c r="AR14" s="31">
        <f>236.46-43.54</f>
        <v>192.92000000000002</v>
      </c>
      <c r="AS14" s="29">
        <f>AO14</f>
        <v>0.04389</v>
      </c>
      <c r="AT14" s="28">
        <v>228</v>
      </c>
      <c r="AU14" s="28">
        <v>2070</v>
      </c>
      <c r="AV14" s="31">
        <f>106.73-15.73</f>
        <v>91</v>
      </c>
      <c r="AW14" s="29">
        <f>AS14</f>
        <v>0.04389</v>
      </c>
      <c r="AX14" s="28">
        <v>236</v>
      </c>
      <c r="AY14" s="28">
        <v>1079</v>
      </c>
      <c r="AZ14" s="31">
        <f>51.54-4.16</f>
        <v>47.379999999999995</v>
      </c>
      <c r="BB14">
        <f>AW14</f>
        <v>0.04389</v>
      </c>
      <c r="BC14" s="2">
        <f>D14+H14+M14+R14+V14+Z14+AD14+AH14+AL14+AP14+AT14+AX14</f>
        <v>2819</v>
      </c>
      <c r="BD14" s="2">
        <f>E14+I14+O14+S14+W14+AA14+AE14+AI14+AM14+AQ14+AU14+AY14</f>
        <v>1845795</v>
      </c>
      <c r="BE14" s="2">
        <f>F14+J14+P14+T14+X14+AB14+AF14+AJ14+AN14+AR14+AV14+AZ14</f>
        <v>80998.3</v>
      </c>
      <c r="BF14" s="2"/>
      <c r="BH14" s="2"/>
      <c r="BI14" s="2"/>
      <c r="BJ14" s="2"/>
      <c r="BO14" s="2" t="e">
        <f>#REF!+#REF!+#REF!+#REF!+#REF!+#REF!+#REF!+#REF!+#REF!+#REF!+#REF!+#REF!</f>
        <v>#REF!</v>
      </c>
      <c r="BP14" s="2" t="e">
        <f>#REF!+#REF!+#REF!+#REF!+#REF!+#REF!+#REF!+#REF!+#REF!+#REF!+#REF!+#REF!</f>
        <v>#REF!</v>
      </c>
      <c r="BQ14" s="2"/>
      <c r="BR14" s="2"/>
    </row>
    <row r="15" spans="2:61" ht="15.75" hidden="1">
      <c r="B15" t="s">
        <v>16</v>
      </c>
      <c r="F15" s="31">
        <v>58.22</v>
      </c>
      <c r="J15" s="31">
        <v>1290</v>
      </c>
      <c r="K15" s="31"/>
      <c r="P15" s="31">
        <v>3538.02</v>
      </c>
      <c r="T15" s="31">
        <v>3592.84</v>
      </c>
      <c r="X15" s="31">
        <v>1514.78</v>
      </c>
      <c r="AB15" s="31">
        <v>3725.11</v>
      </c>
      <c r="AF15" s="31">
        <v>2191.61</v>
      </c>
      <c r="AJ15" s="31">
        <v>571.56</v>
      </c>
      <c r="AN15" s="31">
        <v>276.21</v>
      </c>
      <c r="AR15" s="31">
        <v>43.54</v>
      </c>
      <c r="AV15" s="31">
        <v>15.73</v>
      </c>
      <c r="AZ15" s="31">
        <v>4.16</v>
      </c>
      <c r="BE15" s="2">
        <f>F15+J15+P15+T15+X15+AB15+AF15+AJ15+AN15+AR15+AV15+AZ15</f>
        <v>16821.780000000002</v>
      </c>
      <c r="BF15" s="10"/>
      <c r="BI15" s="2"/>
    </row>
    <row r="16" spans="2:68" ht="15.75" hidden="1">
      <c r="B16" t="s">
        <v>99</v>
      </c>
      <c r="F16" s="31">
        <v>1.93</v>
      </c>
      <c r="J16" s="24">
        <v>5.42</v>
      </c>
      <c r="K16" s="24"/>
      <c r="P16" s="24">
        <v>7.25</v>
      </c>
      <c r="T16" s="24">
        <v>6.66</v>
      </c>
      <c r="X16" s="24">
        <v>3.16</v>
      </c>
      <c r="AB16" s="24">
        <v>5.31</v>
      </c>
      <c r="AF16" s="24">
        <v>0</v>
      </c>
      <c r="AJ16" s="24">
        <v>2.9</v>
      </c>
      <c r="AN16" s="24">
        <v>3.37</v>
      </c>
      <c r="AR16" s="24">
        <v>0</v>
      </c>
      <c r="AV16" s="24">
        <v>0</v>
      </c>
      <c r="AZ16" s="24">
        <v>0</v>
      </c>
      <c r="BD16" s="2"/>
      <c r="BE16" s="2">
        <f>F16+J16+P16+T16+X16+AB16+AF16+AJ16+AN16+AR16+AV16+AZ16</f>
        <v>35.99999999999999</v>
      </c>
      <c r="BF16" s="2"/>
      <c r="BH16" s="2"/>
      <c r="BI16" s="2"/>
      <c r="BJ16" s="2"/>
      <c r="BO16" s="2"/>
      <c r="BP16" s="2"/>
    </row>
    <row r="17" spans="2:67" ht="15.75" hidden="1">
      <c r="B17" t="s">
        <v>17</v>
      </c>
      <c r="F17" s="24">
        <f>SUM(F14:F16)</f>
        <v>514.15</v>
      </c>
      <c r="J17" s="24">
        <f>SUM(J13:J16)</f>
        <v>6093.42</v>
      </c>
      <c r="K17" s="24"/>
      <c r="O17" s="24"/>
      <c r="P17" s="24">
        <f>SUM(P13:P16)</f>
        <v>17600.27</v>
      </c>
      <c r="T17" s="24">
        <f>SUM(T13:T16)</f>
        <v>19981.5</v>
      </c>
      <c r="X17" s="24">
        <f>SUM(X13:X16)</f>
        <v>16268.94</v>
      </c>
      <c r="AB17" s="24">
        <f>SUM(AB13:AB16)</f>
        <v>18518.420000000002</v>
      </c>
      <c r="AF17" s="24">
        <f>SUM(AF13:AF16)</f>
        <v>12844.61</v>
      </c>
      <c r="AJ17" s="24">
        <f>SUM(AJ13:AJ16)</f>
        <v>3928.46</v>
      </c>
      <c r="AN17" s="24">
        <f>SUM(AN13:AN16)</f>
        <v>1711.58</v>
      </c>
      <c r="AR17" s="24">
        <f>SUM(AR13:AR16)</f>
        <v>236.46</v>
      </c>
      <c r="AV17" s="24">
        <f>SUM(AV13:AV16)</f>
        <v>106.73</v>
      </c>
      <c r="AZ17" s="24">
        <f>SUM(AZ13:AZ16)</f>
        <v>51.53999999999999</v>
      </c>
      <c r="BE17" s="10">
        <f>SUM(BE13:BE16)</f>
        <v>97856.08</v>
      </c>
      <c r="BO17" t="s">
        <v>4</v>
      </c>
    </row>
    <row r="18" spans="3:68" ht="15.75" hidden="1">
      <c r="C18" s="7" t="s">
        <v>5</v>
      </c>
      <c r="D18" s="7" t="s">
        <v>8</v>
      </c>
      <c r="E18" s="7" t="s">
        <v>6</v>
      </c>
      <c r="F18" s="7" t="s">
        <v>7</v>
      </c>
      <c r="G18" s="38" t="s">
        <v>5</v>
      </c>
      <c r="H18" s="57" t="s">
        <v>8</v>
      </c>
      <c r="I18" s="7" t="s">
        <v>6</v>
      </c>
      <c r="J18" s="7" t="s">
        <v>7</v>
      </c>
      <c r="K18" s="7"/>
      <c r="L18" s="38" t="s">
        <v>5</v>
      </c>
      <c r="M18" s="57" t="s">
        <v>8</v>
      </c>
      <c r="N18" s="57"/>
      <c r="O18" s="7" t="s">
        <v>6</v>
      </c>
      <c r="P18" s="7" t="s">
        <v>7</v>
      </c>
      <c r="Q18" s="38" t="s">
        <v>5</v>
      </c>
      <c r="R18" s="57" t="s">
        <v>8</v>
      </c>
      <c r="S18" s="7" t="s">
        <v>6</v>
      </c>
      <c r="T18" s="7" t="s">
        <v>7</v>
      </c>
      <c r="U18" s="38" t="s">
        <v>5</v>
      </c>
      <c r="V18" s="57" t="s">
        <v>8</v>
      </c>
      <c r="W18" s="7" t="s">
        <v>6</v>
      </c>
      <c r="X18" s="7" t="s">
        <v>7</v>
      </c>
      <c r="Y18" s="38" t="s">
        <v>5</v>
      </c>
      <c r="Z18" s="57" t="s">
        <v>8</v>
      </c>
      <c r="AA18" s="7" t="s">
        <v>6</v>
      </c>
      <c r="AB18" s="7" t="s">
        <v>7</v>
      </c>
      <c r="AC18" s="38" t="s">
        <v>5</v>
      </c>
      <c r="AD18" s="57" t="s">
        <v>8</v>
      </c>
      <c r="AE18" s="7" t="s">
        <v>6</v>
      </c>
      <c r="AF18" s="7" t="s">
        <v>7</v>
      </c>
      <c r="AG18" s="38" t="s">
        <v>5</v>
      </c>
      <c r="AH18" s="57" t="s">
        <v>8</v>
      </c>
      <c r="AI18" s="7" t="s">
        <v>6</v>
      </c>
      <c r="AJ18" s="7" t="s">
        <v>7</v>
      </c>
      <c r="AK18" s="38" t="s">
        <v>5</v>
      </c>
      <c r="AL18" s="57" t="s">
        <v>8</v>
      </c>
      <c r="AM18" s="7" t="s">
        <v>6</v>
      </c>
      <c r="AN18" s="7" t="s">
        <v>7</v>
      </c>
      <c r="AO18" s="38" t="s">
        <v>5</v>
      </c>
      <c r="AP18" s="57" t="s">
        <v>8</v>
      </c>
      <c r="AQ18" s="7" t="s">
        <v>6</v>
      </c>
      <c r="AR18" s="7" t="s">
        <v>7</v>
      </c>
      <c r="AS18" s="38" t="s">
        <v>5</v>
      </c>
      <c r="AT18" s="57" t="s">
        <v>8</v>
      </c>
      <c r="AU18" s="7" t="s">
        <v>6</v>
      </c>
      <c r="AV18" s="7" t="s">
        <v>7</v>
      </c>
      <c r="AW18" s="38" t="s">
        <v>5</v>
      </c>
      <c r="AX18" s="57" t="s">
        <v>8</v>
      </c>
      <c r="AY18" s="7" t="s">
        <v>6</v>
      </c>
      <c r="AZ18" s="7" t="s">
        <v>7</v>
      </c>
      <c r="BB18" s="7" t="s">
        <v>5</v>
      </c>
      <c r="BC18" s="7" t="s">
        <v>8</v>
      </c>
      <c r="BD18" s="7" t="s">
        <v>6</v>
      </c>
      <c r="BE18" s="7" t="s">
        <v>7</v>
      </c>
      <c r="BF18" s="7"/>
      <c r="BO18" t="s">
        <v>9</v>
      </c>
      <c r="BP18" s="7" t="s">
        <v>10</v>
      </c>
    </row>
    <row r="19" ht="15.75" hidden="1">
      <c r="B19" t="s">
        <v>20</v>
      </c>
    </row>
    <row r="20" spans="2:70" ht="15.75" hidden="1">
      <c r="B20" t="s">
        <v>21</v>
      </c>
      <c r="C20" s="25">
        <v>5.4</v>
      </c>
      <c r="E20">
        <v>0</v>
      </c>
      <c r="F20" s="31">
        <v>1566</v>
      </c>
      <c r="G20" s="40">
        <f>C20</f>
        <v>5.4</v>
      </c>
      <c r="J20" s="31">
        <v>1582.2</v>
      </c>
      <c r="K20" s="31"/>
      <c r="L20" s="29">
        <f>G20</f>
        <v>5.4</v>
      </c>
      <c r="P20" s="31">
        <v>1593</v>
      </c>
      <c r="Q20" s="29">
        <f>L20</f>
        <v>5.4</v>
      </c>
      <c r="T20" s="31">
        <v>1587.6</v>
      </c>
      <c r="U20" s="29">
        <f>Q20</f>
        <v>5.4</v>
      </c>
      <c r="X20" s="31">
        <v>1582.2</v>
      </c>
      <c r="Y20" s="29">
        <f>U20</f>
        <v>5.4</v>
      </c>
      <c r="AB20" s="31">
        <v>1576.8</v>
      </c>
      <c r="AC20" s="29">
        <f>Y20</f>
        <v>5.4</v>
      </c>
      <c r="AF20" s="31">
        <v>1593</v>
      </c>
      <c r="AG20" s="29">
        <f>AC20</f>
        <v>5.4</v>
      </c>
      <c r="AJ20" s="31">
        <v>1576.8</v>
      </c>
      <c r="AK20" s="29">
        <f>AG20</f>
        <v>5.4</v>
      </c>
      <c r="AN20" s="31">
        <v>1539</v>
      </c>
      <c r="AO20" s="29">
        <f>AK20</f>
        <v>5.4</v>
      </c>
      <c r="AR20" s="31">
        <v>1549.8</v>
      </c>
      <c r="AS20" s="29">
        <f>AO20</f>
        <v>5.4</v>
      </c>
      <c r="AV20" s="31">
        <v>1539</v>
      </c>
      <c r="AW20" s="29">
        <f>AS20</f>
        <v>5.4</v>
      </c>
      <c r="AZ20" s="31">
        <v>1549.8</v>
      </c>
      <c r="BB20">
        <f>AW20</f>
        <v>5.4</v>
      </c>
      <c r="BD20" s="2"/>
      <c r="BE20" s="2">
        <f>F20+J20+P20+T20+X20+AB20+AF20+AJ20+AN20+AR20+AV20+AZ20</f>
        <v>18835.199999999997</v>
      </c>
      <c r="BF20" s="2"/>
      <c r="BH20" s="2"/>
      <c r="BI20" s="2"/>
      <c r="BJ20" s="2"/>
      <c r="BO20" s="2" t="e">
        <f>#REF!+#REF!+#REF!+#REF!+#REF!+#REF!+#REF!+#REF!+#REF!+#REF!+#REF!+#REF!</f>
        <v>#REF!</v>
      </c>
      <c r="BP20" s="2" t="e">
        <f>#REF!+#REF!+#REF!+#REF!+#REF!+#REF!+#REF!+#REF!+#REF!+#REF!+#REF!+#REF!</f>
        <v>#REF!</v>
      </c>
      <c r="BQ20" s="2"/>
      <c r="BR20" s="2"/>
    </row>
    <row r="21" spans="2:70" ht="15.75" hidden="1">
      <c r="B21" t="s">
        <v>13</v>
      </c>
      <c r="C21">
        <v>0.07522</v>
      </c>
      <c r="D21" s="2">
        <v>292</v>
      </c>
      <c r="E21" s="28">
        <v>287603</v>
      </c>
      <c r="F21" s="31">
        <v>21655</v>
      </c>
      <c r="G21" s="29">
        <f>C21</f>
        <v>0.07522</v>
      </c>
      <c r="H21" s="58">
        <v>295</v>
      </c>
      <c r="I21" s="28">
        <v>221945</v>
      </c>
      <c r="J21" s="31">
        <v>16717</v>
      </c>
      <c r="K21" s="31"/>
      <c r="L21" s="29">
        <f>G21</f>
        <v>0.07522</v>
      </c>
      <c r="M21" s="58">
        <v>297</v>
      </c>
      <c r="N21" s="58"/>
      <c r="O21" s="28">
        <v>329341</v>
      </c>
      <c r="P21" s="31">
        <v>24794</v>
      </c>
      <c r="Q21" s="29">
        <f>L21</f>
        <v>0.07522</v>
      </c>
      <c r="R21" s="58">
        <v>296</v>
      </c>
      <c r="S21" s="28">
        <v>367735</v>
      </c>
      <c r="T21" s="31">
        <v>27684</v>
      </c>
      <c r="U21" s="29">
        <f>Q21</f>
        <v>0.07522</v>
      </c>
      <c r="V21" s="58">
        <v>295</v>
      </c>
      <c r="W21" s="28">
        <v>331303</v>
      </c>
      <c r="X21" s="31">
        <v>24939</v>
      </c>
      <c r="Y21" s="29">
        <f>U21</f>
        <v>0.07522</v>
      </c>
      <c r="Z21" s="58">
        <v>294</v>
      </c>
      <c r="AA21" s="28">
        <v>318321</v>
      </c>
      <c r="AB21" s="31">
        <v>23961</v>
      </c>
      <c r="AC21" s="29">
        <f>Y21</f>
        <v>0.07522</v>
      </c>
      <c r="AD21" s="58">
        <v>297</v>
      </c>
      <c r="AE21" s="28">
        <v>265547</v>
      </c>
      <c r="AF21" s="31">
        <v>19991</v>
      </c>
      <c r="AG21" s="29">
        <f>AC21</f>
        <v>0.07522</v>
      </c>
      <c r="AH21" s="58">
        <v>294</v>
      </c>
      <c r="AI21" s="28">
        <v>219792</v>
      </c>
      <c r="AJ21" s="31">
        <v>16544</v>
      </c>
      <c r="AK21" s="29">
        <f>AG21</f>
        <v>0.07522</v>
      </c>
      <c r="AL21" s="58">
        <v>288</v>
      </c>
      <c r="AM21" s="28">
        <v>250489</v>
      </c>
      <c r="AN21" s="31">
        <v>18864</v>
      </c>
      <c r="AO21" s="41">
        <f>AK21</f>
        <v>0.07522</v>
      </c>
      <c r="AP21" s="58">
        <v>290</v>
      </c>
      <c r="AQ21" s="28">
        <v>342847</v>
      </c>
      <c r="AR21" s="31">
        <v>25695</v>
      </c>
      <c r="AS21" s="29">
        <f>AO21</f>
        <v>0.07522</v>
      </c>
      <c r="AT21" s="58">
        <v>288</v>
      </c>
      <c r="AU21" s="28">
        <v>441790</v>
      </c>
      <c r="AV21" s="31">
        <v>33325</v>
      </c>
      <c r="AW21" s="29">
        <f>AS21</f>
        <v>0.07522</v>
      </c>
      <c r="AX21" s="58">
        <v>290</v>
      </c>
      <c r="AY21" s="28">
        <v>365989</v>
      </c>
      <c r="AZ21" s="31">
        <v>27530</v>
      </c>
      <c r="BB21">
        <f>AW21</f>
        <v>0.07522</v>
      </c>
      <c r="BC21" s="2">
        <f>D21+H21+M21+R21+V21+Z21+AD21+AH21+AL21+AP21+AT21+AX21</f>
        <v>3516</v>
      </c>
      <c r="BD21" s="2">
        <f>E21+I21+O21+S21+W21+AA21+AE21+AI21+AM21+AQ21+AU21+AY21</f>
        <v>3742702</v>
      </c>
      <c r="BE21" s="2">
        <f>F21+J21+P21+T21+X21+AB21+AF21+AJ21+AN21+AR21+AV21+AZ21</f>
        <v>281699</v>
      </c>
      <c r="BF21" s="2"/>
      <c r="BH21" s="2"/>
      <c r="BI21" s="2"/>
      <c r="BJ21" s="2"/>
      <c r="BO21" s="2" t="e">
        <f>#REF!+#REF!+#REF!+#REF!+#REF!+#REF!+#REF!+#REF!+#REF!+#REF!+#REF!+#REF!</f>
        <v>#REF!</v>
      </c>
      <c r="BP21" s="2" t="e">
        <f>#REF!+#REF!+#REF!+#REF!+#REF!+#REF!+#REF!+#REF!+#REF!+#REF!+#REF!+#REF!</f>
        <v>#REF!</v>
      </c>
      <c r="BQ21" s="2"/>
      <c r="BR21" s="2"/>
    </row>
    <row r="22" spans="2:61" ht="15.75" hidden="1">
      <c r="B22" t="s">
        <v>16</v>
      </c>
      <c r="F22" s="31">
        <v>1569</v>
      </c>
      <c r="J22" s="31">
        <v>2619.41</v>
      </c>
      <c r="K22" s="31"/>
      <c r="P22" s="31">
        <v>3638.6</v>
      </c>
      <c r="T22" s="31">
        <v>3539.78</v>
      </c>
      <c r="X22" s="31">
        <v>1493.21</v>
      </c>
      <c r="AB22" s="31">
        <v>3519.33</v>
      </c>
      <c r="AF22" s="31">
        <v>2397.6</v>
      </c>
      <c r="AJ22" s="31">
        <v>1643.8</v>
      </c>
      <c r="AN22" s="31">
        <v>2120.12</v>
      </c>
      <c r="AR22" s="31">
        <v>3422.15</v>
      </c>
      <c r="AV22" s="31">
        <v>3348.45</v>
      </c>
      <c r="AZ22" s="31">
        <v>1402.82</v>
      </c>
      <c r="BE22" s="2">
        <f>F22+J22+P22+T22+X22+AB22+AF22+AJ22+AN22+AR22+AV22+AZ22</f>
        <v>30714.27</v>
      </c>
      <c r="BF22" s="10"/>
      <c r="BI22" s="2"/>
    </row>
    <row r="23" spans="2:61" ht="15.75" hidden="1">
      <c r="B23" t="s">
        <v>99</v>
      </c>
      <c r="F23" s="31">
        <v>1976.41</v>
      </c>
      <c r="J23" s="24">
        <v>1553.02</v>
      </c>
      <c r="K23" s="24"/>
      <c r="P23" s="24">
        <v>2055.22</v>
      </c>
      <c r="T23" s="24">
        <v>2549.78</v>
      </c>
      <c r="X23" s="24">
        <v>1155.35</v>
      </c>
      <c r="AB23" s="24">
        <v>1637.3</v>
      </c>
      <c r="AF23" s="24">
        <v>1497.02</v>
      </c>
      <c r="AJ23" s="24">
        <v>1309.37</v>
      </c>
      <c r="AN23" s="24">
        <v>1462.16</v>
      </c>
      <c r="AR23" s="24">
        <v>2218.3</v>
      </c>
      <c r="AV23" s="24">
        <v>2684.23</v>
      </c>
      <c r="AZ23" s="24">
        <v>2797.21</v>
      </c>
      <c r="BE23" s="2">
        <f>F23+J23+P23+T23+X23+AB23+AF23+AJ23+AN23+AR23+AV23+AZ23</f>
        <v>22895.37</v>
      </c>
      <c r="BF23" s="2"/>
      <c r="BH23" s="2"/>
      <c r="BI23" s="2"/>
    </row>
    <row r="24" spans="2:67" ht="15.75" hidden="1">
      <c r="B24" t="s">
        <v>17</v>
      </c>
      <c r="F24" s="24">
        <f>SUM(F20:F23)</f>
        <v>26766.41</v>
      </c>
      <c r="J24" s="24">
        <f>SUM(J20:J23)</f>
        <v>22471.63</v>
      </c>
      <c r="K24" s="24"/>
      <c r="P24" s="24">
        <f>SUM(P20:P23)</f>
        <v>32080.82</v>
      </c>
      <c r="T24" s="24">
        <f>SUM(T20:T23)</f>
        <v>35361.159999999996</v>
      </c>
      <c r="X24" s="24">
        <f>SUM(X20:X23)</f>
        <v>29169.76</v>
      </c>
      <c r="AB24" s="24">
        <f>SUM(AB20:AB23)</f>
        <v>30694.429999999997</v>
      </c>
      <c r="AF24" s="24">
        <f>SUM(AF20:AF23)</f>
        <v>25478.62</v>
      </c>
      <c r="AJ24" s="24">
        <f>SUM(AJ20:AJ23)</f>
        <v>21073.969999999998</v>
      </c>
      <c r="AN24" s="24">
        <f>SUM(AN20:AN23)</f>
        <v>23985.28</v>
      </c>
      <c r="AR24" s="24">
        <f>SUM(AR20:AR23)</f>
        <v>32885.25</v>
      </c>
      <c r="AV24" s="24">
        <f>SUM(AV20:AV23)</f>
        <v>40896.68</v>
      </c>
      <c r="AZ24" s="24">
        <f>SUM(AZ20:AZ23)</f>
        <v>33279.83</v>
      </c>
      <c r="BE24" s="10">
        <f>SUM(BE20:BE23)</f>
        <v>354143.84</v>
      </c>
      <c r="BO24" t="s">
        <v>4</v>
      </c>
    </row>
    <row r="25" spans="3:68" ht="15.75" hidden="1">
      <c r="C25" s="7" t="s">
        <v>5</v>
      </c>
      <c r="D25" s="7" t="s">
        <v>8</v>
      </c>
      <c r="E25" s="7" t="s">
        <v>6</v>
      </c>
      <c r="F25" s="7" t="s">
        <v>7</v>
      </c>
      <c r="G25" s="38" t="s">
        <v>5</v>
      </c>
      <c r="H25" s="57" t="s">
        <v>8</v>
      </c>
      <c r="I25" s="7" t="s">
        <v>6</v>
      </c>
      <c r="J25" s="7" t="s">
        <v>7</v>
      </c>
      <c r="K25" s="7"/>
      <c r="L25" s="38" t="s">
        <v>5</v>
      </c>
      <c r="M25" s="57" t="s">
        <v>8</v>
      </c>
      <c r="N25" s="57"/>
      <c r="O25" s="7" t="s">
        <v>6</v>
      </c>
      <c r="P25" s="7" t="s">
        <v>7</v>
      </c>
      <c r="Q25" s="38" t="s">
        <v>5</v>
      </c>
      <c r="R25" s="57" t="s">
        <v>8</v>
      </c>
      <c r="S25" s="7" t="s">
        <v>6</v>
      </c>
      <c r="T25" s="7" t="s">
        <v>7</v>
      </c>
      <c r="U25" s="38" t="s">
        <v>5</v>
      </c>
      <c r="V25" s="57" t="s">
        <v>8</v>
      </c>
      <c r="W25" s="7" t="s">
        <v>6</v>
      </c>
      <c r="X25" s="7" t="s">
        <v>7</v>
      </c>
      <c r="Y25" s="38" t="s">
        <v>5</v>
      </c>
      <c r="Z25" s="57" t="s">
        <v>8</v>
      </c>
      <c r="AA25" s="7" t="s">
        <v>6</v>
      </c>
      <c r="AB25" s="7" t="s">
        <v>7</v>
      </c>
      <c r="AC25" s="38" t="s">
        <v>5</v>
      </c>
      <c r="AD25" s="57" t="s">
        <v>8</v>
      </c>
      <c r="AE25" s="7" t="s">
        <v>6</v>
      </c>
      <c r="AF25" s="7" t="s">
        <v>7</v>
      </c>
      <c r="AG25" s="38" t="s">
        <v>5</v>
      </c>
      <c r="AH25" s="57" t="s">
        <v>8</v>
      </c>
      <c r="AI25" s="7" t="s">
        <v>6</v>
      </c>
      <c r="AJ25" s="7" t="s">
        <v>7</v>
      </c>
      <c r="AK25" s="38" t="s">
        <v>5</v>
      </c>
      <c r="AL25" s="57" t="s">
        <v>8</v>
      </c>
      <c r="AM25" s="7" t="s">
        <v>6</v>
      </c>
      <c r="AN25" s="7" t="s">
        <v>7</v>
      </c>
      <c r="AO25" s="38" t="s">
        <v>5</v>
      </c>
      <c r="AP25" s="57" t="s">
        <v>8</v>
      </c>
      <c r="AQ25" s="7" t="s">
        <v>6</v>
      </c>
      <c r="AR25" s="7" t="s">
        <v>7</v>
      </c>
      <c r="AS25" s="38" t="s">
        <v>5</v>
      </c>
      <c r="AT25" s="57" t="s">
        <v>8</v>
      </c>
      <c r="AU25" s="7" t="s">
        <v>6</v>
      </c>
      <c r="AV25" s="7" t="s">
        <v>7</v>
      </c>
      <c r="AW25" s="38" t="s">
        <v>5</v>
      </c>
      <c r="AX25" s="57" t="s">
        <v>8</v>
      </c>
      <c r="AY25" s="7" t="s">
        <v>6</v>
      </c>
      <c r="AZ25" s="7" t="s">
        <v>7</v>
      </c>
      <c r="BB25" s="7" t="s">
        <v>5</v>
      </c>
      <c r="BC25" s="7" t="s">
        <v>8</v>
      </c>
      <c r="BD25" s="7" t="s">
        <v>6</v>
      </c>
      <c r="BE25" s="7" t="s">
        <v>7</v>
      </c>
      <c r="BF25" s="7"/>
      <c r="BO25" t="s">
        <v>9</v>
      </c>
      <c r="BP25" s="7" t="s">
        <v>10</v>
      </c>
    </row>
    <row r="26" spans="2:50" ht="15.75" hidden="1">
      <c r="B26" t="s">
        <v>22</v>
      </c>
      <c r="D26" s="2">
        <v>1474</v>
      </c>
      <c r="H26" s="28">
        <v>1489</v>
      </c>
      <c r="M26" s="28">
        <v>1493</v>
      </c>
      <c r="R26" s="28">
        <v>1505</v>
      </c>
      <c r="V26" s="28">
        <v>1497</v>
      </c>
      <c r="Z26" s="28">
        <v>1505</v>
      </c>
      <c r="AD26" s="28">
        <v>1509</v>
      </c>
      <c r="AH26" s="28">
        <v>1511</v>
      </c>
      <c r="AL26" s="28">
        <v>1510</v>
      </c>
      <c r="AP26" s="28">
        <v>1523</v>
      </c>
      <c r="AT26" s="28">
        <v>1515</v>
      </c>
      <c r="AX26" s="28">
        <v>1525</v>
      </c>
    </row>
    <row r="27" spans="2:70" ht="15.75" hidden="1">
      <c r="B27" t="s">
        <v>21</v>
      </c>
      <c r="C27">
        <v>5.27</v>
      </c>
      <c r="F27" s="31">
        <v>6877</v>
      </c>
      <c r="G27" s="29">
        <f>C27</f>
        <v>5.27</v>
      </c>
      <c r="J27" s="31">
        <v>6951.21</v>
      </c>
      <c r="K27" s="31"/>
      <c r="L27" s="29">
        <f>G27</f>
        <v>5.27</v>
      </c>
      <c r="P27" s="31">
        <v>7024.91</v>
      </c>
      <c r="Q27" s="29">
        <f>L27</f>
        <v>5.27</v>
      </c>
      <c r="T27" s="31">
        <v>7103.96</v>
      </c>
      <c r="U27" s="29">
        <f>Q27</f>
        <v>5.27</v>
      </c>
      <c r="X27" s="31">
        <v>7061.8</v>
      </c>
      <c r="Y27" s="29">
        <f>U27</f>
        <v>5.27</v>
      </c>
      <c r="AB27" s="31">
        <v>7098.69</v>
      </c>
      <c r="AC27" s="29">
        <f>Y27</f>
        <v>5.27</v>
      </c>
      <c r="AF27" s="31">
        <v>7072.34</v>
      </c>
      <c r="AG27" s="29">
        <f>AC27</f>
        <v>5.27</v>
      </c>
      <c r="AJ27" s="31">
        <v>7061.8</v>
      </c>
      <c r="AK27" s="29">
        <f>AG27</f>
        <v>5.27</v>
      </c>
      <c r="AN27" s="31">
        <v>7024.91</v>
      </c>
      <c r="AO27" s="29">
        <f>AK27</f>
        <v>5.27</v>
      </c>
      <c r="AR27" s="31">
        <v>7103.96</v>
      </c>
      <c r="AS27" s="29">
        <f>AO27</f>
        <v>5.27</v>
      </c>
      <c r="AV27" s="31">
        <v>7056.53</v>
      </c>
      <c r="AW27" s="29">
        <f>AS27</f>
        <v>5.27</v>
      </c>
      <c r="AZ27" s="31">
        <v>7130.31</v>
      </c>
      <c r="BB27">
        <f>AW27</f>
        <v>5.27</v>
      </c>
      <c r="BD27" s="2"/>
      <c r="BE27" s="2">
        <f>F27+J27+P27+T27+X27+AB27+AF27+AJ27+AN27+AR27+AV27+AZ27</f>
        <v>84567.42000000001</v>
      </c>
      <c r="BF27" s="2"/>
      <c r="BH27" s="2"/>
      <c r="BI27" s="2"/>
      <c r="BJ27" s="2"/>
      <c r="BO27" s="2" t="e">
        <f>#REF!+#REF!+#REF!+#REF!+#REF!+#REF!+#REF!+#REF!+#REF!+#REF!+#REF!+#REF!</f>
        <v>#REF!</v>
      </c>
      <c r="BP27" s="2" t="e">
        <f>#REF!+#REF!+#REF!+#REF!+#REF!+#REF!+#REF!+#REF!+#REF!+#REF!+#REF!+#REF!</f>
        <v>#REF!</v>
      </c>
      <c r="BQ27" s="2"/>
      <c r="BR27" s="2"/>
    </row>
    <row r="28" spans="2:70" ht="15.75" hidden="1">
      <c r="B28" t="s">
        <v>13</v>
      </c>
      <c r="C28">
        <v>0.08793</v>
      </c>
      <c r="D28" s="56">
        <f>ROUNDDOWN((6877.35/(6877.35+816.27))*D26,0)</f>
        <v>1317</v>
      </c>
      <c r="E28" s="28">
        <v>1100205</v>
      </c>
      <c r="F28" s="31">
        <v>97430</v>
      </c>
      <c r="G28" s="29">
        <f>C28</f>
        <v>0.08793</v>
      </c>
      <c r="H28" s="58">
        <f>ROUNDDOWN((6951.21/(6951.21+811.44))*H26,0)</f>
        <v>1333</v>
      </c>
      <c r="I28" s="28">
        <v>932801</v>
      </c>
      <c r="J28" s="31">
        <v>82748</v>
      </c>
      <c r="K28" s="31"/>
      <c r="L28" s="29">
        <f>G28</f>
        <v>0.08793</v>
      </c>
      <c r="M28" s="58">
        <f>ROUNDDOWN((7024.91/(7024.91+777.63))*M26,0)</f>
        <v>1344</v>
      </c>
      <c r="N28" s="58"/>
      <c r="O28" s="28">
        <v>1097296</v>
      </c>
      <c r="P28" s="31">
        <v>97168</v>
      </c>
      <c r="Q28" s="29">
        <f>L28</f>
        <v>0.08793</v>
      </c>
      <c r="R28" s="58">
        <f>ROUNDDOWN((7103.96/(7103.96+758.31))*R26,0)</f>
        <v>1359</v>
      </c>
      <c r="S28" s="28">
        <v>1187686</v>
      </c>
      <c r="T28" s="31">
        <v>105091</v>
      </c>
      <c r="U28" s="29">
        <f>Q28</f>
        <v>0.08793</v>
      </c>
      <c r="V28" s="58">
        <f>ROUNDDOWN((7061.8/(7061.8+753.48))*V26,0)</f>
        <v>1352</v>
      </c>
      <c r="W28" s="28">
        <v>1110457</v>
      </c>
      <c r="X28" s="31">
        <v>98269</v>
      </c>
      <c r="Y28" s="29">
        <f>U28</f>
        <v>0.08793</v>
      </c>
      <c r="Z28" s="58">
        <f>ROUNDDOWN((7098.69/(7098.69+758.31))*Z26,0)</f>
        <v>1359</v>
      </c>
      <c r="AA28" s="28">
        <v>1089386</v>
      </c>
      <c r="AB28" s="31">
        <v>96529</v>
      </c>
      <c r="AC28" s="29">
        <f>Y28</f>
        <v>0.08793</v>
      </c>
      <c r="AD28" s="58">
        <f>ROUNDDOWN((7072.34/(7072.34+806.61))*AD26,0)</f>
        <v>1354</v>
      </c>
      <c r="AE28" s="28">
        <v>1044745</v>
      </c>
      <c r="AF28" s="31">
        <v>92542</v>
      </c>
      <c r="AG28" s="29">
        <f>AC28</f>
        <v>0.08793</v>
      </c>
      <c r="AH28" s="58">
        <f>ROUNDDOWN((7061.8/(7061.8+825.93))*AH26,0)</f>
        <v>1352</v>
      </c>
      <c r="AI28" s="28">
        <v>1020857</v>
      </c>
      <c r="AJ28" s="31">
        <v>90352</v>
      </c>
      <c r="AK28" s="29">
        <f>AG28</f>
        <v>0.08793</v>
      </c>
      <c r="AL28" s="58">
        <f>ROUNDDOWN((7024.91/(7024.91+859.74))*AL26,0)</f>
        <v>1345</v>
      </c>
      <c r="AM28" s="28">
        <v>1032059</v>
      </c>
      <c r="AN28" s="31">
        <v>91304</v>
      </c>
      <c r="AO28" s="41">
        <f>AK28</f>
        <v>0.08793</v>
      </c>
      <c r="AP28" s="58">
        <f>ROUNDDOWN((7103.96/(7103.96+840.42))*AP26,0)</f>
        <v>1361</v>
      </c>
      <c r="AQ28" s="28">
        <v>1138139</v>
      </c>
      <c r="AR28" s="31">
        <v>100825</v>
      </c>
      <c r="AS28" s="29">
        <f>AO28</f>
        <v>0.08793</v>
      </c>
      <c r="AT28" s="58">
        <f>ROUNDDOWN((7061.8/(7061.8+840.42))*AT26,0)</f>
        <v>1353</v>
      </c>
      <c r="AU28" s="28">
        <v>1365056</v>
      </c>
      <c r="AV28" s="31">
        <v>120732</v>
      </c>
      <c r="AW28" s="29">
        <f>AS28</f>
        <v>0.08793</v>
      </c>
      <c r="AX28" s="58">
        <f>ROUNDDOWN((7114.5/(7114.5+835.59))*AX26,0)</f>
        <v>1364</v>
      </c>
      <c r="AY28" s="28">
        <v>1255722</v>
      </c>
      <c r="AZ28" s="31">
        <v>111146</v>
      </c>
      <c r="BB28">
        <f>AW28</f>
        <v>0.08793</v>
      </c>
      <c r="BC28" s="2">
        <f>D26+H28+M28+R28+V28+Z28+AD28+AH28+AL28+AP28+AT28+AX28</f>
        <v>16350</v>
      </c>
      <c r="BD28" s="2">
        <f>E28+I28+O28+S28+W28+AA28+AE28+AI28+AM28+AQ28+AU28+AY28</f>
        <v>13374409</v>
      </c>
      <c r="BE28" s="2">
        <f>F28+J28+P28+T28+X28+AB28+AF28+AJ28+AN28+AR28+AV28+AZ28</f>
        <v>1184136</v>
      </c>
      <c r="BF28" s="2"/>
      <c r="BH28" s="2"/>
      <c r="BI28" s="2"/>
      <c r="BJ28" s="2"/>
      <c r="BO28" s="2" t="e">
        <f>#REF!+#REF!+#REF!+#REF!+#REF!+#REF!+#REF!+#REF!+#REF!+#REF!+#REF!+#REF!</f>
        <v>#REF!</v>
      </c>
      <c r="BP28" s="2" t="e">
        <f>#REF!+#REF!+#REF!+#REF!+#REF!+#REF!+#REF!+#REF!+#REF!+#REF!+#REF!+#REF!</f>
        <v>#REF!</v>
      </c>
      <c r="BQ28" s="2"/>
      <c r="BR28" s="2"/>
    </row>
    <row r="29" spans="2:61" ht="15.75" hidden="1">
      <c r="B29" t="s">
        <v>16</v>
      </c>
      <c r="F29" s="31">
        <v>6003</v>
      </c>
      <c r="J29" s="31">
        <v>11009.03</v>
      </c>
      <c r="K29" s="31"/>
      <c r="P29" s="31">
        <v>12122.71</v>
      </c>
      <c r="T29" s="31">
        <v>11432.79</v>
      </c>
      <c r="X29" s="31">
        <v>5004.68</v>
      </c>
      <c r="AB29" s="31">
        <v>12044.22</v>
      </c>
      <c r="AF29" s="31">
        <v>9433.13</v>
      </c>
      <c r="AJ29" s="31">
        <v>7634.87</v>
      </c>
      <c r="AN29" s="31">
        <v>8735.72</v>
      </c>
      <c r="AR29" s="31">
        <v>11361.8</v>
      </c>
      <c r="AV29" s="31">
        <v>10355.48</v>
      </c>
      <c r="AZ29" s="31">
        <v>4813.03</v>
      </c>
      <c r="BE29" s="2">
        <f>F29+J29+P29+T29+X29+AB29+AF29+AJ29+AN29+AR29+AV29+AZ29</f>
        <v>109950.45999999999</v>
      </c>
      <c r="BF29" s="10"/>
      <c r="BI29" s="2"/>
    </row>
    <row r="30" spans="2:61" ht="15.75" hidden="1">
      <c r="B30" t="s">
        <v>99</v>
      </c>
      <c r="F30" s="31">
        <f>(6003/(6003+6264))*16138.87</f>
        <v>7897.744893617021</v>
      </c>
      <c r="J30" s="24">
        <v>6732.34</v>
      </c>
      <c r="K30" s="24"/>
      <c r="P30" s="24">
        <v>7363.54</v>
      </c>
      <c r="T30" s="24">
        <v>8786.31</v>
      </c>
      <c r="X30" s="24">
        <v>4130.46</v>
      </c>
      <c r="AB30" s="24">
        <v>5967.73</v>
      </c>
      <c r="AF30" s="24">
        <v>6184</v>
      </c>
      <c r="AJ30" s="24">
        <v>6298.74</v>
      </c>
      <c r="AN30" s="24">
        <v>6220.84</v>
      </c>
      <c r="AR30" s="24">
        <v>7503.53</v>
      </c>
      <c r="AV30" s="24">
        <v>9252.78</v>
      </c>
      <c r="AZ30" s="24">
        <v>10268.08</v>
      </c>
      <c r="BE30" s="2">
        <f>F30+J30+P30+T30+X30+AB30+AF30+AJ30+AN30+AR30+AV30+AZ30</f>
        <v>86606.09489361702</v>
      </c>
      <c r="BF30" s="2"/>
      <c r="BH30" s="2"/>
      <c r="BI30" s="2"/>
    </row>
    <row r="31" spans="2:67" ht="15.75" hidden="1">
      <c r="B31" t="s">
        <v>17</v>
      </c>
      <c r="F31" s="24">
        <f>SUM(F27:F30)</f>
        <v>118207.74489361703</v>
      </c>
      <c r="J31" s="24">
        <f>SUM(J27:J30)</f>
        <v>107440.58</v>
      </c>
      <c r="K31" s="24"/>
      <c r="P31" s="24">
        <f>SUM(P27:P30)</f>
        <v>123679.15999999999</v>
      </c>
      <c r="T31" s="24">
        <f>SUM(T27:T30)</f>
        <v>132414.06</v>
      </c>
      <c r="X31" s="24">
        <f>SUM(X27:X30)</f>
        <v>114465.94000000002</v>
      </c>
      <c r="AB31" s="24">
        <f>SUM(AB27:AB30)</f>
        <v>121639.64</v>
      </c>
      <c r="AF31" s="24">
        <f>SUM(AF27:AF30)</f>
        <v>115231.47</v>
      </c>
      <c r="AJ31" s="24">
        <f>SUM(AJ27:AJ30)</f>
        <v>111347.41</v>
      </c>
      <c r="AN31" s="24">
        <f>SUM(AN27:AN30)</f>
        <v>113285.47</v>
      </c>
      <c r="AR31" s="24">
        <f>SUM(AR27:AR30)</f>
        <v>126794.29000000001</v>
      </c>
      <c r="AV31" s="24">
        <f>SUM(AV27:AV30)</f>
        <v>147396.79</v>
      </c>
      <c r="AZ31" s="24">
        <f>SUM(AZ27:AZ30)</f>
        <v>133357.41999999998</v>
      </c>
      <c r="BE31" s="10">
        <f>SUM(BE27:BE30)</f>
        <v>1465259.974893617</v>
      </c>
      <c r="BO31" t="s">
        <v>4</v>
      </c>
    </row>
    <row r="32" spans="3:68" ht="15.75" hidden="1">
      <c r="C32" s="7" t="s">
        <v>5</v>
      </c>
      <c r="D32" s="7" t="s">
        <v>8</v>
      </c>
      <c r="E32" s="7" t="s">
        <v>6</v>
      </c>
      <c r="F32" s="7" t="s">
        <v>7</v>
      </c>
      <c r="G32" s="38" t="s">
        <v>5</v>
      </c>
      <c r="H32" s="57" t="s">
        <v>8</v>
      </c>
      <c r="I32" s="7" t="s">
        <v>6</v>
      </c>
      <c r="J32" s="7" t="s">
        <v>7</v>
      </c>
      <c r="K32" s="7"/>
      <c r="L32" s="38" t="s">
        <v>5</v>
      </c>
      <c r="M32" s="57" t="s">
        <v>8</v>
      </c>
      <c r="N32" s="57"/>
      <c r="O32" s="7" t="s">
        <v>6</v>
      </c>
      <c r="P32" s="7" t="s">
        <v>7</v>
      </c>
      <c r="Q32" s="38" t="s">
        <v>5</v>
      </c>
      <c r="R32" s="57" t="s">
        <v>8</v>
      </c>
      <c r="S32" s="7" t="s">
        <v>6</v>
      </c>
      <c r="T32" s="7" t="s">
        <v>7</v>
      </c>
      <c r="U32" s="38" t="s">
        <v>5</v>
      </c>
      <c r="V32" s="57" t="s">
        <v>8</v>
      </c>
      <c r="W32" s="7" t="s">
        <v>6</v>
      </c>
      <c r="X32" s="7" t="s">
        <v>7</v>
      </c>
      <c r="Y32" s="38" t="s">
        <v>5</v>
      </c>
      <c r="Z32" s="57" t="s">
        <v>8</v>
      </c>
      <c r="AA32" s="7" t="s">
        <v>6</v>
      </c>
      <c r="AB32" s="7" t="s">
        <v>7</v>
      </c>
      <c r="AC32" s="38" t="s">
        <v>5</v>
      </c>
      <c r="AD32" s="57" t="s">
        <v>8</v>
      </c>
      <c r="AE32" s="7" t="s">
        <v>6</v>
      </c>
      <c r="AF32" s="7" t="s">
        <v>7</v>
      </c>
      <c r="AG32" s="38" t="s">
        <v>5</v>
      </c>
      <c r="AH32" s="57" t="s">
        <v>8</v>
      </c>
      <c r="AI32" s="7" t="s">
        <v>6</v>
      </c>
      <c r="AJ32" s="7" t="s">
        <v>7</v>
      </c>
      <c r="AK32" s="38" t="s">
        <v>5</v>
      </c>
      <c r="AL32" s="57" t="s">
        <v>8</v>
      </c>
      <c r="AM32" s="7" t="s">
        <v>6</v>
      </c>
      <c r="AN32" s="7" t="s">
        <v>7</v>
      </c>
      <c r="AO32" s="38" t="s">
        <v>5</v>
      </c>
      <c r="AP32" s="57" t="s">
        <v>8</v>
      </c>
      <c r="AQ32" s="7" t="s">
        <v>6</v>
      </c>
      <c r="AR32" s="7" t="s">
        <v>7</v>
      </c>
      <c r="AS32" s="38" t="s">
        <v>5</v>
      </c>
      <c r="AT32" s="57" t="s">
        <v>8</v>
      </c>
      <c r="AU32" s="7" t="s">
        <v>6</v>
      </c>
      <c r="AV32" s="7" t="s">
        <v>7</v>
      </c>
      <c r="AW32" s="38" t="s">
        <v>5</v>
      </c>
      <c r="AX32" s="57" t="s">
        <v>8</v>
      </c>
      <c r="AY32" s="7" t="s">
        <v>6</v>
      </c>
      <c r="AZ32" s="7" t="s">
        <v>7</v>
      </c>
      <c r="BB32" s="7" t="s">
        <v>5</v>
      </c>
      <c r="BC32" s="7" t="s">
        <v>8</v>
      </c>
      <c r="BD32" s="7" t="s">
        <v>6</v>
      </c>
      <c r="BE32" s="7" t="s">
        <v>7</v>
      </c>
      <c r="BF32" s="7"/>
      <c r="BG32" s="7"/>
      <c r="BH32" s="7"/>
      <c r="BO32" t="s">
        <v>9</v>
      </c>
      <c r="BP32" s="7" t="s">
        <v>10</v>
      </c>
    </row>
    <row r="33" ht="15.75" hidden="1">
      <c r="B33" t="s">
        <v>23</v>
      </c>
    </row>
    <row r="34" spans="2:57" ht="15.75" hidden="1">
      <c r="B34" t="s">
        <v>24</v>
      </c>
      <c r="C34">
        <v>5.4</v>
      </c>
      <c r="F34" s="24">
        <v>14114.55</v>
      </c>
      <c r="G34" s="29">
        <f>C34</f>
        <v>5.4</v>
      </c>
      <c r="J34" s="31">
        <v>14576</v>
      </c>
      <c r="K34" s="31"/>
      <c r="L34" s="29">
        <f>G34</f>
        <v>5.4</v>
      </c>
      <c r="P34" s="31">
        <v>13711.75</v>
      </c>
      <c r="Q34" s="29">
        <f>L34</f>
        <v>5.4</v>
      </c>
      <c r="T34" s="31">
        <v>13046.23</v>
      </c>
      <c r="U34" s="29">
        <f>Q34</f>
        <v>5.4</v>
      </c>
      <c r="X34" s="31">
        <v>11970.4</v>
      </c>
      <c r="Y34" s="29">
        <f>U34</f>
        <v>5.4</v>
      </c>
      <c r="AB34" s="31">
        <v>13028.38</v>
      </c>
      <c r="AC34" s="29">
        <f>Y34</f>
        <v>5.4</v>
      </c>
      <c r="AF34" s="31">
        <v>13392.86</v>
      </c>
      <c r="AG34" s="29">
        <f>AC34</f>
        <v>5.4</v>
      </c>
      <c r="AJ34" s="31">
        <v>14657.3</v>
      </c>
      <c r="AK34" s="29">
        <f>AG34</f>
        <v>5.4</v>
      </c>
      <c r="AN34" s="31">
        <v>15449.37</v>
      </c>
      <c r="AO34" s="29">
        <f>AK34</f>
        <v>5.4</v>
      </c>
      <c r="AR34" s="31">
        <v>15224.71</v>
      </c>
      <c r="AS34" s="29">
        <f>AO34</f>
        <v>5.4</v>
      </c>
      <c r="AV34" s="31">
        <v>15785.35</v>
      </c>
      <c r="AW34" s="29">
        <f>AS34</f>
        <v>5.4</v>
      </c>
      <c r="AZ34" s="31">
        <v>15954.45</v>
      </c>
      <c r="BB34">
        <f>AW34</f>
        <v>5.4</v>
      </c>
      <c r="BE34" s="2">
        <f>F34+J34+P34+T34+X34+AB34+AF34+AJ34+AN34+AR34+AV34+AZ34</f>
        <v>170911.35</v>
      </c>
    </row>
    <row r="35" spans="2:70" ht="15.75" hidden="1">
      <c r="B35" t="s">
        <v>21</v>
      </c>
      <c r="C35">
        <v>4.83</v>
      </c>
      <c r="F35" s="31">
        <v>816.27</v>
      </c>
      <c r="G35" s="29">
        <f>C35</f>
        <v>4.83</v>
      </c>
      <c r="I35" s="28"/>
      <c r="J35" s="31">
        <v>811.44</v>
      </c>
      <c r="K35" s="31"/>
      <c r="L35" s="29">
        <f>G35</f>
        <v>4.83</v>
      </c>
      <c r="O35" s="28"/>
      <c r="P35" s="31">
        <v>777.63</v>
      </c>
      <c r="Q35" s="29">
        <f>L35</f>
        <v>4.83</v>
      </c>
      <c r="S35" s="28"/>
      <c r="T35" s="31">
        <v>758.31</v>
      </c>
      <c r="U35" s="29">
        <f>Q35</f>
        <v>4.83</v>
      </c>
      <c r="W35" s="28"/>
      <c r="X35" s="31">
        <v>753</v>
      </c>
      <c r="Y35" s="29">
        <f>U35</f>
        <v>4.83</v>
      </c>
      <c r="AA35" s="28"/>
      <c r="AB35" s="31">
        <v>758.31</v>
      </c>
      <c r="AC35" s="29">
        <f>Y35</f>
        <v>4.83</v>
      </c>
      <c r="AE35" s="28"/>
      <c r="AF35" s="31">
        <v>807.05</v>
      </c>
      <c r="AG35" s="29">
        <f>AC35</f>
        <v>4.83</v>
      </c>
      <c r="AI35" s="28"/>
      <c r="AJ35" s="31">
        <v>825</v>
      </c>
      <c r="AK35" s="29">
        <f>AG35</f>
        <v>4.83</v>
      </c>
      <c r="AM35" s="28"/>
      <c r="AN35" s="31">
        <v>859.74</v>
      </c>
      <c r="AO35" s="29">
        <f>AK35</f>
        <v>4.83</v>
      </c>
      <c r="AQ35" s="28"/>
      <c r="AR35" s="31">
        <v>840.86</v>
      </c>
      <c r="AS35" s="29">
        <f>AO35</f>
        <v>4.83</v>
      </c>
      <c r="AU35" s="28"/>
      <c r="AV35" s="31">
        <v>840.42</v>
      </c>
      <c r="AW35" s="29">
        <f>AS35</f>
        <v>4.83</v>
      </c>
      <c r="AY35" s="28"/>
      <c r="AZ35" s="31">
        <v>835.59</v>
      </c>
      <c r="BB35">
        <f>AW35</f>
        <v>4.83</v>
      </c>
      <c r="BD35" s="2"/>
      <c r="BE35" s="2">
        <f>F35+J35+P35+T35+X35+AB35+AF35+AJ35+AN35+AR35+AV35+AZ35</f>
        <v>9683.619999999999</v>
      </c>
      <c r="BF35" s="2"/>
      <c r="BG35" s="2"/>
      <c r="BH35" s="2"/>
      <c r="BI35" s="2"/>
      <c r="BJ35" s="2"/>
      <c r="BO35" s="2" t="e">
        <f>#REF!+#REF!+#REF!+#REF!+#REF!+#REF!+#REF!+#REF!+#REF!+#REF!+#REF!+#REF!</f>
        <v>#REF!</v>
      </c>
      <c r="BP35" s="2" t="e">
        <f>#REF!+#REF!+#REF!+#REF!+#REF!+#REF!+#REF!+#REF!+#REF!+#REF!+#REF!+#REF!</f>
        <v>#REF!</v>
      </c>
      <c r="BQ35" s="2"/>
      <c r="BR35" s="2"/>
    </row>
    <row r="36" spans="2:70" ht="15.75" hidden="1">
      <c r="B36" t="s">
        <v>13</v>
      </c>
      <c r="C36">
        <v>0.06912</v>
      </c>
      <c r="D36" s="2">
        <f>D26-D28</f>
        <v>157</v>
      </c>
      <c r="E36" s="2">
        <v>1148066</v>
      </c>
      <c r="F36" s="31">
        <v>79354</v>
      </c>
      <c r="G36" s="29">
        <f>C36</f>
        <v>0.06912</v>
      </c>
      <c r="H36" s="2">
        <f>H26-H28</f>
        <v>156</v>
      </c>
      <c r="I36" s="28">
        <v>966073</v>
      </c>
      <c r="J36" s="31">
        <v>66775</v>
      </c>
      <c r="K36" s="31"/>
      <c r="L36" s="29">
        <f>G36</f>
        <v>0.06912</v>
      </c>
      <c r="M36" s="58">
        <f>M26-M28</f>
        <v>149</v>
      </c>
      <c r="N36" s="58"/>
      <c r="O36" s="28">
        <v>922782</v>
      </c>
      <c r="P36" s="31">
        <v>63783</v>
      </c>
      <c r="Q36" s="29">
        <f>L36</f>
        <v>0.06912</v>
      </c>
      <c r="R36" s="58">
        <f>R26-R28</f>
        <v>146</v>
      </c>
      <c r="S36" s="28">
        <v>1083208</v>
      </c>
      <c r="T36" s="31">
        <v>74871</v>
      </c>
      <c r="U36" s="29">
        <f>Q36</f>
        <v>0.06912</v>
      </c>
      <c r="V36" s="58">
        <f>V26-V28</f>
        <v>145</v>
      </c>
      <c r="W36" s="28">
        <v>978673</v>
      </c>
      <c r="X36" s="31">
        <v>67646</v>
      </c>
      <c r="Y36" s="29">
        <f>U36</f>
        <v>0.06912</v>
      </c>
      <c r="Z36" s="58">
        <f>Z26-Z28</f>
        <v>146</v>
      </c>
      <c r="AA36" s="28">
        <v>957403</v>
      </c>
      <c r="AB36" s="31">
        <v>66176</v>
      </c>
      <c r="AC36" s="29">
        <f>Y36</f>
        <v>0.06912</v>
      </c>
      <c r="AD36" s="58">
        <f>AD26-AD28</f>
        <v>155</v>
      </c>
      <c r="AE36" s="28">
        <v>966253</v>
      </c>
      <c r="AF36" s="31">
        <v>66800</v>
      </c>
      <c r="AG36" s="29">
        <f>AC36</f>
        <v>0.06912</v>
      </c>
      <c r="AH36" s="58">
        <f>AH26-AH28</f>
        <v>159</v>
      </c>
      <c r="AI36">
        <v>911829</v>
      </c>
      <c r="AJ36" s="31">
        <v>63026</v>
      </c>
      <c r="AK36" s="29">
        <f>AG36</f>
        <v>0.06912</v>
      </c>
      <c r="AL36" s="58">
        <f>AL26-AL28</f>
        <v>165</v>
      </c>
      <c r="AM36">
        <v>987483</v>
      </c>
      <c r="AN36" s="31">
        <v>68255</v>
      </c>
      <c r="AO36" s="41">
        <f>AK36</f>
        <v>0.06912</v>
      </c>
      <c r="AP36" s="58">
        <f>AP26-AP28</f>
        <v>162</v>
      </c>
      <c r="AQ36" s="28">
        <v>1130791</v>
      </c>
      <c r="AR36" s="31">
        <f>78164-14</f>
        <v>78150</v>
      </c>
      <c r="AS36" s="29">
        <f>AO36</f>
        <v>0.06912</v>
      </c>
      <c r="AT36" s="58">
        <f>AT26-AT28</f>
        <v>162</v>
      </c>
      <c r="AU36" s="28">
        <v>1283524</v>
      </c>
      <c r="AV36" s="31">
        <f>88717+11</f>
        <v>88728</v>
      </c>
      <c r="AW36" s="29">
        <f>AS36</f>
        <v>0.06912</v>
      </c>
      <c r="AX36" s="58">
        <f>AX26-AX28</f>
        <v>161</v>
      </c>
      <c r="AY36">
        <v>1289998</v>
      </c>
      <c r="AZ36" s="31">
        <v>89165</v>
      </c>
      <c r="BB36">
        <f>AW36</f>
        <v>0.06912</v>
      </c>
      <c r="BC36" s="2">
        <f>D36+H36+M36+R36+V36+Z36+AD36+AH36+AL36+AP36+AT36+AX36</f>
        <v>1863</v>
      </c>
      <c r="BD36" s="2">
        <f>E36+I36+O36+S36+W36+AA36+AE36+AI36+AM36+AQ36+AU36+AY36</f>
        <v>12626083</v>
      </c>
      <c r="BE36" s="2">
        <f>F36+J36+P36+T36+X36+AB36+AF36+AJ36+AN36+AR36+AV36+AZ36</f>
        <v>872729</v>
      </c>
      <c r="BF36" s="2"/>
      <c r="BG36" s="2"/>
      <c r="BH36" s="2"/>
      <c r="BI36" s="2"/>
      <c r="BJ36" s="2"/>
      <c r="BO36" s="2" t="e">
        <f>#REF!+#REF!+#REF!+#REF!+#REF!+#REF!+#REF!+#REF!+#REF!+#REF!+#REF!+#REF!</f>
        <v>#REF!</v>
      </c>
      <c r="BP36" s="2" t="e">
        <f>#REF!+#REF!+#REF!+#REF!+#REF!+#REF!+#REF!+#REF!+#REF!+#REF!+#REF!+#REF!</f>
        <v>#REF!</v>
      </c>
      <c r="BQ36" s="2"/>
      <c r="BR36" s="2"/>
    </row>
    <row r="37" spans="2:66" ht="15.75" hidden="1">
      <c r="B37" t="s">
        <v>16</v>
      </c>
      <c r="F37" s="31">
        <v>6264</v>
      </c>
      <c r="J37" s="24">
        <v>11401.57</v>
      </c>
      <c r="K37" s="24"/>
      <c r="P37" s="24">
        <v>10194.9</v>
      </c>
      <c r="T37" s="24">
        <v>10426.96</v>
      </c>
      <c r="X37" s="24">
        <v>4410.82</v>
      </c>
      <c r="AB37" s="24">
        <v>10585.03</v>
      </c>
      <c r="AF37" s="24">
        <v>8724.28</v>
      </c>
      <c r="AJ37" s="24">
        <v>6819.58</v>
      </c>
      <c r="AN37" s="24">
        <v>8357.99</v>
      </c>
      <c r="AR37" s="24">
        <v>11286.44</v>
      </c>
      <c r="AV37" s="24">
        <v>9736.86</v>
      </c>
      <c r="AZ37" s="24">
        <v>4944.59</v>
      </c>
      <c r="BE37" s="2">
        <f>F37+J37+P37+T37+X37+AB37+AF37+AJ37+AN37+AR37+AV37+AZ37</f>
        <v>103153.02</v>
      </c>
      <c r="BF37" s="10"/>
      <c r="BG37" s="2"/>
      <c r="BK37" s="2"/>
      <c r="BL37" s="2"/>
      <c r="BM37" s="2"/>
      <c r="BN37" s="2"/>
    </row>
    <row r="38" spans="2:67" ht="15.75" hidden="1">
      <c r="B38" t="s">
        <v>99</v>
      </c>
      <c r="F38" s="31">
        <f>(6264/(6003+6264))*16138.87</f>
        <v>8241.125106382979</v>
      </c>
      <c r="J38" s="24">
        <v>6973.57</v>
      </c>
      <c r="K38" s="24"/>
      <c r="P38" s="24">
        <v>6192.31</v>
      </c>
      <c r="T38" s="24">
        <v>8013.52</v>
      </c>
      <c r="X38" s="24">
        <v>3640.86</v>
      </c>
      <c r="AB38" s="24">
        <v>5245.6</v>
      </c>
      <c r="AF38" s="24">
        <v>5719.75</v>
      </c>
      <c r="AJ38" s="24">
        <v>5628.44</v>
      </c>
      <c r="AN38" s="24">
        <v>5955.39</v>
      </c>
      <c r="AR38" s="24">
        <v>7446.72</v>
      </c>
      <c r="AV38" s="24">
        <v>8699.83</v>
      </c>
      <c r="AZ38" s="24">
        <v>10551.23</v>
      </c>
      <c r="BE38" s="2">
        <f>F38+J38+P38+T38+X38+AB38+AF38+AJ38+AN38+AR38+AV38+AZ38</f>
        <v>82308.34510638297</v>
      </c>
      <c r="BO38" t="s">
        <v>4</v>
      </c>
    </row>
    <row r="39" spans="2:57" ht="15.75" hidden="1">
      <c r="B39" t="s">
        <v>17</v>
      </c>
      <c r="D39" s="45">
        <f>126449.33+100549.03</f>
        <v>226998.36</v>
      </c>
      <c r="E39" s="45">
        <f>F31+F39</f>
        <v>226997.69</v>
      </c>
      <c r="F39" s="24">
        <f>SUM(F34:F38)</f>
        <v>108789.94510638299</v>
      </c>
      <c r="I39" s="24"/>
      <c r="J39" s="24">
        <f>SUM(J34:J38)</f>
        <v>100537.58000000002</v>
      </c>
      <c r="K39" s="24"/>
      <c r="M39" s="45">
        <f>129871.47+88478.06</f>
        <v>218349.53</v>
      </c>
      <c r="N39" s="45"/>
      <c r="O39" s="47">
        <f>P31+P39</f>
        <v>218338.75</v>
      </c>
      <c r="P39" s="24">
        <f>SUM(P34:P38)</f>
        <v>94659.59</v>
      </c>
      <c r="R39" s="45">
        <f>140427.58+99102.84</f>
        <v>239530.41999999998</v>
      </c>
      <c r="S39" s="47">
        <f>T31+T39</f>
        <v>239530.08000000002</v>
      </c>
      <c r="T39" s="24">
        <f>SUM(T34:T38)</f>
        <v>107116.02</v>
      </c>
      <c r="V39" s="45">
        <f>118106.8+84780.57</f>
        <v>202887.37</v>
      </c>
      <c r="W39" s="47">
        <f>X31+X39</f>
        <v>202887.02000000002</v>
      </c>
      <c r="X39" s="24">
        <f>SUM(X34:X38)</f>
        <v>88421.08</v>
      </c>
      <c r="Z39" s="45">
        <f>126885.24+90547.42</f>
        <v>217432.66</v>
      </c>
      <c r="AA39" s="47">
        <f>AB31+AB39</f>
        <v>217432.96000000002</v>
      </c>
      <c r="AB39" s="24">
        <f>SUM(AB34:AB38)</f>
        <v>95793.32</v>
      </c>
      <c r="AF39" s="24">
        <f>SUM(AF34:AF38)</f>
        <v>95443.94</v>
      </c>
      <c r="AH39" s="28">
        <f>116975.85+85328.44</f>
        <v>202304.29</v>
      </c>
      <c r="AI39" s="24">
        <f>AJ31+AJ39</f>
        <v>202303.73</v>
      </c>
      <c r="AJ39" s="24">
        <f>SUM(AJ34:AJ38)</f>
        <v>90956.32</v>
      </c>
      <c r="AL39" s="45">
        <f>119240.86+92921.97</f>
        <v>212162.83000000002</v>
      </c>
      <c r="AM39" s="47">
        <f>AN31+AN39</f>
        <v>212162.96000000002</v>
      </c>
      <c r="AN39" s="24">
        <f>SUM(AN34:AN38)</f>
        <v>98877.49</v>
      </c>
      <c r="AP39" s="28">
        <f>134241.01+105501.54</f>
        <v>239742.55</v>
      </c>
      <c r="AQ39" s="24">
        <f>AR31+AR39</f>
        <v>239743.02000000002</v>
      </c>
      <c r="AR39" s="24">
        <f>SUM(AR34:AR38)</f>
        <v>112948.73000000001</v>
      </c>
      <c r="AT39" s="45">
        <f>156096.62+115090.39</f>
        <v>271187.01</v>
      </c>
      <c r="AU39" s="47">
        <f>AV31+AV39</f>
        <v>271187.25</v>
      </c>
      <c r="AV39" s="24">
        <f>SUM(AV34:AV38)</f>
        <v>123790.46</v>
      </c>
      <c r="AX39" s="45">
        <f>143908.65+110899.31</f>
        <v>254807.96</v>
      </c>
      <c r="AY39" s="47">
        <f>AZ31+AZ39</f>
        <v>254808.27999999997</v>
      </c>
      <c r="AZ39" s="24">
        <f>SUM(AZ34:AZ38)</f>
        <v>121450.86</v>
      </c>
      <c r="BE39" s="10">
        <f>SUM(BE35:BE38)</f>
        <v>1067873.985106383</v>
      </c>
    </row>
    <row r="40" spans="3:68" ht="15.75" hidden="1">
      <c r="C40" s="7" t="s">
        <v>5</v>
      </c>
      <c r="D40" s="7" t="s">
        <v>8</v>
      </c>
      <c r="E40" s="7" t="s">
        <v>6</v>
      </c>
      <c r="F40" s="7" t="s">
        <v>7</v>
      </c>
      <c r="G40" s="38" t="s">
        <v>5</v>
      </c>
      <c r="H40" s="57" t="s">
        <v>8</v>
      </c>
      <c r="I40" s="7" t="s">
        <v>6</v>
      </c>
      <c r="J40" s="7" t="s">
        <v>7</v>
      </c>
      <c r="K40" s="7"/>
      <c r="L40" s="38" t="s">
        <v>5</v>
      </c>
      <c r="M40" s="57" t="s">
        <v>8</v>
      </c>
      <c r="N40" s="57"/>
      <c r="O40" s="7" t="s">
        <v>6</v>
      </c>
      <c r="P40" s="7" t="s">
        <v>7</v>
      </c>
      <c r="Q40" s="38" t="s">
        <v>5</v>
      </c>
      <c r="R40" s="57" t="s">
        <v>8</v>
      </c>
      <c r="S40" s="7" t="s">
        <v>6</v>
      </c>
      <c r="T40" s="7" t="s">
        <v>7</v>
      </c>
      <c r="U40" s="38" t="s">
        <v>5</v>
      </c>
      <c r="V40" s="57" t="s">
        <v>8</v>
      </c>
      <c r="W40" s="7" t="s">
        <v>6</v>
      </c>
      <c r="X40" s="7" t="s">
        <v>7</v>
      </c>
      <c r="Y40" s="38" t="s">
        <v>5</v>
      </c>
      <c r="Z40" s="57" t="s">
        <v>8</v>
      </c>
      <c r="AA40" s="7" t="s">
        <v>6</v>
      </c>
      <c r="AB40" s="7" t="s">
        <v>7</v>
      </c>
      <c r="AC40" s="38" t="s">
        <v>5</v>
      </c>
      <c r="AD40" s="57" t="s">
        <v>8</v>
      </c>
      <c r="AE40" s="7" t="s">
        <v>6</v>
      </c>
      <c r="AF40" s="7" t="s">
        <v>7</v>
      </c>
      <c r="AG40" s="38" t="s">
        <v>5</v>
      </c>
      <c r="AI40" s="7" t="s">
        <v>6</v>
      </c>
      <c r="AJ40" s="7" t="s">
        <v>7</v>
      </c>
      <c r="AK40" s="38" t="s">
        <v>5</v>
      </c>
      <c r="AL40" s="57" t="s">
        <v>8</v>
      </c>
      <c r="AM40" s="7" t="s">
        <v>6</v>
      </c>
      <c r="AN40" s="7" t="s">
        <v>7</v>
      </c>
      <c r="AO40" s="38" t="s">
        <v>5</v>
      </c>
      <c r="AP40" s="57" t="s">
        <v>8</v>
      </c>
      <c r="AQ40" s="7" t="s">
        <v>6</v>
      </c>
      <c r="AR40" s="7" t="s">
        <v>7</v>
      </c>
      <c r="AS40" s="38" t="s">
        <v>5</v>
      </c>
      <c r="AT40" s="57" t="s">
        <v>8</v>
      </c>
      <c r="AU40" s="7" t="s">
        <v>6</v>
      </c>
      <c r="AV40" s="7" t="s">
        <v>7</v>
      </c>
      <c r="AW40" s="38" t="s">
        <v>5</v>
      </c>
      <c r="AX40" s="57" t="s">
        <v>8</v>
      </c>
      <c r="AY40" s="7" t="s">
        <v>6</v>
      </c>
      <c r="AZ40" s="7" t="s">
        <v>7</v>
      </c>
      <c r="BB40" s="7" t="s">
        <v>5</v>
      </c>
      <c r="BC40" s="7" t="s">
        <v>8</v>
      </c>
      <c r="BD40" s="7" t="s">
        <v>6</v>
      </c>
      <c r="BE40" s="7" t="s">
        <v>7</v>
      </c>
      <c r="BF40" s="7"/>
      <c r="BG40" s="7"/>
      <c r="BH40" s="7"/>
      <c r="BO40" t="s">
        <v>9</v>
      </c>
      <c r="BP40" s="7" t="s">
        <v>10</v>
      </c>
    </row>
    <row r="41" ht="15.75" hidden="1">
      <c r="B41" t="s">
        <v>25</v>
      </c>
    </row>
    <row r="42" spans="2:57" ht="15.75" hidden="1">
      <c r="B42" t="s">
        <v>12</v>
      </c>
      <c r="C42">
        <v>5.4</v>
      </c>
      <c r="F42" s="24">
        <v>104478.79</v>
      </c>
      <c r="G42" s="29">
        <f>C42</f>
        <v>5.4</v>
      </c>
      <c r="J42" s="31">
        <v>102345.4</v>
      </c>
      <c r="K42" s="31"/>
      <c r="L42" s="29">
        <f>G42</f>
        <v>5.4</v>
      </c>
      <c r="P42" s="31">
        <v>98013.08</v>
      </c>
      <c r="Q42" s="29">
        <f>L42</f>
        <v>5.4</v>
      </c>
      <c r="T42" s="31">
        <v>89081.05</v>
      </c>
      <c r="U42" s="29">
        <f>Q42</f>
        <v>5.4</v>
      </c>
      <c r="X42" s="31">
        <v>74672.09</v>
      </c>
      <c r="Y42" s="29">
        <f>U42</f>
        <v>5.4</v>
      </c>
      <c r="AB42" s="31">
        <v>79077.28</v>
      </c>
      <c r="AC42" s="29">
        <f>Y42</f>
        <v>5.4</v>
      </c>
      <c r="AF42" s="31">
        <v>83166.3</v>
      </c>
      <c r="AG42" s="29">
        <f>AC42</f>
        <v>5.4</v>
      </c>
      <c r="AJ42" s="31">
        <v>88044.69</v>
      </c>
      <c r="AK42" s="29">
        <f>AG42</f>
        <v>5.4</v>
      </c>
      <c r="AN42" s="31">
        <v>92638.96</v>
      </c>
      <c r="AO42" s="29">
        <f>AK42</f>
        <v>5.4</v>
      </c>
      <c r="AR42" s="31">
        <v>91303.01</v>
      </c>
      <c r="AS42" s="29">
        <f>AO42</f>
        <v>5.4</v>
      </c>
      <c r="AV42" s="31">
        <v>96610.06</v>
      </c>
      <c r="AW42" s="29">
        <f>AS42</f>
        <v>5.4</v>
      </c>
      <c r="AZ42" s="31">
        <v>101573.01</v>
      </c>
      <c r="BB42">
        <f>AW42</f>
        <v>5.4</v>
      </c>
      <c r="BE42" s="2">
        <f>F42+J42+P42+T42+X42+AB42+AF42+AJ42+AN42+AR42+AV42+AZ42</f>
        <v>1101003.7200000002</v>
      </c>
    </row>
    <row r="43" spans="2:70" ht="15.75" hidden="1">
      <c r="B43" t="s">
        <v>13</v>
      </c>
      <c r="C43">
        <v>0.05126</v>
      </c>
      <c r="D43" s="2">
        <v>117</v>
      </c>
      <c r="E43" s="2">
        <v>4929126</v>
      </c>
      <c r="F43" s="31">
        <v>255745</v>
      </c>
      <c r="G43" s="29">
        <f>C43</f>
        <v>0.05126</v>
      </c>
      <c r="H43" s="58">
        <v>116</v>
      </c>
      <c r="I43" s="28">
        <v>4645898</v>
      </c>
      <c r="J43" s="31">
        <v>241359</v>
      </c>
      <c r="K43" s="31"/>
      <c r="L43" s="29">
        <f>G43</f>
        <v>0.05126</v>
      </c>
      <c r="M43" s="58">
        <v>115</v>
      </c>
      <c r="N43" s="58"/>
      <c r="O43" s="28">
        <v>4469431</v>
      </c>
      <c r="P43" s="31">
        <v>232718</v>
      </c>
      <c r="Q43" s="29">
        <f>L43</f>
        <v>0.05126</v>
      </c>
      <c r="R43" s="58">
        <v>113</v>
      </c>
      <c r="S43" s="28">
        <v>4681023</v>
      </c>
      <c r="T43" s="31">
        <v>244162</v>
      </c>
      <c r="U43" s="29">
        <f>Q43</f>
        <v>0.05126</v>
      </c>
      <c r="V43" s="58">
        <v>114</v>
      </c>
      <c r="W43" s="28">
        <v>4119572</v>
      </c>
      <c r="X43" s="31">
        <v>216169</v>
      </c>
      <c r="Y43" s="29">
        <f>U43</f>
        <v>0.05126</v>
      </c>
      <c r="Z43" s="58">
        <v>115</v>
      </c>
      <c r="AA43" s="28">
        <v>3998184</v>
      </c>
      <c r="AB43" s="31">
        <v>210190</v>
      </c>
      <c r="AC43" s="29">
        <f>Y43</f>
        <v>0.05126</v>
      </c>
      <c r="AD43" s="58">
        <v>114</v>
      </c>
      <c r="AE43" s="28">
        <v>4266819</v>
      </c>
      <c r="AF43" s="31">
        <v>223329</v>
      </c>
      <c r="AG43" s="29">
        <f>AC43</f>
        <v>0.05126</v>
      </c>
      <c r="AH43" s="58">
        <v>114</v>
      </c>
      <c r="AI43" s="28">
        <v>4154927</v>
      </c>
      <c r="AJ43" s="31">
        <v>216510</v>
      </c>
      <c r="AK43" s="29">
        <f>AG43</f>
        <v>0.05126</v>
      </c>
      <c r="AL43" s="58">
        <v>114</v>
      </c>
      <c r="AM43" s="28">
        <v>4250433</v>
      </c>
      <c r="AN43" s="31">
        <v>221869</v>
      </c>
      <c r="AO43" s="41">
        <f>AK43</f>
        <v>0.05126</v>
      </c>
      <c r="AP43" s="58">
        <v>115</v>
      </c>
      <c r="AQ43" s="28">
        <v>4696695</v>
      </c>
      <c r="AR43" s="31">
        <v>245085</v>
      </c>
      <c r="AS43" s="29">
        <f>AO43</f>
        <v>0.05126</v>
      </c>
      <c r="AT43" s="58">
        <v>115</v>
      </c>
      <c r="AU43" s="28">
        <v>4983910</v>
      </c>
      <c r="AV43" s="31">
        <v>258709</v>
      </c>
      <c r="AW43" s="29">
        <f>AS43</f>
        <v>0.05126</v>
      </c>
      <c r="AX43" s="58">
        <v>115</v>
      </c>
      <c r="AY43" s="28">
        <v>5572904</v>
      </c>
      <c r="AZ43" s="31">
        <v>288264</v>
      </c>
      <c r="BB43">
        <f>AW43</f>
        <v>0.05126</v>
      </c>
      <c r="BC43" s="2">
        <f>D43+H43+M43+R43+V43+Z43+AD43+AH43+AL43+AP43+AT43+AX43</f>
        <v>1377</v>
      </c>
      <c r="BD43" s="2">
        <f>E43+I43+O43+S43+W43+AA43+AE43+AI43+AM43+AQ43+AU43+AY43</f>
        <v>54768922</v>
      </c>
      <c r="BE43" s="2">
        <f>F43+J43+P43+T43+X43+AB43+AF43+AJ43+AN43+AR43+AV43+AZ43</f>
        <v>2854109</v>
      </c>
      <c r="BF43" s="2"/>
      <c r="BG43" s="2"/>
      <c r="BH43" s="2"/>
      <c r="BI43" s="2"/>
      <c r="BJ43" s="2"/>
      <c r="BO43" s="2" t="e">
        <f>#REF!+#REF!+#REF!+#REF!+#REF!+#REF!+#REF!+#REF!+#REF!+#REF!+#REF!+#REF!</f>
        <v>#REF!</v>
      </c>
      <c r="BP43" s="2" t="e">
        <f>#REF!+#REF!+#REF!+#REF!+#REF!+#REF!+#REF!+#REF!+#REF!+#REF!+#REF!+#REF!</f>
        <v>#REF!</v>
      </c>
      <c r="BQ43" s="2"/>
      <c r="BR43" s="2"/>
    </row>
    <row r="44" spans="2:63" ht="15.75" hidden="1">
      <c r="B44" t="s">
        <v>16</v>
      </c>
      <c r="F44" s="31">
        <v>26893</v>
      </c>
      <c r="J44" s="31">
        <v>54830.87</v>
      </c>
      <c r="K44" s="31"/>
      <c r="P44" s="31">
        <v>49378.28</v>
      </c>
      <c r="T44" s="31">
        <v>45059.56</v>
      </c>
      <c r="X44" s="31">
        <v>18566.93</v>
      </c>
      <c r="AB44" s="31">
        <v>44203.91</v>
      </c>
      <c r="AF44" s="31">
        <v>38525.15</v>
      </c>
      <c r="AJ44" s="31">
        <v>31074.69</v>
      </c>
      <c r="AN44" s="31">
        <v>35968.89</v>
      </c>
      <c r="AR44" s="31">
        <v>46885.69</v>
      </c>
      <c r="AV44" s="31">
        <v>37807.97</v>
      </c>
      <c r="AZ44" s="31">
        <v>21360.93</v>
      </c>
      <c r="BE44" s="2">
        <f>F44+J44+P44+T44+X44+AB44+AF44+AJ44+AN44+AR44+AV44+AZ44</f>
        <v>450555.87000000005</v>
      </c>
      <c r="BF44" s="10"/>
      <c r="BK44" s="2"/>
    </row>
    <row r="45" spans="2:63" ht="15.75" hidden="1">
      <c r="B45" t="s">
        <v>99</v>
      </c>
      <c r="F45" s="31">
        <v>29166.11</v>
      </c>
      <c r="J45" s="24">
        <v>27512.32</v>
      </c>
      <c r="K45" s="24"/>
      <c r="P45" s="24">
        <v>24717.81</v>
      </c>
      <c r="T45" s="24">
        <v>26264.18</v>
      </c>
      <c r="X45" s="24">
        <v>12111.75</v>
      </c>
      <c r="AB45" s="24">
        <v>17807.22</v>
      </c>
      <c r="AF45" s="24">
        <v>20186.34</v>
      </c>
      <c r="AJ45" s="24">
        <v>20580.17</v>
      </c>
      <c r="AN45" s="24">
        <v>20926.05</v>
      </c>
      <c r="AR45" s="24">
        <v>25147.38</v>
      </c>
      <c r="AV45" s="24">
        <v>27524.78</v>
      </c>
      <c r="AZ45" s="24">
        <v>35957.46</v>
      </c>
      <c r="BE45" s="2">
        <f>F45+J45+P45+T45+X45+AB45+AF45+AJ45+AN45+AR45+AV45+AZ45</f>
        <v>287901.57</v>
      </c>
      <c r="BF45" s="2"/>
      <c r="BH45" s="2"/>
      <c r="BK45" s="2"/>
    </row>
    <row r="46" spans="2:67" ht="15.75" hidden="1">
      <c r="B46" t="s">
        <v>17</v>
      </c>
      <c r="F46" s="24">
        <f>SUM(F42:F45)</f>
        <v>416282.89999999997</v>
      </c>
      <c r="J46" s="24">
        <f>SUM(J42:J45)</f>
        <v>426047.59</v>
      </c>
      <c r="K46" s="24"/>
      <c r="P46" s="24">
        <f>SUM(P42:P45)</f>
        <v>404827.17</v>
      </c>
      <c r="T46" s="24">
        <f>SUM(T42:T45)</f>
        <v>404566.79</v>
      </c>
      <c r="X46" s="24">
        <f>SUM(X42:X45)</f>
        <v>321519.76999999996</v>
      </c>
      <c r="AB46" s="24">
        <f>SUM(AB42:AB45)</f>
        <v>351278.41000000003</v>
      </c>
      <c r="AF46" s="24">
        <f>SUM(AF42:AF45)</f>
        <v>365206.79000000004</v>
      </c>
      <c r="AJ46" s="24">
        <f>SUM(AJ42:AJ45)</f>
        <v>356209.55</v>
      </c>
      <c r="AN46" s="24">
        <f>SUM(AN42:AN45)</f>
        <v>371402.9</v>
      </c>
      <c r="AR46" s="24">
        <f>SUM(AR42:AR45)</f>
        <v>408421.08</v>
      </c>
      <c r="AV46" s="24">
        <f>SUM(AV42:AV45)</f>
        <v>420651.81000000006</v>
      </c>
      <c r="AZ46" s="24">
        <f>SUM(AZ42:AZ45)</f>
        <v>447155.4</v>
      </c>
      <c r="BE46" s="10">
        <f>SUM(BE42:BE45)</f>
        <v>4693570.16</v>
      </c>
      <c r="BO46" t="s">
        <v>4</v>
      </c>
    </row>
    <row r="47" spans="3:68" ht="15.75" hidden="1">
      <c r="C47" s="7" t="s">
        <v>5</v>
      </c>
      <c r="D47" s="7" t="s">
        <v>8</v>
      </c>
      <c r="E47" s="7" t="s">
        <v>6</v>
      </c>
      <c r="F47" s="7" t="s">
        <v>7</v>
      </c>
      <c r="G47" s="38" t="s">
        <v>5</v>
      </c>
      <c r="H47" s="57" t="s">
        <v>8</v>
      </c>
      <c r="I47" s="7" t="s">
        <v>6</v>
      </c>
      <c r="J47" s="7" t="s">
        <v>7</v>
      </c>
      <c r="K47" s="7"/>
      <c r="L47" s="38" t="s">
        <v>5</v>
      </c>
      <c r="M47" s="57" t="s">
        <v>8</v>
      </c>
      <c r="N47" s="57"/>
      <c r="O47" s="7" t="s">
        <v>6</v>
      </c>
      <c r="P47" s="7" t="s">
        <v>7</v>
      </c>
      <c r="Q47" s="38" t="s">
        <v>5</v>
      </c>
      <c r="R47" s="57" t="s">
        <v>8</v>
      </c>
      <c r="S47" s="7" t="s">
        <v>6</v>
      </c>
      <c r="T47" s="7" t="s">
        <v>7</v>
      </c>
      <c r="U47" s="38" t="s">
        <v>5</v>
      </c>
      <c r="V47" s="57" t="s">
        <v>8</v>
      </c>
      <c r="W47" s="7" t="s">
        <v>6</v>
      </c>
      <c r="X47" s="7" t="s">
        <v>7</v>
      </c>
      <c r="Y47" s="38" t="s">
        <v>5</v>
      </c>
      <c r="Z47" s="57" t="s">
        <v>8</v>
      </c>
      <c r="AA47" s="7" t="s">
        <v>6</v>
      </c>
      <c r="AB47" s="7" t="s">
        <v>7</v>
      </c>
      <c r="AC47" s="38" t="s">
        <v>5</v>
      </c>
      <c r="AD47" s="57" t="s">
        <v>8</v>
      </c>
      <c r="AE47" s="7" t="s">
        <v>6</v>
      </c>
      <c r="AF47" s="7" t="s">
        <v>7</v>
      </c>
      <c r="AG47" s="38" t="s">
        <v>5</v>
      </c>
      <c r="AI47" s="7" t="s">
        <v>6</v>
      </c>
      <c r="AJ47" s="7" t="s">
        <v>7</v>
      </c>
      <c r="AK47" s="38" t="s">
        <v>5</v>
      </c>
      <c r="AL47" s="57" t="s">
        <v>8</v>
      </c>
      <c r="AM47" s="7" t="s">
        <v>6</v>
      </c>
      <c r="AN47" s="7" t="s">
        <v>7</v>
      </c>
      <c r="AO47" s="38" t="s">
        <v>5</v>
      </c>
      <c r="AP47" s="57" t="s">
        <v>8</v>
      </c>
      <c r="AQ47" s="7" t="s">
        <v>6</v>
      </c>
      <c r="AR47" s="7" t="s">
        <v>7</v>
      </c>
      <c r="AS47" s="38" t="s">
        <v>5</v>
      </c>
      <c r="AT47" s="57" t="s">
        <v>8</v>
      </c>
      <c r="AU47" s="7" t="s">
        <v>6</v>
      </c>
      <c r="AV47" s="7" t="s">
        <v>7</v>
      </c>
      <c r="AW47" s="38" t="s">
        <v>5</v>
      </c>
      <c r="AX47" s="57" t="s">
        <v>8</v>
      </c>
      <c r="AY47" s="7" t="s">
        <v>6</v>
      </c>
      <c r="AZ47" s="7" t="s">
        <v>7</v>
      </c>
      <c r="BB47" s="7" t="s">
        <v>5</v>
      </c>
      <c r="BC47" s="7" t="s">
        <v>8</v>
      </c>
      <c r="BD47" s="7" t="s">
        <v>6</v>
      </c>
      <c r="BE47" s="7" t="s">
        <v>7</v>
      </c>
      <c r="BF47" s="7"/>
      <c r="BG47" s="7"/>
      <c r="BH47" s="7"/>
      <c r="BO47" t="s">
        <v>9</v>
      </c>
      <c r="BP47" s="7" t="s">
        <v>10</v>
      </c>
    </row>
    <row r="48" ht="15.75" hidden="1">
      <c r="B48" t="s">
        <v>26</v>
      </c>
    </row>
    <row r="49" spans="2:57" ht="15.75" hidden="1">
      <c r="B49" t="s">
        <v>12</v>
      </c>
      <c r="C49">
        <v>5.4</v>
      </c>
      <c r="F49" s="24">
        <v>12530.61</v>
      </c>
      <c r="G49" s="29">
        <f>C49</f>
        <v>5.4</v>
      </c>
      <c r="J49" s="31">
        <v>12605.9</v>
      </c>
      <c r="K49" s="31"/>
      <c r="L49" s="29">
        <f>G49</f>
        <v>5.4</v>
      </c>
      <c r="P49" s="31">
        <v>15400.11</v>
      </c>
      <c r="Q49" s="29">
        <f>L49</f>
        <v>5.4</v>
      </c>
      <c r="T49" s="31">
        <v>9282.23</v>
      </c>
      <c r="U49" s="29">
        <f>Q49</f>
        <v>5.4</v>
      </c>
      <c r="X49" s="31">
        <v>14013.87</v>
      </c>
      <c r="Y49" s="29">
        <f>U49</f>
        <v>5.4</v>
      </c>
      <c r="AB49" s="31">
        <v>15186.42</v>
      </c>
      <c r="AC49" s="29">
        <f>Y49</f>
        <v>5.4</v>
      </c>
      <c r="AF49" s="31">
        <v>15502.32</v>
      </c>
      <c r="AG49" s="29">
        <f>AC49</f>
        <v>5.4</v>
      </c>
      <c r="AJ49" s="31">
        <v>10027.8</v>
      </c>
      <c r="AK49" s="29">
        <f>AG49</f>
        <v>5.4</v>
      </c>
      <c r="AN49" s="31">
        <v>10403.1</v>
      </c>
      <c r="AO49" s="29">
        <f>AK49</f>
        <v>5.4</v>
      </c>
      <c r="AR49" s="31">
        <v>14359.68</v>
      </c>
      <c r="AS49" s="29">
        <f>AO49</f>
        <v>5.4</v>
      </c>
      <c r="AV49" s="31">
        <v>12316.33</v>
      </c>
      <c r="AW49" s="29">
        <f>AS49</f>
        <v>5.4</v>
      </c>
      <c r="AZ49" s="31">
        <v>14491.12</v>
      </c>
      <c r="BB49">
        <f>AW49</f>
        <v>5.4</v>
      </c>
      <c r="BE49" s="2">
        <f>F49+J49+P49+T49+X49+AB49+AF49+AJ49+AN49+AR49+AV49+AZ49</f>
        <v>156119.49000000002</v>
      </c>
    </row>
    <row r="50" spans="2:70" ht="15.75" hidden="1">
      <c r="B50" t="s">
        <v>13</v>
      </c>
      <c r="C50">
        <v>0.04312</v>
      </c>
      <c r="D50" s="2">
        <v>3</v>
      </c>
      <c r="E50" s="28">
        <v>801600</v>
      </c>
      <c r="F50" s="24">
        <v>34565</v>
      </c>
      <c r="G50" s="29">
        <f>C50</f>
        <v>0.04312</v>
      </c>
      <c r="H50" s="58">
        <v>3</v>
      </c>
      <c r="I50" s="28">
        <v>774300</v>
      </c>
      <c r="J50" s="31">
        <v>33388</v>
      </c>
      <c r="K50" s="31"/>
      <c r="L50" s="29">
        <f>G50</f>
        <v>0.04312</v>
      </c>
      <c r="M50" s="58">
        <v>4</v>
      </c>
      <c r="N50" s="58"/>
      <c r="O50" s="28">
        <v>793700</v>
      </c>
      <c r="P50" s="31">
        <v>34224</v>
      </c>
      <c r="Q50" s="29">
        <f>L50</f>
        <v>0.04312</v>
      </c>
      <c r="R50" s="58">
        <v>3</v>
      </c>
      <c r="S50" s="28">
        <v>791900</v>
      </c>
      <c r="T50" s="31">
        <v>34147</v>
      </c>
      <c r="U50" s="29">
        <f>Q50</f>
        <v>0.04312</v>
      </c>
      <c r="V50" s="58">
        <v>3</v>
      </c>
      <c r="W50" s="28">
        <v>1035000</v>
      </c>
      <c r="X50" s="31">
        <v>44629</v>
      </c>
      <c r="Y50" s="29">
        <f>U50</f>
        <v>0.04312</v>
      </c>
      <c r="Z50" s="58">
        <v>3</v>
      </c>
      <c r="AA50" s="28">
        <v>1001000</v>
      </c>
      <c r="AB50" s="31">
        <v>43163</v>
      </c>
      <c r="AC50" s="29">
        <f>Y50</f>
        <v>0.04312</v>
      </c>
      <c r="AD50" s="58">
        <v>3</v>
      </c>
      <c r="AE50" s="28">
        <v>1142400</v>
      </c>
      <c r="AF50" s="31">
        <v>49260</v>
      </c>
      <c r="AG50" s="29">
        <f>AC50</f>
        <v>0.04312</v>
      </c>
      <c r="AH50" s="58">
        <v>2</v>
      </c>
      <c r="AI50" s="28">
        <v>509500</v>
      </c>
      <c r="AJ50" s="31">
        <v>21970</v>
      </c>
      <c r="AK50" s="29">
        <f>AG50</f>
        <v>0.04312</v>
      </c>
      <c r="AL50" s="58">
        <v>2</v>
      </c>
      <c r="AM50" s="28">
        <v>504700</v>
      </c>
      <c r="AN50" s="31">
        <v>21763</v>
      </c>
      <c r="AO50" s="41">
        <f>AK50</f>
        <v>0.04312</v>
      </c>
      <c r="AP50" s="58">
        <v>4</v>
      </c>
      <c r="AQ50" s="28">
        <v>498500</v>
      </c>
      <c r="AR50" s="31">
        <v>21495</v>
      </c>
      <c r="AS50" s="29">
        <f>AO50</f>
        <v>0.04312</v>
      </c>
      <c r="AT50" s="58">
        <v>4</v>
      </c>
      <c r="AU50" s="28">
        <v>527100</v>
      </c>
      <c r="AV50" s="31">
        <v>30441</v>
      </c>
      <c r="AW50" s="29">
        <f>AS50</f>
        <v>0.04312</v>
      </c>
      <c r="AX50" s="58">
        <v>4</v>
      </c>
      <c r="AY50" s="28">
        <v>773200</v>
      </c>
      <c r="AZ50" s="31">
        <v>39594</v>
      </c>
      <c r="BB50">
        <f>AW50</f>
        <v>0.04312</v>
      </c>
      <c r="BC50" s="2">
        <f>D50+H50+M50+R50+V50+Z50+AD50+AH50+AL50+AP50+AT50+AX50</f>
        <v>38</v>
      </c>
      <c r="BD50" s="2">
        <f>E50+I50+O50+S50+W50+AA50+AE50+AI50+AM50+AQ50+AU50+AY50</f>
        <v>9152900</v>
      </c>
      <c r="BE50" s="2">
        <f>F50+J50+P50+T50+X50+AB50+AF50+AJ50+AN50+AR50+AV50+AZ50</f>
        <v>408639</v>
      </c>
      <c r="BF50" s="2"/>
      <c r="BG50" s="2"/>
      <c r="BH50" s="2"/>
      <c r="BI50" s="2"/>
      <c r="BJ50" s="2"/>
      <c r="BO50" s="2" t="e">
        <f>#REF!+#REF!+#REF!+#REF!+#REF!+#REF!+#REF!+#REF!+#REF!+#REF!+#REF!+#REF!</f>
        <v>#REF!</v>
      </c>
      <c r="BP50" s="2" t="e">
        <f>#REF!+#REF!+#REF!+#REF!+#REF!+#REF!+#REF!+#REF!+#REF!+#REF!+#REF!+#REF!</f>
        <v>#REF!</v>
      </c>
      <c r="BQ50" s="2"/>
      <c r="BR50" s="2"/>
    </row>
    <row r="51" spans="2:63" ht="15.75" hidden="1">
      <c r="B51" t="s">
        <v>16</v>
      </c>
      <c r="F51" s="24">
        <v>4374</v>
      </c>
      <c r="J51" s="31">
        <v>9138.29</v>
      </c>
      <c r="K51" s="31"/>
      <c r="P51" s="31">
        <v>8768.8</v>
      </c>
      <c r="T51" s="31">
        <v>7622.83</v>
      </c>
      <c r="X51" s="31">
        <v>4664.74</v>
      </c>
      <c r="AB51" s="31">
        <v>11067.06</v>
      </c>
      <c r="AF51" s="31">
        <v>10314.73</v>
      </c>
      <c r="AJ51" s="31">
        <v>3810.55</v>
      </c>
      <c r="AN51" s="31">
        <v>4271.78</v>
      </c>
      <c r="AR51" s="31">
        <v>4975.53</v>
      </c>
      <c r="AV51" s="31">
        <v>3998.58</v>
      </c>
      <c r="AZ51" s="31">
        <v>2963.67</v>
      </c>
      <c r="BE51" s="2">
        <f>F51+J51+P51+T51+X51+AB51+AF51+AJ51+AN51+AR51+AV51+AZ51</f>
        <v>75970.56</v>
      </c>
      <c r="BF51" s="10"/>
      <c r="BK51" s="2"/>
    </row>
    <row r="52" spans="2:63" ht="15.75" hidden="1">
      <c r="B52" t="s">
        <v>99</v>
      </c>
      <c r="F52" s="31">
        <v>3867</v>
      </c>
      <c r="J52" s="24">
        <v>3794.77</v>
      </c>
      <c r="K52" s="24"/>
      <c r="P52" s="24">
        <v>3786.42</v>
      </c>
      <c r="T52" s="24">
        <v>5563.65</v>
      </c>
      <c r="X52" s="24">
        <v>2431.64</v>
      </c>
      <c r="AB52" s="24">
        <v>3700.44</v>
      </c>
      <c r="AF52" s="24">
        <v>4385</v>
      </c>
      <c r="AJ52" s="24">
        <v>2194.41</v>
      </c>
      <c r="AN52" s="24">
        <v>2174.5</v>
      </c>
      <c r="AR52" s="24">
        <v>2678.26</v>
      </c>
      <c r="AV52" s="24">
        <v>3271.28</v>
      </c>
      <c r="AZ52" s="24">
        <v>4983.93</v>
      </c>
      <c r="BE52" s="2">
        <f>F52+J52+P52+T52+X52+AB52+AF52+AJ52+AN52+AR52+AV52+AZ52</f>
        <v>42831.299999999996</v>
      </c>
      <c r="BF52" s="2"/>
      <c r="BH52" s="2"/>
      <c r="BK52" s="2"/>
    </row>
    <row r="53" spans="2:57" ht="15.75" hidden="1">
      <c r="B53" t="s">
        <v>17</v>
      </c>
      <c r="F53" s="24">
        <f>SUM(F49:F52)</f>
        <v>55336.61</v>
      </c>
      <c r="J53" s="24">
        <f>SUM(J49:J52)</f>
        <v>58926.96</v>
      </c>
      <c r="K53" s="24"/>
      <c r="P53" s="24">
        <f>SUM(P49:P52)</f>
        <v>62179.33</v>
      </c>
      <c r="T53" s="24">
        <f>SUM(T49:T52)</f>
        <v>56615.71</v>
      </c>
      <c r="X53" s="24">
        <f>SUM(X49:X52)</f>
        <v>65739.25</v>
      </c>
      <c r="AB53" s="24">
        <f>SUM(AB49:AB52)</f>
        <v>73116.92</v>
      </c>
      <c r="AF53" s="24">
        <f>SUM(AF49:AF52)</f>
        <v>79462.05</v>
      </c>
      <c r="AJ53" s="24">
        <f>SUM(AJ49:AJ52)</f>
        <v>38002.759999999995</v>
      </c>
      <c r="AN53" s="24">
        <f>SUM(AN49:AN52)</f>
        <v>38612.38</v>
      </c>
      <c r="AR53" s="24">
        <f>SUM(AR49:AR52)</f>
        <v>43508.47</v>
      </c>
      <c r="AV53" s="24">
        <f>SUM(AV49:AV52)</f>
        <v>50027.19</v>
      </c>
      <c r="AZ53" s="24">
        <f>SUM(AZ49:AZ52)</f>
        <v>62032.72</v>
      </c>
      <c r="BE53" s="10">
        <f>SUM(BE49:BE52)</f>
        <v>683560.3500000001</v>
      </c>
    </row>
    <row r="54" spans="3:55" ht="15.75" hidden="1">
      <c r="C54" s="7" t="s">
        <v>5</v>
      </c>
      <c r="D54" s="7" t="s">
        <v>8</v>
      </c>
      <c r="E54" s="7" t="s">
        <v>6</v>
      </c>
      <c r="F54" s="7" t="s">
        <v>7</v>
      </c>
      <c r="G54" s="7" t="s">
        <v>5</v>
      </c>
      <c r="H54" s="57" t="s">
        <v>8</v>
      </c>
      <c r="I54" s="7" t="s">
        <v>6</v>
      </c>
      <c r="J54" s="7" t="s">
        <v>7</v>
      </c>
      <c r="K54" s="7"/>
      <c r="L54" s="7" t="s">
        <v>5</v>
      </c>
      <c r="M54" s="57" t="s">
        <v>8</v>
      </c>
      <c r="N54" s="57"/>
      <c r="O54" s="7" t="s">
        <v>6</v>
      </c>
      <c r="P54" s="7" t="s">
        <v>7</v>
      </c>
      <c r="Q54" s="7" t="s">
        <v>5</v>
      </c>
      <c r="R54" s="57" t="s">
        <v>8</v>
      </c>
      <c r="S54" s="7" t="s">
        <v>6</v>
      </c>
      <c r="T54" s="7" t="s">
        <v>7</v>
      </c>
      <c r="U54" s="7" t="s">
        <v>5</v>
      </c>
      <c r="V54" s="57" t="s">
        <v>8</v>
      </c>
      <c r="W54" s="7" t="s">
        <v>6</v>
      </c>
      <c r="X54" s="7" t="s">
        <v>7</v>
      </c>
      <c r="Y54" s="7" t="s">
        <v>5</v>
      </c>
      <c r="Z54" s="57" t="s">
        <v>8</v>
      </c>
      <c r="AA54" s="7" t="s">
        <v>6</v>
      </c>
      <c r="AB54" s="7" t="s">
        <v>7</v>
      </c>
      <c r="AC54" s="7" t="s">
        <v>5</v>
      </c>
      <c r="AD54" s="57" t="s">
        <v>8</v>
      </c>
      <c r="AE54" s="7" t="s">
        <v>6</v>
      </c>
      <c r="AF54" s="7" t="s">
        <v>7</v>
      </c>
      <c r="AG54" s="7" t="s">
        <v>5</v>
      </c>
      <c r="AI54" s="7" t="s">
        <v>6</v>
      </c>
      <c r="AJ54" s="7" t="s">
        <v>7</v>
      </c>
      <c r="AK54" s="7" t="s">
        <v>5</v>
      </c>
      <c r="AL54" s="57" t="s">
        <v>8</v>
      </c>
      <c r="AM54" s="7" t="s">
        <v>6</v>
      </c>
      <c r="AN54" s="7" t="s">
        <v>7</v>
      </c>
      <c r="AO54" s="7" t="s">
        <v>5</v>
      </c>
      <c r="AP54" s="57" t="s">
        <v>8</v>
      </c>
      <c r="AQ54" s="7" t="s">
        <v>6</v>
      </c>
      <c r="AR54" s="7" t="s">
        <v>7</v>
      </c>
      <c r="AS54" s="7" t="s">
        <v>5</v>
      </c>
      <c r="AT54" s="57" t="s">
        <v>8</v>
      </c>
      <c r="AU54" s="7" t="s">
        <v>6</v>
      </c>
      <c r="AV54" s="7" t="s">
        <v>7</v>
      </c>
      <c r="AW54" s="7" t="s">
        <v>5</v>
      </c>
      <c r="AX54" s="57" t="s">
        <v>8</v>
      </c>
      <c r="AY54" s="7" t="s">
        <v>6</v>
      </c>
      <c r="AZ54" s="7" t="s">
        <v>7</v>
      </c>
      <c r="BB54" s="7" t="s">
        <v>5</v>
      </c>
      <c r="BC54" s="7" t="s">
        <v>8</v>
      </c>
    </row>
    <row r="55" spans="2:52" ht="15.75" hidden="1">
      <c r="B55" t="s">
        <v>69</v>
      </c>
      <c r="F55" s="24"/>
      <c r="G55"/>
      <c r="J55" s="24"/>
      <c r="K55" s="24"/>
      <c r="L55"/>
      <c r="P55" s="24"/>
      <c r="Q55"/>
      <c r="T55" s="24"/>
      <c r="U55"/>
      <c r="X55" s="24"/>
      <c r="Y55"/>
      <c r="AB55" s="24"/>
      <c r="AC55"/>
      <c r="AF55" s="24"/>
      <c r="AG55"/>
      <c r="AJ55" s="24"/>
      <c r="AK55"/>
      <c r="AN55" s="24"/>
      <c r="AO55"/>
      <c r="AR55" s="24"/>
      <c r="AS55"/>
      <c r="AV55" s="24"/>
      <c r="AW55"/>
      <c r="AZ55" s="24"/>
    </row>
    <row r="56" spans="2:57" ht="15.75" hidden="1">
      <c r="B56" t="s">
        <v>12</v>
      </c>
      <c r="C56">
        <v>5.8</v>
      </c>
      <c r="F56" s="24">
        <v>0</v>
      </c>
      <c r="G56">
        <f>C56</f>
        <v>5.8</v>
      </c>
      <c r="J56" s="24">
        <v>0</v>
      </c>
      <c r="K56" s="24"/>
      <c r="L56">
        <f>G56</f>
        <v>5.8</v>
      </c>
      <c r="P56" s="24">
        <v>0</v>
      </c>
      <c r="Q56">
        <f>L56</f>
        <v>5.8</v>
      </c>
      <c r="T56" s="24">
        <v>0</v>
      </c>
      <c r="U56">
        <f>Q56</f>
        <v>5.8</v>
      </c>
      <c r="X56" s="24">
        <v>0</v>
      </c>
      <c r="Y56">
        <f>U56</f>
        <v>5.8</v>
      </c>
      <c r="AB56" s="24">
        <v>0</v>
      </c>
      <c r="AC56">
        <f>Y56</f>
        <v>5.8</v>
      </c>
      <c r="AF56" s="24">
        <v>0</v>
      </c>
      <c r="AG56">
        <f>AC56</f>
        <v>5.8</v>
      </c>
      <c r="AJ56" s="24">
        <v>5753.6</v>
      </c>
      <c r="AK56">
        <f>AG56</f>
        <v>5.8</v>
      </c>
      <c r="AN56" s="24">
        <v>5771.46</v>
      </c>
      <c r="AO56">
        <f>AK56</f>
        <v>5.8</v>
      </c>
      <c r="AR56" s="24">
        <v>5771.46</v>
      </c>
      <c r="AS56">
        <f>AO56</f>
        <v>5.8</v>
      </c>
      <c r="AV56" s="24">
        <v>5771.46</v>
      </c>
      <c r="AW56">
        <f>AS56</f>
        <v>5.8</v>
      </c>
      <c r="AZ56" s="24">
        <v>5786.54</v>
      </c>
      <c r="BB56">
        <f>AW56</f>
        <v>5.8</v>
      </c>
      <c r="BE56" s="2">
        <f>F56+J56+P56+T56+X56+AB56+AF56+AJ56+AN56+AR56+AV56+AZ56</f>
        <v>28854.52</v>
      </c>
    </row>
    <row r="57" spans="2:57" ht="15.75" hidden="1">
      <c r="B57" t="s">
        <v>13</v>
      </c>
      <c r="C57">
        <v>0.03598</v>
      </c>
      <c r="E57">
        <v>0</v>
      </c>
      <c r="F57" s="24">
        <v>0</v>
      </c>
      <c r="G57">
        <f>C57</f>
        <v>0.03598</v>
      </c>
      <c r="I57">
        <v>0</v>
      </c>
      <c r="J57" s="24">
        <v>0</v>
      </c>
      <c r="K57" s="24"/>
      <c r="L57">
        <f>G57</f>
        <v>0.03598</v>
      </c>
      <c r="O57">
        <v>0</v>
      </c>
      <c r="P57" s="24">
        <v>0</v>
      </c>
      <c r="Q57">
        <f>L57</f>
        <v>0.03598</v>
      </c>
      <c r="S57">
        <v>0</v>
      </c>
      <c r="T57" s="24">
        <v>0</v>
      </c>
      <c r="U57">
        <f>Q57</f>
        <v>0.03598</v>
      </c>
      <c r="W57">
        <v>0</v>
      </c>
      <c r="X57" s="24">
        <v>0</v>
      </c>
      <c r="Y57">
        <f>U57</f>
        <v>0.03598</v>
      </c>
      <c r="AA57">
        <v>0</v>
      </c>
      <c r="AB57" s="24">
        <v>0</v>
      </c>
      <c r="AC57">
        <f>Y57</f>
        <v>0.03598</v>
      </c>
      <c r="AE57">
        <v>0</v>
      </c>
      <c r="AF57" s="24">
        <v>0</v>
      </c>
      <c r="AG57">
        <f>AC57</f>
        <v>0.03598</v>
      </c>
      <c r="AH57" s="28">
        <v>1</v>
      </c>
      <c r="AI57">
        <v>443519</v>
      </c>
      <c r="AJ57" s="24">
        <v>16004</v>
      </c>
      <c r="AK57">
        <f>AG57</f>
        <v>0.03598</v>
      </c>
      <c r="AL57" s="28">
        <v>1</v>
      </c>
      <c r="AM57">
        <v>464782</v>
      </c>
      <c r="AN57" s="24">
        <v>16751</v>
      </c>
      <c r="AO57">
        <f>AK57</f>
        <v>0.03598</v>
      </c>
      <c r="AP57" s="28">
        <v>1</v>
      </c>
      <c r="AQ57">
        <v>480673</v>
      </c>
      <c r="AR57" s="24">
        <v>17323</v>
      </c>
      <c r="AS57">
        <f>AO57</f>
        <v>0.03598</v>
      </c>
      <c r="AT57" s="28">
        <v>1</v>
      </c>
      <c r="AU57">
        <v>448730</v>
      </c>
      <c r="AV57" s="24">
        <v>16174</v>
      </c>
      <c r="AW57">
        <f>AS57</f>
        <v>0.03598</v>
      </c>
      <c r="AX57" s="28">
        <v>1</v>
      </c>
      <c r="AY57">
        <v>451511</v>
      </c>
      <c r="AZ57" s="24">
        <v>16259</v>
      </c>
      <c r="BB57">
        <f>AW57</f>
        <v>0.03598</v>
      </c>
      <c r="BC57" s="2">
        <f>D57+H57+M57+R57+V57+Z57+AD57+AH57+AL57+AP57+AT57+AX57</f>
        <v>5</v>
      </c>
      <c r="BD57" s="2">
        <f>E57+I57+O57+S57+W57+AA57+AE57+AI57+AM57+AQ57+AU57+AY57</f>
        <v>2289215</v>
      </c>
      <c r="BE57" s="2">
        <f>F57+J57+P57+T57+X57+AB57+AF57+AJ57+AN57+AR57+AV57+AZ57</f>
        <v>82511</v>
      </c>
    </row>
    <row r="58" spans="2:57" ht="15.75" hidden="1">
      <c r="B58" t="s">
        <v>16</v>
      </c>
      <c r="F58" s="24">
        <v>0</v>
      </c>
      <c r="G58"/>
      <c r="J58" s="24">
        <v>0</v>
      </c>
      <c r="K58" s="24"/>
      <c r="L58"/>
      <c r="P58" s="24">
        <v>0</v>
      </c>
      <c r="Q58"/>
      <c r="T58" s="24">
        <v>0</v>
      </c>
      <c r="U58"/>
      <c r="X58" s="24">
        <v>0</v>
      </c>
      <c r="Y58"/>
      <c r="AB58" s="24">
        <v>0</v>
      </c>
      <c r="AC58"/>
      <c r="AF58" s="24">
        <v>0</v>
      </c>
      <c r="AG58"/>
      <c r="AJ58" s="24">
        <v>3317.08</v>
      </c>
      <c r="AK58"/>
      <c r="AN58" s="24">
        <v>3933.91</v>
      </c>
      <c r="AO58"/>
      <c r="AR58" s="24">
        <v>4797.6</v>
      </c>
      <c r="AS58"/>
      <c r="AV58" s="24">
        <v>3404.07</v>
      </c>
      <c r="AW58"/>
      <c r="AZ58" s="24">
        <v>1730.64</v>
      </c>
      <c r="BE58" s="2">
        <f>F58+J58+P58+T58+X58+AB58+AF58+AJ58+AN58+AR58+AV58+AZ58</f>
        <v>17183.3</v>
      </c>
    </row>
    <row r="59" spans="2:57" ht="15.75" hidden="1">
      <c r="B59" t="s">
        <v>99</v>
      </c>
      <c r="F59" s="24">
        <v>0</v>
      </c>
      <c r="G59"/>
      <c r="J59" s="24">
        <v>0</v>
      </c>
      <c r="K59" s="24"/>
      <c r="L59"/>
      <c r="P59" s="24">
        <v>0</v>
      </c>
      <c r="Q59"/>
      <c r="T59" s="24">
        <v>0</v>
      </c>
      <c r="U59"/>
      <c r="X59" s="24">
        <v>0</v>
      </c>
      <c r="Y59"/>
      <c r="AB59" s="24">
        <v>0</v>
      </c>
      <c r="AC59"/>
      <c r="AF59" s="24">
        <v>0</v>
      </c>
      <c r="AG59"/>
      <c r="AJ59" s="24">
        <v>1533.48</v>
      </c>
      <c r="AK59"/>
      <c r="AN59" s="24">
        <v>1575.75</v>
      </c>
      <c r="AO59"/>
      <c r="AR59" s="24">
        <v>1825.62</v>
      </c>
      <c r="AS59"/>
      <c r="AV59" s="24">
        <v>1770.6</v>
      </c>
      <c r="AW59"/>
      <c r="AZ59" s="24">
        <v>2074.74</v>
      </c>
      <c r="BE59" s="2">
        <f>F59+J59+P59+T59+X59+AB59+AF59+AJ59+AN59+AR59+AV59+AZ59</f>
        <v>8780.19</v>
      </c>
    </row>
    <row r="60" spans="2:57" ht="15.75" hidden="1">
      <c r="B60" t="s">
        <v>17</v>
      </c>
      <c r="F60" s="24">
        <f>SUM(F56:F59)</f>
        <v>0</v>
      </c>
      <c r="G60"/>
      <c r="J60" s="24">
        <f>SUM(J56:J59)</f>
        <v>0</v>
      </c>
      <c r="K60" s="24"/>
      <c r="L60"/>
      <c r="P60" s="24">
        <f>SUM(P56:P59)</f>
        <v>0</v>
      </c>
      <c r="Q60"/>
      <c r="T60" s="24">
        <f>SUM(T56:T59)</f>
        <v>0</v>
      </c>
      <c r="U60"/>
      <c r="X60" s="24">
        <f>SUM(X56:X59)</f>
        <v>0</v>
      </c>
      <c r="Y60"/>
      <c r="AB60" s="24">
        <f>SUM(AB56:AB59)</f>
        <v>0</v>
      </c>
      <c r="AC60"/>
      <c r="AF60" s="24">
        <f>SUM(AF56:AF59)</f>
        <v>0</v>
      </c>
      <c r="AG60"/>
      <c r="AJ60" s="24">
        <f>SUM(AJ56:AJ59)</f>
        <v>26608.16</v>
      </c>
      <c r="AK60"/>
      <c r="AN60" s="24">
        <f>SUM(AN56:AN59)</f>
        <v>28032.12</v>
      </c>
      <c r="AO60"/>
      <c r="AR60" s="24">
        <f>SUM(AR56:AR59)</f>
        <v>29717.679999999997</v>
      </c>
      <c r="AS60"/>
      <c r="AV60" s="24">
        <f>SUM(AV56:AV59)</f>
        <v>27120.129999999997</v>
      </c>
      <c r="AW60"/>
      <c r="AZ60" s="24">
        <f>SUM(AZ56:AZ59)</f>
        <v>25850.92</v>
      </c>
      <c r="BE60" s="10">
        <f>SUM(BE56:BE59)</f>
        <v>137329.01</v>
      </c>
    </row>
    <row r="61" spans="3:68" ht="15.75" hidden="1">
      <c r="C61" s="7" t="s">
        <v>5</v>
      </c>
      <c r="D61" s="7" t="s">
        <v>8</v>
      </c>
      <c r="E61" s="7" t="s">
        <v>6</v>
      </c>
      <c r="F61" s="7" t="s">
        <v>7</v>
      </c>
      <c r="G61" s="38" t="s">
        <v>5</v>
      </c>
      <c r="H61" s="57" t="s">
        <v>8</v>
      </c>
      <c r="I61" s="7" t="s">
        <v>6</v>
      </c>
      <c r="J61" s="7" t="s">
        <v>7</v>
      </c>
      <c r="K61" s="7"/>
      <c r="L61" s="38" t="s">
        <v>5</v>
      </c>
      <c r="M61" s="57" t="s">
        <v>8</v>
      </c>
      <c r="N61" s="57"/>
      <c r="O61" s="7" t="s">
        <v>6</v>
      </c>
      <c r="P61" s="7" t="s">
        <v>7</v>
      </c>
      <c r="Q61" s="38" t="s">
        <v>5</v>
      </c>
      <c r="R61" s="57" t="s">
        <v>8</v>
      </c>
      <c r="S61" s="7" t="s">
        <v>6</v>
      </c>
      <c r="T61" s="7" t="s">
        <v>7</v>
      </c>
      <c r="U61" s="38" t="s">
        <v>5</v>
      </c>
      <c r="V61" s="57" t="s">
        <v>8</v>
      </c>
      <c r="W61" s="7" t="s">
        <v>6</v>
      </c>
      <c r="X61" s="7" t="s">
        <v>7</v>
      </c>
      <c r="Y61" s="38" t="s">
        <v>5</v>
      </c>
      <c r="Z61" s="57" t="s">
        <v>8</v>
      </c>
      <c r="AA61" s="7" t="s">
        <v>6</v>
      </c>
      <c r="AB61" s="7" t="s">
        <v>7</v>
      </c>
      <c r="AC61" s="38" t="s">
        <v>5</v>
      </c>
      <c r="AD61" s="57" t="s">
        <v>8</v>
      </c>
      <c r="AE61" s="7" t="s">
        <v>6</v>
      </c>
      <c r="AF61" s="7" t="s">
        <v>7</v>
      </c>
      <c r="AG61" s="38" t="s">
        <v>5</v>
      </c>
      <c r="AI61" s="7" t="s">
        <v>6</v>
      </c>
      <c r="AJ61" s="7" t="s">
        <v>7</v>
      </c>
      <c r="AK61" s="38" t="s">
        <v>5</v>
      </c>
      <c r="AL61" s="57" t="s">
        <v>8</v>
      </c>
      <c r="AM61" s="7" t="s">
        <v>6</v>
      </c>
      <c r="AN61" s="7" t="s">
        <v>7</v>
      </c>
      <c r="AO61" s="38" t="s">
        <v>5</v>
      </c>
      <c r="AP61" s="57" t="s">
        <v>8</v>
      </c>
      <c r="AQ61" s="7" t="s">
        <v>6</v>
      </c>
      <c r="AR61" s="7" t="s">
        <v>7</v>
      </c>
      <c r="AS61" s="38" t="s">
        <v>5</v>
      </c>
      <c r="AT61" s="57" t="s">
        <v>8</v>
      </c>
      <c r="AU61" s="7" t="s">
        <v>6</v>
      </c>
      <c r="AV61" s="7" t="s">
        <v>7</v>
      </c>
      <c r="AW61" s="38" t="s">
        <v>5</v>
      </c>
      <c r="AX61" s="57" t="s">
        <v>8</v>
      </c>
      <c r="AY61" s="7" t="s">
        <v>6</v>
      </c>
      <c r="AZ61" s="7" t="s">
        <v>7</v>
      </c>
      <c r="BB61" s="7" t="s">
        <v>5</v>
      </c>
      <c r="BC61" s="7" t="s">
        <v>8</v>
      </c>
      <c r="BD61" s="7" t="s">
        <v>6</v>
      </c>
      <c r="BE61" s="7" t="s">
        <v>7</v>
      </c>
      <c r="BF61" s="7"/>
      <c r="BG61" s="7"/>
      <c r="BH61" s="7"/>
      <c r="BO61" t="s">
        <v>9</v>
      </c>
      <c r="BP61" s="7" t="s">
        <v>10</v>
      </c>
    </row>
    <row r="62" ht="15.75" hidden="1">
      <c r="B62" t="s">
        <v>27</v>
      </c>
    </row>
    <row r="63" spans="2:57" ht="15.75" hidden="1">
      <c r="B63" t="s">
        <v>12</v>
      </c>
      <c r="C63" s="25">
        <v>8.23</v>
      </c>
      <c r="F63" s="24">
        <v>12514.87</v>
      </c>
      <c r="G63" s="29">
        <f>C63</f>
        <v>8.23</v>
      </c>
      <c r="J63" s="31">
        <v>12230.44</v>
      </c>
      <c r="K63" s="31"/>
      <c r="L63" s="29">
        <f>G63</f>
        <v>8.23</v>
      </c>
      <c r="P63" s="31">
        <v>12301.55</v>
      </c>
      <c r="Q63" s="29">
        <f>L63</f>
        <v>8.23</v>
      </c>
      <c r="T63" s="31">
        <v>12372.65</v>
      </c>
      <c r="U63" s="29">
        <f>Q63</f>
        <v>8.23</v>
      </c>
      <c r="X63" s="31">
        <v>12633.38</v>
      </c>
      <c r="Y63" s="29">
        <f>U63</f>
        <v>8.23</v>
      </c>
      <c r="AB63" s="31">
        <v>13273.34</v>
      </c>
      <c r="AC63" s="29">
        <f>Y63</f>
        <v>8.23</v>
      </c>
      <c r="AF63" s="31">
        <v>12917.81</v>
      </c>
      <c r="AG63" s="29">
        <f>AC63</f>
        <v>8.23</v>
      </c>
      <c r="AJ63" s="31">
        <v>12633.38</v>
      </c>
      <c r="AK63" s="29">
        <f>AG63</f>
        <v>8.23</v>
      </c>
      <c r="AN63" s="31">
        <v>12799.3</v>
      </c>
      <c r="AO63" s="29">
        <f>AK63</f>
        <v>8.23</v>
      </c>
      <c r="AR63" s="31">
        <v>12680.78</v>
      </c>
      <c r="AS63" s="29">
        <f>AO63</f>
        <v>8.23</v>
      </c>
      <c r="AV63" s="31">
        <v>12467.46</v>
      </c>
      <c r="AW63" s="29">
        <f>AS63</f>
        <v>8.23</v>
      </c>
      <c r="AZ63" s="31">
        <v>12514.87</v>
      </c>
      <c r="BB63">
        <f>AW63</f>
        <v>8.23</v>
      </c>
      <c r="BE63" s="2">
        <f>F63+J63+P63+T63+X63+AB63+AF63+AJ63+AN63+AR63+AV63+AZ63</f>
        <v>151339.83</v>
      </c>
    </row>
    <row r="64" spans="2:70" ht="15.75" hidden="1">
      <c r="B64" t="s">
        <v>13</v>
      </c>
      <c r="C64">
        <v>0.04702</v>
      </c>
      <c r="D64" s="2">
        <v>1</v>
      </c>
      <c r="E64" s="28">
        <v>868515</v>
      </c>
      <c r="F64" s="24">
        <v>40838</v>
      </c>
      <c r="G64" s="29">
        <f>C64</f>
        <v>0.04702</v>
      </c>
      <c r="H64" s="58">
        <v>1</v>
      </c>
      <c r="I64" s="28">
        <v>827672</v>
      </c>
      <c r="J64" s="31">
        <v>38917</v>
      </c>
      <c r="K64" s="31"/>
      <c r="L64" s="29">
        <f>G64</f>
        <v>0.04702</v>
      </c>
      <c r="M64" s="58">
        <v>1</v>
      </c>
      <c r="N64" s="58"/>
      <c r="O64" s="28">
        <v>858628</v>
      </c>
      <c r="P64" s="31">
        <v>40373</v>
      </c>
      <c r="Q64" s="29">
        <f>L64</f>
        <v>0.04702</v>
      </c>
      <c r="R64" s="58">
        <v>1</v>
      </c>
      <c r="S64" s="28">
        <v>955797</v>
      </c>
      <c r="T64" s="31">
        <v>44942</v>
      </c>
      <c r="U64" s="29">
        <f>Q64</f>
        <v>0.04702</v>
      </c>
      <c r="V64" s="58">
        <v>1</v>
      </c>
      <c r="W64" s="28">
        <v>825499</v>
      </c>
      <c r="X64" s="31">
        <v>38815</v>
      </c>
      <c r="Y64" s="29">
        <f>U64</f>
        <v>0.04702</v>
      </c>
      <c r="Z64" s="58">
        <v>1</v>
      </c>
      <c r="AA64" s="28">
        <v>720146</v>
      </c>
      <c r="AB64" s="31">
        <v>33861</v>
      </c>
      <c r="AC64" s="29">
        <f>Y64</f>
        <v>0.04702</v>
      </c>
      <c r="AD64" s="58">
        <v>1</v>
      </c>
      <c r="AE64" s="28">
        <v>993031</v>
      </c>
      <c r="AF64" s="31">
        <v>46692</v>
      </c>
      <c r="AG64" s="29">
        <f>AC64</f>
        <v>0.04702</v>
      </c>
      <c r="AH64" s="58">
        <v>1</v>
      </c>
      <c r="AI64" s="28">
        <v>951880</v>
      </c>
      <c r="AJ64" s="31">
        <v>44757</v>
      </c>
      <c r="AK64" s="29">
        <f>AG64</f>
        <v>0.04702</v>
      </c>
      <c r="AL64" s="58">
        <v>1</v>
      </c>
      <c r="AM64" s="28">
        <v>1009918</v>
      </c>
      <c r="AN64" s="31">
        <v>47486</v>
      </c>
      <c r="AO64" s="41">
        <f>AK64</f>
        <v>0.04702</v>
      </c>
      <c r="AP64" s="58">
        <v>1</v>
      </c>
      <c r="AQ64" s="28">
        <v>790015</v>
      </c>
      <c r="AR64" s="31">
        <v>37147</v>
      </c>
      <c r="AS64" s="29">
        <f>AO64</f>
        <v>0.04702</v>
      </c>
      <c r="AT64" s="58">
        <v>1</v>
      </c>
      <c r="AU64" s="28">
        <v>830586</v>
      </c>
      <c r="AV64" s="31">
        <v>39054</v>
      </c>
      <c r="AW64" s="29">
        <f>AS64</f>
        <v>0.04702</v>
      </c>
      <c r="AX64" s="58">
        <v>1</v>
      </c>
      <c r="AY64" s="28">
        <v>915474</v>
      </c>
      <c r="AZ64" s="31">
        <v>43046</v>
      </c>
      <c r="BB64">
        <f>AW64</f>
        <v>0.04702</v>
      </c>
      <c r="BC64" s="2">
        <f>D64+H64+M64+R64+V64+Z64+AD64+AH64+AL64+AP64+AT64+AX64</f>
        <v>12</v>
      </c>
      <c r="BD64" s="2">
        <f>E64+I64+O64+S64+W64+AA64+AE64+AI64+AM64+AQ64+AU64+AY64</f>
        <v>10547161</v>
      </c>
      <c r="BE64" s="2">
        <f>F64+J64+P64+T64+X64+AB64+AF64+AJ64+AN64+AR64+AV64+AZ64</f>
        <v>495928</v>
      </c>
      <c r="BF64" s="2"/>
      <c r="BG64" s="2"/>
      <c r="BH64" s="2"/>
      <c r="BI64" s="2"/>
      <c r="BJ64" s="2"/>
      <c r="BO64" s="2" t="e">
        <f>#REF!+#REF!+#REF!+#REF!+#REF!+#REF!+#REF!+#REF!+#REF!+#REF!+#REF!+#REF!</f>
        <v>#REF!</v>
      </c>
      <c r="BP64" s="2" t="e">
        <f>#REF!+#REF!+#REF!+#REF!+#REF!+#REF!+#REF!+#REF!+#REF!+#REF!+#REF!+#REF!</f>
        <v>#REF!</v>
      </c>
      <c r="BQ64" s="2"/>
      <c r="BR64" s="2"/>
    </row>
    <row r="65" spans="2:63" ht="15.75" hidden="1">
      <c r="B65" t="s">
        <v>16</v>
      </c>
      <c r="F65" s="31">
        <v>4738.62</v>
      </c>
      <c r="J65" s="31">
        <v>9768.18</v>
      </c>
      <c r="K65" s="31"/>
      <c r="P65" s="31">
        <v>9486.12</v>
      </c>
      <c r="T65" s="31">
        <v>9200.5</v>
      </c>
      <c r="X65" s="31">
        <v>3720.52</v>
      </c>
      <c r="AB65" s="31">
        <v>7961.93</v>
      </c>
      <c r="AF65" s="31">
        <v>8966.08</v>
      </c>
      <c r="AJ65" s="31">
        <v>7119.11</v>
      </c>
      <c r="AN65" s="31">
        <v>8547.95</v>
      </c>
      <c r="AR65" s="31">
        <v>7885.14</v>
      </c>
      <c r="AV65" s="31">
        <v>6300.83</v>
      </c>
      <c r="AZ65" s="31">
        <v>3509.01</v>
      </c>
      <c r="BE65" s="2">
        <f>F65+J65+P65+T65+X65+AB65+AF65+AJ65+AN65+AR65+AV65+AZ65</f>
        <v>87203.98999999999</v>
      </c>
      <c r="BF65" s="10"/>
      <c r="BK65" s="2"/>
    </row>
    <row r="66" spans="2:63" ht="15.75" hidden="1">
      <c r="B66" t="s">
        <v>99</v>
      </c>
      <c r="F66" s="31">
        <v>4362.22</v>
      </c>
      <c r="J66" s="24">
        <v>4191.14</v>
      </c>
      <c r="K66" s="24"/>
      <c r="P66" s="24">
        <v>4027.68</v>
      </c>
      <c r="T66" s="24">
        <v>4915.01</v>
      </c>
      <c r="X66" s="24">
        <v>2151.55</v>
      </c>
      <c r="AB66" s="24">
        <v>2931.4</v>
      </c>
      <c r="AF66" s="24">
        <v>3998.31</v>
      </c>
      <c r="AJ66" s="24">
        <v>3941.95</v>
      </c>
      <c r="AN66" s="24">
        <v>4095.94</v>
      </c>
      <c r="AR66" s="24">
        <v>3773.9</v>
      </c>
      <c r="AV66" s="24">
        <v>4036.16</v>
      </c>
      <c r="AZ66" s="24">
        <v>5150.45</v>
      </c>
      <c r="BE66" s="2">
        <f>F66+J66+P66+T66+X66+AB66+AF66+AJ66+AN66+AR66+AV66+AZ66</f>
        <v>47575.71000000001</v>
      </c>
      <c r="BF66" s="2"/>
      <c r="BH66" s="2"/>
      <c r="BK66" s="2"/>
    </row>
    <row r="67" spans="2:67" ht="15.75" hidden="1">
      <c r="B67" t="s">
        <v>17</v>
      </c>
      <c r="F67" s="24">
        <f>SUM(F63:F66)</f>
        <v>62453.71000000001</v>
      </c>
      <c r="J67" s="24">
        <f>SUM(J63:J66)</f>
        <v>65106.76</v>
      </c>
      <c r="K67" s="24"/>
      <c r="P67" s="24">
        <f>SUM(P63:P66)</f>
        <v>66188.35</v>
      </c>
      <c r="T67" s="24">
        <f>SUM(T63:T66)</f>
        <v>71430.15999999999</v>
      </c>
      <c r="X67" s="24">
        <f>SUM(X63:X66)</f>
        <v>57320.45</v>
      </c>
      <c r="AB67" s="24">
        <f>SUM(AB63:AB66)</f>
        <v>58027.67</v>
      </c>
      <c r="AF67" s="24">
        <f>SUM(AF63:AF66)</f>
        <v>72574.2</v>
      </c>
      <c r="AJ67" s="24">
        <f>SUM(AJ63:AJ66)</f>
        <v>68451.44</v>
      </c>
      <c r="AN67" s="24">
        <f>SUM(AN63:AN66)</f>
        <v>72929.19</v>
      </c>
      <c r="AR67" s="24">
        <f>SUM(AR63:AR66)</f>
        <v>61486.82</v>
      </c>
      <c r="AV67" s="24">
        <f>SUM(AV63:AV66)</f>
        <v>61858.45</v>
      </c>
      <c r="AZ67" s="24">
        <f>SUM(AZ63:AZ66)</f>
        <v>64220.33</v>
      </c>
      <c r="BE67" s="10">
        <f>SUM(BE63:BE66)</f>
        <v>782047.5299999999</v>
      </c>
      <c r="BO67" t="s">
        <v>4</v>
      </c>
    </row>
    <row r="68" spans="3:57" ht="15.75" hidden="1">
      <c r="C68" s="7" t="s">
        <v>5</v>
      </c>
      <c r="D68" s="7" t="s">
        <v>8</v>
      </c>
      <c r="E68" s="7" t="s">
        <v>6</v>
      </c>
      <c r="F68" s="7" t="s">
        <v>7</v>
      </c>
      <c r="G68" s="38" t="s">
        <v>5</v>
      </c>
      <c r="H68" s="57" t="s">
        <v>8</v>
      </c>
      <c r="I68" s="7" t="s">
        <v>6</v>
      </c>
      <c r="J68" s="7" t="s">
        <v>7</v>
      </c>
      <c r="K68" s="7"/>
      <c r="L68" s="38" t="s">
        <v>5</v>
      </c>
      <c r="M68" s="57" t="s">
        <v>8</v>
      </c>
      <c r="N68" s="57"/>
      <c r="O68" s="7" t="s">
        <v>6</v>
      </c>
      <c r="P68" s="7" t="s">
        <v>7</v>
      </c>
      <c r="Q68" s="38" t="s">
        <v>5</v>
      </c>
      <c r="R68" s="57" t="s">
        <v>8</v>
      </c>
      <c r="S68" s="7" t="s">
        <v>6</v>
      </c>
      <c r="T68" s="7" t="s">
        <v>7</v>
      </c>
      <c r="U68" s="38" t="s">
        <v>5</v>
      </c>
      <c r="V68" s="57" t="s">
        <v>8</v>
      </c>
      <c r="W68" s="7" t="s">
        <v>6</v>
      </c>
      <c r="X68" s="7" t="s">
        <v>7</v>
      </c>
      <c r="Z68" s="57" t="s">
        <v>8</v>
      </c>
      <c r="AA68" s="7" t="s">
        <v>6</v>
      </c>
      <c r="AB68" s="7" t="s">
        <v>7</v>
      </c>
      <c r="AC68" s="38" t="s">
        <v>5</v>
      </c>
      <c r="AD68" s="57" t="s">
        <v>8</v>
      </c>
      <c r="AE68" s="7" t="s">
        <v>6</v>
      </c>
      <c r="AF68" s="7" t="s">
        <v>7</v>
      </c>
      <c r="AG68" s="38" t="s">
        <v>5</v>
      </c>
      <c r="AH68" s="57" t="s">
        <v>8</v>
      </c>
      <c r="AI68" s="7" t="s">
        <v>6</v>
      </c>
      <c r="AJ68" s="7" t="s">
        <v>7</v>
      </c>
      <c r="AK68" s="38" t="s">
        <v>5</v>
      </c>
      <c r="AL68" s="57" t="s">
        <v>8</v>
      </c>
      <c r="AM68" s="7" t="s">
        <v>6</v>
      </c>
      <c r="AN68" s="7" t="s">
        <v>7</v>
      </c>
      <c r="AO68" s="38" t="s">
        <v>5</v>
      </c>
      <c r="AP68" s="57" t="s">
        <v>8</v>
      </c>
      <c r="AQ68" s="7" t="s">
        <v>6</v>
      </c>
      <c r="AR68" s="7" t="s">
        <v>7</v>
      </c>
      <c r="AS68" s="38" t="s">
        <v>5</v>
      </c>
      <c r="AT68" s="57" t="s">
        <v>8</v>
      </c>
      <c r="AU68" s="7" t="s">
        <v>6</v>
      </c>
      <c r="AV68" s="7" t="s">
        <v>7</v>
      </c>
      <c r="AW68" s="38" t="s">
        <v>5</v>
      </c>
      <c r="AX68" s="57" t="s">
        <v>8</v>
      </c>
      <c r="AY68" s="7" t="s">
        <v>6</v>
      </c>
      <c r="AZ68" s="7" t="s">
        <v>7</v>
      </c>
      <c r="BB68" s="7" t="s">
        <v>5</v>
      </c>
      <c r="BC68" s="7" t="s">
        <v>8</v>
      </c>
      <c r="BD68" s="7" t="s">
        <v>6</v>
      </c>
      <c r="BE68" s="7" t="s">
        <v>7</v>
      </c>
    </row>
    <row r="69" spans="2:54" ht="15.75" hidden="1">
      <c r="B69" t="s">
        <v>66</v>
      </c>
      <c r="C69" s="7" t="s">
        <v>29</v>
      </c>
      <c r="G69" s="38" t="s">
        <v>29</v>
      </c>
      <c r="L69" s="38" t="s">
        <v>29</v>
      </c>
      <c r="Q69" s="38" t="s">
        <v>29</v>
      </c>
      <c r="U69" s="38" t="s">
        <v>29</v>
      </c>
      <c r="AC69" s="38" t="s">
        <v>29</v>
      </c>
      <c r="AG69" s="38" t="s">
        <v>29</v>
      </c>
      <c r="AK69" s="38" t="s">
        <v>29</v>
      </c>
      <c r="AO69" s="38" t="s">
        <v>29</v>
      </c>
      <c r="AS69" s="38" t="s">
        <v>29</v>
      </c>
      <c r="AW69" s="38" t="s">
        <v>29</v>
      </c>
      <c r="BB69" s="7" t="s">
        <v>29</v>
      </c>
    </row>
    <row r="70" spans="2:58" ht="15.75" hidden="1">
      <c r="B70" s="27" t="s">
        <v>52</v>
      </c>
      <c r="C70" s="25">
        <v>6</v>
      </c>
      <c r="E70" s="25"/>
      <c r="F70" s="25"/>
      <c r="G70" s="40">
        <f>C70</f>
        <v>6</v>
      </c>
      <c r="J70" s="25"/>
      <c r="K70" s="25"/>
      <c r="L70" s="40">
        <f>G70</f>
        <v>6</v>
      </c>
      <c r="P70" s="25"/>
      <c r="Q70" s="40">
        <f>L70</f>
        <v>6</v>
      </c>
      <c r="T70" s="25"/>
      <c r="U70" s="40">
        <f>Q70</f>
        <v>6</v>
      </c>
      <c r="X70" s="25"/>
      <c r="Y70" s="40">
        <f>U70</f>
        <v>6</v>
      </c>
      <c r="AB70" s="25"/>
      <c r="AC70" s="40">
        <f>Y70</f>
        <v>6</v>
      </c>
      <c r="AF70" s="25"/>
      <c r="AG70" s="40">
        <f>AC70</f>
        <v>6</v>
      </c>
      <c r="AJ70" s="25"/>
      <c r="AK70" s="40">
        <f>AG70</f>
        <v>6</v>
      </c>
      <c r="AN70" s="25"/>
      <c r="AO70" s="40">
        <f>AK70</f>
        <v>6</v>
      </c>
      <c r="AR70" s="25"/>
      <c r="AS70" s="40">
        <f>AO70</f>
        <v>6</v>
      </c>
      <c r="AV70" s="25"/>
      <c r="AW70" s="40">
        <f>AS70</f>
        <v>6</v>
      </c>
      <c r="AZ70" s="25"/>
      <c r="BB70" s="25">
        <f>AW70</f>
        <v>6</v>
      </c>
      <c r="BF70" s="25"/>
    </row>
    <row r="71" spans="2:60" ht="15.75" hidden="1">
      <c r="B71" t="s">
        <v>15</v>
      </c>
      <c r="D71" s="28">
        <f>E71/70</f>
        <v>8517</v>
      </c>
      <c r="E71" s="28">
        <v>596190</v>
      </c>
      <c r="F71" s="24">
        <f>51465.41-363.41</f>
        <v>51102</v>
      </c>
      <c r="G71" s="28"/>
      <c r="H71" s="28">
        <f>I71/70</f>
        <v>8508</v>
      </c>
      <c r="I71" s="28">
        <v>595560</v>
      </c>
      <c r="J71" s="24">
        <f>51459.76-618.98</f>
        <v>50840.78</v>
      </c>
      <c r="K71" s="24"/>
      <c r="L71" s="28"/>
      <c r="M71" s="28">
        <f>O71/70</f>
        <v>8538</v>
      </c>
      <c r="O71" s="28">
        <v>597660</v>
      </c>
      <c r="P71" s="24">
        <f>51651.06+103.96</f>
        <v>51755.02</v>
      </c>
      <c r="Q71" s="28"/>
      <c r="R71" s="28">
        <f>S71/70</f>
        <v>8528</v>
      </c>
      <c r="S71" s="28">
        <v>596960</v>
      </c>
      <c r="T71" s="24">
        <f>51594.61+176.03</f>
        <v>51770.64</v>
      </c>
      <c r="U71" s="28"/>
      <c r="V71" s="28">
        <f>W71/70</f>
        <v>8548</v>
      </c>
      <c r="W71" s="28">
        <v>598360</v>
      </c>
      <c r="X71" s="24">
        <f>51690.96-482.26</f>
        <v>51208.7</v>
      </c>
      <c r="Y71" s="28"/>
      <c r="Z71" s="28">
        <f>AA71/70</f>
        <v>8509</v>
      </c>
      <c r="AA71" s="28">
        <v>595630</v>
      </c>
      <c r="AB71" s="24">
        <f>51485.56-74.65</f>
        <v>51410.909999999996</v>
      </c>
      <c r="AC71" s="28"/>
      <c r="AD71" s="28">
        <f>AE71/70</f>
        <v>8576</v>
      </c>
      <c r="AE71" s="28">
        <v>600320</v>
      </c>
      <c r="AF71" s="24">
        <f>51893.91+182.69</f>
        <v>52076.600000000006</v>
      </c>
      <c r="AG71" s="28"/>
      <c r="AH71" s="28">
        <f>AI71/70</f>
        <v>8602</v>
      </c>
      <c r="AI71" s="28">
        <v>602140</v>
      </c>
      <c r="AJ71" s="24">
        <f>52047.81-36.22</f>
        <v>52011.59</v>
      </c>
      <c r="AK71" s="28"/>
      <c r="AL71" s="28">
        <f>AM71/70</f>
        <v>8556.8</v>
      </c>
      <c r="AM71" s="28">
        <v>598976</v>
      </c>
      <c r="AN71" s="24">
        <f>51781.66-680.35</f>
        <v>51101.310000000005</v>
      </c>
      <c r="AO71" s="28"/>
      <c r="AP71" s="28">
        <f>AQ71/70</f>
        <v>8660</v>
      </c>
      <c r="AQ71" s="28">
        <v>606200</v>
      </c>
      <c r="AR71" s="24">
        <v>52389.81</v>
      </c>
      <c r="AS71" s="28"/>
      <c r="AT71" s="28">
        <f>AU71/70</f>
        <v>8646</v>
      </c>
      <c r="AU71" s="28">
        <v>605220</v>
      </c>
      <c r="AV71" s="24">
        <f>52317.81+219.75</f>
        <v>52537.56</v>
      </c>
      <c r="AW71" s="28"/>
      <c r="AX71" s="28">
        <f>AY71/70</f>
        <v>8670</v>
      </c>
      <c r="AY71" s="28">
        <v>606900</v>
      </c>
      <c r="AZ71" s="24">
        <f>52419.81-404.05</f>
        <v>52015.759999999995</v>
      </c>
      <c r="BB71" s="3"/>
      <c r="BC71" s="2">
        <f>D71+H71+M71+R71+V71+Z71+AD71+AH71+AL71+AP71+AT71+AX71</f>
        <v>102858.8</v>
      </c>
      <c r="BD71" s="2">
        <f>E71+I71+O71+S71+W71+AA71+AE71+AI71+AM71+AQ71+AU71+AY71</f>
        <v>7200116</v>
      </c>
      <c r="BE71" s="2">
        <f>F71+J71+P71+T71+X71+AB71+AF71+AJ71+AN71+AR71+AV71+AZ71</f>
        <v>620220.6799999999</v>
      </c>
      <c r="BF71" s="24">
        <f>BC71*BB70</f>
        <v>617152.8</v>
      </c>
      <c r="BG71" s="25">
        <f>BE71-BF71</f>
        <v>3067.8799999998882</v>
      </c>
      <c r="BH71" s="65">
        <f>(BG71/BB70)*70</f>
        <v>35791.933333332025</v>
      </c>
    </row>
    <row r="72" spans="2:57" ht="15.75" hidden="1">
      <c r="B72" t="s">
        <v>16</v>
      </c>
      <c r="F72" s="24">
        <v>3232.13</v>
      </c>
      <c r="J72" s="24">
        <v>7072.27</v>
      </c>
      <c r="K72" s="24"/>
      <c r="P72" s="24">
        <v>6580.73</v>
      </c>
      <c r="T72" s="24">
        <v>5715.56</v>
      </c>
      <c r="X72" s="24">
        <v>2730.67</v>
      </c>
      <c r="AB72" s="24">
        <v>6556.85</v>
      </c>
      <c r="AF72" s="24">
        <v>5405.18</v>
      </c>
      <c r="AJ72" s="24">
        <v>4472.88</v>
      </c>
      <c r="AN72" s="24">
        <v>5050.04</v>
      </c>
      <c r="AR72" s="24">
        <v>6058.85</v>
      </c>
      <c r="AV72" s="24">
        <v>4581.68</v>
      </c>
      <c r="AZ72" s="24">
        <v>2336.62</v>
      </c>
      <c r="BE72" s="2">
        <f>F72+J72+P72+T72+X72+AB72+AF72+AJ72+AN72+AR72+AV72+AZ72</f>
        <v>59793.46</v>
      </c>
    </row>
    <row r="73" spans="2:57" ht="15.75" hidden="1">
      <c r="B73" t="s">
        <v>99</v>
      </c>
      <c r="E73" s="25"/>
      <c r="F73" s="24">
        <f>(3232.13/(3232.13+576.24))*680.18+15.04</f>
        <v>592.30276160142</v>
      </c>
      <c r="I73" s="25"/>
      <c r="J73" s="24">
        <v>841.41</v>
      </c>
      <c r="K73" s="24"/>
      <c r="O73" s="25"/>
      <c r="P73" s="24">
        <v>99.11537199999704</v>
      </c>
      <c r="S73" s="25"/>
      <c r="T73" s="24">
        <v>37.32</v>
      </c>
      <c r="W73" s="25"/>
      <c r="X73" s="24">
        <v>593.62</v>
      </c>
      <c r="AA73" s="25"/>
      <c r="AB73" s="24">
        <v>234.99</v>
      </c>
      <c r="AE73" s="25"/>
      <c r="AF73" s="24">
        <v>0</v>
      </c>
      <c r="AI73" s="25"/>
      <c r="AJ73" s="24">
        <v>227.16</v>
      </c>
      <c r="AM73" s="25"/>
      <c r="AN73" s="24">
        <v>867.41</v>
      </c>
      <c r="AQ73" s="25"/>
      <c r="AR73" s="24">
        <f>5244.37-5063.79</f>
        <v>180.57999999999993</v>
      </c>
      <c r="AU73" s="25"/>
      <c r="AV73" s="24">
        <v>0</v>
      </c>
      <c r="AY73" s="25"/>
      <c r="AZ73" s="24">
        <v>667.39</v>
      </c>
      <c r="BE73" s="2">
        <f>F73+J73+P73+T73+X73+AB73+AF73+AJ73+AN73+AR73+AV73+AZ73</f>
        <v>4341.298133601417</v>
      </c>
    </row>
    <row r="74" spans="2:57" ht="15.75" hidden="1">
      <c r="B74" t="s">
        <v>17</v>
      </c>
      <c r="E74" s="25"/>
      <c r="F74" s="24">
        <f>SUM(F71:F73)</f>
        <v>54926.43276160142</v>
      </c>
      <c r="I74" s="25"/>
      <c r="J74" s="24">
        <f>SUM(J71:J73)</f>
        <v>58754.46000000001</v>
      </c>
      <c r="K74" s="24"/>
      <c r="O74" s="25"/>
      <c r="P74" s="24">
        <f>SUM(P71:P73)</f>
        <v>58434.865372</v>
      </c>
      <c r="S74" s="25"/>
      <c r="T74" s="24">
        <f>SUM(T71:T73)</f>
        <v>57523.52</v>
      </c>
      <c r="X74" s="24">
        <f>SUM(X71:X73)</f>
        <v>54532.99</v>
      </c>
      <c r="AB74" s="24">
        <f>SUM(AB71:AB73)</f>
        <v>58202.74999999999</v>
      </c>
      <c r="AF74" s="24">
        <f>SUM(AF71:AF73)</f>
        <v>57481.780000000006</v>
      </c>
      <c r="AJ74" s="24">
        <f>SUM(AJ71:AJ73)</f>
        <v>56711.63</v>
      </c>
      <c r="AN74" s="24">
        <f>SUM(AN71:AN73)</f>
        <v>57018.76000000001</v>
      </c>
      <c r="AR74" s="24">
        <f>SUM(AR71:AR73)</f>
        <v>58629.24</v>
      </c>
      <c r="AV74" s="24">
        <f>SUM(AV71:AV73)</f>
        <v>57119.24</v>
      </c>
      <c r="AZ74" s="24">
        <f>SUM(AZ71:AZ73)</f>
        <v>55019.77</v>
      </c>
      <c r="BE74" s="10">
        <f>SUM(BE71:BE73)</f>
        <v>684355.4381336013</v>
      </c>
    </row>
    <row r="75" spans="3:68" ht="15.75" hidden="1">
      <c r="C75" s="7" t="s">
        <v>5</v>
      </c>
      <c r="D75" s="7" t="s">
        <v>8</v>
      </c>
      <c r="E75" s="7" t="s">
        <v>6</v>
      </c>
      <c r="F75" s="7" t="s">
        <v>7</v>
      </c>
      <c r="G75" s="38" t="s">
        <v>5</v>
      </c>
      <c r="H75" s="57" t="s">
        <v>8</v>
      </c>
      <c r="I75" s="7" t="s">
        <v>6</v>
      </c>
      <c r="J75" s="7" t="s">
        <v>7</v>
      </c>
      <c r="K75" s="7"/>
      <c r="L75" s="38" t="s">
        <v>5</v>
      </c>
      <c r="M75" s="57" t="s">
        <v>8</v>
      </c>
      <c r="N75" s="57"/>
      <c r="O75" s="7" t="s">
        <v>6</v>
      </c>
      <c r="P75" s="7" t="s">
        <v>7</v>
      </c>
      <c r="Q75" s="38" t="s">
        <v>5</v>
      </c>
      <c r="R75" s="57" t="s">
        <v>8</v>
      </c>
      <c r="S75" s="7" t="s">
        <v>6</v>
      </c>
      <c r="T75" s="7" t="s">
        <v>7</v>
      </c>
      <c r="U75" s="38" t="s">
        <v>5</v>
      </c>
      <c r="V75" s="57" t="s">
        <v>8</v>
      </c>
      <c r="W75" s="7" t="s">
        <v>6</v>
      </c>
      <c r="X75" s="7" t="s">
        <v>7</v>
      </c>
      <c r="Y75" s="38" t="s">
        <v>5</v>
      </c>
      <c r="Z75" s="57" t="s">
        <v>8</v>
      </c>
      <c r="AA75" s="7" t="s">
        <v>6</v>
      </c>
      <c r="AB75" s="7" t="s">
        <v>7</v>
      </c>
      <c r="AC75" s="38" t="s">
        <v>5</v>
      </c>
      <c r="AD75" s="57" t="s">
        <v>8</v>
      </c>
      <c r="AE75" s="7" t="s">
        <v>6</v>
      </c>
      <c r="AF75" s="7" t="s">
        <v>7</v>
      </c>
      <c r="AG75" s="38" t="s">
        <v>5</v>
      </c>
      <c r="AH75" s="57" t="s">
        <v>8</v>
      </c>
      <c r="AI75" s="7" t="s">
        <v>6</v>
      </c>
      <c r="AJ75" s="7" t="s">
        <v>7</v>
      </c>
      <c r="AK75" s="38" t="s">
        <v>5</v>
      </c>
      <c r="AL75" s="57" t="s">
        <v>8</v>
      </c>
      <c r="AM75" s="7" t="s">
        <v>6</v>
      </c>
      <c r="AN75" s="7" t="s">
        <v>7</v>
      </c>
      <c r="AO75" s="38" t="s">
        <v>5</v>
      </c>
      <c r="AP75" s="57" t="s">
        <v>8</v>
      </c>
      <c r="AQ75" s="7" t="s">
        <v>6</v>
      </c>
      <c r="AR75" s="7" t="s">
        <v>7</v>
      </c>
      <c r="AS75" s="38" t="s">
        <v>5</v>
      </c>
      <c r="AT75" s="57" t="s">
        <v>8</v>
      </c>
      <c r="AU75" s="7" t="s">
        <v>6</v>
      </c>
      <c r="AV75" s="7" t="s">
        <v>7</v>
      </c>
      <c r="AW75" s="38" t="s">
        <v>5</v>
      </c>
      <c r="AX75" s="57" t="s">
        <v>8</v>
      </c>
      <c r="AY75" s="7" t="s">
        <v>6</v>
      </c>
      <c r="AZ75" s="7" t="s">
        <v>7</v>
      </c>
      <c r="BB75" s="7" t="s">
        <v>5</v>
      </c>
      <c r="BC75" s="7" t="s">
        <v>8</v>
      </c>
      <c r="BD75" s="7" t="s">
        <v>6</v>
      </c>
      <c r="BE75" s="7" t="s">
        <v>7</v>
      </c>
      <c r="BO75" t="s">
        <v>9</v>
      </c>
      <c r="BP75" s="7" t="s">
        <v>10</v>
      </c>
    </row>
    <row r="76" spans="2:54" ht="15.75" hidden="1">
      <c r="B76" t="s">
        <v>28</v>
      </c>
      <c r="C76" s="7" t="s">
        <v>29</v>
      </c>
      <c r="G76" s="38" t="s">
        <v>29</v>
      </c>
      <c r="L76" s="38" t="s">
        <v>29</v>
      </c>
      <c r="Q76" s="38" t="s">
        <v>29</v>
      </c>
      <c r="U76" s="38" t="s">
        <v>29</v>
      </c>
      <c r="Y76" s="38" t="s">
        <v>29</v>
      </c>
      <c r="AC76" s="38" t="s">
        <v>29</v>
      </c>
      <c r="AG76" s="38" t="s">
        <v>29</v>
      </c>
      <c r="AK76" s="38" t="s">
        <v>29</v>
      </c>
      <c r="AO76" s="38" t="s">
        <v>29</v>
      </c>
      <c r="AS76" s="38" t="s">
        <v>29</v>
      </c>
      <c r="AW76" s="38" t="s">
        <v>29</v>
      </c>
      <c r="BB76" s="7" t="s">
        <v>29</v>
      </c>
    </row>
    <row r="77" spans="2:70" ht="15.75" hidden="1">
      <c r="B77" t="s">
        <v>30</v>
      </c>
      <c r="C77" s="3">
        <f>66.12/12</f>
        <v>5.510000000000001</v>
      </c>
      <c r="E77">
        <v>0</v>
      </c>
      <c r="G77" s="39">
        <f>C77</f>
        <v>5.510000000000001</v>
      </c>
      <c r="I77">
        <v>0</v>
      </c>
      <c r="L77" s="39">
        <f>G77</f>
        <v>5.510000000000001</v>
      </c>
      <c r="O77">
        <v>0</v>
      </c>
      <c r="Q77" s="39">
        <f>L77</f>
        <v>5.510000000000001</v>
      </c>
      <c r="S77">
        <v>0</v>
      </c>
      <c r="U77" s="39">
        <f>Q77</f>
        <v>5.510000000000001</v>
      </c>
      <c r="W77">
        <v>0</v>
      </c>
      <c r="Y77" s="39">
        <f>U77</f>
        <v>5.510000000000001</v>
      </c>
      <c r="AA77">
        <v>0</v>
      </c>
      <c r="AC77" s="39">
        <f>Y77</f>
        <v>5.510000000000001</v>
      </c>
      <c r="AE77">
        <v>0</v>
      </c>
      <c r="AG77" s="39">
        <f>AC77</f>
        <v>5.510000000000001</v>
      </c>
      <c r="AI77">
        <v>0</v>
      </c>
      <c r="AK77" s="39">
        <f>AG77</f>
        <v>5.510000000000001</v>
      </c>
      <c r="AM77">
        <v>0</v>
      </c>
      <c r="AO77" s="39">
        <f>AK77</f>
        <v>5.510000000000001</v>
      </c>
      <c r="AQ77">
        <v>0</v>
      </c>
      <c r="AS77" s="39">
        <f>AO77</f>
        <v>5.510000000000001</v>
      </c>
      <c r="AU77">
        <v>0</v>
      </c>
      <c r="AW77" s="39">
        <f>AS77</f>
        <v>5.510000000000001</v>
      </c>
      <c r="AY77">
        <v>0</v>
      </c>
      <c r="BB77" s="3">
        <f>AW77</f>
        <v>5.510000000000001</v>
      </c>
      <c r="BC77" s="2">
        <f>E77+I77+O77+S77+W77+AA77+AE77+AI77+AM77+AQ77+AU77+AY77</f>
        <v>0</v>
      </c>
      <c r="BD77" s="2">
        <f>D77+H77+M77+R77+V77+Z77+AD77+AH77+AL77+AP77+AT77+AX77</f>
        <v>0</v>
      </c>
      <c r="BE77" s="2">
        <f>F77+J77+P77+T77+X77+AB77+AF77+AJ77+AN77+AR77+AV77+AZ77</f>
        <v>0</v>
      </c>
      <c r="BG77" s="2"/>
      <c r="BH77" s="2"/>
      <c r="BI77" s="2"/>
      <c r="BJ77" s="2"/>
      <c r="BO77" s="2" t="e">
        <f>#REF!+#REF!+#REF!+#REF!+#REF!+#REF!+#REF!+#REF!+#REF!+#REF!+#REF!+#REF!</f>
        <v>#REF!</v>
      </c>
      <c r="BP77" s="2" t="e">
        <f>#REF!+#REF!+#REF!+#REF!+#REF!+#REF!+#REF!+#REF!+#REF!+#REF!+#REF!+#REF!</f>
        <v>#REF!</v>
      </c>
      <c r="BQ77" s="2"/>
      <c r="BR77" s="2"/>
    </row>
    <row r="78" spans="2:70" ht="15.75" hidden="1">
      <c r="B78" t="s">
        <v>31</v>
      </c>
      <c r="C78" s="3">
        <f>85.15/12</f>
        <v>7.095833333333334</v>
      </c>
      <c r="E78">
        <v>0</v>
      </c>
      <c r="G78" s="39">
        <f>C78</f>
        <v>7.095833333333334</v>
      </c>
      <c r="I78">
        <v>0</v>
      </c>
      <c r="L78" s="39">
        <f>G78</f>
        <v>7.095833333333334</v>
      </c>
      <c r="O78">
        <v>0</v>
      </c>
      <c r="Q78" s="39">
        <f>L78</f>
        <v>7.095833333333334</v>
      </c>
      <c r="S78">
        <v>0</v>
      </c>
      <c r="U78" s="39">
        <f>Q78</f>
        <v>7.095833333333334</v>
      </c>
      <c r="W78">
        <v>0</v>
      </c>
      <c r="Y78" s="39">
        <f>U78</f>
        <v>7.095833333333334</v>
      </c>
      <c r="AA78">
        <v>0</v>
      </c>
      <c r="AC78" s="39">
        <f>Y78</f>
        <v>7.095833333333334</v>
      </c>
      <c r="AE78">
        <v>0</v>
      </c>
      <c r="AG78" s="39">
        <f>AC78</f>
        <v>7.095833333333334</v>
      </c>
      <c r="AI78">
        <v>0</v>
      </c>
      <c r="AK78" s="39">
        <f>AG78</f>
        <v>7.095833333333334</v>
      </c>
      <c r="AM78">
        <v>0</v>
      </c>
      <c r="AO78" s="39">
        <f>AK78</f>
        <v>7.095833333333334</v>
      </c>
      <c r="AQ78">
        <v>0</v>
      </c>
      <c r="AS78" s="39">
        <f>AO78</f>
        <v>7.095833333333334</v>
      </c>
      <c r="AU78">
        <v>0</v>
      </c>
      <c r="AW78" s="39">
        <f>AS78</f>
        <v>7.095833333333334</v>
      </c>
      <c r="AY78">
        <v>0</v>
      </c>
      <c r="BB78" s="3">
        <f>AW78</f>
        <v>7.095833333333334</v>
      </c>
      <c r="BC78" s="2">
        <f>E78+I78+O78+S78+W78+AA78+AE78+AI78+AM78+AQ78+AU78+AY78</f>
        <v>0</v>
      </c>
      <c r="BD78" s="2">
        <f>D78+H78+M78+R78+V78+Z78+AD78+AH78+AL78+AP78+AT78+AX78</f>
        <v>0</v>
      </c>
      <c r="BE78" s="2">
        <f>F78+J78+P78+T78+X78+AB78+AF78+AJ78+AN78+AR78+AV78+AZ78</f>
        <v>0</v>
      </c>
      <c r="BI78" s="5"/>
      <c r="BJ78" s="2"/>
      <c r="BK78" s="2"/>
      <c r="BL78" s="2"/>
      <c r="BO78" s="2" t="e">
        <f>#REF!+#REF!+#REF!+#REF!+#REF!+#REF!+#REF!+#REF!+#REF!+#REF!+#REF!+#REF!</f>
        <v>#REF!</v>
      </c>
      <c r="BP78" s="2" t="e">
        <f>#REF!+#REF!+#REF!+#REF!+#REF!+#REF!+#REF!+#REF!+#REF!+#REF!+#REF!+#REF!</f>
        <v>#REF!</v>
      </c>
      <c r="BQ78" s="2"/>
      <c r="BR78" s="2"/>
    </row>
    <row r="79" spans="2:70" ht="15.75" hidden="1">
      <c r="B79" t="s">
        <v>32</v>
      </c>
      <c r="C79" s="3">
        <f>128.19/12</f>
        <v>10.6825</v>
      </c>
      <c r="D79">
        <f>E79/154</f>
        <v>686</v>
      </c>
      <c r="E79" s="2">
        <v>105644</v>
      </c>
      <c r="F79" s="31">
        <f>7326.48+165.31</f>
        <v>7491.79</v>
      </c>
      <c r="G79" s="39">
        <f>C79</f>
        <v>10.6825</v>
      </c>
      <c r="H79" s="28">
        <f>I79/154</f>
        <v>689</v>
      </c>
      <c r="I79" s="28">
        <v>106106</v>
      </c>
      <c r="J79" s="24">
        <f>7358.52+102.41</f>
        <v>7460.93</v>
      </c>
      <c r="K79" s="24"/>
      <c r="L79" s="39">
        <f>G79</f>
        <v>10.6825</v>
      </c>
      <c r="M79" s="28">
        <f>O79/154</f>
        <v>692</v>
      </c>
      <c r="O79" s="28">
        <v>106568</v>
      </c>
      <c r="P79" s="24">
        <f>7390.56+216.92</f>
        <v>7607.4800000000005</v>
      </c>
      <c r="Q79" s="39">
        <f>L79</f>
        <v>10.6825</v>
      </c>
      <c r="R79" s="28">
        <f>S79/154</f>
        <v>684</v>
      </c>
      <c r="S79" s="28">
        <v>105336</v>
      </c>
      <c r="T79" s="24">
        <f>7309.62+267.33-7</f>
        <v>7569.95</v>
      </c>
      <c r="U79" s="39">
        <f>Q79</f>
        <v>10.6825</v>
      </c>
      <c r="V79" s="28">
        <f>W79/154</f>
        <v>696</v>
      </c>
      <c r="W79" s="28">
        <v>107184</v>
      </c>
      <c r="X79" s="24">
        <f>7433.28+26.48</f>
        <v>7459.759999999999</v>
      </c>
      <c r="Y79" s="39">
        <f>U79</f>
        <v>10.6825</v>
      </c>
      <c r="Z79" s="28">
        <f>AA79/154</f>
        <v>701</v>
      </c>
      <c r="AA79" s="28">
        <v>107954</v>
      </c>
      <c r="AB79" s="24">
        <f>7486.68+151.32</f>
        <v>7638</v>
      </c>
      <c r="AC79" s="39">
        <f>Y79</f>
        <v>10.6825</v>
      </c>
      <c r="AD79" s="28">
        <f>AE79/154</f>
        <v>702</v>
      </c>
      <c r="AE79" s="28">
        <v>108108</v>
      </c>
      <c r="AF79" s="24">
        <f>7497.36+207.23</f>
        <v>7704.589999999999</v>
      </c>
      <c r="AG79" s="39">
        <f>AC79</f>
        <v>10.6825</v>
      </c>
      <c r="AH79" s="28">
        <f>AI79/154</f>
        <v>704</v>
      </c>
      <c r="AI79" s="28">
        <v>108416</v>
      </c>
      <c r="AJ79" s="24">
        <f>7518.72+171.79</f>
        <v>7690.51</v>
      </c>
      <c r="AK79" s="39">
        <f>AG79</f>
        <v>10.6825</v>
      </c>
      <c r="AL79" s="28">
        <f>AM79/154</f>
        <v>704</v>
      </c>
      <c r="AM79" s="28">
        <v>108416</v>
      </c>
      <c r="AN79" s="24">
        <f>7518.72+53.61</f>
        <v>7572.33</v>
      </c>
      <c r="AO79" s="39">
        <f>AK79</f>
        <v>10.6825</v>
      </c>
      <c r="AP79" s="28">
        <f>AQ79/154</f>
        <v>703</v>
      </c>
      <c r="AQ79" s="28">
        <v>108262</v>
      </c>
      <c r="AR79" s="24">
        <v>7508.04</v>
      </c>
      <c r="AS79" s="39">
        <f>AO79</f>
        <v>10.6825</v>
      </c>
      <c r="AT79" s="28">
        <f>AU79/154</f>
        <v>712</v>
      </c>
      <c r="AU79" s="28">
        <v>109648</v>
      </c>
      <c r="AV79" s="24">
        <f>7604.16+243.64</f>
        <v>7847.8</v>
      </c>
      <c r="AW79" s="39">
        <f>AS79</f>
        <v>10.6825</v>
      </c>
      <c r="AX79" s="28">
        <f>AY79/154</f>
        <v>700</v>
      </c>
      <c r="AY79" s="28">
        <v>107800</v>
      </c>
      <c r="AZ79" s="24">
        <f>7476+171.69</f>
        <v>7647.69</v>
      </c>
      <c r="BB79" s="3">
        <f>AW79</f>
        <v>10.6825</v>
      </c>
      <c r="BC79" s="2">
        <f>D79+H79+M79+R79+V79+Z79+AD79+AH79+AL79+AP79+AT79+AX79</f>
        <v>8373</v>
      </c>
      <c r="BD79" s="2">
        <f>E79+I79+O79+S79+W79+AA79+AE79+AI79+AM79+AQ79+AU79+AY79</f>
        <v>1289442</v>
      </c>
      <c r="BE79" s="2">
        <f>F79+J79+P79+T79+X79+AB79+AF79+AJ79+AN79+AR79+AV79+AZ79</f>
        <v>91198.87</v>
      </c>
      <c r="BF79" s="24">
        <f>BC79*BB79</f>
        <v>89444.5725</v>
      </c>
      <c r="BG79" s="25">
        <f>BE79-BF79</f>
        <v>1754.2975000000006</v>
      </c>
      <c r="BH79" s="65">
        <f>BG79/BB79*154</f>
        <v>25290.130119354093</v>
      </c>
      <c r="BI79" s="5"/>
      <c r="BJ79" s="2"/>
      <c r="BK79" s="2"/>
      <c r="BL79" s="2"/>
      <c r="BO79" s="2" t="e">
        <f>#REF!+#REF!+#REF!+#REF!+#REF!+#REF!+#REF!+#REF!+#REF!+#REF!+#REF!+#REF!</f>
        <v>#REF!</v>
      </c>
      <c r="BP79" s="2" t="e">
        <f>#REF!+#REF!+#REF!+#REF!+#REF!+#REF!+#REF!+#REF!+#REF!+#REF!+#REF!+#REF!</f>
        <v>#REF!</v>
      </c>
      <c r="BQ79" s="2"/>
      <c r="BR79" s="2"/>
    </row>
    <row r="80" spans="2:64" ht="15.75" hidden="1">
      <c r="B80" t="s">
        <v>16</v>
      </c>
      <c r="E80" s="2"/>
      <c r="F80" s="31">
        <v>576.24</v>
      </c>
      <c r="G80" s="28"/>
      <c r="J80" s="24">
        <v>1253.98</v>
      </c>
      <c r="K80" s="24"/>
      <c r="L80" s="28"/>
      <c r="P80" s="24">
        <v>1176.4</v>
      </c>
      <c r="Q80" s="28"/>
      <c r="S80" s="25"/>
      <c r="T80" s="24">
        <v>1014.93</v>
      </c>
      <c r="U80" s="28"/>
      <c r="X80" s="24">
        <v>480.24</v>
      </c>
      <c r="Y80" s="28"/>
      <c r="AB80" s="24">
        <v>1191.7</v>
      </c>
      <c r="AC80" s="28"/>
      <c r="AF80" s="24">
        <v>975.78</v>
      </c>
      <c r="AG80" s="28"/>
      <c r="AJ80" s="24">
        <v>809.6</v>
      </c>
      <c r="AK80" s="28"/>
      <c r="AN80" s="24">
        <v>915.2</v>
      </c>
      <c r="AO80" s="28"/>
      <c r="AR80" s="24">
        <v>1082.62</v>
      </c>
      <c r="AS80" s="28"/>
      <c r="AV80" s="24">
        <v>832.67</v>
      </c>
      <c r="AW80" s="28"/>
      <c r="AZ80" s="24">
        <v>413</v>
      </c>
      <c r="BE80" s="2">
        <f>F80+J80+P80+T80+X80+AB80+AF80+AJ80+AN80+AR80+AV80+AZ80</f>
        <v>10722.359999999999</v>
      </c>
      <c r="BL80" s="2"/>
    </row>
    <row r="81" spans="2:64" ht="15.75" hidden="1">
      <c r="B81" t="s">
        <v>99</v>
      </c>
      <c r="F81" s="24">
        <f>(576.24/(3232.13+576.24))*680.18-15.04</f>
        <v>87.87723839857998</v>
      </c>
      <c r="I81" s="25"/>
      <c r="J81" s="24">
        <v>149.18</v>
      </c>
      <c r="K81" s="24"/>
      <c r="O81" s="25"/>
      <c r="P81" s="24">
        <v>17.7246279999963</v>
      </c>
      <c r="S81" s="25"/>
      <c r="T81" s="24">
        <v>6.63</v>
      </c>
      <c r="W81" s="25"/>
      <c r="X81" s="24">
        <v>104.1</v>
      </c>
      <c r="AA81" s="25"/>
      <c r="AB81" s="24">
        <v>42.71</v>
      </c>
      <c r="AE81" s="25"/>
      <c r="AF81" s="24">
        <v>0</v>
      </c>
      <c r="AI81" s="25"/>
      <c r="AJ81" s="24">
        <v>41.1</v>
      </c>
      <c r="AM81" s="25"/>
      <c r="AN81" s="24">
        <v>156.33</v>
      </c>
      <c r="AQ81" s="25"/>
      <c r="AR81" s="24">
        <f>937.84-702.42</f>
        <v>235.42000000000007</v>
      </c>
      <c r="AU81" s="25"/>
      <c r="AV81" s="24">
        <v>0</v>
      </c>
      <c r="AY81" s="25"/>
      <c r="AZ81" s="24">
        <v>117.77</v>
      </c>
      <c r="BE81" s="2">
        <f>F81+J81+P81+T81+X81+AB81+AF81+AJ81+AN81+AR81+AV81+AZ81</f>
        <v>958.8418663985764</v>
      </c>
      <c r="BF81" s="44">
        <f>BF71+BF79</f>
        <v>706597.3725</v>
      </c>
      <c r="BG81" s="44">
        <f>BG71+BG79</f>
        <v>4822.177499999889</v>
      </c>
      <c r="BH81" s="10">
        <f>BH71+BH79</f>
        <v>61082.06345268612</v>
      </c>
      <c r="BI81" s="10">
        <f>BD71+BD79</f>
        <v>8489558</v>
      </c>
      <c r="BL81" s="2"/>
    </row>
    <row r="82" spans="2:87" s="32" customFormat="1" ht="15.75" hidden="1">
      <c r="B82" s="32" t="s">
        <v>17</v>
      </c>
      <c r="E82" s="42"/>
      <c r="F82" s="33">
        <f>SUM(F79:F81)</f>
        <v>8155.9072383985795</v>
      </c>
      <c r="G82" s="34"/>
      <c r="H82" s="59"/>
      <c r="I82" s="42"/>
      <c r="J82" s="33">
        <f>SUM(J79:J81)</f>
        <v>8864.09</v>
      </c>
      <c r="K82" s="33"/>
      <c r="L82" s="34"/>
      <c r="M82" s="59"/>
      <c r="N82" s="59"/>
      <c r="O82" s="42"/>
      <c r="P82" s="33">
        <f>SUM(P79:P81)</f>
        <v>8801.604627999997</v>
      </c>
      <c r="Q82" s="34"/>
      <c r="R82" s="59"/>
      <c r="S82" s="42"/>
      <c r="T82" s="33">
        <f>SUM(T79:T81)</f>
        <v>8591.509999999998</v>
      </c>
      <c r="U82" s="34"/>
      <c r="V82" s="59"/>
      <c r="W82" s="42"/>
      <c r="X82" s="33">
        <f>SUM(X79:X81)</f>
        <v>8044.099999999999</v>
      </c>
      <c r="Y82" s="34"/>
      <c r="Z82" s="59"/>
      <c r="AA82" s="42"/>
      <c r="AB82" s="33">
        <f>SUM(AB79:AB81)</f>
        <v>8872.41</v>
      </c>
      <c r="AC82" s="34"/>
      <c r="AD82" s="59"/>
      <c r="AE82" s="42"/>
      <c r="AF82" s="33">
        <f>SUM(AF79:AF81)</f>
        <v>8680.369999999999</v>
      </c>
      <c r="AG82" s="34"/>
      <c r="AH82" s="59"/>
      <c r="AI82" s="42">
        <f>8541.21-AJ82</f>
        <v>0</v>
      </c>
      <c r="AJ82" s="33">
        <f>SUM(AJ79:AJ81)</f>
        <v>8541.210000000001</v>
      </c>
      <c r="AK82" s="34"/>
      <c r="AL82" s="59"/>
      <c r="AM82" s="42"/>
      <c r="AN82" s="33">
        <f>SUM(AN79:AN81)</f>
        <v>8643.86</v>
      </c>
      <c r="AO82" s="34"/>
      <c r="AP82" s="59"/>
      <c r="AQ82" s="42"/>
      <c r="AR82" s="33">
        <f>SUM(AR79:AR81)</f>
        <v>8826.08</v>
      </c>
      <c r="AS82" s="34"/>
      <c r="AT82" s="59"/>
      <c r="AU82" s="42"/>
      <c r="AV82" s="33">
        <f>SUM(AV79:AV81)</f>
        <v>8680.47</v>
      </c>
      <c r="AW82" s="34"/>
      <c r="AX82" s="59"/>
      <c r="AY82" s="42"/>
      <c r="AZ82" s="33">
        <f>SUM(AZ79:AZ81)</f>
        <v>8178.46</v>
      </c>
      <c r="BA82" s="50"/>
      <c r="BB82" s="32">
        <f>BB4</f>
        <v>0</v>
      </c>
      <c r="BE82" s="51">
        <f>SUM(BE77:BE81)</f>
        <v>102880.07186639858</v>
      </c>
      <c r="BF82" s="51">
        <f>BE71+BE79</f>
        <v>711419.5499999999</v>
      </c>
      <c r="BO82" s="32" t="s">
        <v>4</v>
      </c>
      <c r="BQ82" s="35" t="e">
        <f>BP8+BP21+BP28+#REF!+BP36+BP43+BP50+#REF!+BP77</f>
        <v>#REF!</v>
      </c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</row>
    <row r="83" spans="4:69" ht="15.75" hidden="1">
      <c r="D83" s="7" t="s">
        <v>8</v>
      </c>
      <c r="E83" s="7" t="s">
        <v>6</v>
      </c>
      <c r="F83" s="7" t="s">
        <v>7</v>
      </c>
      <c r="H83" s="57" t="s">
        <v>8</v>
      </c>
      <c r="I83" s="7" t="s">
        <v>6</v>
      </c>
      <c r="J83" s="7" t="s">
        <v>7</v>
      </c>
      <c r="K83" s="7"/>
      <c r="M83" s="57" t="s">
        <v>8</v>
      </c>
      <c r="N83" s="57"/>
      <c r="O83" s="7" t="s">
        <v>6</v>
      </c>
      <c r="P83" s="7" t="s">
        <v>7</v>
      </c>
      <c r="R83" s="57" t="s">
        <v>8</v>
      </c>
      <c r="S83" s="7" t="s">
        <v>6</v>
      </c>
      <c r="T83" s="7" t="s">
        <v>7</v>
      </c>
      <c r="V83" s="57" t="s">
        <v>8</v>
      </c>
      <c r="W83" s="7" t="s">
        <v>6</v>
      </c>
      <c r="X83" s="7" t="s">
        <v>7</v>
      </c>
      <c r="Z83" s="57" t="s">
        <v>8</v>
      </c>
      <c r="AA83" s="7" t="s">
        <v>6</v>
      </c>
      <c r="AB83" s="7" t="s">
        <v>7</v>
      </c>
      <c r="AD83" s="57" t="s">
        <v>8</v>
      </c>
      <c r="AE83" s="7" t="s">
        <v>6</v>
      </c>
      <c r="AF83" s="7" t="s">
        <v>7</v>
      </c>
      <c r="AH83" s="57" t="s">
        <v>8</v>
      </c>
      <c r="AI83" s="7" t="s">
        <v>6</v>
      </c>
      <c r="AJ83" s="7" t="s">
        <v>7</v>
      </c>
      <c r="AL83" s="57" t="s">
        <v>8</v>
      </c>
      <c r="AM83" s="7" t="s">
        <v>6</v>
      </c>
      <c r="AN83" s="7" t="s">
        <v>7</v>
      </c>
      <c r="AP83" s="57" t="s">
        <v>8</v>
      </c>
      <c r="AQ83" s="7" t="s">
        <v>6</v>
      </c>
      <c r="AR83" s="7" t="s">
        <v>7</v>
      </c>
      <c r="AT83" s="57" t="s">
        <v>8</v>
      </c>
      <c r="AU83" s="7" t="s">
        <v>6</v>
      </c>
      <c r="AV83" s="7" t="s">
        <v>7</v>
      </c>
      <c r="AX83" s="57" t="s">
        <v>8</v>
      </c>
      <c r="AY83" s="7" t="s">
        <v>6</v>
      </c>
      <c r="AZ83" s="7" t="s">
        <v>7</v>
      </c>
      <c r="BC83" s="7" t="s">
        <v>8</v>
      </c>
      <c r="BD83" s="7" t="s">
        <v>6</v>
      </c>
      <c r="BE83" s="7" t="s">
        <v>7</v>
      </c>
      <c r="BF83" s="7"/>
      <c r="BG83" s="7"/>
      <c r="BH83" s="7"/>
      <c r="BO83" t="s">
        <v>9</v>
      </c>
      <c r="BP83" t="s">
        <v>88</v>
      </c>
      <c r="BQ83" t="s">
        <v>14</v>
      </c>
    </row>
    <row r="84" spans="2:60" ht="15.75" hidden="1">
      <c r="B84" t="s">
        <v>21</v>
      </c>
      <c r="E84" s="7"/>
      <c r="F84" s="43">
        <f>F7+F20+F27+F35</f>
        <v>134813.06999999998</v>
      </c>
      <c r="I84" s="7"/>
      <c r="J84" s="43">
        <f>J7+J20+J27+J35</f>
        <v>134722.1</v>
      </c>
      <c r="K84" s="43"/>
      <c r="O84" s="7"/>
      <c r="P84" s="43">
        <f>P7+P20+P27+P35</f>
        <v>135157.99</v>
      </c>
      <c r="S84" s="7"/>
      <c r="T84" s="43">
        <f>T7+T20+T27+T35</f>
        <v>135549.37</v>
      </c>
      <c r="W84" s="7"/>
      <c r="X84" s="43">
        <f>X7+X20+X27+X35</f>
        <v>135475.1</v>
      </c>
      <c r="AA84" s="7"/>
      <c r="AB84" s="43">
        <f>AB7+AB20+AB27+AB35</f>
        <v>135378.15</v>
      </c>
      <c r="AE84" s="7"/>
      <c r="AF84" s="43">
        <f>AF7+AF20+AF27+AF35</f>
        <v>136262.03999999998</v>
      </c>
      <c r="AI84" s="7"/>
      <c r="AJ84" s="43">
        <f>AJ7+AJ20+AJ27+AJ35</f>
        <v>135819.9</v>
      </c>
      <c r="AM84" s="7"/>
      <c r="AN84" s="43">
        <f>AN7+AN20+AN27+AN35</f>
        <v>135860.19999999998</v>
      </c>
      <c r="AQ84" s="7"/>
      <c r="AR84" s="43">
        <f>AR7+AR20+AR27+AR35</f>
        <v>136321.72</v>
      </c>
      <c r="AU84" s="7"/>
      <c r="AV84" s="43">
        <f>AV7+AV20+AV27+AV35</f>
        <v>136241.65000000002</v>
      </c>
      <c r="AY84" s="7"/>
      <c r="AZ84" s="43">
        <f>AZ7+AZ20+AZ27+AZ35</f>
        <v>136706.6</v>
      </c>
      <c r="BA84" s="53">
        <f>SUM(F84:AZ84)</f>
        <v>1628307.8900000001</v>
      </c>
      <c r="BD84" s="7"/>
      <c r="BE84" s="52">
        <f>BE7+BE20+BE27+BE35</f>
        <v>1628307.89</v>
      </c>
      <c r="BF84" s="7"/>
      <c r="BG84" s="7"/>
      <c r="BH84" s="7"/>
    </row>
    <row r="85" spans="2:70" ht="15.75" hidden="1">
      <c r="B85" t="s">
        <v>12</v>
      </c>
      <c r="E85" s="2"/>
      <c r="F85" s="2">
        <f>F34+F42+F49+F56+F63</f>
        <v>143638.82</v>
      </c>
      <c r="I85" s="2"/>
      <c r="J85" s="2">
        <f>J34+J42+J49+J56+J63</f>
        <v>141757.74</v>
      </c>
      <c r="K85" s="2"/>
      <c r="O85" s="2"/>
      <c r="P85" s="2">
        <f>P34+P42+P49+P56+P63</f>
        <v>139426.49</v>
      </c>
      <c r="S85" s="2"/>
      <c r="T85" s="2">
        <f>T34+T42+T49+T56+T63</f>
        <v>123782.15999999999</v>
      </c>
      <c r="W85" s="2"/>
      <c r="X85" s="2">
        <f>X34+X42+X49+X56+X63</f>
        <v>113289.73999999999</v>
      </c>
      <c r="AA85" s="2"/>
      <c r="AB85" s="2">
        <f>AB34+AB42+AB49+AB56+AB63</f>
        <v>120565.42</v>
      </c>
      <c r="AE85" s="2"/>
      <c r="AF85" s="2">
        <f>AF34+AF42+AF49+AF56+AF63</f>
        <v>124979.29000000001</v>
      </c>
      <c r="AI85" s="2"/>
      <c r="AJ85" s="2">
        <f>AJ34+AJ42+AJ49+AJ56+AJ63</f>
        <v>131116.77000000002</v>
      </c>
      <c r="AM85" s="2"/>
      <c r="AN85" s="2">
        <f>AN34+AN42+AN49+AN56+AN63</f>
        <v>137062.19</v>
      </c>
      <c r="AQ85" s="2"/>
      <c r="AR85" s="2">
        <f>AR34+AR42+AR49+AR56+AR63</f>
        <v>139339.64</v>
      </c>
      <c r="AU85" s="2"/>
      <c r="AV85" s="2">
        <f>AV34+AV42+AV49+AV56+AV63</f>
        <v>142950.66</v>
      </c>
      <c r="AY85" s="2"/>
      <c r="AZ85" s="2">
        <f>AZ34+AZ42+AZ49+AZ56+AZ63</f>
        <v>150319.99</v>
      </c>
      <c r="BA85" s="53">
        <f>SUM(F85:AZ85)</f>
        <v>1608228.9100000001</v>
      </c>
      <c r="BD85" s="2"/>
      <c r="BE85" s="2">
        <f>BE34+BE42+BE49+BE56+BE63</f>
        <v>1608228.9100000004</v>
      </c>
      <c r="BF85" s="2"/>
      <c r="BG85" s="2"/>
      <c r="BH85" s="2"/>
      <c r="BI85" s="2"/>
      <c r="BJ85" s="2"/>
      <c r="BK85" s="2"/>
      <c r="BL85" s="2"/>
      <c r="BM85" s="2"/>
      <c r="BN85" s="2"/>
      <c r="BO85" s="2" t="e">
        <f>#REF!+BO14+#REF!+#REF!+#REF!+#REF!+#REF!+#REF!+#REF!+#REF!</f>
        <v>#REF!</v>
      </c>
      <c r="BP85" s="2" t="e">
        <f>#REF!+BP14+#REF!+#REF!+#REF!+#REF!+#REF!+#REF!+#REF!+#REF!</f>
        <v>#REF!</v>
      </c>
      <c r="BQ85" s="2" t="e">
        <f>#REF!+#REF!+#REF!+#REF!+#REF!+#REF!+#REF!+BP64+#REF!</f>
        <v>#REF!</v>
      </c>
      <c r="BR85" s="2"/>
    </row>
    <row r="86" spans="2:68" ht="15.75" hidden="1">
      <c r="B86" t="s">
        <v>13</v>
      </c>
      <c r="D86" s="28">
        <f>D8+D14+D21+D26+D36+D43+D50+D57+D64+D71+D79</f>
        <v>34971</v>
      </c>
      <c r="E86" s="28">
        <f>E8+E14+E21+E28+E36+E43+E50+E57+E64+E71+E79</f>
        <v>30238285</v>
      </c>
      <c r="F86" s="2">
        <f>F8+F14+F21+F28+F36+F43+F50+F57+F64+F71+F79</f>
        <v>1972001.79</v>
      </c>
      <c r="H86" s="28">
        <f>H8+H14+H21+H28+H36+H43+H50+H57+H64+H71+H79</f>
        <v>34800</v>
      </c>
      <c r="I86" s="28">
        <f>I8+I14+I21+I28+I36+I43+I50+I57+I64+I71+I79</f>
        <v>28527100</v>
      </c>
      <c r="J86" s="2">
        <f>J8+J14+J21+J28+J36+J43+J50+J57+J64+J71+J79</f>
        <v>1855856.71</v>
      </c>
      <c r="K86" s="2"/>
      <c r="M86" s="28">
        <f>M8+M14+M21+M28+M36+M43+M50+M57+M64+M71+M79</f>
        <v>34899</v>
      </c>
      <c r="O86" s="28">
        <f>O8+O14+O21+O28+O36+O43+O50+O57+O64+O71+O79</f>
        <v>40702191</v>
      </c>
      <c r="P86" s="2">
        <f>P8+P14+P21+P28+P36+P43+P50+P57+P64+P71+P79</f>
        <v>2682878.5</v>
      </c>
      <c r="R86" s="28">
        <f>R8+R14+R21+R28+R36+R43+R50+R57+R64+R71+R79</f>
        <v>34953</v>
      </c>
      <c r="S86" s="28">
        <f>S8+S14+S21+S28+S36+S43+S50+S57+S64+S71+S79</f>
        <v>44858992</v>
      </c>
      <c r="T86" s="2">
        <f>T8+T14+T21+T28+T36+T43+T50+T57+T64+T71+T79</f>
        <v>2960978.5900000003</v>
      </c>
      <c r="V86" s="28">
        <f>V8+V14+V21+V28+V36+V43+V50+V57+V64+V71+V79</f>
        <v>34979</v>
      </c>
      <c r="W86" s="28">
        <f>W8+W14+W21+W28+W36+W43+W50+W57+W64+W71+W79</f>
        <v>40110590</v>
      </c>
      <c r="X86" s="2">
        <f>X8+X14+X21+X28+X36+X43+X50+X57+X64+X71+X79</f>
        <v>2644586.46</v>
      </c>
      <c r="Z86" s="28">
        <f>Z8+Z14+Z21+Z28+Z36+Z43+Z50+Z57+Z64+Z71+Z79</f>
        <v>34927</v>
      </c>
      <c r="AA86" s="28">
        <f>AA8+AA14+AA21+AA28+AA36+AA43+AA50+AA57+AA64+AA71+AA79</f>
        <v>39050571</v>
      </c>
      <c r="AB86" s="2">
        <f>AB8+AB14+AB21+AB28+AB36+AB43+AB50+AB57+AB64+AB71+AB79</f>
        <v>2577488.91</v>
      </c>
      <c r="AD86" s="28">
        <f>AD8+AD14+AD21+AD28+AD36+AD43+AD50+AD57+AD64+AD71+AD79</f>
        <v>35116</v>
      </c>
      <c r="AE86" s="28">
        <f>AE8+AE14+AE21+AE28+AE36+AE43+AE50+AE57+AE64+AE71+AE79</f>
        <v>34010157</v>
      </c>
      <c r="AF86" s="2">
        <f>AF8+AF14+AF21+AF28+AF36+AF43+AF50+AF57+AF64+AF71+AF79</f>
        <v>2222533.29</v>
      </c>
      <c r="AH86" s="28">
        <f>AH8+AH14+AH21+AH28+AH36+AH43+AH50+AH57+AH64+AH71+AH79</f>
        <v>35106</v>
      </c>
      <c r="AI86" s="28">
        <f>AI8+AI14+AI21+AI28+AI36+AI43+AI50+AI57+AI64+AI71+AI79</f>
        <v>27037414</v>
      </c>
      <c r="AJ86" s="2">
        <f>AJ8+AJ14+AJ21+AJ28+AJ36+AJ43+AJ50+AJ57+AJ64+AJ71+AJ79</f>
        <v>1755653.1</v>
      </c>
      <c r="AL86" s="28">
        <f>AL8+AL14+AL21+AL28+AL36+AL43+AL50+AL57+AL64+AL71+AL79</f>
        <v>35078.8</v>
      </c>
      <c r="AM86" s="28">
        <f>AM8+AM14+AM21+AM28+AM36+AM43+AM50+AM57+AM64+AM71+AM79</f>
        <v>28796205</v>
      </c>
      <c r="AN86" s="2">
        <f>AN8+AN14+AN21+AN28+AN36+AN43+AN50+AN57+AN64+AN71+AN79</f>
        <v>1873545.6400000001</v>
      </c>
      <c r="AP86" s="28">
        <f>AP8+AP14+AP21+AP28+AP36+AP43+AP50+AP57+AP64+AP71+AP79</f>
        <v>35259</v>
      </c>
      <c r="AQ86" s="28">
        <f>AQ8+AQ14+AQ21+AQ28+AQ36+AQ43+AQ50+AQ57+AQ64+AQ71+AQ79</f>
        <v>32730839</v>
      </c>
      <c r="AR86" s="2">
        <f>AR8+AR14+AR21+AR28+AR36+AR43+AR50+AR57+AR64+AR71+AR79</f>
        <v>2141479.56</v>
      </c>
      <c r="AT86" s="28">
        <f>AT8+AT14+AT21+AT28+AT36+AT43+AT50+AT57+AT64+AT71+AT79</f>
        <v>35235</v>
      </c>
      <c r="AU86" s="28">
        <f>AU8+AU14+AU21+AU28+AU36+AU43+AU50+AU57+AU64+AU71+AU79</f>
        <v>40134639</v>
      </c>
      <c r="AV86" s="2">
        <f>AV8+AV14+AV21+AV28+AV36+AV43+AV50+AV57+AV64+AV71+AV79</f>
        <v>2652929.0399999996</v>
      </c>
      <c r="AX86" s="28">
        <f>AX8+AX14+AX21+AX28+AX36+AX43+AX50+AX57+AX64+AX71+AX79</f>
        <v>35343</v>
      </c>
      <c r="AY86" s="28">
        <f>AY8+AY14+AY21+AY28+AY36+AY43+AY50+AY57+AY64+AY71+AY79</f>
        <v>36204165</v>
      </c>
      <c r="AZ86" s="2">
        <f>AZ8+AZ14+AZ21+AZ28+AZ36+AZ43+AZ50+AZ57+AZ64+AZ71+AZ79</f>
        <v>2361482.8299999996</v>
      </c>
      <c r="BA86" s="55">
        <f>F86+J86+P86+T86+X86+AB86+AF86+AJ86+AN86+AR86+AV86+AZ86</f>
        <v>27701414.419999998</v>
      </c>
      <c r="BC86" s="10">
        <f>BC8+BC14+BC21+BC28+BC36+BC43+BC50+BC64+BC57+BC71+BC79</f>
        <v>420666.8</v>
      </c>
      <c r="BD86" s="10">
        <f>BD8+BD14+BD21+BD28+BD36+BD43+BD50+BD64+BD57+BD71+BD79</f>
        <v>422401148</v>
      </c>
      <c r="BE86" s="10">
        <f>BE8+BE14+BE21+BE28+BE36+BE43+BE50+BE64+BE57+BE71+BE79</f>
        <v>27701414.42</v>
      </c>
      <c r="BF86" s="2"/>
      <c r="BH86" s="2"/>
      <c r="BK86" s="2"/>
      <c r="BP86" s="2"/>
    </row>
    <row r="87" spans="2:60" ht="15.75" hidden="1">
      <c r="B87" t="s">
        <v>16</v>
      </c>
      <c r="C87" s="2"/>
      <c r="F87" s="10">
        <f>F9+F15+F22+F29+F37+F44+F51+F58+F65+F72+F80</f>
        <v>164986.57</v>
      </c>
      <c r="G87" s="30"/>
      <c r="J87" s="10">
        <f>J9+J15+J22+J29+J37+J44+J51+J58+J65+J72+J80</f>
        <v>336762.11</v>
      </c>
      <c r="K87" s="10"/>
      <c r="L87" s="30"/>
      <c r="P87" s="10">
        <f>P9+P15+P22+P29+P37+P44+P51+P58+P65+P72+P80</f>
        <v>449614.29</v>
      </c>
      <c r="Q87" s="30"/>
      <c r="T87" s="10">
        <f>T9+T15+T22+T29+T37+T44+T51+T58+T65+T72+T80</f>
        <v>431788.01000000007</v>
      </c>
      <c r="U87" s="30"/>
      <c r="X87" s="10">
        <f>X9+X15+X22+X29+X37+X44+X51+X58+X65+X72+X80</f>
        <v>180767.04999999996</v>
      </c>
      <c r="Y87" s="30"/>
      <c r="AB87" s="10">
        <f>AB9+AB15+AB22+AB29+AB37+AB44+AB51+AB58+AB65+AB72+AB80</f>
        <v>431721.38999999996</v>
      </c>
      <c r="AC87" s="30"/>
      <c r="AF87" s="10">
        <f>AF9+AF15+AF22+AF29+AF37+AF44+AF51+AF58+AF65+AF72+AF80</f>
        <v>307059.27</v>
      </c>
      <c r="AG87" s="30"/>
      <c r="AJ87" s="10">
        <f>AJ9+AJ15+AJ22+AJ29+AJ37+AJ44+AJ51+AJ58+AJ65+AJ72+AJ80</f>
        <v>202165.23999999993</v>
      </c>
      <c r="AK87" s="30"/>
      <c r="AN87" s="10">
        <f>AN9+AN15+AN22+AN29+AN37+AN44+AN51+AN58+AN65+AN72+AN80</f>
        <v>243714.13000000003</v>
      </c>
      <c r="AO87" s="30"/>
      <c r="AR87" s="10">
        <f>AR9+AR15+AR22+AR29+AR37+AR44+AR51+AR58+AR65+AR72+AR80</f>
        <v>326691.99</v>
      </c>
      <c r="AS87" s="30"/>
      <c r="AV87" s="10">
        <f>AV9+AV15+AV22+AV29+AV37+AV44+AV51+AV58+AV65+AV72+AV80</f>
        <v>304452.63000000006</v>
      </c>
      <c r="AW87" s="30"/>
      <c r="AZ87" s="10">
        <f>AZ9+AZ15+AZ22+AZ29+AZ37+AZ44+AZ51+AZ58+AZ65+AZ72+AZ80</f>
        <v>138772.49000000002</v>
      </c>
      <c r="BA87" s="53">
        <f>SUM(F87:AZ87)</f>
        <v>3518495.17</v>
      </c>
      <c r="BE87" s="10">
        <f>BE9+BE15+BE22+BE29+BE37+BE44+BE51+BE65+BE58+BE72+BE80</f>
        <v>3518495.1699999995</v>
      </c>
      <c r="BF87" s="10"/>
      <c r="BG87" s="10"/>
      <c r="BH87" s="10"/>
    </row>
    <row r="88" spans="2:58" ht="15.75" hidden="1">
      <c r="B88" t="s">
        <v>99</v>
      </c>
      <c r="C88" s="2"/>
      <c r="F88" s="24">
        <f>F10+F16+F23+F30+F38+F45+F52+F59+F66+F73+F81</f>
        <v>181428.37</v>
      </c>
      <c r="G88" s="30"/>
      <c r="J88" s="24">
        <f>J10+J16+J23+J30+J38+J45+J52+J59+J66+J73+J81</f>
        <v>169895.45</v>
      </c>
      <c r="K88" s="24"/>
      <c r="L88" s="30"/>
      <c r="P88" s="24">
        <f>P10+P16+P23+P30+P38+P45+P52+P59+P66+P73+P81</f>
        <v>220791.29</v>
      </c>
      <c r="Q88" s="30"/>
      <c r="T88" s="24">
        <f>T10+T16+T23+T30+T38+T45+T52+T59+T66+T73+T81</f>
        <v>269918.02</v>
      </c>
      <c r="U88" s="30"/>
      <c r="X88" s="24">
        <f>X10+X16+X23+X30+X38+X45+X52+X59+X66+X73+X81</f>
        <v>119833.48000000003</v>
      </c>
      <c r="Y88" s="30"/>
      <c r="AB88" s="24">
        <f>AB10+AB16+AB23+AB30+AB38+AB45+AB52+AB59+AB66+AB73+AB81</f>
        <v>173721.69999999998</v>
      </c>
      <c r="AC88" s="30"/>
      <c r="AF88" s="24">
        <f>AF10+AF16+AF23+AF30+AF38+AF45+AF52+AF59+AF66+AF73+AF81</f>
        <v>162705.74999999997</v>
      </c>
      <c r="AG88" s="30"/>
      <c r="AJ88" s="24">
        <f>AJ10+AJ16+AJ23+AJ30+AJ38+AJ45+AJ52+AJ59+AJ66+AJ73+AJ81</f>
        <v>135944.76</v>
      </c>
      <c r="AK88" s="30"/>
      <c r="AN88" s="24">
        <f>AN10+AN16+AN23+AN30+AN38+AN45+AN52+AN59+AN66+AN73+AN81</f>
        <v>142240.58</v>
      </c>
      <c r="AO88" s="30"/>
      <c r="AR88" s="24">
        <f>AR10+AR16+AR23+AR30+AR38+AR45+AR52+AR59+AR66+AR73+AR81</f>
        <v>179427.41000000003</v>
      </c>
      <c r="AS88" s="30"/>
      <c r="AU88" s="25"/>
      <c r="AV88" s="24">
        <f>AV10+AV16+AV23+AV30+AV38+AV45+AV52+AV59+AV66+AV73+AV81</f>
        <v>225783.55</v>
      </c>
      <c r="AW88" s="30"/>
      <c r="AZ88" s="24">
        <f>AZ10+AZ16+AZ23+AZ30+AZ38+AZ45+AZ52+AZ59+AZ66+AZ73+AZ81</f>
        <v>243064.81999999998</v>
      </c>
      <c r="BA88" s="53">
        <f>SUM(F88:AZ88)</f>
        <v>2224755.18</v>
      </c>
      <c r="BE88" s="10">
        <f>BE10+BE16+BE23+BE30+BE38+BE45+BE52+BE66+BE59+BE73+BE81</f>
        <v>2224755.1799999997</v>
      </c>
      <c r="BF88" s="10"/>
    </row>
    <row r="89" spans="2:57" ht="15.75" hidden="1">
      <c r="B89" t="s">
        <v>17</v>
      </c>
      <c r="F89" s="44">
        <f>SUM(F84:F88)</f>
        <v>2596868.62</v>
      </c>
      <c r="J89" s="44">
        <f>SUM(J84:J88)</f>
        <v>2638994.11</v>
      </c>
      <c r="K89" s="44"/>
      <c r="P89" s="44">
        <f>SUM(P84:P88)</f>
        <v>3627868.56</v>
      </c>
      <c r="T89" s="44">
        <f>SUM(T84:T88)</f>
        <v>3922016.1500000004</v>
      </c>
      <c r="X89" s="44">
        <f>SUM(X84:X88)</f>
        <v>3193951.8299999996</v>
      </c>
      <c r="AB89" s="44">
        <f>SUM(AB84:AB88)</f>
        <v>3438875.5700000003</v>
      </c>
      <c r="AF89" s="44">
        <f>SUM(AF84:AF88)</f>
        <v>2953539.64</v>
      </c>
      <c r="AJ89" s="44">
        <f>SUM(AJ84:AJ88)</f>
        <v>2360699.7699999996</v>
      </c>
      <c r="AN89" s="44">
        <f>SUM(AN84:AN88)</f>
        <v>2532422.74</v>
      </c>
      <c r="AR89" s="44">
        <f>SUM(AR84:AR88)</f>
        <v>2923260.3200000003</v>
      </c>
      <c r="AV89" s="44">
        <f>SUM(AV84:AV88)</f>
        <v>3462357.5299999993</v>
      </c>
      <c r="AZ89" s="44">
        <f>SUM(AZ84:AZ88)</f>
        <v>3030346.7299999995</v>
      </c>
      <c r="BA89" s="53">
        <f>SUM(F89:AZ89)</f>
        <v>36681201.57</v>
      </c>
      <c r="BE89" s="10">
        <f>SUM(BE84:BE88)</f>
        <v>36681201.57</v>
      </c>
    </row>
    <row r="90" spans="2:53" ht="15.75">
      <c r="B90" t="s">
        <v>0</v>
      </c>
      <c r="F90" s="46"/>
      <c r="G90" s="67"/>
      <c r="J90" s="206"/>
      <c r="K90" s="206"/>
      <c r="L90" s="67"/>
      <c r="AQ90" s="25"/>
      <c r="AU90" s="25"/>
      <c r="BA90" s="53">
        <f>SUM(BA84:BA88)</f>
        <v>36681201.57</v>
      </c>
    </row>
    <row r="91" spans="7:53" ht="15.75">
      <c r="G91" s="67"/>
      <c r="J91" s="67"/>
      <c r="K91" s="67"/>
      <c r="L91" s="67"/>
      <c r="BA91" s="54">
        <f>E86+I86+O86+S86+W86+AA86+AE86+AI86+AM86+AQ86+AU86+AY86</f>
        <v>422401148</v>
      </c>
    </row>
    <row r="92" spans="1:53" ht="15.75">
      <c r="A92">
        <v>1</v>
      </c>
      <c r="G92" s="67"/>
      <c r="J92" s="67"/>
      <c r="K92" s="67"/>
      <c r="L92" s="67"/>
      <c r="P92" s="25"/>
      <c r="BA92" s="54">
        <f>D86+H86+M86+R86+V86+Z86+AD86+AH86+AL86+AP86+AT86+AX86</f>
        <v>420666.8</v>
      </c>
    </row>
    <row r="93" spans="1:16" ht="15.75">
      <c r="A93">
        <v>2</v>
      </c>
      <c r="C93" s="9" t="s">
        <v>89</v>
      </c>
      <c r="G93" s="67"/>
      <c r="J93" s="67"/>
      <c r="K93" s="67"/>
      <c r="L93" s="67"/>
      <c r="P93" s="25"/>
    </row>
    <row r="94" spans="1:12" ht="15.75">
      <c r="A94">
        <v>3</v>
      </c>
      <c r="D94" t="s">
        <v>33</v>
      </c>
      <c r="G94" s="67"/>
      <c r="J94" s="67"/>
      <c r="K94" s="67"/>
      <c r="L94" s="67"/>
    </row>
    <row r="95" spans="1:12" ht="15.75">
      <c r="A95">
        <v>4</v>
      </c>
      <c r="C95" s="9" t="s">
        <v>100</v>
      </c>
      <c r="G95" s="67"/>
      <c r="J95" s="67"/>
      <c r="K95" s="67"/>
      <c r="L95" s="67"/>
    </row>
    <row r="96" spans="1:17" ht="15.75">
      <c r="A96">
        <v>5</v>
      </c>
      <c r="F96" s="67"/>
      <c r="G96" s="67"/>
      <c r="J96" s="67"/>
      <c r="K96" s="67"/>
      <c r="L96" s="67"/>
      <c r="P96" s="269" t="s">
        <v>192</v>
      </c>
      <c r="Q96" s="67"/>
    </row>
    <row r="97" spans="1:20" ht="15.75">
      <c r="A97">
        <v>6</v>
      </c>
      <c r="F97" s="67"/>
      <c r="G97" s="67"/>
      <c r="J97" s="67"/>
      <c r="K97" s="67"/>
      <c r="L97" s="67"/>
      <c r="P97" s="269" t="s">
        <v>194</v>
      </c>
      <c r="Q97" s="67" t="s">
        <v>157</v>
      </c>
      <c r="R97" s="148" t="s">
        <v>136</v>
      </c>
      <c r="S97" s="143" t="s">
        <v>135</v>
      </c>
      <c r="T97" s="142" t="s">
        <v>124</v>
      </c>
    </row>
    <row r="98" spans="1:17" ht="16.5" thickBot="1">
      <c r="A98">
        <v>7</v>
      </c>
      <c r="F98" s="67"/>
      <c r="G98" s="67"/>
      <c r="J98" s="67"/>
      <c r="K98" s="67"/>
      <c r="L98" s="67"/>
      <c r="P98" s="269" t="s">
        <v>193</v>
      </c>
      <c r="Q98" s="67" t="s">
        <v>158</v>
      </c>
    </row>
    <row r="99" spans="1:17" ht="15.75">
      <c r="A99">
        <v>8</v>
      </c>
      <c r="C99" s="7" t="s">
        <v>34</v>
      </c>
      <c r="D99" s="7" t="s">
        <v>35</v>
      </c>
      <c r="E99" t="s">
        <v>36</v>
      </c>
      <c r="G99" s="89" t="s">
        <v>131</v>
      </c>
      <c r="H99" s="90"/>
      <c r="I99" s="90"/>
      <c r="J99" s="91"/>
      <c r="K99" s="90"/>
      <c r="L99" s="105"/>
      <c r="M99" s="90"/>
      <c r="N99" s="90"/>
      <c r="O99" s="91"/>
      <c r="P99" s="236"/>
      <c r="Q99" s="67"/>
    </row>
    <row r="100" spans="1:17" ht="16.5" thickBot="1">
      <c r="A100">
        <v>9</v>
      </c>
      <c r="B100" t="s">
        <v>5</v>
      </c>
      <c r="C100" s="7" t="s">
        <v>38</v>
      </c>
      <c r="D100" s="7" t="s">
        <v>39</v>
      </c>
      <c r="E100" s="7" t="s">
        <v>5</v>
      </c>
      <c r="F100" s="7" t="s">
        <v>7</v>
      </c>
      <c r="G100" s="66" t="str">
        <f>B102</f>
        <v>Schedule "R"</v>
      </c>
      <c r="H100" s="67"/>
      <c r="I100" s="67"/>
      <c r="J100" s="92"/>
      <c r="K100" s="67"/>
      <c r="L100" s="68"/>
      <c r="M100" s="67"/>
      <c r="N100" s="67"/>
      <c r="O100" s="92"/>
      <c r="P100" s="237"/>
      <c r="Q100" s="67"/>
    </row>
    <row r="101" spans="1:17" ht="15.75">
      <c r="A101">
        <v>10</v>
      </c>
      <c r="B101" s="8" t="s">
        <v>40</v>
      </c>
      <c r="C101" s="8" t="s">
        <v>40</v>
      </c>
      <c r="D101" s="8" t="s">
        <v>40</v>
      </c>
      <c r="E101" s="8" t="s">
        <v>40</v>
      </c>
      <c r="F101" s="8" t="s">
        <v>40</v>
      </c>
      <c r="G101" s="68"/>
      <c r="H101" s="69" t="s">
        <v>102</v>
      </c>
      <c r="I101" s="272" t="s">
        <v>103</v>
      </c>
      <c r="J101" s="273"/>
      <c r="K101" s="238" t="s">
        <v>186</v>
      </c>
      <c r="L101" s="274" t="s">
        <v>104</v>
      </c>
      <c r="M101" s="275"/>
      <c r="N101" s="93" t="s">
        <v>129</v>
      </c>
      <c r="O101" s="93" t="s">
        <v>105</v>
      </c>
      <c r="P101" s="238" t="s">
        <v>104</v>
      </c>
      <c r="Q101" s="67"/>
    </row>
    <row r="102" spans="1:17" ht="15.75">
      <c r="A102">
        <v>11</v>
      </c>
      <c r="B102" t="s">
        <v>41</v>
      </c>
      <c r="G102" s="68"/>
      <c r="H102" s="72" t="s">
        <v>106</v>
      </c>
      <c r="I102" s="73" t="s">
        <v>107</v>
      </c>
      <c r="J102" s="233" t="s">
        <v>108</v>
      </c>
      <c r="K102" s="239" t="s">
        <v>187</v>
      </c>
      <c r="L102" s="181" t="s">
        <v>107</v>
      </c>
      <c r="M102" s="74" t="s">
        <v>108</v>
      </c>
      <c r="N102" s="94" t="s">
        <v>109</v>
      </c>
      <c r="O102" s="94" t="s">
        <v>109</v>
      </c>
      <c r="P102" s="239" t="s">
        <v>187</v>
      </c>
      <c r="Q102" s="67"/>
    </row>
    <row r="103" spans="1:17" ht="16.5" thickBot="1">
      <c r="A103">
        <v>12</v>
      </c>
      <c r="G103" s="68"/>
      <c r="H103" s="75" t="s">
        <v>110</v>
      </c>
      <c r="I103" s="75" t="s">
        <v>111</v>
      </c>
      <c r="J103" s="234" t="s">
        <v>112</v>
      </c>
      <c r="K103" s="240" t="s">
        <v>188</v>
      </c>
      <c r="L103" s="182" t="s">
        <v>113</v>
      </c>
      <c r="M103" s="76" t="s">
        <v>114</v>
      </c>
      <c r="N103" s="138" t="s">
        <v>115</v>
      </c>
      <c r="O103" s="95" t="s">
        <v>130</v>
      </c>
      <c r="P103" s="240" t="s">
        <v>188</v>
      </c>
      <c r="Q103" s="67"/>
    </row>
    <row r="104" spans="1:17" ht="15.75">
      <c r="A104">
        <v>13</v>
      </c>
      <c r="B104" t="s">
        <v>42</v>
      </c>
      <c r="E104" s="25">
        <f>BB7</f>
        <v>5.35</v>
      </c>
      <c r="F104" s="1">
        <f>BE7</f>
        <v>1515221.65</v>
      </c>
      <c r="G104" s="68" t="s">
        <v>21</v>
      </c>
      <c r="H104" s="77">
        <f>C105</f>
        <v>283455</v>
      </c>
      <c r="I104" s="78">
        <f>E104</f>
        <v>5.35</v>
      </c>
      <c r="J104" s="129">
        <f>H104*I104</f>
        <v>1516484.25</v>
      </c>
      <c r="K104" s="241">
        <f>J104/J107</f>
        <v>0.06817829702376237</v>
      </c>
      <c r="L104" s="108">
        <f>I104</f>
        <v>5.35</v>
      </c>
      <c r="M104" s="80">
        <f>L104*H104</f>
        <v>1516484.25</v>
      </c>
      <c r="N104" s="80">
        <f>M104-J104</f>
        <v>0</v>
      </c>
      <c r="O104" s="92"/>
      <c r="P104" s="245">
        <f>M104/$M$107</f>
        <v>0.06464867180669247</v>
      </c>
      <c r="Q104" s="67"/>
    </row>
    <row r="105" spans="1:20" ht="15.75">
      <c r="A105">
        <v>14</v>
      </c>
      <c r="B105" t="s">
        <v>13</v>
      </c>
      <c r="C105" s="2">
        <f>BC8</f>
        <v>283455</v>
      </c>
      <c r="D105" s="2">
        <f>BD8</f>
        <v>305564403</v>
      </c>
      <c r="E105" s="60">
        <f>BB8</f>
        <v>0.06783</v>
      </c>
      <c r="F105" s="1">
        <f>BE8</f>
        <v>20729245.57</v>
      </c>
      <c r="G105" s="68" t="s">
        <v>116</v>
      </c>
      <c r="H105" s="81">
        <f>D105</f>
        <v>305564403</v>
      </c>
      <c r="I105" s="82">
        <f>E105</f>
        <v>0.06783</v>
      </c>
      <c r="J105" s="129">
        <f>H105*I105</f>
        <v>20726433.45549</v>
      </c>
      <c r="K105" s="242">
        <f>J105/$J$107</f>
        <v>0.9318217029762377</v>
      </c>
      <c r="L105" s="109">
        <f>I105+Q383</f>
        <v>0.07180427561882657</v>
      </c>
      <c r="M105" s="80">
        <f>L105*H105</f>
        <v>21940830.6123142</v>
      </c>
      <c r="N105" s="141">
        <f>M105-J105</f>
        <v>1214397.1568241976</v>
      </c>
      <c r="O105" s="92"/>
      <c r="P105" s="246">
        <f>M105/$M$107</f>
        <v>0.9353513281933076</v>
      </c>
      <c r="Q105" s="99">
        <f>D105</f>
        <v>305564403</v>
      </c>
      <c r="T105" s="24">
        <f>N105</f>
        <v>1214397.1568241976</v>
      </c>
    </row>
    <row r="106" spans="1:17" ht="16.5" thickBot="1">
      <c r="A106">
        <v>15</v>
      </c>
      <c r="B106" t="s">
        <v>16</v>
      </c>
      <c r="C106" s="2"/>
      <c r="D106" s="2"/>
      <c r="F106" s="1">
        <f>BE9</f>
        <v>2556426.1</v>
      </c>
      <c r="G106" s="68" t="s">
        <v>117</v>
      </c>
      <c r="H106" s="67"/>
      <c r="I106" s="67"/>
      <c r="J106" s="130">
        <v>0</v>
      </c>
      <c r="K106" s="243"/>
      <c r="L106" s="68"/>
      <c r="M106" s="118">
        <f>J106</f>
        <v>0</v>
      </c>
      <c r="N106" s="80">
        <f>M106-J106</f>
        <v>0</v>
      </c>
      <c r="O106" s="92"/>
      <c r="P106" s="247"/>
      <c r="Q106" s="67"/>
    </row>
    <row r="107" spans="1:17" ht="16.5" thickBot="1">
      <c r="A107">
        <v>16</v>
      </c>
      <c r="B107" t="s">
        <v>99</v>
      </c>
      <c r="C107" s="2"/>
      <c r="D107" s="2"/>
      <c r="F107" s="1">
        <f>BE10</f>
        <v>1640520.46</v>
      </c>
      <c r="G107" s="68" t="s">
        <v>118</v>
      </c>
      <c r="H107" s="67"/>
      <c r="I107" s="67"/>
      <c r="J107" s="129">
        <f>J104+J105+J106</f>
        <v>22242917.70549</v>
      </c>
      <c r="K107" s="244">
        <f>K104+K105</f>
        <v>1</v>
      </c>
      <c r="L107" s="68"/>
      <c r="M107" s="84">
        <f>SUM(M104:M106)</f>
        <v>23457314.8623142</v>
      </c>
      <c r="N107" s="84">
        <f>SUM(N104:N106)</f>
        <v>1214397.1568241976</v>
      </c>
      <c r="O107" s="120"/>
      <c r="P107" s="248">
        <f>SUM(P104:P106)</f>
        <v>1</v>
      </c>
      <c r="Q107" s="67"/>
    </row>
    <row r="108" spans="1:17" ht="15.75">
      <c r="A108">
        <v>17</v>
      </c>
      <c r="B108" t="s">
        <v>17</v>
      </c>
      <c r="C108" s="2"/>
      <c r="D108" s="2"/>
      <c r="F108" s="1">
        <f>SUM(F104:F107)</f>
        <v>26441413.78</v>
      </c>
      <c r="G108" s="68" t="s">
        <v>119</v>
      </c>
      <c r="H108" s="67"/>
      <c r="I108" s="67"/>
      <c r="J108" s="129">
        <f>F106</f>
        <v>2556426.1</v>
      </c>
      <c r="K108" s="79"/>
      <c r="L108" s="68"/>
      <c r="M108" s="84">
        <f>J108</f>
        <v>2556426.1</v>
      </c>
      <c r="N108" s="84">
        <f>L108</f>
        <v>0</v>
      </c>
      <c r="O108" s="96"/>
      <c r="P108" s="235"/>
      <c r="Q108" s="67"/>
    </row>
    <row r="109" spans="7:17" ht="15.75">
      <c r="G109" s="68" t="s">
        <v>120</v>
      </c>
      <c r="H109" s="67"/>
      <c r="I109" s="67"/>
      <c r="J109" s="129">
        <f>F107</f>
        <v>1640520.46</v>
      </c>
      <c r="K109" s="79"/>
      <c r="L109" s="68"/>
      <c r="M109" s="84">
        <f>J109</f>
        <v>1640520.46</v>
      </c>
      <c r="N109" s="84">
        <f>L109</f>
        <v>0</v>
      </c>
      <c r="O109" s="92"/>
      <c r="P109" s="235"/>
      <c r="Q109" s="67"/>
    </row>
    <row r="110" spans="7:17" ht="15.75">
      <c r="G110" s="68" t="s">
        <v>121</v>
      </c>
      <c r="H110" s="67"/>
      <c r="I110" s="67"/>
      <c r="J110" s="121">
        <v>0</v>
      </c>
      <c r="K110" s="229"/>
      <c r="L110" s="68"/>
      <c r="M110" s="119">
        <f>J110</f>
        <v>0</v>
      </c>
      <c r="N110" s="119">
        <f>L110</f>
        <v>0</v>
      </c>
      <c r="O110" s="92"/>
      <c r="P110" s="235"/>
      <c r="Q110" s="67"/>
    </row>
    <row r="111" spans="1:17" ht="15.75">
      <c r="A111">
        <v>1</v>
      </c>
      <c r="G111" s="68" t="s">
        <v>122</v>
      </c>
      <c r="H111" s="67"/>
      <c r="I111" s="67"/>
      <c r="J111" s="120">
        <f>J107+J108+J109+J110</f>
        <v>26439864.265490003</v>
      </c>
      <c r="K111" s="84"/>
      <c r="L111" s="68"/>
      <c r="M111" s="84">
        <f>M107+M108+M109+M110</f>
        <v>27654261.4223142</v>
      </c>
      <c r="N111" s="84">
        <f>N107+N108+N109+N110</f>
        <v>1214397.1568241976</v>
      </c>
      <c r="O111" s="120">
        <f>M111-J111</f>
        <v>1214397.1568241976</v>
      </c>
      <c r="P111" s="235"/>
      <c r="Q111" s="67"/>
    </row>
    <row r="112" spans="1:17" ht="15.75">
      <c r="A112">
        <v>2</v>
      </c>
      <c r="C112" t="str">
        <f>$C$93</f>
        <v>        CLARK ENERGY COOPERATIVE, INC.</v>
      </c>
      <c r="G112" s="68" t="s">
        <v>127</v>
      </c>
      <c r="H112" s="67"/>
      <c r="I112" s="67"/>
      <c r="J112" s="132">
        <f>J111/H104</f>
        <v>93.27711370584397</v>
      </c>
      <c r="K112" s="122"/>
      <c r="L112" s="68"/>
      <c r="M112" s="122">
        <f>M111/H104</f>
        <v>97.56138160312642</v>
      </c>
      <c r="N112" s="122">
        <f>M112-J112</f>
        <v>4.284267897282447</v>
      </c>
      <c r="O112" s="92"/>
      <c r="P112" s="235"/>
      <c r="Q112" s="67"/>
    </row>
    <row r="113" spans="1:17" ht="16.5" thickBot="1">
      <c r="A113">
        <v>3</v>
      </c>
      <c r="D113" t="s">
        <v>33</v>
      </c>
      <c r="G113" s="86" t="s">
        <v>105</v>
      </c>
      <c r="H113" s="103"/>
      <c r="I113" s="87"/>
      <c r="J113" s="97"/>
      <c r="K113" s="87"/>
      <c r="L113" s="86"/>
      <c r="M113" s="103"/>
      <c r="N113" s="103"/>
      <c r="O113" s="123">
        <f>M111/J111-1</f>
        <v>0.04593053673158454</v>
      </c>
      <c r="P113" s="237"/>
      <c r="Q113" s="67"/>
    </row>
    <row r="114" spans="1:12" ht="15.75">
      <c r="A114">
        <v>4</v>
      </c>
      <c r="C114" t="str">
        <f>C95</f>
        <v>      TEST YEAR ENDING SEPTEMBER 30, 2006</v>
      </c>
      <c r="F114" s="67"/>
      <c r="G114" s="67"/>
      <c r="J114" s="67"/>
      <c r="K114" s="67"/>
      <c r="L114" s="67"/>
    </row>
    <row r="115" spans="1:12" ht="15.75">
      <c r="A115">
        <v>5</v>
      </c>
      <c r="F115" s="67"/>
      <c r="G115" s="67"/>
      <c r="J115" s="67"/>
      <c r="K115" s="67"/>
      <c r="L115" s="67"/>
    </row>
    <row r="116" spans="1:12" ht="15.75">
      <c r="A116">
        <v>6</v>
      </c>
      <c r="F116" s="67"/>
      <c r="G116" s="67"/>
      <c r="J116" s="67"/>
      <c r="K116" s="67"/>
      <c r="L116" s="67"/>
    </row>
    <row r="117" spans="1:12" ht="16.5" thickBot="1">
      <c r="A117">
        <v>7</v>
      </c>
      <c r="F117" s="67"/>
      <c r="G117" s="67"/>
      <c r="J117" s="67"/>
      <c r="K117" s="67"/>
      <c r="L117" s="67"/>
    </row>
    <row r="118" spans="1:16" ht="15.75">
      <c r="A118">
        <v>8</v>
      </c>
      <c r="C118" s="7" t="s">
        <v>34</v>
      </c>
      <c r="D118" s="7" t="s">
        <v>35</v>
      </c>
      <c r="E118" t="s">
        <v>36</v>
      </c>
      <c r="G118" s="89" t="s">
        <v>131</v>
      </c>
      <c r="H118" s="90"/>
      <c r="I118" s="90"/>
      <c r="J118" s="91"/>
      <c r="K118" s="236"/>
      <c r="L118" s="90"/>
      <c r="M118" s="90"/>
      <c r="N118" s="90"/>
      <c r="O118" s="91"/>
      <c r="P118" s="236"/>
    </row>
    <row r="119" spans="1:16" ht="16.5" thickBot="1">
      <c r="A119">
        <v>9</v>
      </c>
      <c r="B119" t="s">
        <v>5</v>
      </c>
      <c r="C119" s="7" t="s">
        <v>38</v>
      </c>
      <c r="D119" s="7" t="s">
        <v>39</v>
      </c>
      <c r="E119" s="7" t="s">
        <v>5</v>
      </c>
      <c r="F119" s="7" t="s">
        <v>7</v>
      </c>
      <c r="G119" s="66" t="str">
        <f>B121</f>
        <v>Schedule "R-TOD"</v>
      </c>
      <c r="H119" s="67"/>
      <c r="I119" s="67"/>
      <c r="J119" s="92"/>
      <c r="K119" s="235"/>
      <c r="L119" s="67"/>
      <c r="M119" s="67"/>
      <c r="N119" s="67"/>
      <c r="O119" s="92"/>
      <c r="P119" s="237"/>
    </row>
    <row r="120" spans="1:16" ht="15.75">
      <c r="A120">
        <v>10</v>
      </c>
      <c r="B120" s="8" t="s">
        <v>40</v>
      </c>
      <c r="C120" s="8" t="s">
        <v>40</v>
      </c>
      <c r="D120" s="8" t="s">
        <v>40</v>
      </c>
      <c r="E120" s="8" t="s">
        <v>40</v>
      </c>
      <c r="F120" s="8" t="s">
        <v>40</v>
      </c>
      <c r="G120" s="68"/>
      <c r="H120" s="69" t="s">
        <v>102</v>
      </c>
      <c r="I120" s="272" t="s">
        <v>103</v>
      </c>
      <c r="J120" s="276"/>
      <c r="K120" s="238" t="s">
        <v>186</v>
      </c>
      <c r="L120" s="274" t="s">
        <v>104</v>
      </c>
      <c r="M120" s="275"/>
      <c r="N120" s="93" t="s">
        <v>129</v>
      </c>
      <c r="O120" s="93" t="s">
        <v>105</v>
      </c>
      <c r="P120" s="238" t="s">
        <v>104</v>
      </c>
    </row>
    <row r="121" spans="1:16" ht="15.75">
      <c r="A121">
        <v>11</v>
      </c>
      <c r="B121" t="s">
        <v>43</v>
      </c>
      <c r="G121" s="68"/>
      <c r="H121" s="72" t="s">
        <v>106</v>
      </c>
      <c r="I121" s="73" t="s">
        <v>107</v>
      </c>
      <c r="J121" s="127" t="s">
        <v>108</v>
      </c>
      <c r="K121" s="239" t="s">
        <v>187</v>
      </c>
      <c r="L121" s="181" t="s">
        <v>107</v>
      </c>
      <c r="M121" s="74" t="s">
        <v>108</v>
      </c>
      <c r="N121" s="94" t="s">
        <v>109</v>
      </c>
      <c r="O121" s="94" t="s">
        <v>109</v>
      </c>
      <c r="P121" s="239" t="s">
        <v>187</v>
      </c>
    </row>
    <row r="122" spans="1:16" ht="16.5" thickBot="1">
      <c r="A122">
        <v>12</v>
      </c>
      <c r="G122" s="68"/>
      <c r="H122" s="75" t="s">
        <v>110</v>
      </c>
      <c r="I122" s="75" t="s">
        <v>111</v>
      </c>
      <c r="J122" s="128" t="s">
        <v>112</v>
      </c>
      <c r="K122" s="240" t="s">
        <v>188</v>
      </c>
      <c r="L122" s="182" t="s">
        <v>113</v>
      </c>
      <c r="M122" s="76" t="s">
        <v>114</v>
      </c>
      <c r="N122" s="138" t="s">
        <v>115</v>
      </c>
      <c r="O122" s="95" t="s">
        <v>130</v>
      </c>
      <c r="P122" s="240" t="s">
        <v>188</v>
      </c>
    </row>
    <row r="123" spans="1:17" ht="15.75">
      <c r="A123">
        <v>13</v>
      </c>
      <c r="B123" t="s">
        <v>44</v>
      </c>
      <c r="G123" s="68" t="str">
        <f>B123</f>
        <v>ON-PEAK</v>
      </c>
      <c r="H123" s="77">
        <f>C124</f>
        <v>0</v>
      </c>
      <c r="I123" s="78">
        <f>E123</f>
        <v>0</v>
      </c>
      <c r="J123" s="129">
        <f aca="true" t="shared" si="0" ref="J123:J129">H123*I123</f>
        <v>0</v>
      </c>
      <c r="K123" s="252"/>
      <c r="L123" s="78">
        <f aca="true" t="shared" si="1" ref="L123:L129">I123</f>
        <v>0</v>
      </c>
      <c r="M123" s="80">
        <f>L123*H123</f>
        <v>0</v>
      </c>
      <c r="N123" s="80">
        <f>M123-J123</f>
        <v>0</v>
      </c>
      <c r="O123" s="67"/>
      <c r="P123" s="245"/>
      <c r="Q123" s="67"/>
    </row>
    <row r="124" spans="1:17" ht="15.75">
      <c r="A124">
        <v>14</v>
      </c>
      <c r="B124" t="s">
        <v>45</v>
      </c>
      <c r="E124" s="25">
        <v>3.13</v>
      </c>
      <c r="F124" s="25">
        <v>0</v>
      </c>
      <c r="G124" s="68" t="str">
        <f aca="true" t="shared" si="2" ref="G124:G130">B124</f>
        <v>   SERVICE CHARGE</v>
      </c>
      <c r="H124" s="81">
        <f>D124</f>
        <v>0</v>
      </c>
      <c r="I124" s="78">
        <f aca="true" t="shared" si="3" ref="I124:I129">E124</f>
        <v>3.13</v>
      </c>
      <c r="J124" s="129">
        <f t="shared" si="0"/>
        <v>0</v>
      </c>
      <c r="K124" s="252"/>
      <c r="L124" s="82">
        <f t="shared" si="1"/>
        <v>3.13</v>
      </c>
      <c r="M124" s="80">
        <f aca="true" t="shared" si="4" ref="M124:M129">L124*H124</f>
        <v>0</v>
      </c>
      <c r="N124" s="80">
        <f aca="true" t="shared" si="5" ref="N124:N129">M124-J124</f>
        <v>0</v>
      </c>
      <c r="O124" s="67"/>
      <c r="P124" s="246"/>
      <c r="Q124" s="67"/>
    </row>
    <row r="125" spans="1:17" ht="15.75">
      <c r="A125">
        <v>15</v>
      </c>
      <c r="B125" t="s">
        <v>101</v>
      </c>
      <c r="C125">
        <v>0</v>
      </c>
      <c r="E125" s="60">
        <v>0.07012</v>
      </c>
      <c r="F125" s="25">
        <v>0</v>
      </c>
      <c r="G125" s="68" t="str">
        <f t="shared" si="2"/>
        <v>   ALL KWH</v>
      </c>
      <c r="H125" s="139">
        <v>0</v>
      </c>
      <c r="I125" s="98">
        <f t="shared" si="3"/>
        <v>0.07012</v>
      </c>
      <c r="J125" s="129">
        <f t="shared" si="0"/>
        <v>0</v>
      </c>
      <c r="K125" s="252"/>
      <c r="L125" s="82">
        <f>I125+Q383</f>
        <v>0.07409427561882657</v>
      </c>
      <c r="M125" s="80">
        <f t="shared" si="4"/>
        <v>0</v>
      </c>
      <c r="N125" s="80">
        <f t="shared" si="5"/>
        <v>0</v>
      </c>
      <c r="O125" s="67"/>
      <c r="P125" s="249"/>
      <c r="Q125" s="67"/>
    </row>
    <row r="126" spans="1:17" ht="15.75">
      <c r="A126">
        <v>16</v>
      </c>
      <c r="B126" t="s">
        <v>46</v>
      </c>
      <c r="E126" s="60"/>
      <c r="F126" s="25"/>
      <c r="G126" s="68" t="str">
        <f t="shared" si="2"/>
        <v>OFF-PEAK</v>
      </c>
      <c r="H126" s="67"/>
      <c r="I126" s="78">
        <f t="shared" si="3"/>
        <v>0</v>
      </c>
      <c r="J126" s="129">
        <f t="shared" si="0"/>
        <v>0</v>
      </c>
      <c r="K126" s="252"/>
      <c r="L126" s="82">
        <f t="shared" si="1"/>
        <v>0</v>
      </c>
      <c r="M126" s="80">
        <f t="shared" si="4"/>
        <v>0</v>
      </c>
      <c r="N126" s="80">
        <f t="shared" si="5"/>
        <v>0</v>
      </c>
      <c r="O126" s="84"/>
      <c r="P126" s="251"/>
      <c r="Q126" s="67"/>
    </row>
    <row r="127" spans="1:17" ht="15.75">
      <c r="A127">
        <v>17</v>
      </c>
      <c r="B127" t="s">
        <v>101</v>
      </c>
      <c r="C127">
        <v>0</v>
      </c>
      <c r="D127">
        <v>0</v>
      </c>
      <c r="E127" s="61">
        <v>0.04062</v>
      </c>
      <c r="F127" s="25">
        <v>0</v>
      </c>
      <c r="G127" s="68" t="str">
        <f t="shared" si="2"/>
        <v>   ALL KWH</v>
      </c>
      <c r="H127" s="139">
        <v>0</v>
      </c>
      <c r="I127" s="98">
        <f t="shared" si="3"/>
        <v>0.04062</v>
      </c>
      <c r="J127" s="129">
        <f t="shared" si="0"/>
        <v>0</v>
      </c>
      <c r="K127" s="252"/>
      <c r="L127" s="82">
        <f>I127+Q383</f>
        <v>0.04459427561882657</v>
      </c>
      <c r="M127" s="80">
        <f t="shared" si="4"/>
        <v>0</v>
      </c>
      <c r="N127" s="80">
        <f t="shared" si="5"/>
        <v>0</v>
      </c>
      <c r="O127" s="250"/>
      <c r="P127" s="235"/>
      <c r="Q127" s="67"/>
    </row>
    <row r="128" spans="1:17" ht="15.75">
      <c r="A128">
        <v>18</v>
      </c>
      <c r="B128" t="s">
        <v>16</v>
      </c>
      <c r="E128" s="20"/>
      <c r="F128" s="25">
        <v>0</v>
      </c>
      <c r="G128" s="68" t="str">
        <f t="shared" si="2"/>
        <v>FUEL</v>
      </c>
      <c r="H128" s="67"/>
      <c r="I128" s="78">
        <f t="shared" si="3"/>
        <v>0</v>
      </c>
      <c r="J128" s="129">
        <f t="shared" si="0"/>
        <v>0</v>
      </c>
      <c r="K128" s="252"/>
      <c r="L128" s="82">
        <f t="shared" si="1"/>
        <v>0</v>
      </c>
      <c r="M128" s="80">
        <f t="shared" si="4"/>
        <v>0</v>
      </c>
      <c r="N128" s="80">
        <f t="shared" si="5"/>
        <v>0</v>
      </c>
      <c r="O128" s="67"/>
      <c r="P128" s="235"/>
      <c r="Q128" s="67"/>
    </row>
    <row r="129" spans="1:17" ht="15.75">
      <c r="A129">
        <v>19</v>
      </c>
      <c r="B129" t="s">
        <v>99</v>
      </c>
      <c r="E129" s="4"/>
      <c r="F129" s="25">
        <v>0</v>
      </c>
      <c r="G129" s="68" t="str">
        <f t="shared" si="2"/>
        <v>ESC</v>
      </c>
      <c r="H129" s="67"/>
      <c r="I129" s="78">
        <f t="shared" si="3"/>
        <v>0</v>
      </c>
      <c r="J129" s="129">
        <f t="shared" si="0"/>
        <v>0</v>
      </c>
      <c r="K129" s="252"/>
      <c r="L129" s="82">
        <f t="shared" si="1"/>
        <v>0</v>
      </c>
      <c r="M129" s="80">
        <f t="shared" si="4"/>
        <v>0</v>
      </c>
      <c r="N129" s="80">
        <f t="shared" si="5"/>
        <v>0</v>
      </c>
      <c r="O129" s="67"/>
      <c r="P129" s="235"/>
      <c r="Q129" s="67"/>
    </row>
    <row r="130" spans="1:17" ht="15.75">
      <c r="A130">
        <v>20</v>
      </c>
      <c r="B130" t="s">
        <v>17</v>
      </c>
      <c r="F130" s="25">
        <f>SUM(F124:F129)</f>
        <v>0</v>
      </c>
      <c r="G130" s="68" t="str">
        <f t="shared" si="2"/>
        <v>TOTAL REVENUE</v>
      </c>
      <c r="H130" s="67"/>
      <c r="I130" s="67"/>
      <c r="J130" s="120">
        <f>SUM(J123:J129)</f>
        <v>0</v>
      </c>
      <c r="K130" s="253"/>
      <c r="L130" s="67"/>
      <c r="M130" s="84">
        <f>SUM(M123:M129)</f>
        <v>0</v>
      </c>
      <c r="N130" s="84">
        <f>M130-J130</f>
        <v>0</v>
      </c>
      <c r="O130" s="67"/>
      <c r="P130" s="235"/>
      <c r="Q130" s="67"/>
    </row>
    <row r="131" spans="7:17" ht="15.75">
      <c r="G131" s="68" t="s">
        <v>127</v>
      </c>
      <c r="H131" s="81"/>
      <c r="I131" s="67"/>
      <c r="J131" s="92"/>
      <c r="K131" s="235"/>
      <c r="L131" s="67"/>
      <c r="M131" s="81"/>
      <c r="N131" s="81"/>
      <c r="O131" s="67"/>
      <c r="P131" s="235"/>
      <c r="Q131" s="67"/>
    </row>
    <row r="132" spans="7:17" ht="16.5" thickBot="1">
      <c r="G132" s="86" t="s">
        <v>105</v>
      </c>
      <c r="H132" s="103"/>
      <c r="I132" s="87"/>
      <c r="J132" s="97"/>
      <c r="K132" s="237"/>
      <c r="L132" s="87"/>
      <c r="M132" s="103"/>
      <c r="N132" s="103"/>
      <c r="O132" s="87" t="e">
        <f>N130/J130-1</f>
        <v>#DIV/0!</v>
      </c>
      <c r="P132" s="237"/>
      <c r="Q132" s="67"/>
    </row>
    <row r="133" spans="1:12" ht="15.75">
      <c r="A133">
        <v>1</v>
      </c>
      <c r="F133" s="67"/>
      <c r="G133" s="67"/>
      <c r="J133" s="67"/>
      <c r="K133" s="67"/>
      <c r="L133" s="67"/>
    </row>
    <row r="134" spans="1:12" ht="15.75">
      <c r="A134">
        <v>2</v>
      </c>
      <c r="C134" t="str">
        <f>$C$93</f>
        <v>        CLARK ENERGY COOPERATIVE, INC.</v>
      </c>
      <c r="F134" s="67"/>
      <c r="G134" s="67"/>
      <c r="J134" s="67"/>
      <c r="K134" s="67"/>
      <c r="L134" s="67"/>
    </row>
    <row r="135" spans="1:12" ht="15.75">
      <c r="A135">
        <v>3</v>
      </c>
      <c r="D135" t="s">
        <v>33</v>
      </c>
      <c r="F135" s="67"/>
      <c r="G135" s="67"/>
      <c r="J135" s="67"/>
      <c r="K135" s="67"/>
      <c r="L135" s="67"/>
    </row>
    <row r="136" spans="1:12" ht="15.75">
      <c r="A136">
        <v>4</v>
      </c>
      <c r="C136" t="str">
        <f>C95</f>
        <v>      TEST YEAR ENDING SEPTEMBER 30, 2006</v>
      </c>
      <c r="F136" s="67"/>
      <c r="G136" s="67"/>
      <c r="J136" s="67"/>
      <c r="K136" s="67"/>
      <c r="L136" s="67"/>
    </row>
    <row r="137" spans="1:12" ht="16.5" thickBot="1">
      <c r="A137">
        <v>5</v>
      </c>
      <c r="F137" s="67"/>
      <c r="G137" s="67"/>
      <c r="J137" s="67"/>
      <c r="K137" s="67"/>
      <c r="L137" s="67"/>
    </row>
    <row r="138" spans="1:17" ht="15.75">
      <c r="A138">
        <v>6</v>
      </c>
      <c r="G138" s="89" t="s">
        <v>131</v>
      </c>
      <c r="H138" s="90"/>
      <c r="I138" s="90"/>
      <c r="J138" s="91"/>
      <c r="K138" s="236"/>
      <c r="L138" s="90"/>
      <c r="M138" s="90"/>
      <c r="N138" s="90"/>
      <c r="O138" s="91"/>
      <c r="P138" s="236"/>
      <c r="Q138" s="67"/>
    </row>
    <row r="139" spans="1:17" ht="16.5" thickBot="1">
      <c r="A139">
        <v>7</v>
      </c>
      <c r="G139" s="66" t="str">
        <f>B143</f>
        <v>Schedule "D"</v>
      </c>
      <c r="H139" s="67"/>
      <c r="I139" s="67"/>
      <c r="J139" s="92"/>
      <c r="K139" s="235"/>
      <c r="L139" s="67"/>
      <c r="M139" s="67"/>
      <c r="N139" s="67"/>
      <c r="O139" s="92"/>
      <c r="P139" s="235"/>
      <c r="Q139" s="67"/>
    </row>
    <row r="140" spans="1:17" ht="15.75">
      <c r="A140">
        <v>8</v>
      </c>
      <c r="C140" s="7" t="s">
        <v>34</v>
      </c>
      <c r="D140" s="7" t="s">
        <v>35</v>
      </c>
      <c r="E140" t="s">
        <v>36</v>
      </c>
      <c r="G140" s="68"/>
      <c r="H140" s="69" t="s">
        <v>102</v>
      </c>
      <c r="I140" s="70" t="s">
        <v>103</v>
      </c>
      <c r="J140" s="204"/>
      <c r="K140" s="238" t="s">
        <v>186</v>
      </c>
      <c r="L140" s="205" t="s">
        <v>104</v>
      </c>
      <c r="M140" s="71"/>
      <c r="N140" s="93" t="s">
        <v>129</v>
      </c>
      <c r="O140" s="93" t="s">
        <v>105</v>
      </c>
      <c r="P140" s="238" t="s">
        <v>104</v>
      </c>
      <c r="Q140" s="67"/>
    </row>
    <row r="141" spans="1:17" ht="15.75">
      <c r="A141">
        <v>9</v>
      </c>
      <c r="B141" t="s">
        <v>5</v>
      </c>
      <c r="C141" s="7" t="s">
        <v>38</v>
      </c>
      <c r="D141" s="7" t="s">
        <v>39</v>
      </c>
      <c r="E141" s="7" t="s">
        <v>5</v>
      </c>
      <c r="F141" s="7" t="s">
        <v>7</v>
      </c>
      <c r="G141" s="68"/>
      <c r="H141" s="72" t="s">
        <v>106</v>
      </c>
      <c r="I141" s="73" t="s">
        <v>107</v>
      </c>
      <c r="J141" s="127" t="s">
        <v>108</v>
      </c>
      <c r="K141" s="239" t="s">
        <v>187</v>
      </c>
      <c r="L141" s="181" t="s">
        <v>107</v>
      </c>
      <c r="M141" s="74" t="s">
        <v>108</v>
      </c>
      <c r="N141" s="94" t="s">
        <v>109</v>
      </c>
      <c r="O141" s="94" t="s">
        <v>109</v>
      </c>
      <c r="P141" s="239" t="s">
        <v>187</v>
      </c>
      <c r="Q141" s="67"/>
    </row>
    <row r="142" spans="1:17" ht="16.5" thickBot="1">
      <c r="A142">
        <v>10</v>
      </c>
      <c r="B142" s="8" t="s">
        <v>40</v>
      </c>
      <c r="C142" s="8" t="s">
        <v>40</v>
      </c>
      <c r="D142" s="8" t="s">
        <v>40</v>
      </c>
      <c r="E142" s="8" t="s">
        <v>40</v>
      </c>
      <c r="F142" s="8" t="s">
        <v>40</v>
      </c>
      <c r="G142" s="68"/>
      <c r="H142" s="75" t="s">
        <v>110</v>
      </c>
      <c r="I142" s="75" t="s">
        <v>111</v>
      </c>
      <c r="J142" s="128" t="s">
        <v>112</v>
      </c>
      <c r="K142" s="240" t="s">
        <v>188</v>
      </c>
      <c r="L142" s="207" t="s">
        <v>113</v>
      </c>
      <c r="M142" s="124" t="s">
        <v>114</v>
      </c>
      <c r="N142" s="138" t="s">
        <v>115</v>
      </c>
      <c r="O142" s="95" t="s">
        <v>130</v>
      </c>
      <c r="P142" s="240" t="s">
        <v>188</v>
      </c>
      <c r="Q142" s="67"/>
    </row>
    <row r="143" spans="1:17" ht="15.75">
      <c r="A143">
        <v>11</v>
      </c>
      <c r="B143" t="s">
        <v>47</v>
      </c>
      <c r="G143" s="68"/>
      <c r="H143" s="77"/>
      <c r="I143" s="78"/>
      <c r="J143" s="129"/>
      <c r="K143" s="256"/>
      <c r="L143" s="208"/>
      <c r="M143" s="125"/>
      <c r="N143" s="125"/>
      <c r="O143" s="91"/>
      <c r="P143" s="236"/>
      <c r="Q143" s="67"/>
    </row>
    <row r="144" spans="1:17" ht="15.75">
      <c r="A144">
        <v>12</v>
      </c>
      <c r="G144" s="68" t="s">
        <v>123</v>
      </c>
      <c r="H144" s="81">
        <f>C145</f>
        <v>2819</v>
      </c>
      <c r="I144" s="78"/>
      <c r="J144" s="129"/>
      <c r="K144" s="252"/>
      <c r="L144" s="82">
        <f>I144</f>
        <v>0</v>
      </c>
      <c r="M144" s="80">
        <f>L144*H144</f>
        <v>0</v>
      </c>
      <c r="N144" s="80">
        <f>M144-J144</f>
        <v>0</v>
      </c>
      <c r="O144" s="92"/>
      <c r="P144" s="235"/>
      <c r="Q144" s="67"/>
    </row>
    <row r="145" spans="1:20" ht="15.75">
      <c r="A145">
        <v>13</v>
      </c>
      <c r="B145" t="s">
        <v>19</v>
      </c>
      <c r="C145" s="10">
        <f>BC14</f>
        <v>2819</v>
      </c>
      <c r="D145" s="10">
        <f>BD14</f>
        <v>1845795</v>
      </c>
      <c r="E145" s="60">
        <f>BB14</f>
        <v>0.04389</v>
      </c>
      <c r="F145" s="44">
        <f>BE14</f>
        <v>80998.3</v>
      </c>
      <c r="G145" s="68" t="s">
        <v>124</v>
      </c>
      <c r="H145" s="99">
        <f>D145</f>
        <v>1845795</v>
      </c>
      <c r="I145" s="98">
        <f>E145</f>
        <v>0.04389</v>
      </c>
      <c r="J145" s="216">
        <f>H145*I145</f>
        <v>81011.94254999999</v>
      </c>
      <c r="K145" s="257">
        <f>J145/J147</f>
        <v>1</v>
      </c>
      <c r="L145" s="215">
        <f>I145+Q383</f>
        <v>0.047864275618826564</v>
      </c>
      <c r="M145" s="80">
        <f>L145*H145</f>
        <v>88347.64061585198</v>
      </c>
      <c r="N145" s="141">
        <f>M145-J145</f>
        <v>7335.69806585199</v>
      </c>
      <c r="O145" s="92"/>
      <c r="P145" s="246">
        <f>M145/$M$147</f>
        <v>1</v>
      </c>
      <c r="Q145" s="99">
        <f>D145</f>
        <v>1845795</v>
      </c>
      <c r="S145" s="24"/>
      <c r="T145" s="24">
        <f>N145</f>
        <v>7335.69806585199</v>
      </c>
    </row>
    <row r="146" spans="1:17" ht="17.25" thickBot="1">
      <c r="A146">
        <v>14</v>
      </c>
      <c r="B146" t="s">
        <v>16</v>
      </c>
      <c r="D146" s="2"/>
      <c r="E146" s="4"/>
      <c r="F146" s="44">
        <f>BE15</f>
        <v>16821.780000000002</v>
      </c>
      <c r="G146" s="68" t="s">
        <v>117</v>
      </c>
      <c r="H146" s="67"/>
      <c r="I146" s="78"/>
      <c r="J146" s="131">
        <v>0</v>
      </c>
      <c r="K146" s="258"/>
      <c r="L146" s="67"/>
      <c r="M146" s="117">
        <f>J146</f>
        <v>0</v>
      </c>
      <c r="N146" s="80">
        <f>M146-J146</f>
        <v>0</v>
      </c>
      <c r="O146" s="92"/>
      <c r="P146" s="247"/>
      <c r="Q146" s="67"/>
    </row>
    <row r="147" spans="1:17" ht="16.5" thickBot="1">
      <c r="A147">
        <v>15</v>
      </c>
      <c r="B147" t="s">
        <v>99</v>
      </c>
      <c r="D147" s="2"/>
      <c r="E147" s="4"/>
      <c r="F147" s="44">
        <f>BE16</f>
        <v>35.99999999999999</v>
      </c>
      <c r="G147" s="68" t="s">
        <v>125</v>
      </c>
      <c r="H147" s="67"/>
      <c r="I147" s="98"/>
      <c r="J147" s="129">
        <f>J145+J146</f>
        <v>81011.94254999999</v>
      </c>
      <c r="K147" s="244">
        <f>K145</f>
        <v>1</v>
      </c>
      <c r="L147" s="67"/>
      <c r="M147" s="84">
        <f>SUM(M144:M146)</f>
        <v>88347.64061585198</v>
      </c>
      <c r="N147" s="84">
        <f>SUM(N144:N146)</f>
        <v>7335.69806585199</v>
      </c>
      <c r="O147" s="120"/>
      <c r="P147" s="248">
        <f>P145</f>
        <v>1</v>
      </c>
      <c r="Q147" s="67"/>
    </row>
    <row r="148" spans="1:17" ht="15.75">
      <c r="A148">
        <v>16</v>
      </c>
      <c r="B148" t="s">
        <v>17</v>
      </c>
      <c r="D148" s="2"/>
      <c r="E148" s="4"/>
      <c r="F148" s="1">
        <f>SUM(F145:F147)</f>
        <v>97856.08</v>
      </c>
      <c r="G148" s="68" t="str">
        <f>B146</f>
        <v>FUEL</v>
      </c>
      <c r="H148" s="67"/>
      <c r="I148" s="78"/>
      <c r="J148" s="129">
        <f>F146</f>
        <v>16821.780000000002</v>
      </c>
      <c r="K148" s="252"/>
      <c r="L148" s="67"/>
      <c r="M148" s="84">
        <f>J148</f>
        <v>16821.780000000002</v>
      </c>
      <c r="N148" s="84">
        <f>L148</f>
        <v>0</v>
      </c>
      <c r="O148" s="96"/>
      <c r="P148" s="236"/>
      <c r="Q148" s="67"/>
    </row>
    <row r="149" spans="7:17" ht="17.25">
      <c r="G149" s="68" t="str">
        <f>B147</f>
        <v>ESC</v>
      </c>
      <c r="H149" s="67"/>
      <c r="I149" s="78"/>
      <c r="J149" s="217">
        <f>F147</f>
        <v>35.99999999999999</v>
      </c>
      <c r="K149" s="254"/>
      <c r="L149" s="67"/>
      <c r="M149" s="117">
        <f>J149</f>
        <v>35.99999999999999</v>
      </c>
      <c r="N149" s="117">
        <f>L149</f>
        <v>0</v>
      </c>
      <c r="O149" s="92"/>
      <c r="P149" s="235"/>
      <c r="Q149" s="67"/>
    </row>
    <row r="150" spans="7:17" ht="15.75">
      <c r="G150" s="68" t="str">
        <f>B148</f>
        <v>TOTAL REVENUE</v>
      </c>
      <c r="H150" s="67"/>
      <c r="I150" s="67"/>
      <c r="J150" s="120">
        <f>J147+J148+J149</f>
        <v>97869.72254999999</v>
      </c>
      <c r="K150" s="253"/>
      <c r="L150" s="67"/>
      <c r="M150" s="84">
        <f>M147+M148+M149</f>
        <v>105205.42061585198</v>
      </c>
      <c r="N150" s="84">
        <f>N147+N148+N149</f>
        <v>7335.69806585199</v>
      </c>
      <c r="O150" s="120">
        <f>M150-J150</f>
        <v>7335.69806585199</v>
      </c>
      <c r="P150" s="235"/>
      <c r="Q150" s="67"/>
    </row>
    <row r="151" spans="1:17" ht="15.75">
      <c r="A151">
        <v>1</v>
      </c>
      <c r="G151" s="68" t="s">
        <v>127</v>
      </c>
      <c r="H151" s="81"/>
      <c r="I151" s="67"/>
      <c r="J151" s="132">
        <f>J150/H144</f>
        <v>34.71788667967364</v>
      </c>
      <c r="K151" s="255"/>
      <c r="L151" s="67"/>
      <c r="M151" s="81">
        <f>M150/H144</f>
        <v>37.320120828610136</v>
      </c>
      <c r="N151" s="113">
        <f>M151-J151</f>
        <v>2.602234148936496</v>
      </c>
      <c r="O151" s="92"/>
      <c r="P151" s="235"/>
      <c r="Q151" s="67"/>
    </row>
    <row r="152" spans="1:17" ht="16.5" thickBot="1">
      <c r="A152">
        <v>2</v>
      </c>
      <c r="C152" t="str">
        <f>$C$93</f>
        <v>        CLARK ENERGY COOPERATIVE, INC.</v>
      </c>
      <c r="G152" s="86" t="s">
        <v>105</v>
      </c>
      <c r="H152" s="103"/>
      <c r="I152" s="87"/>
      <c r="J152" s="97"/>
      <c r="K152" s="237"/>
      <c r="L152" s="87"/>
      <c r="M152" s="103"/>
      <c r="N152" s="103"/>
      <c r="O152" s="123">
        <f>M150/J150-1</f>
        <v>0.0749537024803999</v>
      </c>
      <c r="P152" s="237"/>
      <c r="Q152" s="67"/>
    </row>
    <row r="153" spans="1:17" ht="15.75">
      <c r="A153">
        <v>3</v>
      </c>
      <c r="D153" t="s">
        <v>33</v>
      </c>
      <c r="F153" s="67"/>
      <c r="G153" s="67"/>
      <c r="J153" s="67"/>
      <c r="K153" s="67"/>
      <c r="L153" s="67"/>
      <c r="P153" s="269" t="s">
        <v>192</v>
      </c>
      <c r="Q153" s="67"/>
    </row>
    <row r="154" spans="1:17" ht="15.75">
      <c r="A154">
        <v>4</v>
      </c>
      <c r="C154" t="str">
        <f>C95</f>
        <v>      TEST YEAR ENDING SEPTEMBER 30, 2006</v>
      </c>
      <c r="F154" s="67"/>
      <c r="G154" s="67"/>
      <c r="J154" s="67"/>
      <c r="K154" s="67"/>
      <c r="L154" s="67"/>
      <c r="P154" s="269" t="s">
        <v>194</v>
      </c>
      <c r="Q154" s="67"/>
    </row>
    <row r="155" spans="1:17" ht="15.75">
      <c r="A155">
        <v>5</v>
      </c>
      <c r="F155" s="67"/>
      <c r="G155" s="67"/>
      <c r="J155" s="67"/>
      <c r="K155" s="67"/>
      <c r="L155" s="67"/>
      <c r="P155" s="269" t="s">
        <v>195</v>
      </c>
      <c r="Q155" s="67"/>
    </row>
    <row r="156" spans="1:17" ht="16.5" thickBot="1">
      <c r="A156">
        <v>6</v>
      </c>
      <c r="F156" s="67"/>
      <c r="G156" s="67"/>
      <c r="J156" s="67"/>
      <c r="K156" s="67"/>
      <c r="L156" s="67"/>
      <c r="Q156" s="67"/>
    </row>
    <row r="157" spans="1:17" ht="15.75">
      <c r="A157">
        <v>7</v>
      </c>
      <c r="G157" s="89" t="s">
        <v>131</v>
      </c>
      <c r="H157" s="90"/>
      <c r="I157" s="90"/>
      <c r="J157" s="91"/>
      <c r="K157" s="236"/>
      <c r="L157" s="90"/>
      <c r="M157" s="90"/>
      <c r="N157" s="90"/>
      <c r="O157" s="91"/>
      <c r="P157" s="236"/>
      <c r="Q157" s="67"/>
    </row>
    <row r="158" spans="1:17" ht="16.5" thickBot="1">
      <c r="A158">
        <v>8</v>
      </c>
      <c r="C158" s="7" t="s">
        <v>34</v>
      </c>
      <c r="D158" s="7" t="s">
        <v>35</v>
      </c>
      <c r="F158" s="7"/>
      <c r="G158" s="66" t="s">
        <v>128</v>
      </c>
      <c r="H158" s="67"/>
      <c r="I158" s="67"/>
      <c r="J158" s="92"/>
      <c r="K158" s="235"/>
      <c r="L158" s="67"/>
      <c r="M158" s="67"/>
      <c r="N158" s="67"/>
      <c r="O158" s="92"/>
      <c r="P158" s="235"/>
      <c r="Q158" s="67"/>
    </row>
    <row r="159" spans="1:17" ht="15.75">
      <c r="A159">
        <v>9</v>
      </c>
      <c r="B159" t="s">
        <v>37</v>
      </c>
      <c r="C159" s="7" t="s">
        <v>38</v>
      </c>
      <c r="D159" s="7" t="s">
        <v>39</v>
      </c>
      <c r="E159" s="7" t="s">
        <v>49</v>
      </c>
      <c r="F159" s="7" t="s">
        <v>7</v>
      </c>
      <c r="G159" s="68"/>
      <c r="H159" s="69" t="s">
        <v>102</v>
      </c>
      <c r="I159" s="280" t="s">
        <v>174</v>
      </c>
      <c r="J159" s="281"/>
      <c r="K159" s="238" t="s">
        <v>186</v>
      </c>
      <c r="L159" s="205" t="s">
        <v>104</v>
      </c>
      <c r="M159" s="71"/>
      <c r="N159" s="93" t="s">
        <v>129</v>
      </c>
      <c r="O159" s="93" t="s">
        <v>105</v>
      </c>
      <c r="P159" s="238" t="s">
        <v>104</v>
      </c>
      <c r="Q159" s="67"/>
    </row>
    <row r="160" spans="1:17" ht="15.75">
      <c r="A160">
        <v>10</v>
      </c>
      <c r="B160" s="8" t="s">
        <v>40</v>
      </c>
      <c r="C160" s="8" t="s">
        <v>40</v>
      </c>
      <c r="D160" s="8" t="s">
        <v>40</v>
      </c>
      <c r="E160" s="8" t="s">
        <v>40</v>
      </c>
      <c r="F160" s="8" t="s">
        <v>40</v>
      </c>
      <c r="G160" s="68"/>
      <c r="H160" s="72" t="s">
        <v>106</v>
      </c>
      <c r="I160" s="73" t="s">
        <v>107</v>
      </c>
      <c r="J160" s="127" t="s">
        <v>108</v>
      </c>
      <c r="K160" s="239" t="s">
        <v>187</v>
      </c>
      <c r="L160" s="181" t="s">
        <v>107</v>
      </c>
      <c r="M160" s="74" t="s">
        <v>108</v>
      </c>
      <c r="N160" s="94" t="s">
        <v>109</v>
      </c>
      <c r="O160" s="94" t="s">
        <v>109</v>
      </c>
      <c r="P160" s="239" t="s">
        <v>187</v>
      </c>
      <c r="Q160" s="67"/>
    </row>
    <row r="161" spans="1:17" ht="16.5" thickBot="1">
      <c r="A161">
        <v>11</v>
      </c>
      <c r="B161" t="s">
        <v>50</v>
      </c>
      <c r="G161" s="68"/>
      <c r="H161" s="75" t="s">
        <v>110</v>
      </c>
      <c r="I161" s="75" t="s">
        <v>111</v>
      </c>
      <c r="J161" s="128" t="s">
        <v>112</v>
      </c>
      <c r="K161" s="240" t="s">
        <v>188</v>
      </c>
      <c r="L161" s="207" t="s">
        <v>113</v>
      </c>
      <c r="M161" s="124" t="s">
        <v>114</v>
      </c>
      <c r="N161" s="138" t="s">
        <v>115</v>
      </c>
      <c r="O161" s="95" t="s">
        <v>130</v>
      </c>
      <c r="P161" s="240" t="s">
        <v>188</v>
      </c>
      <c r="Q161" s="67"/>
    </row>
    <row r="162" spans="1:17" ht="15.75">
      <c r="A162">
        <v>12</v>
      </c>
      <c r="G162" s="68"/>
      <c r="H162" s="77"/>
      <c r="I162" s="78"/>
      <c r="J162" s="129"/>
      <c r="K162" s="252"/>
      <c r="L162" s="208"/>
      <c r="M162" s="125"/>
      <c r="N162" s="125"/>
      <c r="O162" s="91"/>
      <c r="P162" s="235"/>
      <c r="Q162" s="67"/>
    </row>
    <row r="163" spans="1:17" ht="15.75">
      <c r="A163">
        <v>13</v>
      </c>
      <c r="B163" t="s">
        <v>30</v>
      </c>
      <c r="C163">
        <v>0</v>
      </c>
      <c r="D163">
        <v>0</v>
      </c>
      <c r="E163" s="25">
        <f>+Y77*12</f>
        <v>66.12</v>
      </c>
      <c r="F163" s="24">
        <v>0</v>
      </c>
      <c r="G163" s="68" t="str">
        <f aca="true" t="shared" si="6" ref="G163:H165">B163</f>
        <v>200 WATT</v>
      </c>
      <c r="H163" s="81">
        <f t="shared" si="6"/>
        <v>0</v>
      </c>
      <c r="I163" s="78">
        <f>E163</f>
        <v>66.12</v>
      </c>
      <c r="J163" s="129">
        <f>H163*I163</f>
        <v>0</v>
      </c>
      <c r="K163" s="252"/>
      <c r="L163" s="209">
        <f>I163+(67*12*Q383)</f>
        <v>69.31531759753656</v>
      </c>
      <c r="M163" s="101">
        <f>L163*H163</f>
        <v>0</v>
      </c>
      <c r="N163" s="101">
        <f>M163-J163</f>
        <v>0</v>
      </c>
      <c r="O163" s="92"/>
      <c r="P163" s="235"/>
      <c r="Q163" s="67"/>
    </row>
    <row r="164" spans="1:17" ht="15.75">
      <c r="A164">
        <v>14</v>
      </c>
      <c r="B164" t="s">
        <v>31</v>
      </c>
      <c r="C164">
        <v>0</v>
      </c>
      <c r="D164">
        <v>0</v>
      </c>
      <c r="E164" s="25">
        <f>+Y78*12</f>
        <v>85.15</v>
      </c>
      <c r="F164" s="31">
        <v>0</v>
      </c>
      <c r="G164" s="68" t="str">
        <f t="shared" si="6"/>
        <v>300 WATT</v>
      </c>
      <c r="H164" s="81">
        <f t="shared" si="6"/>
        <v>0</v>
      </c>
      <c r="I164" s="78">
        <f>E164</f>
        <v>85.15</v>
      </c>
      <c r="J164" s="129">
        <f>H164*I164</f>
        <v>0</v>
      </c>
      <c r="K164" s="252"/>
      <c r="L164" s="210">
        <f>I164+(100*12*Q383)</f>
        <v>89.91913074259189</v>
      </c>
      <c r="M164" s="101">
        <f>L164*H164</f>
        <v>0</v>
      </c>
      <c r="N164" s="101">
        <f>M164-J164</f>
        <v>0</v>
      </c>
      <c r="O164" s="92"/>
      <c r="P164" s="235"/>
      <c r="Q164" s="67"/>
    </row>
    <row r="165" spans="1:20" ht="15.75">
      <c r="A165">
        <v>15</v>
      </c>
      <c r="B165" t="s">
        <v>32</v>
      </c>
      <c r="C165" s="10">
        <f>BC79</f>
        <v>8373</v>
      </c>
      <c r="D165" s="10">
        <f>BD79</f>
        <v>1289442</v>
      </c>
      <c r="E165" s="25">
        <f>Y79*12</f>
        <v>128.19</v>
      </c>
      <c r="F165" s="24">
        <f>BE79</f>
        <v>91198.87</v>
      </c>
      <c r="G165" s="68" t="str">
        <f t="shared" si="6"/>
        <v>400 WATT</v>
      </c>
      <c r="H165" s="81">
        <f t="shared" si="6"/>
        <v>8373</v>
      </c>
      <c r="I165" s="78">
        <f>E165</f>
        <v>128.19</v>
      </c>
      <c r="J165" s="129">
        <f>H165*I165/12</f>
        <v>89444.5725</v>
      </c>
      <c r="K165" s="246">
        <f>J165/$J$167</f>
        <v>1</v>
      </c>
      <c r="L165" s="210">
        <f>I165+(154*12*Q383)</f>
        <v>135.5344613435915</v>
      </c>
      <c r="M165" s="79">
        <f>L165*H165/12</f>
        <v>94569.17040249096</v>
      </c>
      <c r="N165" s="80">
        <f>M165-J165</f>
        <v>5124.597902490961</v>
      </c>
      <c r="O165" s="92"/>
      <c r="P165" s="246">
        <f>M165/$M$167</f>
        <v>1</v>
      </c>
      <c r="Q165" s="99">
        <f>D165</f>
        <v>1289442</v>
      </c>
      <c r="T165" s="24">
        <f>N165</f>
        <v>5124.597902490961</v>
      </c>
    </row>
    <row r="166" spans="1:17" ht="16.5" thickBot="1">
      <c r="A166">
        <v>16</v>
      </c>
      <c r="B166" t="s">
        <v>16</v>
      </c>
      <c r="F166" s="24">
        <f>BE80</f>
        <v>10722.359999999999</v>
      </c>
      <c r="G166" s="68" t="s">
        <v>117</v>
      </c>
      <c r="H166" s="67"/>
      <c r="I166" s="98"/>
      <c r="J166" s="211">
        <f>1754-1754</f>
        <v>0</v>
      </c>
      <c r="K166" s="261"/>
      <c r="L166" s="67"/>
      <c r="M166" s="151">
        <f>J166</f>
        <v>0</v>
      </c>
      <c r="N166" s="152">
        <f>M166-J166</f>
        <v>0</v>
      </c>
      <c r="O166" s="92"/>
      <c r="P166" s="249"/>
      <c r="Q166" s="67"/>
    </row>
    <row r="167" spans="1:17" ht="16.5" thickBot="1">
      <c r="A167">
        <v>17</v>
      </c>
      <c r="B167" t="s">
        <v>99</v>
      </c>
      <c r="F167" s="24">
        <f>BE81</f>
        <v>958.8418663985764</v>
      </c>
      <c r="G167" s="68" t="s">
        <v>125</v>
      </c>
      <c r="H167" s="67"/>
      <c r="I167" s="78"/>
      <c r="J167" s="129">
        <f>J165+J166</f>
        <v>89444.5725</v>
      </c>
      <c r="K167" s="262">
        <f>K165</f>
        <v>1</v>
      </c>
      <c r="L167" s="67"/>
      <c r="M167" s="84">
        <f>SUM(M163:M166)</f>
        <v>94569.17040249096</v>
      </c>
      <c r="N167" s="84">
        <f>SUM(N163:N166)</f>
        <v>5124.597902490961</v>
      </c>
      <c r="O167" s="120"/>
      <c r="P167" s="248">
        <f>P165</f>
        <v>1</v>
      </c>
      <c r="Q167" s="67"/>
    </row>
    <row r="168" spans="1:17" ht="15.75">
      <c r="A168">
        <v>18</v>
      </c>
      <c r="B168" t="s">
        <v>17</v>
      </c>
      <c r="C168">
        <v>0</v>
      </c>
      <c r="D168">
        <v>0</v>
      </c>
      <c r="F168" s="31">
        <f>SUM(F163:F167)</f>
        <v>102880.07186639858</v>
      </c>
      <c r="G168" s="68" t="str">
        <f>B166</f>
        <v>FUEL</v>
      </c>
      <c r="H168" s="67"/>
      <c r="I168" s="78"/>
      <c r="J168" s="212">
        <f>F166</f>
        <v>10722.359999999999</v>
      </c>
      <c r="K168" s="259"/>
      <c r="L168" s="67"/>
      <c r="M168" s="100">
        <f>J168</f>
        <v>10722.359999999999</v>
      </c>
      <c r="N168" s="100">
        <f>L168</f>
        <v>0</v>
      </c>
      <c r="O168" s="96"/>
      <c r="P168" s="235"/>
      <c r="Q168" s="67"/>
    </row>
    <row r="169" spans="7:17" ht="15.75">
      <c r="G169" s="102" t="str">
        <f>B167</f>
        <v>ESC</v>
      </c>
      <c r="H169" s="67"/>
      <c r="I169" s="67"/>
      <c r="J169" s="213">
        <f>F167</f>
        <v>958.8418663985764</v>
      </c>
      <c r="K169" s="253"/>
      <c r="L169" s="67"/>
      <c r="M169" s="100">
        <f>J169</f>
        <v>958.8418663985764</v>
      </c>
      <c r="N169" s="100">
        <f>L169</f>
        <v>0</v>
      </c>
      <c r="O169" s="92"/>
      <c r="P169" s="235"/>
      <c r="Q169" s="67"/>
    </row>
    <row r="170" spans="7:17" ht="15.75">
      <c r="G170" s="68" t="s">
        <v>17</v>
      </c>
      <c r="H170" s="81"/>
      <c r="I170" s="67"/>
      <c r="J170" s="120">
        <f>J167+J168+J169</f>
        <v>101125.77436639857</v>
      </c>
      <c r="K170" s="253"/>
      <c r="L170" s="67"/>
      <c r="M170" s="81">
        <f>M167+M168+M169</f>
        <v>106250.37226888954</v>
      </c>
      <c r="N170" s="81">
        <f>N167+N168+N169</f>
        <v>5124.597902490961</v>
      </c>
      <c r="O170" s="120"/>
      <c r="P170" s="235"/>
      <c r="Q170" s="67"/>
    </row>
    <row r="171" spans="1:17" ht="15.75">
      <c r="A171">
        <v>1</v>
      </c>
      <c r="G171" s="68" t="s">
        <v>127</v>
      </c>
      <c r="H171" s="81"/>
      <c r="I171" s="67"/>
      <c r="J171" s="214">
        <f>J170/H165</f>
        <v>12.07760353115951</v>
      </c>
      <c r="K171" s="260"/>
      <c r="L171" s="126"/>
      <c r="M171" s="126">
        <f>M170/H165</f>
        <v>12.6896419764588</v>
      </c>
      <c r="N171" s="126">
        <f>M171-J171</f>
        <v>0.6120384452992909</v>
      </c>
      <c r="O171" s="115"/>
      <c r="P171" s="235"/>
      <c r="Q171" s="67"/>
    </row>
    <row r="172" spans="1:17" ht="16.5" thickBot="1">
      <c r="A172">
        <v>2</v>
      </c>
      <c r="C172" t="str">
        <f>$C$93</f>
        <v>        CLARK ENERGY COOPERATIVE, INC.</v>
      </c>
      <c r="G172" s="86" t="s">
        <v>105</v>
      </c>
      <c r="H172" s="103"/>
      <c r="I172" s="87"/>
      <c r="J172" s="97"/>
      <c r="K172" s="237"/>
      <c r="L172" s="87"/>
      <c r="M172" s="103"/>
      <c r="N172" s="103"/>
      <c r="O172" s="123">
        <f>M170/J170-1</f>
        <v>0.050675487377960904</v>
      </c>
      <c r="P172" s="237"/>
      <c r="Q172" s="67"/>
    </row>
    <row r="173" spans="1:12" ht="15.75">
      <c r="A173">
        <v>3</v>
      </c>
      <c r="D173" t="s">
        <v>33</v>
      </c>
      <c r="F173" s="67"/>
      <c r="G173" s="67"/>
      <c r="J173" s="67"/>
      <c r="K173" s="67"/>
      <c r="L173" s="67"/>
    </row>
    <row r="174" spans="1:12" ht="15.75">
      <c r="A174">
        <v>4</v>
      </c>
      <c r="C174" t="str">
        <f>C95</f>
        <v>      TEST YEAR ENDING SEPTEMBER 30, 2006</v>
      </c>
      <c r="F174" s="67"/>
      <c r="G174" s="67"/>
      <c r="J174" s="67"/>
      <c r="K174" s="67"/>
      <c r="L174" s="67"/>
    </row>
    <row r="175" spans="1:12" ht="15.75">
      <c r="A175">
        <v>5</v>
      </c>
      <c r="F175" s="67"/>
      <c r="G175" s="67"/>
      <c r="J175" s="67"/>
      <c r="K175" s="67"/>
      <c r="L175" s="67"/>
    </row>
    <row r="176" spans="1:15" ht="15.75">
      <c r="A176">
        <v>6</v>
      </c>
      <c r="F176" s="67"/>
      <c r="G176" s="88"/>
      <c r="H176" s="67"/>
      <c r="I176" s="67"/>
      <c r="J176" s="67"/>
      <c r="K176" s="67"/>
      <c r="L176" s="67"/>
      <c r="M176" s="67"/>
      <c r="N176" s="67"/>
      <c r="O176" s="67"/>
    </row>
    <row r="177" spans="1:17" ht="16.5" thickBot="1">
      <c r="A177">
        <v>7</v>
      </c>
      <c r="F177" s="67"/>
      <c r="G177" s="67"/>
      <c r="H177" s="67"/>
      <c r="I177" s="277"/>
      <c r="J177" s="277"/>
      <c r="K177" s="137"/>
      <c r="L177" s="278"/>
      <c r="M177" s="278"/>
      <c r="N177" s="104"/>
      <c r="O177" s="104"/>
      <c r="P177" s="67"/>
      <c r="Q177" s="67"/>
    </row>
    <row r="178" spans="1:17" ht="15.75">
      <c r="A178">
        <v>8</v>
      </c>
      <c r="C178" s="7" t="s">
        <v>34</v>
      </c>
      <c r="D178" s="7" t="s">
        <v>35</v>
      </c>
      <c r="E178" s="7" t="s">
        <v>48</v>
      </c>
      <c r="G178" s="89" t="s">
        <v>131</v>
      </c>
      <c r="H178" s="90"/>
      <c r="I178" s="90"/>
      <c r="J178" s="91"/>
      <c r="K178" s="90"/>
      <c r="L178" s="105"/>
      <c r="M178" s="90"/>
      <c r="N178" s="90"/>
      <c r="O178" s="91"/>
      <c r="P178" s="236"/>
      <c r="Q178" s="67"/>
    </row>
    <row r="179" spans="1:17" ht="16.5" thickBot="1">
      <c r="A179">
        <v>9</v>
      </c>
      <c r="B179" t="s">
        <v>37</v>
      </c>
      <c r="C179" s="7" t="s">
        <v>38</v>
      </c>
      <c r="D179" s="7" t="s">
        <v>39</v>
      </c>
      <c r="E179" s="7" t="s">
        <v>5</v>
      </c>
      <c r="F179" s="7" t="s">
        <v>7</v>
      </c>
      <c r="G179" s="66" t="str">
        <f>B181</f>
        <v>Schedule "S"</v>
      </c>
      <c r="H179" s="67"/>
      <c r="I179" s="67"/>
      <c r="J179" s="92"/>
      <c r="K179" s="67"/>
      <c r="L179" s="68"/>
      <c r="M179" s="67"/>
      <c r="N179" s="67"/>
      <c r="O179" s="92"/>
      <c r="P179" s="235"/>
      <c r="Q179" s="67"/>
    </row>
    <row r="180" spans="1:17" ht="15.75">
      <c r="A180">
        <v>10</v>
      </c>
      <c r="B180" s="8" t="s">
        <v>40</v>
      </c>
      <c r="C180" s="8" t="s">
        <v>40</v>
      </c>
      <c r="D180" s="8" t="s">
        <v>40</v>
      </c>
      <c r="E180" s="8" t="s">
        <v>40</v>
      </c>
      <c r="F180" s="8" t="s">
        <v>40</v>
      </c>
      <c r="G180" s="68"/>
      <c r="H180" s="69" t="s">
        <v>102</v>
      </c>
      <c r="I180" s="272" t="s">
        <v>174</v>
      </c>
      <c r="J180" s="276"/>
      <c r="K180" s="238" t="s">
        <v>186</v>
      </c>
      <c r="L180" s="279" t="s">
        <v>104</v>
      </c>
      <c r="M180" s="275"/>
      <c r="N180" s="93" t="s">
        <v>129</v>
      </c>
      <c r="O180" s="93" t="s">
        <v>105</v>
      </c>
      <c r="P180" s="238" t="s">
        <v>104</v>
      </c>
      <c r="Q180" s="67"/>
    </row>
    <row r="181" spans="1:17" ht="15.75">
      <c r="A181">
        <v>11</v>
      </c>
      <c r="B181" t="s">
        <v>51</v>
      </c>
      <c r="G181" s="68"/>
      <c r="H181" s="72" t="s">
        <v>106</v>
      </c>
      <c r="I181" s="73" t="s">
        <v>107</v>
      </c>
      <c r="J181" s="127" t="s">
        <v>108</v>
      </c>
      <c r="K181" s="239" t="s">
        <v>187</v>
      </c>
      <c r="L181" s="106" t="s">
        <v>107</v>
      </c>
      <c r="M181" s="74" t="s">
        <v>108</v>
      </c>
      <c r="N181" s="94" t="s">
        <v>109</v>
      </c>
      <c r="O181" s="94" t="s">
        <v>109</v>
      </c>
      <c r="P181" s="239" t="s">
        <v>187</v>
      </c>
      <c r="Q181" s="67"/>
    </row>
    <row r="182" spans="1:17" ht="16.5" thickBot="1">
      <c r="A182">
        <v>12</v>
      </c>
      <c r="G182" s="68"/>
      <c r="H182" s="75" t="s">
        <v>110</v>
      </c>
      <c r="I182" s="75" t="s">
        <v>111</v>
      </c>
      <c r="J182" s="128" t="s">
        <v>112</v>
      </c>
      <c r="K182" s="240" t="s">
        <v>188</v>
      </c>
      <c r="L182" s="107" t="s">
        <v>113</v>
      </c>
      <c r="M182" s="76" t="s">
        <v>114</v>
      </c>
      <c r="N182" s="138" t="s">
        <v>115</v>
      </c>
      <c r="O182" s="95" t="s">
        <v>130</v>
      </c>
      <c r="P182" s="240" t="s">
        <v>188</v>
      </c>
      <c r="Q182" s="67"/>
    </row>
    <row r="183" spans="1:20" ht="15.75">
      <c r="A183">
        <v>13</v>
      </c>
      <c r="B183" t="s">
        <v>52</v>
      </c>
      <c r="C183" s="10">
        <f>BC71</f>
        <v>102858.8</v>
      </c>
      <c r="D183" s="10">
        <f>BD71</f>
        <v>7200116</v>
      </c>
      <c r="E183" s="46">
        <f>BB70</f>
        <v>6</v>
      </c>
      <c r="F183" s="44">
        <f>BE71</f>
        <v>620220.6799999999</v>
      </c>
      <c r="G183" s="68" t="s">
        <v>173</v>
      </c>
      <c r="H183" s="77">
        <f>C183</f>
        <v>102858.8</v>
      </c>
      <c r="I183" s="78">
        <f>E183</f>
        <v>6</v>
      </c>
      <c r="J183" s="129">
        <f>H183*I183</f>
        <v>617152.8</v>
      </c>
      <c r="K183" s="263">
        <f>J183/$J$186</f>
        <v>1</v>
      </c>
      <c r="L183" s="155">
        <f>I183+70*Q383</f>
        <v>6.27819929331786</v>
      </c>
      <c r="M183" s="80">
        <f>L183*H183</f>
        <v>645768.0454715231</v>
      </c>
      <c r="N183" s="80">
        <f>M183-J183</f>
        <v>28615.245471523027</v>
      </c>
      <c r="O183" s="92"/>
      <c r="P183" s="246">
        <f>M183/$M$186</f>
        <v>1</v>
      </c>
      <c r="Q183" s="99">
        <f>D183</f>
        <v>7200116</v>
      </c>
      <c r="T183" s="24">
        <f>N183</f>
        <v>28615.245471523027</v>
      </c>
    </row>
    <row r="184" spans="1:17" ht="15.75">
      <c r="A184">
        <v>14</v>
      </c>
      <c r="B184" t="s">
        <v>16</v>
      </c>
      <c r="C184" s="2"/>
      <c r="D184" s="2"/>
      <c r="F184" s="44">
        <f>BE72</f>
        <v>59793.46</v>
      </c>
      <c r="G184" s="68" t="s">
        <v>116</v>
      </c>
      <c r="H184" s="81">
        <f>D183</f>
        <v>7200116</v>
      </c>
      <c r="I184" s="82">
        <f>E184</f>
        <v>0</v>
      </c>
      <c r="J184" s="129">
        <f>H184*I184</f>
        <v>0</v>
      </c>
      <c r="K184" s="264"/>
      <c r="L184" s="109">
        <f>I184</f>
        <v>0</v>
      </c>
      <c r="M184" s="80">
        <f>L184*H184</f>
        <v>0</v>
      </c>
      <c r="N184" s="80">
        <f>M184-J184</f>
        <v>0</v>
      </c>
      <c r="O184" s="92"/>
      <c r="P184" s="249"/>
      <c r="Q184" s="67"/>
    </row>
    <row r="185" spans="1:17" ht="16.5" thickBot="1">
      <c r="A185">
        <v>15</v>
      </c>
      <c r="B185" t="s">
        <v>99</v>
      </c>
      <c r="C185" s="2"/>
      <c r="D185" s="2"/>
      <c r="F185" s="44">
        <f>BE73</f>
        <v>4341.298133601417</v>
      </c>
      <c r="G185" s="68" t="s">
        <v>117</v>
      </c>
      <c r="H185" s="67"/>
      <c r="I185" s="67"/>
      <c r="J185" s="130">
        <v>0</v>
      </c>
      <c r="K185" s="265"/>
      <c r="L185" s="68"/>
      <c r="M185" s="118">
        <f>J185</f>
        <v>0</v>
      </c>
      <c r="N185" s="146">
        <f>M185-J185</f>
        <v>0</v>
      </c>
      <c r="O185" s="92"/>
      <c r="P185" s="249"/>
      <c r="Q185" s="67"/>
    </row>
    <row r="186" spans="1:17" ht="16.5" thickBot="1">
      <c r="A186">
        <v>16</v>
      </c>
      <c r="B186" t="s">
        <v>17</v>
      </c>
      <c r="C186" s="2"/>
      <c r="D186" s="2"/>
      <c r="F186" s="1">
        <f>SUM(F183:F185)</f>
        <v>684355.4381336013</v>
      </c>
      <c r="G186" s="68" t="s">
        <v>118</v>
      </c>
      <c r="H186" s="67"/>
      <c r="I186" s="67"/>
      <c r="J186" s="129">
        <f>J183+J184+J185</f>
        <v>617152.8</v>
      </c>
      <c r="K186" s="244">
        <f>K183</f>
        <v>1</v>
      </c>
      <c r="L186" s="68"/>
      <c r="M186" s="84">
        <f>SUM(M183:M185)</f>
        <v>645768.0454715231</v>
      </c>
      <c r="N186" s="84">
        <f>SUM(N183:N185)</f>
        <v>28615.245471523027</v>
      </c>
      <c r="O186" s="120"/>
      <c r="P186" s="248">
        <f>P183</f>
        <v>1</v>
      </c>
      <c r="Q186" s="67"/>
    </row>
    <row r="187" spans="7:17" ht="15.75">
      <c r="G187" s="68" t="s">
        <v>119</v>
      </c>
      <c r="H187" s="67"/>
      <c r="I187" s="67"/>
      <c r="J187" s="129">
        <f>F184</f>
        <v>59793.46</v>
      </c>
      <c r="K187" s="79"/>
      <c r="L187" s="68"/>
      <c r="M187" s="84">
        <f>J187</f>
        <v>59793.46</v>
      </c>
      <c r="N187" s="84">
        <f>L187</f>
        <v>0</v>
      </c>
      <c r="O187" s="96"/>
      <c r="P187" s="235"/>
      <c r="Q187" s="67"/>
    </row>
    <row r="188" spans="7:17" ht="16.5">
      <c r="G188" s="68" t="s">
        <v>120</v>
      </c>
      <c r="H188" s="67"/>
      <c r="I188" s="67"/>
      <c r="J188" s="131">
        <f>F185</f>
        <v>4341.298133601417</v>
      </c>
      <c r="K188" s="230"/>
      <c r="L188" s="68"/>
      <c r="M188" s="119">
        <f>J188</f>
        <v>4341.298133601417</v>
      </c>
      <c r="N188" s="119">
        <f>L188</f>
        <v>0</v>
      </c>
      <c r="O188" s="92"/>
      <c r="P188" s="235"/>
      <c r="Q188" s="67"/>
    </row>
    <row r="189" spans="1:17" ht="15.75">
      <c r="A189">
        <v>1</v>
      </c>
      <c r="G189" s="68" t="s">
        <v>122</v>
      </c>
      <c r="H189" s="67"/>
      <c r="I189" s="67"/>
      <c r="J189" s="120">
        <f>J186+J187+J188</f>
        <v>681287.5581336014</v>
      </c>
      <c r="K189" s="84"/>
      <c r="L189" s="68"/>
      <c r="M189" s="84">
        <f>M186+M187+M188</f>
        <v>709902.8036051245</v>
      </c>
      <c r="N189" s="84">
        <f>N186+N187+N188</f>
        <v>28615.245471523027</v>
      </c>
      <c r="O189" s="120"/>
      <c r="P189" s="235"/>
      <c r="Q189" s="67"/>
    </row>
    <row r="190" spans="1:17" ht="15.75">
      <c r="A190">
        <v>2</v>
      </c>
      <c r="C190" t="str">
        <f>$C$93</f>
        <v>        CLARK ENERGY COOPERATIVE, INC.</v>
      </c>
      <c r="G190" s="68" t="s">
        <v>127</v>
      </c>
      <c r="H190" s="81"/>
      <c r="I190" s="67"/>
      <c r="J190" s="132">
        <f>J189/H183</f>
        <v>6.6235223251058875</v>
      </c>
      <c r="K190" s="122"/>
      <c r="L190" s="68"/>
      <c r="M190" s="133">
        <f>M189/H183</f>
        <v>6.901721618423746</v>
      </c>
      <c r="N190" s="133">
        <f>M190-J190</f>
        <v>0.27819929331785875</v>
      </c>
      <c r="O190" s="115"/>
      <c r="P190" s="235"/>
      <c r="Q190" s="67"/>
    </row>
    <row r="191" spans="1:17" ht="16.5" thickBot="1">
      <c r="A191">
        <v>3</v>
      </c>
      <c r="D191" t="s">
        <v>33</v>
      </c>
      <c r="G191" s="86" t="s">
        <v>105</v>
      </c>
      <c r="H191" s="103"/>
      <c r="I191" s="87"/>
      <c r="J191" s="97"/>
      <c r="K191" s="87"/>
      <c r="L191" s="86"/>
      <c r="M191" s="103"/>
      <c r="N191" s="103"/>
      <c r="O191" s="123">
        <f>M189/J189-1</f>
        <v>0.04200171444480061</v>
      </c>
      <c r="P191" s="237"/>
      <c r="Q191" s="67"/>
    </row>
    <row r="192" spans="1:12" ht="15.75">
      <c r="A192">
        <v>4</v>
      </c>
      <c r="C192" t="str">
        <f>C95</f>
        <v>      TEST YEAR ENDING SEPTEMBER 30, 2006</v>
      </c>
      <c r="F192" s="67"/>
      <c r="G192" s="67"/>
      <c r="J192" s="67"/>
      <c r="K192" s="67"/>
      <c r="L192" s="67"/>
    </row>
    <row r="193" spans="1:12" ht="15.75">
      <c r="A193">
        <v>5</v>
      </c>
      <c r="F193" s="67"/>
      <c r="G193" s="67"/>
      <c r="J193" s="67"/>
      <c r="K193" s="67"/>
      <c r="L193" s="67"/>
    </row>
    <row r="194" spans="1:12" ht="15.75">
      <c r="A194">
        <v>6</v>
      </c>
      <c r="F194" s="67"/>
      <c r="G194" s="67"/>
      <c r="J194" s="67"/>
      <c r="K194" s="67"/>
      <c r="L194" s="67"/>
    </row>
    <row r="195" spans="1:12" ht="16.5" thickBot="1">
      <c r="A195">
        <v>7</v>
      </c>
      <c r="F195" s="67"/>
      <c r="G195" s="67"/>
      <c r="J195" s="67"/>
      <c r="K195" s="67"/>
      <c r="L195" s="67"/>
    </row>
    <row r="196" spans="1:17" ht="15.75">
      <c r="A196">
        <v>8</v>
      </c>
      <c r="C196" s="7" t="s">
        <v>34</v>
      </c>
      <c r="D196" s="7" t="s">
        <v>35</v>
      </c>
      <c r="E196" t="s">
        <v>36</v>
      </c>
      <c r="G196" s="89" t="s">
        <v>131</v>
      </c>
      <c r="H196" s="90"/>
      <c r="I196" s="90"/>
      <c r="J196" s="91"/>
      <c r="K196" s="90"/>
      <c r="L196" s="105"/>
      <c r="M196" s="90"/>
      <c r="N196" s="90"/>
      <c r="O196" s="91"/>
      <c r="P196" s="236"/>
      <c r="Q196" s="67"/>
    </row>
    <row r="197" spans="1:17" ht="16.5" thickBot="1">
      <c r="A197">
        <v>9</v>
      </c>
      <c r="B197" t="s">
        <v>37</v>
      </c>
      <c r="C197" s="7" t="s">
        <v>38</v>
      </c>
      <c r="D197" s="7" t="s">
        <v>39</v>
      </c>
      <c r="E197" s="7" t="s">
        <v>5</v>
      </c>
      <c r="F197" s="7" t="s">
        <v>7</v>
      </c>
      <c r="G197" s="66" t="str">
        <f>B199</f>
        <v>Schedule "E"</v>
      </c>
      <c r="H197" s="67"/>
      <c r="I197" s="67"/>
      <c r="J197" s="92"/>
      <c r="K197" s="67"/>
      <c r="L197" s="68"/>
      <c r="M197" s="67"/>
      <c r="N197" s="67"/>
      <c r="O197" s="92"/>
      <c r="P197" s="235"/>
      <c r="Q197" s="67"/>
    </row>
    <row r="198" spans="1:17" ht="15.75">
      <c r="A198">
        <v>10</v>
      </c>
      <c r="B198" s="8" t="s">
        <v>40</v>
      </c>
      <c r="C198" s="8" t="s">
        <v>40</v>
      </c>
      <c r="D198" s="8" t="s">
        <v>40</v>
      </c>
      <c r="E198" s="8" t="s">
        <v>40</v>
      </c>
      <c r="F198" s="8" t="s">
        <v>40</v>
      </c>
      <c r="G198" s="68"/>
      <c r="H198" s="69" t="s">
        <v>102</v>
      </c>
      <c r="I198" s="272" t="s">
        <v>103</v>
      </c>
      <c r="J198" s="276"/>
      <c r="K198" s="238" t="s">
        <v>186</v>
      </c>
      <c r="L198" s="279" t="s">
        <v>104</v>
      </c>
      <c r="M198" s="275"/>
      <c r="N198" s="93" t="s">
        <v>129</v>
      </c>
      <c r="O198" s="93" t="s">
        <v>105</v>
      </c>
      <c r="P198" s="238" t="s">
        <v>104</v>
      </c>
      <c r="Q198" s="67"/>
    </row>
    <row r="199" spans="1:17" ht="15.75">
      <c r="A199">
        <v>11</v>
      </c>
      <c r="B199" t="s">
        <v>53</v>
      </c>
      <c r="G199" s="68"/>
      <c r="H199" s="72" t="s">
        <v>106</v>
      </c>
      <c r="I199" s="73" t="s">
        <v>107</v>
      </c>
      <c r="J199" s="127" t="s">
        <v>108</v>
      </c>
      <c r="K199" s="239" t="s">
        <v>187</v>
      </c>
      <c r="L199" s="106" t="s">
        <v>107</v>
      </c>
      <c r="M199" s="74" t="s">
        <v>108</v>
      </c>
      <c r="N199" s="94" t="s">
        <v>109</v>
      </c>
      <c r="O199" s="94" t="s">
        <v>109</v>
      </c>
      <c r="P199" s="239" t="s">
        <v>187</v>
      </c>
      <c r="Q199" s="67"/>
    </row>
    <row r="200" spans="1:17" ht="16.5" thickBot="1">
      <c r="A200">
        <v>12</v>
      </c>
      <c r="G200" s="68"/>
      <c r="H200" s="75" t="s">
        <v>110</v>
      </c>
      <c r="I200" s="75" t="s">
        <v>111</v>
      </c>
      <c r="J200" s="128" t="s">
        <v>112</v>
      </c>
      <c r="K200" s="240" t="s">
        <v>188</v>
      </c>
      <c r="L200" s="107" t="s">
        <v>113</v>
      </c>
      <c r="M200" s="76" t="s">
        <v>114</v>
      </c>
      <c r="N200" s="138" t="s">
        <v>115</v>
      </c>
      <c r="O200" s="95" t="s">
        <v>130</v>
      </c>
      <c r="P200" s="240" t="s">
        <v>188</v>
      </c>
      <c r="Q200" s="67"/>
    </row>
    <row r="201" spans="1:17" ht="15.75">
      <c r="A201">
        <v>13</v>
      </c>
      <c r="B201" t="s">
        <v>21</v>
      </c>
      <c r="C201" s="2"/>
      <c r="D201" s="2"/>
      <c r="E201" s="62">
        <f>BB20</f>
        <v>5.4</v>
      </c>
      <c r="F201" s="44">
        <f>BE20</f>
        <v>18835.199999999997</v>
      </c>
      <c r="G201" s="68" t="s">
        <v>21</v>
      </c>
      <c r="H201" s="77">
        <f>C202</f>
        <v>3516</v>
      </c>
      <c r="I201" s="78">
        <f>E201</f>
        <v>5.4</v>
      </c>
      <c r="J201" s="129">
        <f>H201*I201</f>
        <v>18986.4</v>
      </c>
      <c r="K201" s="263">
        <f>J201/$J$204</f>
        <v>0.06318007906587977</v>
      </c>
      <c r="L201" s="108">
        <f>I201</f>
        <v>5.4</v>
      </c>
      <c r="M201" s="80">
        <f>L201*H201</f>
        <v>18986.4</v>
      </c>
      <c r="N201" s="80">
        <f>M201-J201</f>
        <v>0</v>
      </c>
      <c r="O201" s="92"/>
      <c r="P201" s="246">
        <f>M201/M204</f>
        <v>0.06020033032569903</v>
      </c>
      <c r="Q201" s="67"/>
    </row>
    <row r="202" spans="1:20" ht="15.75">
      <c r="A202">
        <v>14</v>
      </c>
      <c r="B202" s="9" t="str">
        <f>$B$105</f>
        <v>All KWH</v>
      </c>
      <c r="C202" s="2">
        <f>BC21</f>
        <v>3516</v>
      </c>
      <c r="D202" s="2">
        <f>BD21</f>
        <v>3742702</v>
      </c>
      <c r="E202" s="63">
        <f>Y21</f>
        <v>0.07522</v>
      </c>
      <c r="F202" s="44">
        <f>BE21</f>
        <v>281699</v>
      </c>
      <c r="G202" s="68" t="s">
        <v>116</v>
      </c>
      <c r="H202" s="81">
        <f>D202</f>
        <v>3742702</v>
      </c>
      <c r="I202" s="82">
        <f>E202</f>
        <v>0.07522</v>
      </c>
      <c r="J202" s="129">
        <f>H202*I202</f>
        <v>281526.04443999997</v>
      </c>
      <c r="K202" s="263">
        <f>J202/$J$204</f>
        <v>0.9368199209341201</v>
      </c>
      <c r="L202" s="153">
        <f>I202+Q383</f>
        <v>0.07919427561882657</v>
      </c>
      <c r="M202" s="80">
        <f>L202*H202</f>
        <v>296400.5737471334</v>
      </c>
      <c r="N202" s="80">
        <f>M202-J202</f>
        <v>14874.52930713346</v>
      </c>
      <c r="O202" s="92"/>
      <c r="P202" s="246">
        <f>M202/M204</f>
        <v>0.939799669674301</v>
      </c>
      <c r="Q202" s="99">
        <f>D202</f>
        <v>3742702</v>
      </c>
      <c r="T202" s="24">
        <f>N202</f>
        <v>14874.52930713346</v>
      </c>
    </row>
    <row r="203" spans="1:17" ht="16.5" thickBot="1">
      <c r="A203">
        <v>15</v>
      </c>
      <c r="B203" t="s">
        <v>16</v>
      </c>
      <c r="C203" s="2"/>
      <c r="D203" s="2"/>
      <c r="F203" s="44">
        <f>BE22</f>
        <v>30714.27</v>
      </c>
      <c r="G203" s="68" t="s">
        <v>117</v>
      </c>
      <c r="H203" s="67"/>
      <c r="I203" s="67"/>
      <c r="J203" s="130">
        <v>0</v>
      </c>
      <c r="K203" s="265"/>
      <c r="L203" s="68"/>
      <c r="M203" s="118">
        <f>J203</f>
        <v>0</v>
      </c>
      <c r="N203" s="80">
        <f>M203-J203</f>
        <v>0</v>
      </c>
      <c r="O203" s="92"/>
      <c r="P203" s="249"/>
      <c r="Q203" s="67"/>
    </row>
    <row r="204" spans="1:17" ht="16.5" thickBot="1">
      <c r="A204">
        <v>16</v>
      </c>
      <c r="B204" t="s">
        <v>99</v>
      </c>
      <c r="C204" s="2"/>
      <c r="D204" s="2"/>
      <c r="F204" s="44">
        <f>BE23</f>
        <v>22895.37</v>
      </c>
      <c r="G204" s="68" t="s">
        <v>118</v>
      </c>
      <c r="H204" s="67"/>
      <c r="I204" s="67"/>
      <c r="J204" s="129">
        <f>J201+J202+J203</f>
        <v>300512.44444</v>
      </c>
      <c r="K204" s="244">
        <f>K201+K202</f>
        <v>0.9999999999999999</v>
      </c>
      <c r="L204" s="68"/>
      <c r="M204" s="84">
        <f>SUM(M201:M203)</f>
        <v>315386.97374713345</v>
      </c>
      <c r="N204" s="84">
        <f>SUM(N201:N203)</f>
        <v>14874.52930713346</v>
      </c>
      <c r="O204" s="92"/>
      <c r="P204" s="248">
        <f>P201+P202</f>
        <v>1</v>
      </c>
      <c r="Q204" s="67"/>
    </row>
    <row r="205" spans="1:17" ht="15.75">
      <c r="A205">
        <v>17</v>
      </c>
      <c r="B205" t="s">
        <v>17</v>
      </c>
      <c r="C205" s="2"/>
      <c r="D205" s="2"/>
      <c r="F205" s="1">
        <f>SUM(F201:F204)</f>
        <v>354143.84</v>
      </c>
      <c r="G205" s="68" t="s">
        <v>119</v>
      </c>
      <c r="H205" s="67"/>
      <c r="I205" s="67"/>
      <c r="J205" s="129">
        <f>F203</f>
        <v>30714.27</v>
      </c>
      <c r="K205" s="79"/>
      <c r="L205" s="68"/>
      <c r="M205" s="84">
        <f>J205</f>
        <v>30714.27</v>
      </c>
      <c r="N205" s="84">
        <f>L205</f>
        <v>0</v>
      </c>
      <c r="O205" s="96"/>
      <c r="P205" s="235"/>
      <c r="Q205" s="67"/>
    </row>
    <row r="206" spans="7:17" ht="16.5">
      <c r="G206" s="68" t="s">
        <v>120</v>
      </c>
      <c r="H206" s="67"/>
      <c r="I206" s="67"/>
      <c r="J206" s="131">
        <f>F204</f>
        <v>22895.37</v>
      </c>
      <c r="K206" s="230"/>
      <c r="L206" s="68"/>
      <c r="M206" s="119">
        <f>J206</f>
        <v>22895.37</v>
      </c>
      <c r="N206" s="119">
        <f>L206</f>
        <v>0</v>
      </c>
      <c r="O206" s="92"/>
      <c r="P206" s="235"/>
      <c r="Q206" s="67"/>
    </row>
    <row r="207" spans="7:17" ht="15.75">
      <c r="G207" s="68" t="s">
        <v>122</v>
      </c>
      <c r="H207" s="67"/>
      <c r="I207" s="67"/>
      <c r="J207" s="120">
        <f>J204+J205+J206</f>
        <v>354122.08444</v>
      </c>
      <c r="K207" s="84"/>
      <c r="L207" s="68"/>
      <c r="M207" s="84">
        <f>M204+M205+M206</f>
        <v>368996.61374713347</v>
      </c>
      <c r="N207" s="84">
        <f>N204+N205+N206</f>
        <v>14874.52930713346</v>
      </c>
      <c r="O207" s="120">
        <f>M207-J207</f>
        <v>14874.52930713346</v>
      </c>
      <c r="P207" s="235"/>
      <c r="Q207" s="67"/>
    </row>
    <row r="208" spans="1:17" ht="15.75">
      <c r="A208">
        <v>1</v>
      </c>
      <c r="G208" s="68" t="s">
        <v>127</v>
      </c>
      <c r="H208" s="81"/>
      <c r="I208" s="67"/>
      <c r="J208" s="132">
        <f>J207/H201</f>
        <v>100.71731639362912</v>
      </c>
      <c r="K208" s="122"/>
      <c r="L208" s="68"/>
      <c r="M208" s="134">
        <f>M207/H201</f>
        <v>104.94784236266595</v>
      </c>
      <c r="N208" s="134">
        <f>M208-J208</f>
        <v>4.230525969036833</v>
      </c>
      <c r="O208" s="92"/>
      <c r="P208" s="235"/>
      <c r="Q208" s="67"/>
    </row>
    <row r="209" spans="1:17" ht="16.5" thickBot="1">
      <c r="A209">
        <v>2</v>
      </c>
      <c r="C209" t="str">
        <f>$C$93</f>
        <v>        CLARK ENERGY COOPERATIVE, INC.</v>
      </c>
      <c r="G209" s="86" t="s">
        <v>105</v>
      </c>
      <c r="H209" s="103"/>
      <c r="I209" s="87"/>
      <c r="J209" s="97"/>
      <c r="K209" s="87"/>
      <c r="L209" s="86"/>
      <c r="M209" s="103"/>
      <c r="N209" s="103"/>
      <c r="O209" s="123">
        <f>M207/J207-1</f>
        <v>0.042003958410715025</v>
      </c>
      <c r="P209" s="237"/>
      <c r="Q209" s="67"/>
    </row>
    <row r="210" spans="1:12" ht="15.75">
      <c r="A210">
        <v>3</v>
      </c>
      <c r="D210" t="s">
        <v>33</v>
      </c>
      <c r="F210" s="67"/>
      <c r="G210" s="67"/>
      <c r="J210" s="67"/>
      <c r="K210" s="67"/>
      <c r="L210" s="67"/>
    </row>
    <row r="211" spans="1:17" ht="15.75">
      <c r="A211">
        <v>4</v>
      </c>
      <c r="C211" t="str">
        <f>C95</f>
        <v>      TEST YEAR ENDING SEPTEMBER 30, 2006</v>
      </c>
      <c r="F211" s="67"/>
      <c r="G211" s="67"/>
      <c r="J211" s="67"/>
      <c r="K211" s="67"/>
      <c r="L211" s="67"/>
      <c r="P211" s="269" t="s">
        <v>192</v>
      </c>
      <c r="Q211" s="67"/>
    </row>
    <row r="212" spans="1:17" ht="15.75">
      <c r="A212">
        <v>5</v>
      </c>
      <c r="F212" s="67"/>
      <c r="G212" s="67"/>
      <c r="J212" s="67"/>
      <c r="K212" s="67"/>
      <c r="L212" s="67"/>
      <c r="P212" s="269" t="s">
        <v>194</v>
      </c>
      <c r="Q212" s="67"/>
    </row>
    <row r="213" spans="1:17" ht="15.75">
      <c r="A213">
        <v>6</v>
      </c>
      <c r="F213" s="67"/>
      <c r="G213" s="67"/>
      <c r="J213" s="67"/>
      <c r="K213" s="67"/>
      <c r="L213" s="67"/>
      <c r="P213" s="269" t="s">
        <v>196</v>
      </c>
      <c r="Q213" s="67"/>
    </row>
    <row r="214" spans="1:12" ht="16.5" thickBot="1">
      <c r="A214">
        <v>7</v>
      </c>
      <c r="F214" s="67"/>
      <c r="G214" s="67"/>
      <c r="J214" s="67"/>
      <c r="K214" s="67"/>
      <c r="L214" s="67"/>
    </row>
    <row r="215" spans="1:17" ht="15.75">
      <c r="A215">
        <v>8</v>
      </c>
      <c r="C215" s="7" t="s">
        <v>34</v>
      </c>
      <c r="D215" s="7" t="s">
        <v>35</v>
      </c>
      <c r="E215" t="s">
        <v>36</v>
      </c>
      <c r="G215" s="89" t="s">
        <v>131</v>
      </c>
      <c r="H215" s="90"/>
      <c r="I215" s="90"/>
      <c r="J215" s="91"/>
      <c r="K215" s="90"/>
      <c r="L215" s="105"/>
      <c r="M215" s="90"/>
      <c r="N215" s="90"/>
      <c r="O215" s="91"/>
      <c r="P215" s="236"/>
      <c r="Q215" s="67"/>
    </row>
    <row r="216" spans="1:17" ht="16.5" thickBot="1">
      <c r="A216">
        <v>9</v>
      </c>
      <c r="B216" t="s">
        <v>37</v>
      </c>
      <c r="C216" s="7" t="s">
        <v>38</v>
      </c>
      <c r="D216" s="7" t="s">
        <v>39</v>
      </c>
      <c r="E216" s="7" t="s">
        <v>5</v>
      </c>
      <c r="F216" s="7" t="s">
        <v>7</v>
      </c>
      <c r="G216" s="66" t="str">
        <f>B218</f>
        <v>Schedule "A"</v>
      </c>
      <c r="H216" s="67"/>
      <c r="I216" s="67"/>
      <c r="J216" s="92"/>
      <c r="K216" s="67"/>
      <c r="L216" s="68"/>
      <c r="M216" s="67"/>
      <c r="N216" s="67"/>
      <c r="O216" s="92"/>
      <c r="P216" s="235"/>
      <c r="Q216" s="67"/>
    </row>
    <row r="217" spans="1:17" ht="15.75">
      <c r="A217">
        <v>10</v>
      </c>
      <c r="B217" s="8" t="s">
        <v>40</v>
      </c>
      <c r="C217" s="8" t="s">
        <v>40</v>
      </c>
      <c r="D217" s="8" t="s">
        <v>40</v>
      </c>
      <c r="E217" s="8" t="s">
        <v>40</v>
      </c>
      <c r="F217" s="8" t="s">
        <v>40</v>
      </c>
      <c r="G217" s="68"/>
      <c r="H217" s="69" t="s">
        <v>102</v>
      </c>
      <c r="I217" s="272" t="s">
        <v>103</v>
      </c>
      <c r="J217" s="276"/>
      <c r="K217" s="238" t="s">
        <v>186</v>
      </c>
      <c r="L217" s="279" t="s">
        <v>104</v>
      </c>
      <c r="M217" s="275"/>
      <c r="N217" s="93" t="s">
        <v>129</v>
      </c>
      <c r="O217" s="93" t="s">
        <v>105</v>
      </c>
      <c r="P217" s="238" t="s">
        <v>104</v>
      </c>
      <c r="Q217" s="67"/>
    </row>
    <row r="218" spans="1:17" ht="15.75">
      <c r="A218">
        <v>11</v>
      </c>
      <c r="B218" t="s">
        <v>55</v>
      </c>
      <c r="G218" s="68"/>
      <c r="H218" s="72" t="s">
        <v>106</v>
      </c>
      <c r="I218" s="73" t="s">
        <v>107</v>
      </c>
      <c r="J218" s="127" t="s">
        <v>108</v>
      </c>
      <c r="K218" s="239" t="s">
        <v>187</v>
      </c>
      <c r="L218" s="106" t="s">
        <v>107</v>
      </c>
      <c r="M218" s="74" t="s">
        <v>108</v>
      </c>
      <c r="N218" s="94" t="s">
        <v>109</v>
      </c>
      <c r="O218" s="94" t="s">
        <v>109</v>
      </c>
      <c r="P218" s="239" t="s">
        <v>187</v>
      </c>
      <c r="Q218" s="67"/>
    </row>
    <row r="219" spans="1:17" ht="16.5" thickBot="1">
      <c r="A219">
        <v>12</v>
      </c>
      <c r="G219" s="68"/>
      <c r="H219" s="75" t="s">
        <v>110</v>
      </c>
      <c r="I219" s="75" t="s">
        <v>111</v>
      </c>
      <c r="J219" s="128" t="s">
        <v>112</v>
      </c>
      <c r="K219" s="240" t="s">
        <v>188</v>
      </c>
      <c r="L219" s="107" t="s">
        <v>113</v>
      </c>
      <c r="M219" s="76" t="s">
        <v>114</v>
      </c>
      <c r="N219" s="138" t="s">
        <v>115</v>
      </c>
      <c r="O219" s="95" t="s">
        <v>130</v>
      </c>
      <c r="P219" s="240" t="s">
        <v>188</v>
      </c>
      <c r="Q219" s="67"/>
    </row>
    <row r="220" spans="1:17" ht="15.75">
      <c r="A220">
        <v>13</v>
      </c>
      <c r="B220" t="s">
        <v>21</v>
      </c>
      <c r="E220" s="62">
        <f>BB27</f>
        <v>5.27</v>
      </c>
      <c r="F220" s="44">
        <f>BE27</f>
        <v>84567.42000000001</v>
      </c>
      <c r="G220" s="68" t="s">
        <v>21</v>
      </c>
      <c r="H220" s="77">
        <f>C221</f>
        <v>16350</v>
      </c>
      <c r="I220" s="78">
        <f>E220</f>
        <v>5.27</v>
      </c>
      <c r="J220" s="129">
        <f>H220*I220</f>
        <v>86164.5</v>
      </c>
      <c r="K220" s="263">
        <f>J220/J223</f>
        <v>0.0682666130993537</v>
      </c>
      <c r="L220" s="108">
        <f>I220</f>
        <v>5.27</v>
      </c>
      <c r="M220" s="80">
        <f>L220*H220</f>
        <v>86164.5</v>
      </c>
      <c r="N220" s="80">
        <f>M220-J220</f>
        <v>0</v>
      </c>
      <c r="O220" s="92"/>
      <c r="P220" s="246">
        <f>M220/$M$223</f>
        <v>0.0655079017829462</v>
      </c>
      <c r="Q220" s="67"/>
    </row>
    <row r="221" spans="1:20" ht="15.75">
      <c r="A221">
        <v>14</v>
      </c>
      <c r="B221" s="9" t="str">
        <f>$B$105</f>
        <v>All KWH</v>
      </c>
      <c r="C221" s="10">
        <f>BC28</f>
        <v>16350</v>
      </c>
      <c r="D221" s="10">
        <f>BD28</f>
        <v>13374409</v>
      </c>
      <c r="E221" s="63">
        <f>BB28</f>
        <v>0.08793</v>
      </c>
      <c r="F221" s="44">
        <f>BE28</f>
        <v>1184136</v>
      </c>
      <c r="G221" s="68" t="s">
        <v>116</v>
      </c>
      <c r="H221" s="81">
        <f>D221</f>
        <v>13374409</v>
      </c>
      <c r="I221" s="82">
        <f>E221</f>
        <v>0.08793</v>
      </c>
      <c r="J221" s="129">
        <f>H221*I221</f>
        <v>1176011.7833699998</v>
      </c>
      <c r="K221" s="263">
        <f>J221/$J$223</f>
        <v>0.9317333869006463</v>
      </c>
      <c r="L221" s="153">
        <f>I221+Q383</f>
        <v>0.09190427561882657</v>
      </c>
      <c r="M221" s="80">
        <f>L221*H221</f>
        <v>1229165.3709749146</v>
      </c>
      <c r="N221" s="80">
        <f>M221-J221</f>
        <v>53153.58760491479</v>
      </c>
      <c r="O221" s="92"/>
      <c r="P221" s="246">
        <f>M221/$M$223</f>
        <v>0.9344920982170538</v>
      </c>
      <c r="Q221" s="99">
        <f>D221</f>
        <v>13374409</v>
      </c>
      <c r="T221" s="24">
        <f>N221</f>
        <v>53153.58760491479</v>
      </c>
    </row>
    <row r="222" spans="1:17" ht="16.5" thickBot="1">
      <c r="A222">
        <v>15</v>
      </c>
      <c r="B222" t="s">
        <v>16</v>
      </c>
      <c r="F222" s="44">
        <f>BE29</f>
        <v>109950.45999999999</v>
      </c>
      <c r="G222" s="68" t="s">
        <v>117</v>
      </c>
      <c r="H222" s="67"/>
      <c r="I222" s="67"/>
      <c r="J222" s="130">
        <v>0</v>
      </c>
      <c r="K222" s="265"/>
      <c r="L222" s="68"/>
      <c r="M222" s="118">
        <f>J222</f>
        <v>0</v>
      </c>
      <c r="N222" s="146">
        <f>M222-J222</f>
        <v>0</v>
      </c>
      <c r="O222" s="92"/>
      <c r="P222" s="249"/>
      <c r="Q222" s="67"/>
    </row>
    <row r="223" spans="1:17" ht="16.5" thickBot="1">
      <c r="A223">
        <v>16</v>
      </c>
      <c r="B223" t="s">
        <v>99</v>
      </c>
      <c r="F223" s="44">
        <f>BE30</f>
        <v>86606.09489361702</v>
      </c>
      <c r="G223" s="68" t="s">
        <v>118</v>
      </c>
      <c r="H223" s="67"/>
      <c r="I223" s="67"/>
      <c r="J223" s="129">
        <f>J220+J221+J222</f>
        <v>1262176.2833699998</v>
      </c>
      <c r="K223" s="244">
        <f>K220+K221</f>
        <v>1</v>
      </c>
      <c r="L223" s="68"/>
      <c r="M223" s="135">
        <f>SUM(M220:M222)</f>
        <v>1315329.8709749146</v>
      </c>
      <c r="N223" s="135">
        <f>SUM(N220:N222)</f>
        <v>53153.58760491479</v>
      </c>
      <c r="O223" s="120"/>
      <c r="P223" s="248">
        <f>P220+P221</f>
        <v>1</v>
      </c>
      <c r="Q223" s="67"/>
    </row>
    <row r="224" spans="1:17" ht="15.75">
      <c r="A224">
        <v>17</v>
      </c>
      <c r="B224" t="s">
        <v>17</v>
      </c>
      <c r="C224" s="10"/>
      <c r="D224" s="2"/>
      <c r="F224" s="1">
        <f>SUM(F220:F223)</f>
        <v>1465259.974893617</v>
      </c>
      <c r="G224" s="68" t="s">
        <v>119</v>
      </c>
      <c r="H224" s="67"/>
      <c r="I224" s="67"/>
      <c r="J224" s="129">
        <f>F222</f>
        <v>109950.45999999999</v>
      </c>
      <c r="K224" s="79"/>
      <c r="L224" s="68"/>
      <c r="M224" s="84">
        <f>J224</f>
        <v>109950.45999999999</v>
      </c>
      <c r="N224" s="84">
        <f>L224</f>
        <v>0</v>
      </c>
      <c r="O224" s="96"/>
      <c r="P224" s="235"/>
      <c r="Q224" s="67"/>
    </row>
    <row r="225" spans="7:17" ht="16.5">
      <c r="G225" s="68" t="s">
        <v>120</v>
      </c>
      <c r="H225" s="67"/>
      <c r="I225" s="67"/>
      <c r="J225" s="131">
        <f>F223</f>
        <v>86606.09489361702</v>
      </c>
      <c r="K225" s="230"/>
      <c r="L225" s="68"/>
      <c r="M225" s="119">
        <f>J225</f>
        <v>86606.09489361702</v>
      </c>
      <c r="N225" s="119">
        <f>L225</f>
        <v>0</v>
      </c>
      <c r="O225" s="92"/>
      <c r="P225" s="235"/>
      <c r="Q225" s="67"/>
    </row>
    <row r="226" spans="7:17" ht="15.75">
      <c r="G226" s="68" t="s">
        <v>122</v>
      </c>
      <c r="H226" s="67"/>
      <c r="I226" s="67"/>
      <c r="J226" s="120">
        <f>J223+J224+J225</f>
        <v>1458732.838263617</v>
      </c>
      <c r="K226" s="84"/>
      <c r="L226" s="68"/>
      <c r="M226" s="100">
        <f>M225+M224+M223</f>
        <v>1511886.4258685317</v>
      </c>
      <c r="N226" s="100">
        <f>N225+N224+N223</f>
        <v>53153.58760491479</v>
      </c>
      <c r="O226" s="120"/>
      <c r="P226" s="235"/>
      <c r="Q226" s="67"/>
    </row>
    <row r="227" spans="1:17" ht="15.75">
      <c r="A227">
        <v>1</v>
      </c>
      <c r="G227" s="68" t="s">
        <v>127</v>
      </c>
      <c r="H227" s="81"/>
      <c r="I227" s="67"/>
      <c r="J227" s="214">
        <f>J226/H220</f>
        <v>89.21913383875332</v>
      </c>
      <c r="K227" s="126"/>
      <c r="L227" s="68"/>
      <c r="M227" s="113">
        <f>M226/H220</f>
        <v>92.47011779012426</v>
      </c>
      <c r="N227" s="113">
        <f>M227-J227</f>
        <v>3.250983951370941</v>
      </c>
      <c r="O227" s="115"/>
      <c r="P227" s="235"/>
      <c r="Q227" s="67"/>
    </row>
    <row r="228" spans="1:17" ht="16.5" thickBot="1">
      <c r="A228">
        <v>2</v>
      </c>
      <c r="C228" t="str">
        <f>$C$93</f>
        <v>        CLARK ENERGY COOPERATIVE, INC.</v>
      </c>
      <c r="G228" s="86" t="s">
        <v>105</v>
      </c>
      <c r="H228" s="103"/>
      <c r="I228" s="87"/>
      <c r="J228" s="97"/>
      <c r="K228" s="87"/>
      <c r="L228" s="86"/>
      <c r="M228" s="103"/>
      <c r="N228" s="103"/>
      <c r="O228" s="123">
        <f>M226/J226-1</f>
        <v>0.03643819225197231</v>
      </c>
      <c r="P228" s="237"/>
      <c r="Q228" s="67"/>
    </row>
    <row r="229" spans="1:12" ht="15.75">
      <c r="A229">
        <v>3</v>
      </c>
      <c r="D229" t="s">
        <v>33</v>
      </c>
      <c r="F229" s="67"/>
      <c r="G229" s="67"/>
      <c r="J229" s="67"/>
      <c r="K229" s="67"/>
      <c r="L229" s="67"/>
    </row>
    <row r="230" spans="1:12" ht="15.75">
      <c r="A230">
        <v>4</v>
      </c>
      <c r="C230" t="str">
        <f>C95</f>
        <v>      TEST YEAR ENDING SEPTEMBER 30, 2006</v>
      </c>
      <c r="F230" s="67"/>
      <c r="G230" s="67"/>
      <c r="J230" s="67"/>
      <c r="K230" s="67"/>
      <c r="L230" s="67"/>
    </row>
    <row r="231" spans="1:12" ht="15.75">
      <c r="A231">
        <v>5</v>
      </c>
      <c r="F231" s="67"/>
      <c r="G231" s="67"/>
      <c r="J231" s="67"/>
      <c r="K231" s="67"/>
      <c r="L231" s="67"/>
    </row>
    <row r="232" spans="1:12" ht="15.75">
      <c r="A232">
        <v>6</v>
      </c>
      <c r="F232" s="67"/>
      <c r="G232" s="67"/>
      <c r="J232" s="67"/>
      <c r="K232" s="67"/>
      <c r="L232" s="67"/>
    </row>
    <row r="233" spans="1:12" ht="16.5" thickBot="1">
      <c r="A233">
        <v>7</v>
      </c>
      <c r="F233" s="67"/>
      <c r="G233" s="67"/>
      <c r="J233" s="67"/>
      <c r="K233" s="67"/>
      <c r="L233" s="67"/>
    </row>
    <row r="234" spans="1:17" ht="15.75">
      <c r="A234">
        <v>8</v>
      </c>
      <c r="C234" s="7" t="s">
        <v>34</v>
      </c>
      <c r="D234" s="7" t="s">
        <v>35</v>
      </c>
      <c r="E234" t="s">
        <v>36</v>
      </c>
      <c r="G234" s="89" t="s">
        <v>131</v>
      </c>
      <c r="H234" s="90"/>
      <c r="I234" s="90"/>
      <c r="J234" s="91"/>
      <c r="K234" s="90"/>
      <c r="L234" s="105"/>
      <c r="M234" s="90"/>
      <c r="N234" s="90"/>
      <c r="O234" s="91"/>
      <c r="P234" s="236"/>
      <c r="Q234" s="67"/>
    </row>
    <row r="235" spans="1:17" ht="16.5" thickBot="1">
      <c r="A235">
        <v>9</v>
      </c>
      <c r="B235" t="s">
        <v>37</v>
      </c>
      <c r="C235" s="7" t="s">
        <v>38</v>
      </c>
      <c r="D235" s="7" t="s">
        <v>39</v>
      </c>
      <c r="E235" s="7" t="s">
        <v>5</v>
      </c>
      <c r="F235" s="7" t="s">
        <v>7</v>
      </c>
      <c r="G235" s="66" t="str">
        <f>B237</f>
        <v>Schedule "B"</v>
      </c>
      <c r="H235" s="67"/>
      <c r="I235" s="67"/>
      <c r="J235" s="92"/>
      <c r="K235" s="67"/>
      <c r="L235" s="68"/>
      <c r="M235" s="67"/>
      <c r="N235" s="67"/>
      <c r="O235" s="92"/>
      <c r="P235" s="235"/>
      <c r="Q235" s="67"/>
    </row>
    <row r="236" spans="1:17" ht="15.75">
      <c r="A236">
        <v>10</v>
      </c>
      <c r="B236" s="8" t="s">
        <v>40</v>
      </c>
      <c r="C236" s="8" t="s">
        <v>40</v>
      </c>
      <c r="D236" s="8" t="s">
        <v>40</v>
      </c>
      <c r="E236" s="8" t="s">
        <v>40</v>
      </c>
      <c r="F236" s="8" t="s">
        <v>40</v>
      </c>
      <c r="G236" s="68"/>
      <c r="H236" s="69" t="s">
        <v>102</v>
      </c>
      <c r="I236" s="272" t="s">
        <v>103</v>
      </c>
      <c r="J236" s="276"/>
      <c r="K236" s="238" t="s">
        <v>186</v>
      </c>
      <c r="L236" s="279" t="s">
        <v>104</v>
      </c>
      <c r="M236" s="275"/>
      <c r="N236" s="93" t="s">
        <v>129</v>
      </c>
      <c r="O236" s="93" t="s">
        <v>105</v>
      </c>
      <c r="P236" s="238" t="s">
        <v>104</v>
      </c>
      <c r="Q236" s="67"/>
    </row>
    <row r="237" spans="1:17" ht="15.75">
      <c r="A237">
        <v>11</v>
      </c>
      <c r="B237" t="s">
        <v>56</v>
      </c>
      <c r="G237" s="110"/>
      <c r="H237" s="72" t="s">
        <v>106</v>
      </c>
      <c r="I237" s="73" t="s">
        <v>107</v>
      </c>
      <c r="J237" s="127" t="s">
        <v>108</v>
      </c>
      <c r="K237" s="239" t="s">
        <v>187</v>
      </c>
      <c r="L237" s="106" t="s">
        <v>107</v>
      </c>
      <c r="M237" s="74" t="s">
        <v>108</v>
      </c>
      <c r="N237" s="94" t="s">
        <v>109</v>
      </c>
      <c r="O237" s="94" t="s">
        <v>109</v>
      </c>
      <c r="P237" s="239" t="s">
        <v>187</v>
      </c>
      <c r="Q237" s="67"/>
    </row>
    <row r="238" spans="1:17" ht="16.5" thickBot="1">
      <c r="A238">
        <v>12</v>
      </c>
      <c r="G238" s="68"/>
      <c r="H238" s="75" t="s">
        <v>110</v>
      </c>
      <c r="I238" s="75" t="s">
        <v>111</v>
      </c>
      <c r="J238" s="128" t="s">
        <v>112</v>
      </c>
      <c r="K238" s="240" t="s">
        <v>188</v>
      </c>
      <c r="L238" s="107" t="s">
        <v>113</v>
      </c>
      <c r="M238" s="76" t="s">
        <v>114</v>
      </c>
      <c r="N238" s="138" t="s">
        <v>115</v>
      </c>
      <c r="O238" s="95" t="s">
        <v>130</v>
      </c>
      <c r="P238" s="240" t="s">
        <v>188</v>
      </c>
      <c r="Q238" s="67"/>
    </row>
    <row r="239" spans="1:19" ht="15.75">
      <c r="A239">
        <v>13</v>
      </c>
      <c r="B239" t="s">
        <v>24</v>
      </c>
      <c r="D239" s="6"/>
      <c r="E239" s="64">
        <f>BB34</f>
        <v>5.4</v>
      </c>
      <c r="F239" s="44">
        <f>BE34</f>
        <v>170911.35</v>
      </c>
      <c r="G239" s="68" t="s">
        <v>21</v>
      </c>
      <c r="H239" s="77">
        <f>C241</f>
        <v>1863</v>
      </c>
      <c r="I239" s="78">
        <f>E240</f>
        <v>4.83</v>
      </c>
      <c r="J239" s="129">
        <f>H239*I239</f>
        <v>8998.29</v>
      </c>
      <c r="K239" s="266">
        <f>J239/$J$243</f>
        <v>0.008548435854624246</v>
      </c>
      <c r="L239" s="197">
        <f>I239</f>
        <v>4.83</v>
      </c>
      <c r="M239" s="80">
        <f>L239*H239</f>
        <v>8998.29</v>
      </c>
      <c r="N239" s="80">
        <f>M239-J239</f>
        <v>0</v>
      </c>
      <c r="O239" s="92"/>
      <c r="P239" s="246">
        <f>M239/$M$243</f>
        <v>0.008159466780992343</v>
      </c>
      <c r="Q239" s="67"/>
      <c r="S239" s="24">
        <f>N239</f>
        <v>0</v>
      </c>
    </row>
    <row r="240" spans="1:20" ht="15.75">
      <c r="A240">
        <v>14</v>
      </c>
      <c r="B240" t="s">
        <v>21</v>
      </c>
      <c r="D240" s="6"/>
      <c r="E240" s="64">
        <f>BB35</f>
        <v>4.83</v>
      </c>
      <c r="F240" s="44">
        <f>BE35</f>
        <v>9683.619999999999</v>
      </c>
      <c r="G240" s="68" t="s">
        <v>116</v>
      </c>
      <c r="H240" s="81">
        <f>D241</f>
        <v>12626083</v>
      </c>
      <c r="I240" s="111">
        <f>E241</f>
        <v>0.06912</v>
      </c>
      <c r="J240" s="129">
        <f>H240*I240</f>
        <v>872714.85696</v>
      </c>
      <c r="K240" s="266">
        <f>J240/$J$243</f>
        <v>0.8290849677105466</v>
      </c>
      <c r="L240" s="109">
        <f>I240+Q383</f>
        <v>0.07309427561882657</v>
      </c>
      <c r="M240" s="80">
        <f>L240*H240</f>
        <v>922894.3907881806</v>
      </c>
      <c r="N240" s="80">
        <f>M240-J240</f>
        <v>50179.53382818063</v>
      </c>
      <c r="O240" s="92"/>
      <c r="P240" s="246">
        <f>M240/$M$243</f>
        <v>0.8368619064289242</v>
      </c>
      <c r="Q240" s="81">
        <f>H240</f>
        <v>12626083</v>
      </c>
      <c r="T240" s="24">
        <f>N240</f>
        <v>50179.53382818063</v>
      </c>
    </row>
    <row r="241" spans="1:18" ht="15.75">
      <c r="A241">
        <v>15</v>
      </c>
      <c r="B241" t="s">
        <v>13</v>
      </c>
      <c r="C241" s="10">
        <f>BC36</f>
        <v>1863</v>
      </c>
      <c r="D241" s="10">
        <f>BD36</f>
        <v>12626083</v>
      </c>
      <c r="E241" s="60">
        <f>BB36</f>
        <v>0.06912</v>
      </c>
      <c r="F241" s="44">
        <f>BE36</f>
        <v>872729</v>
      </c>
      <c r="G241" s="112" t="s">
        <v>126</v>
      </c>
      <c r="H241" s="113">
        <v>31650.1852</v>
      </c>
      <c r="I241" s="114">
        <f>E239</f>
        <v>5.4</v>
      </c>
      <c r="J241" s="129">
        <f>H241*I241</f>
        <v>170911.00008</v>
      </c>
      <c r="K241" s="266">
        <f>J241/$J$243</f>
        <v>0.1623665964348292</v>
      </c>
      <c r="L241" s="198">
        <f>I241</f>
        <v>5.4</v>
      </c>
      <c r="M241" s="80">
        <f>L241*H241</f>
        <v>170911.00008</v>
      </c>
      <c r="N241" s="80">
        <f>M241-J241</f>
        <v>0</v>
      </c>
      <c r="O241" s="92"/>
      <c r="P241" s="246">
        <f>M241/$M$243</f>
        <v>0.1549786267900834</v>
      </c>
      <c r="Q241" s="67"/>
      <c r="R241" s="28">
        <f>N241</f>
        <v>0</v>
      </c>
    </row>
    <row r="242" spans="1:17" ht="16.5" thickBot="1">
      <c r="A242">
        <v>16</v>
      </c>
      <c r="B242" t="s">
        <v>16</v>
      </c>
      <c r="F242" s="44">
        <f>BE37</f>
        <v>103153.02</v>
      </c>
      <c r="G242" s="68" t="s">
        <v>117</v>
      </c>
      <c r="H242" s="67"/>
      <c r="I242" s="67"/>
      <c r="J242" s="218">
        <v>0</v>
      </c>
      <c r="K242" s="267"/>
      <c r="L242" s="68"/>
      <c r="M242" s="118">
        <f>J242</f>
        <v>0</v>
      </c>
      <c r="N242" s="146">
        <f>M242-J242</f>
        <v>0</v>
      </c>
      <c r="O242" s="92"/>
      <c r="P242" s="249"/>
      <c r="Q242" s="67"/>
    </row>
    <row r="243" spans="1:17" ht="16.5" thickBot="1">
      <c r="A243">
        <v>17</v>
      </c>
      <c r="B243" t="s">
        <v>99</v>
      </c>
      <c r="F243" s="44">
        <f>BE38</f>
        <v>82308.34510638297</v>
      </c>
      <c r="G243" s="68" t="s">
        <v>118</v>
      </c>
      <c r="H243" s="67"/>
      <c r="I243" s="67"/>
      <c r="J243" s="129">
        <f>SUM(J239:J242)</f>
        <v>1052624.14704</v>
      </c>
      <c r="K243" s="262">
        <f>K239+K240+K241</f>
        <v>1</v>
      </c>
      <c r="L243" s="68"/>
      <c r="M243" s="84">
        <f>SUM(M239:M242)</f>
        <v>1102803.6808681807</v>
      </c>
      <c r="N243" s="84">
        <f>SUM(N239:N242)</f>
        <v>50179.53382818063</v>
      </c>
      <c r="O243" s="120"/>
      <c r="P243" s="262">
        <f>P239+P240+P241</f>
        <v>1</v>
      </c>
      <c r="Q243" s="67"/>
    </row>
    <row r="244" spans="1:17" ht="15.75">
      <c r="A244">
        <v>18</v>
      </c>
      <c r="B244" t="s">
        <v>17</v>
      </c>
      <c r="C244" s="2"/>
      <c r="D244" s="2"/>
      <c r="F244" s="1">
        <f>SUM(F239:F243)</f>
        <v>1238785.335106383</v>
      </c>
      <c r="G244" s="68" t="s">
        <v>119</v>
      </c>
      <c r="H244" s="67"/>
      <c r="I244" s="67"/>
      <c r="J244" s="129">
        <f>F242</f>
        <v>103153.02</v>
      </c>
      <c r="K244" s="79"/>
      <c r="L244" s="68"/>
      <c r="M244" s="84">
        <f>J244</f>
        <v>103153.02</v>
      </c>
      <c r="N244" s="84">
        <f>L244</f>
        <v>0</v>
      </c>
      <c r="O244" s="96"/>
      <c r="P244" s="235"/>
      <c r="Q244" s="67"/>
    </row>
    <row r="245" spans="7:17" ht="15.75">
      <c r="G245" s="68" t="s">
        <v>120</v>
      </c>
      <c r="H245" s="67"/>
      <c r="I245" s="67"/>
      <c r="J245" s="219">
        <f>F243</f>
        <v>82308.34510638297</v>
      </c>
      <c r="K245" s="79"/>
      <c r="L245" s="68"/>
      <c r="M245" s="119">
        <f>J245</f>
        <v>82308.34510638297</v>
      </c>
      <c r="N245" s="119">
        <f>L245</f>
        <v>0</v>
      </c>
      <c r="O245" s="92"/>
      <c r="P245" s="235"/>
      <c r="Q245" s="67"/>
    </row>
    <row r="246" spans="7:17" ht="15.75">
      <c r="G246" s="68" t="s">
        <v>122</v>
      </c>
      <c r="H246" s="67"/>
      <c r="I246" s="67"/>
      <c r="J246" s="120">
        <f>J243+J244+J245</f>
        <v>1238085.512146383</v>
      </c>
      <c r="K246" s="84"/>
      <c r="L246" s="68"/>
      <c r="M246" s="84">
        <f>M243+M244+M245</f>
        <v>1288265.0459745638</v>
      </c>
      <c r="N246" s="84">
        <f>N243+N244+N245</f>
        <v>50179.53382818063</v>
      </c>
      <c r="O246" s="120"/>
      <c r="P246" s="235"/>
      <c r="Q246" s="67"/>
    </row>
    <row r="247" spans="7:17" ht="15.75">
      <c r="G247" s="68" t="s">
        <v>127</v>
      </c>
      <c r="H247" s="81"/>
      <c r="I247" s="67"/>
      <c r="J247" s="132">
        <f>J246/H239</f>
        <v>664.5654922954284</v>
      </c>
      <c r="K247" s="122"/>
      <c r="L247" s="68"/>
      <c r="M247" s="126">
        <f>M246/H239</f>
        <v>691.500293062031</v>
      </c>
      <c r="N247" s="126">
        <f>M247-J247</f>
        <v>26.93480076660262</v>
      </c>
      <c r="O247" s="120"/>
      <c r="P247" s="235"/>
      <c r="Q247" s="67"/>
    </row>
    <row r="248" spans="1:17" ht="16.5" thickBot="1">
      <c r="A248">
        <v>1</v>
      </c>
      <c r="G248" s="86" t="s">
        <v>105</v>
      </c>
      <c r="H248" s="103"/>
      <c r="I248" s="87"/>
      <c r="J248" s="97"/>
      <c r="K248" s="87"/>
      <c r="L248" s="86"/>
      <c r="M248" s="103"/>
      <c r="N248" s="103"/>
      <c r="O248" s="123">
        <f>M246/J246-1</f>
        <v>0.0405299418625682</v>
      </c>
      <c r="P248" s="237"/>
      <c r="Q248" s="67"/>
    </row>
    <row r="249" spans="1:12" ht="15.75">
      <c r="A249">
        <v>2</v>
      </c>
      <c r="C249" t="str">
        <f>$C$93</f>
        <v>        CLARK ENERGY COOPERATIVE, INC.</v>
      </c>
      <c r="F249" s="67"/>
      <c r="G249" s="67"/>
      <c r="J249" s="67"/>
      <c r="K249" s="67"/>
      <c r="L249" s="67"/>
    </row>
    <row r="250" spans="1:12" ht="15.75">
      <c r="A250">
        <v>3</v>
      </c>
      <c r="D250" t="s">
        <v>33</v>
      </c>
      <c r="F250" s="67"/>
      <c r="G250" s="67"/>
      <c r="J250" s="67"/>
      <c r="K250" s="67"/>
      <c r="L250" s="67"/>
    </row>
    <row r="251" spans="1:12" ht="15.75">
      <c r="A251">
        <v>4</v>
      </c>
      <c r="C251" t="str">
        <f>C95</f>
        <v>      TEST YEAR ENDING SEPTEMBER 30, 2006</v>
      </c>
      <c r="F251" s="67"/>
      <c r="G251" s="67"/>
      <c r="J251" s="67"/>
      <c r="K251" s="67"/>
      <c r="L251" s="67"/>
    </row>
    <row r="252" spans="1:12" ht="15.75">
      <c r="A252">
        <v>5</v>
      </c>
      <c r="F252" s="67"/>
      <c r="G252" s="67"/>
      <c r="J252" s="67"/>
      <c r="K252" s="67"/>
      <c r="L252" s="67"/>
    </row>
    <row r="253" spans="1:12" ht="15.75">
      <c r="A253">
        <v>6</v>
      </c>
      <c r="F253" s="67"/>
      <c r="G253" s="67"/>
      <c r="J253" s="67"/>
      <c r="K253" s="67"/>
      <c r="L253" s="67"/>
    </row>
    <row r="254" spans="1:12" ht="16.5" thickBot="1">
      <c r="A254">
        <v>7</v>
      </c>
      <c r="F254" s="67"/>
      <c r="G254" s="67"/>
      <c r="J254" s="67"/>
      <c r="K254" s="67"/>
      <c r="L254" s="67"/>
    </row>
    <row r="255" spans="1:17" ht="15.75">
      <c r="A255">
        <v>8</v>
      </c>
      <c r="C255" s="7" t="s">
        <v>34</v>
      </c>
      <c r="D255" s="7" t="s">
        <v>35</v>
      </c>
      <c r="E255" t="s">
        <v>36</v>
      </c>
      <c r="G255" s="89" t="s">
        <v>131</v>
      </c>
      <c r="H255" s="90"/>
      <c r="I255" s="90"/>
      <c r="J255" s="91"/>
      <c r="K255" s="90"/>
      <c r="L255" s="105"/>
      <c r="M255" s="90"/>
      <c r="N255" s="90"/>
      <c r="O255" s="91"/>
      <c r="P255" s="236"/>
      <c r="Q255" s="67"/>
    </row>
    <row r="256" spans="1:17" ht="16.5" thickBot="1">
      <c r="A256">
        <v>9</v>
      </c>
      <c r="B256" t="s">
        <v>37</v>
      </c>
      <c r="C256" s="7" t="s">
        <v>38</v>
      </c>
      <c r="D256" s="7" t="s">
        <v>39</v>
      </c>
      <c r="E256" s="7" t="s">
        <v>5</v>
      </c>
      <c r="F256" s="7" t="s">
        <v>7</v>
      </c>
      <c r="G256" s="66" t="str">
        <f>B258</f>
        <v>Schedule "L"</v>
      </c>
      <c r="H256" s="67"/>
      <c r="I256" s="67"/>
      <c r="J256" s="92"/>
      <c r="K256" s="67"/>
      <c r="L256" s="68"/>
      <c r="M256" s="67"/>
      <c r="N256" s="67"/>
      <c r="O256" s="92"/>
      <c r="P256" s="235"/>
      <c r="Q256" s="67"/>
    </row>
    <row r="257" spans="1:17" ht="15.75">
      <c r="A257">
        <v>10</v>
      </c>
      <c r="B257" s="8" t="s">
        <v>40</v>
      </c>
      <c r="C257" s="8" t="s">
        <v>40</v>
      </c>
      <c r="D257" s="8" t="s">
        <v>40</v>
      </c>
      <c r="E257" s="8" t="s">
        <v>40</v>
      </c>
      <c r="F257" s="8" t="s">
        <v>40</v>
      </c>
      <c r="G257" s="68"/>
      <c r="H257" s="69" t="s">
        <v>102</v>
      </c>
      <c r="I257" s="272" t="s">
        <v>103</v>
      </c>
      <c r="J257" s="276"/>
      <c r="K257" s="238" t="s">
        <v>186</v>
      </c>
      <c r="L257" s="279" t="s">
        <v>104</v>
      </c>
      <c r="M257" s="275"/>
      <c r="N257" s="93" t="s">
        <v>129</v>
      </c>
      <c r="O257" s="93" t="s">
        <v>105</v>
      </c>
      <c r="P257" s="238" t="s">
        <v>104</v>
      </c>
      <c r="Q257" s="67"/>
    </row>
    <row r="258" spans="1:17" ht="15.75">
      <c r="A258">
        <v>11</v>
      </c>
      <c r="B258" t="s">
        <v>57</v>
      </c>
      <c r="G258" s="110"/>
      <c r="H258" s="72" t="s">
        <v>106</v>
      </c>
      <c r="I258" s="73" t="s">
        <v>107</v>
      </c>
      <c r="J258" s="127" t="s">
        <v>108</v>
      </c>
      <c r="K258" s="239" t="s">
        <v>187</v>
      </c>
      <c r="L258" s="106" t="s">
        <v>107</v>
      </c>
      <c r="M258" s="74" t="s">
        <v>108</v>
      </c>
      <c r="N258" s="94" t="s">
        <v>109</v>
      </c>
      <c r="O258" s="94" t="s">
        <v>109</v>
      </c>
      <c r="P258" s="239" t="s">
        <v>187</v>
      </c>
      <c r="Q258" s="67"/>
    </row>
    <row r="259" spans="1:17" ht="16.5" thickBot="1">
      <c r="A259">
        <v>12</v>
      </c>
      <c r="G259" s="68"/>
      <c r="H259" s="75" t="s">
        <v>110</v>
      </c>
      <c r="I259" s="75" t="s">
        <v>111</v>
      </c>
      <c r="J259" s="128" t="s">
        <v>112</v>
      </c>
      <c r="K259" s="240" t="s">
        <v>188</v>
      </c>
      <c r="L259" s="107" t="s">
        <v>113</v>
      </c>
      <c r="M259" s="76" t="s">
        <v>114</v>
      </c>
      <c r="N259" s="138" t="s">
        <v>115</v>
      </c>
      <c r="O259" s="95" t="s">
        <v>130</v>
      </c>
      <c r="P259" s="240" t="s">
        <v>188</v>
      </c>
      <c r="Q259" s="67"/>
    </row>
    <row r="260" spans="1:17" ht="15.75">
      <c r="A260">
        <v>13</v>
      </c>
      <c r="B260" t="s">
        <v>12</v>
      </c>
      <c r="D260" s="6"/>
      <c r="E260" s="62">
        <f>BB42</f>
        <v>5.4</v>
      </c>
      <c r="F260" s="1">
        <f>BE42</f>
        <v>1101003.7200000002</v>
      </c>
      <c r="G260" s="68" t="s">
        <v>21</v>
      </c>
      <c r="H260" s="77">
        <f>C261</f>
        <v>1377</v>
      </c>
      <c r="I260" s="78">
        <v>0</v>
      </c>
      <c r="J260" s="129">
        <f>H260*I260</f>
        <v>0</v>
      </c>
      <c r="K260" s="79"/>
      <c r="L260" s="108">
        <f>I260</f>
        <v>0</v>
      </c>
      <c r="M260" s="80">
        <f>L260*H260</f>
        <v>0</v>
      </c>
      <c r="N260" s="80">
        <f>M260-J260</f>
        <v>0</v>
      </c>
      <c r="O260" s="92"/>
      <c r="P260" s="235"/>
      <c r="Q260" s="67"/>
    </row>
    <row r="261" spans="1:20" ht="15.75">
      <c r="A261">
        <v>15</v>
      </c>
      <c r="B261" t="s">
        <v>13</v>
      </c>
      <c r="C261" s="2">
        <f>BC43</f>
        <v>1377</v>
      </c>
      <c r="D261" s="2">
        <f>BD43</f>
        <v>54768922</v>
      </c>
      <c r="E261" s="63">
        <f>BB43</f>
        <v>0.05126</v>
      </c>
      <c r="F261" s="1">
        <f>BE43</f>
        <v>2854109</v>
      </c>
      <c r="G261" s="68" t="s">
        <v>116</v>
      </c>
      <c r="H261" s="81">
        <f>D261</f>
        <v>54768922</v>
      </c>
      <c r="I261" s="111">
        <f>E261</f>
        <v>0.05126</v>
      </c>
      <c r="J261" s="129">
        <f>H261*I261</f>
        <v>2807454.94172</v>
      </c>
      <c r="K261" s="266">
        <f>J261/$J$264</f>
        <v>0.7183022730179809</v>
      </c>
      <c r="L261" s="109">
        <f>I261+Q383</f>
        <v>0.055234275618826566</v>
      </c>
      <c r="M261" s="80">
        <f>L261*H261</f>
        <v>3025121.7330940138</v>
      </c>
      <c r="N261" s="80">
        <f>M261-J261</f>
        <v>217666.79137401376</v>
      </c>
      <c r="O261" s="92"/>
      <c r="P261" s="246">
        <f>M261/$M$264</f>
        <v>0.7331627606371811</v>
      </c>
      <c r="Q261" s="81">
        <f>H261</f>
        <v>54768922</v>
      </c>
      <c r="T261" s="24">
        <f>N261</f>
        <v>217666.79137401376</v>
      </c>
    </row>
    <row r="262" spans="1:18" ht="15.75">
      <c r="A262">
        <v>16</v>
      </c>
      <c r="B262" t="s">
        <v>16</v>
      </c>
      <c r="D262" s="2"/>
      <c r="F262" s="1">
        <f>BE44</f>
        <v>450555.87000000005</v>
      </c>
      <c r="G262" s="112" t="s">
        <v>126</v>
      </c>
      <c r="H262" s="113">
        <v>203889.6296</v>
      </c>
      <c r="I262" s="114">
        <f>E260</f>
        <v>5.4</v>
      </c>
      <c r="J262" s="129">
        <f>H262*I262</f>
        <v>1101003.99984</v>
      </c>
      <c r="K262" s="266">
        <f>J262/$J$264</f>
        <v>0.281697726982019</v>
      </c>
      <c r="L262" s="198">
        <f>I262</f>
        <v>5.4</v>
      </c>
      <c r="M262" s="80">
        <f>L262*H262</f>
        <v>1101003.99984</v>
      </c>
      <c r="N262" s="80">
        <f>M262-J262</f>
        <v>0</v>
      </c>
      <c r="O262" s="92"/>
      <c r="P262" s="246">
        <f>M262/$M$264</f>
        <v>0.2668372393628189</v>
      </c>
      <c r="Q262" s="67"/>
      <c r="R262" s="28">
        <f>N262</f>
        <v>0</v>
      </c>
    </row>
    <row r="263" spans="1:17" ht="16.5" thickBot="1">
      <c r="A263">
        <v>17</v>
      </c>
      <c r="B263" t="s">
        <v>99</v>
      </c>
      <c r="D263" s="2"/>
      <c r="F263" s="1">
        <f>BE45</f>
        <v>287901.57</v>
      </c>
      <c r="G263" s="68" t="s">
        <v>117</v>
      </c>
      <c r="H263" s="67"/>
      <c r="I263" s="67"/>
      <c r="J263" s="218">
        <v>0</v>
      </c>
      <c r="K263" s="267"/>
      <c r="L263" s="68"/>
      <c r="M263" s="118">
        <f>J263</f>
        <v>0</v>
      </c>
      <c r="N263" s="146">
        <f>M263-J263</f>
        <v>0</v>
      </c>
      <c r="O263" s="92"/>
      <c r="P263" s="249"/>
      <c r="Q263" s="67"/>
    </row>
    <row r="264" spans="1:17" ht="16.5" thickBot="1">
      <c r="A264">
        <v>18</v>
      </c>
      <c r="B264" t="s">
        <v>17</v>
      </c>
      <c r="D264" s="2"/>
      <c r="F264" s="1">
        <f>SUM(F260:F263)</f>
        <v>4693570.16</v>
      </c>
      <c r="G264" s="68" t="s">
        <v>118</v>
      </c>
      <c r="H264" s="67"/>
      <c r="I264" s="67"/>
      <c r="J264" s="129">
        <f>SUM(J260:J263)</f>
        <v>3908458.94156</v>
      </c>
      <c r="K264" s="262">
        <f>K261+K262</f>
        <v>0.9999999999999999</v>
      </c>
      <c r="L264" s="68"/>
      <c r="M264" s="84">
        <f>SUM(M260:M263)</f>
        <v>4126125.732934014</v>
      </c>
      <c r="N264" s="84">
        <f>SUM(N260:N263)</f>
        <v>217666.79137401376</v>
      </c>
      <c r="O264" s="120"/>
      <c r="P264" s="248">
        <f>P261+P262</f>
        <v>1</v>
      </c>
      <c r="Q264" s="67"/>
    </row>
    <row r="265" spans="7:17" ht="15.75">
      <c r="G265" s="68" t="s">
        <v>119</v>
      </c>
      <c r="H265" s="67"/>
      <c r="I265" s="67"/>
      <c r="J265" s="129">
        <f>F262</f>
        <v>450555.87000000005</v>
      </c>
      <c r="K265" s="79"/>
      <c r="L265" s="68"/>
      <c r="M265" s="84">
        <f>J265</f>
        <v>450555.87000000005</v>
      </c>
      <c r="N265" s="84">
        <f>L265</f>
        <v>0</v>
      </c>
      <c r="O265" s="96"/>
      <c r="P265" s="236"/>
      <c r="Q265" s="67"/>
    </row>
    <row r="266" spans="7:17" ht="15.75">
      <c r="G266" s="68" t="s">
        <v>120</v>
      </c>
      <c r="H266" s="67"/>
      <c r="I266" s="67"/>
      <c r="J266" s="219">
        <f>F263</f>
        <v>287901.57</v>
      </c>
      <c r="K266" s="79"/>
      <c r="L266" s="68"/>
      <c r="M266" s="119">
        <f>J266</f>
        <v>287901.57</v>
      </c>
      <c r="N266" s="119">
        <f>L266</f>
        <v>0</v>
      </c>
      <c r="O266" s="92"/>
      <c r="P266" s="235"/>
      <c r="Q266" s="67"/>
    </row>
    <row r="267" spans="1:17" ht="15.75">
      <c r="A267">
        <v>1</v>
      </c>
      <c r="G267" s="68" t="s">
        <v>122</v>
      </c>
      <c r="H267" s="67"/>
      <c r="I267" s="67"/>
      <c r="J267" s="120">
        <f>J264+J265+J266</f>
        <v>4646916.381560001</v>
      </c>
      <c r="K267" s="84"/>
      <c r="L267" s="68"/>
      <c r="M267" s="84">
        <f>M264+M265+M266</f>
        <v>4864583.172934014</v>
      </c>
      <c r="N267" s="84">
        <f>N264+N265+N266</f>
        <v>217666.79137401376</v>
      </c>
      <c r="O267" s="120"/>
      <c r="P267" s="235"/>
      <c r="Q267" s="67"/>
    </row>
    <row r="268" spans="1:17" ht="15.75">
      <c r="A268">
        <v>2</v>
      </c>
      <c r="C268" t="str">
        <f>$C$93</f>
        <v>        CLARK ENERGY COOPERATIVE, INC.</v>
      </c>
      <c r="G268" s="68" t="s">
        <v>127</v>
      </c>
      <c r="H268" s="81"/>
      <c r="I268" s="67"/>
      <c r="J268" s="129">
        <f>J267/H260</f>
        <v>3374.6669437618016</v>
      </c>
      <c r="K268" s="79"/>
      <c r="L268" s="68"/>
      <c r="M268" s="79">
        <f>M267/H260</f>
        <v>3532.7401401118477</v>
      </c>
      <c r="N268" s="79">
        <f>M268-J268</f>
        <v>158.07319635004615</v>
      </c>
      <c r="O268" s="120"/>
      <c r="P268" s="235"/>
      <c r="Q268" s="67"/>
    </row>
    <row r="269" spans="1:17" ht="16.5" thickBot="1">
      <c r="A269">
        <v>3</v>
      </c>
      <c r="D269" t="s">
        <v>33</v>
      </c>
      <c r="G269" s="86" t="s">
        <v>105</v>
      </c>
      <c r="H269" s="103"/>
      <c r="I269" s="87"/>
      <c r="J269" s="97"/>
      <c r="K269" s="87"/>
      <c r="L269" s="86"/>
      <c r="M269" s="103"/>
      <c r="N269" s="103"/>
      <c r="O269" s="123">
        <f>M267/J267-1</f>
        <v>0.046841125060430144</v>
      </c>
      <c r="P269" s="237"/>
      <c r="Q269" s="67"/>
    </row>
    <row r="270" spans="1:17" ht="15.75">
      <c r="A270">
        <v>4</v>
      </c>
      <c r="C270" t="str">
        <f>C95</f>
        <v>      TEST YEAR ENDING SEPTEMBER 30, 2006</v>
      </c>
      <c r="F270" s="67"/>
      <c r="G270" s="67"/>
      <c r="J270" s="67"/>
      <c r="K270" s="67"/>
      <c r="L270" s="67"/>
      <c r="P270" s="269" t="s">
        <v>192</v>
      </c>
      <c r="Q270" s="67"/>
    </row>
    <row r="271" spans="1:17" ht="15.75">
      <c r="A271">
        <v>5</v>
      </c>
      <c r="F271" s="67"/>
      <c r="G271" s="67"/>
      <c r="J271" s="67"/>
      <c r="K271" s="67"/>
      <c r="L271" s="67"/>
      <c r="P271" s="269" t="s">
        <v>194</v>
      </c>
      <c r="Q271" s="67"/>
    </row>
    <row r="272" spans="1:17" ht="15.75">
      <c r="A272">
        <v>6</v>
      </c>
      <c r="F272" s="67"/>
      <c r="G272" s="67"/>
      <c r="J272" s="67"/>
      <c r="K272" s="67"/>
      <c r="L272" s="67"/>
      <c r="P272" s="269" t="s">
        <v>197</v>
      </c>
      <c r="Q272" s="67"/>
    </row>
    <row r="273" spans="1:12" ht="16.5" thickBot="1">
      <c r="A273">
        <v>7</v>
      </c>
      <c r="F273" s="67"/>
      <c r="G273" s="67"/>
      <c r="J273" s="67"/>
      <c r="K273" s="67"/>
      <c r="L273" s="67"/>
    </row>
    <row r="274" spans="1:17" ht="15.75">
      <c r="A274">
        <v>8</v>
      </c>
      <c r="C274" s="7" t="s">
        <v>34</v>
      </c>
      <c r="D274" s="7" t="s">
        <v>35</v>
      </c>
      <c r="E274" t="s">
        <v>36</v>
      </c>
      <c r="G274" s="89" t="s">
        <v>131</v>
      </c>
      <c r="H274" s="90"/>
      <c r="I274" s="90"/>
      <c r="J274" s="91"/>
      <c r="K274" s="90"/>
      <c r="L274" s="105"/>
      <c r="M274" s="90"/>
      <c r="N274" s="90"/>
      <c r="O274" s="91"/>
      <c r="P274" s="236"/>
      <c r="Q274" s="67"/>
    </row>
    <row r="275" spans="1:17" ht="16.5" thickBot="1">
      <c r="A275">
        <v>9</v>
      </c>
      <c r="B275" t="s">
        <v>37</v>
      </c>
      <c r="C275" s="7" t="s">
        <v>38</v>
      </c>
      <c r="D275" s="7" t="s">
        <v>39</v>
      </c>
      <c r="E275" s="7" t="s">
        <v>5</v>
      </c>
      <c r="F275" s="7" t="s">
        <v>7</v>
      </c>
      <c r="G275" s="66" t="str">
        <f>B277</f>
        <v>Schedule "P"</v>
      </c>
      <c r="H275" s="67"/>
      <c r="I275" s="67"/>
      <c r="J275" s="92"/>
      <c r="K275" s="67"/>
      <c r="L275" s="68"/>
      <c r="M275" s="67"/>
      <c r="N275" s="67"/>
      <c r="O275" s="92"/>
      <c r="P275" s="235"/>
      <c r="Q275" s="67"/>
    </row>
    <row r="276" spans="1:17" ht="15.75">
      <c r="A276">
        <v>10</v>
      </c>
      <c r="B276" s="8" t="s">
        <v>40</v>
      </c>
      <c r="C276" s="8" t="s">
        <v>40</v>
      </c>
      <c r="D276" s="8" t="s">
        <v>40</v>
      </c>
      <c r="E276" s="8" t="s">
        <v>40</v>
      </c>
      <c r="F276" s="8" t="s">
        <v>40</v>
      </c>
      <c r="G276" s="68"/>
      <c r="H276" s="69" t="s">
        <v>102</v>
      </c>
      <c r="I276" s="272" t="s">
        <v>103</v>
      </c>
      <c r="J276" s="276"/>
      <c r="K276" s="238" t="s">
        <v>186</v>
      </c>
      <c r="L276" s="279" t="s">
        <v>104</v>
      </c>
      <c r="M276" s="275"/>
      <c r="N276" s="93" t="s">
        <v>129</v>
      </c>
      <c r="O276" s="93" t="s">
        <v>105</v>
      </c>
      <c r="P276" s="238" t="s">
        <v>104</v>
      </c>
      <c r="Q276" s="67"/>
    </row>
    <row r="277" spans="1:17" ht="15.75">
      <c r="A277">
        <v>11</v>
      </c>
      <c r="B277" t="s">
        <v>58</v>
      </c>
      <c r="G277" s="110"/>
      <c r="H277" s="72" t="s">
        <v>106</v>
      </c>
      <c r="I277" s="73" t="s">
        <v>107</v>
      </c>
      <c r="J277" s="127" t="s">
        <v>108</v>
      </c>
      <c r="K277" s="239" t="s">
        <v>187</v>
      </c>
      <c r="L277" s="106" t="s">
        <v>107</v>
      </c>
      <c r="M277" s="74" t="s">
        <v>108</v>
      </c>
      <c r="N277" s="94" t="s">
        <v>109</v>
      </c>
      <c r="O277" s="94" t="s">
        <v>109</v>
      </c>
      <c r="P277" s="239" t="s">
        <v>187</v>
      </c>
      <c r="Q277" s="67"/>
    </row>
    <row r="278" spans="1:17" ht="16.5" thickBot="1">
      <c r="A278">
        <v>12</v>
      </c>
      <c r="G278" s="68"/>
      <c r="H278" s="75" t="s">
        <v>110</v>
      </c>
      <c r="I278" s="75" t="s">
        <v>111</v>
      </c>
      <c r="J278" s="128" t="s">
        <v>112</v>
      </c>
      <c r="K278" s="240" t="s">
        <v>188</v>
      </c>
      <c r="L278" s="107" t="s">
        <v>113</v>
      </c>
      <c r="M278" s="76" t="s">
        <v>114</v>
      </c>
      <c r="N278" s="138" t="s">
        <v>115</v>
      </c>
      <c r="O278" s="95" t="s">
        <v>130</v>
      </c>
      <c r="P278" s="240" t="s">
        <v>188</v>
      </c>
      <c r="Q278" s="67"/>
    </row>
    <row r="279" spans="1:17" ht="15.75">
      <c r="A279">
        <v>13</v>
      </c>
      <c r="B279" t="s">
        <v>12</v>
      </c>
      <c r="D279" s="2"/>
      <c r="E279" s="62">
        <f>BB49</f>
        <v>5.4</v>
      </c>
      <c r="F279" s="44">
        <f>BE49</f>
        <v>156119.49000000002</v>
      </c>
      <c r="G279" s="68" t="s">
        <v>21</v>
      </c>
      <c r="H279" s="77">
        <f>C280</f>
        <v>38</v>
      </c>
      <c r="I279" s="78">
        <v>0</v>
      </c>
      <c r="J279" s="129">
        <f>H279*I279</f>
        <v>0</v>
      </c>
      <c r="K279" s="79"/>
      <c r="L279" s="108">
        <f>I279</f>
        <v>0</v>
      </c>
      <c r="M279" s="80">
        <f>L279*H279</f>
        <v>0</v>
      </c>
      <c r="N279" s="80">
        <f>M279-J279</f>
        <v>0</v>
      </c>
      <c r="O279" s="92"/>
      <c r="P279" s="235"/>
      <c r="Q279" s="67"/>
    </row>
    <row r="280" spans="1:20" ht="15.75">
      <c r="A280">
        <v>14</v>
      </c>
      <c r="B280" t="s">
        <v>13</v>
      </c>
      <c r="C280" s="10">
        <f>BC50</f>
        <v>38</v>
      </c>
      <c r="D280" s="10">
        <f>BD50</f>
        <v>9152900</v>
      </c>
      <c r="E280" s="63">
        <f>BB50</f>
        <v>0.04312</v>
      </c>
      <c r="F280" s="44">
        <f>BE50</f>
        <v>408639</v>
      </c>
      <c r="G280" s="68" t="s">
        <v>116</v>
      </c>
      <c r="H280" s="81">
        <f>D280</f>
        <v>9152900</v>
      </c>
      <c r="I280" s="111">
        <f>E280</f>
        <v>0.04312</v>
      </c>
      <c r="J280" s="129">
        <f>H280*I280</f>
        <v>394673.048</v>
      </c>
      <c r="K280" s="266">
        <f>J280/$J$283</f>
        <v>0.7165554577874329</v>
      </c>
      <c r="L280" s="109">
        <f>I280+Q383</f>
        <v>0.047094275618826564</v>
      </c>
      <c r="M280" s="80">
        <f>L280*H280</f>
        <v>431049.1953115577</v>
      </c>
      <c r="N280" s="80">
        <f>M280-J280</f>
        <v>36376.14731155767</v>
      </c>
      <c r="O280" s="92"/>
      <c r="P280" s="246">
        <f>M280/$M$283</f>
        <v>0.7341153673788726</v>
      </c>
      <c r="Q280" s="81">
        <f>H280</f>
        <v>9152900</v>
      </c>
      <c r="T280" s="24">
        <f>N280</f>
        <v>36376.14731155767</v>
      </c>
    </row>
    <row r="281" spans="1:18" ht="15.75">
      <c r="A281">
        <v>15</v>
      </c>
      <c r="B281" t="s">
        <v>16</v>
      </c>
      <c r="D281" s="2"/>
      <c r="F281" s="44">
        <f>BE51</f>
        <v>75970.56</v>
      </c>
      <c r="G281" s="112" t="s">
        <v>126</v>
      </c>
      <c r="H281" s="113">
        <v>28910.9259</v>
      </c>
      <c r="I281" s="114">
        <f>E279</f>
        <v>5.4</v>
      </c>
      <c r="J281" s="129">
        <f>H281*I281</f>
        <v>156118.99986</v>
      </c>
      <c r="K281" s="266">
        <f>J281/$J$283</f>
        <v>0.283444542212567</v>
      </c>
      <c r="L281" s="198">
        <f>I281</f>
        <v>5.4</v>
      </c>
      <c r="M281" s="80">
        <f>L281*H281</f>
        <v>156118.99986</v>
      </c>
      <c r="N281" s="80">
        <f>M281-J281</f>
        <v>0</v>
      </c>
      <c r="O281" s="92"/>
      <c r="P281" s="246">
        <f>M281/$M$283</f>
        <v>0.2658846326211273</v>
      </c>
      <c r="Q281" s="67"/>
      <c r="R281" s="28">
        <f>N281</f>
        <v>0</v>
      </c>
    </row>
    <row r="282" spans="1:17" ht="16.5" thickBot="1">
      <c r="A282">
        <v>16</v>
      </c>
      <c r="B282" t="s">
        <v>99</v>
      </c>
      <c r="D282" s="2"/>
      <c r="E282" s="4"/>
      <c r="F282" s="44">
        <f>BE52</f>
        <v>42831.299999999996</v>
      </c>
      <c r="G282" s="68" t="s">
        <v>117</v>
      </c>
      <c r="H282" s="67"/>
      <c r="I282" s="67"/>
      <c r="J282" s="218">
        <v>0</v>
      </c>
      <c r="K282" s="267"/>
      <c r="L282" s="68"/>
      <c r="M282" s="118">
        <f>J282</f>
        <v>0</v>
      </c>
      <c r="N282" s="146">
        <f>M282-J282</f>
        <v>0</v>
      </c>
      <c r="O282" s="92"/>
      <c r="P282" s="246"/>
      <c r="Q282" s="67"/>
    </row>
    <row r="283" spans="1:17" ht="16.5" thickBot="1">
      <c r="A283">
        <v>17</v>
      </c>
      <c r="B283" t="s">
        <v>17</v>
      </c>
      <c r="D283" s="2"/>
      <c r="E283" s="4"/>
      <c r="F283" s="1">
        <f>SUM(F279:F282)</f>
        <v>683560.3500000001</v>
      </c>
      <c r="G283" s="68" t="s">
        <v>118</v>
      </c>
      <c r="H283" s="67"/>
      <c r="I283" s="67"/>
      <c r="J283" s="129">
        <f>SUM(J279:J282)</f>
        <v>550792.04786</v>
      </c>
      <c r="K283" s="262">
        <f>K280+K281</f>
        <v>0.9999999999999999</v>
      </c>
      <c r="L283" s="68"/>
      <c r="M283" s="84">
        <f>SUM(M279:M282)</f>
        <v>587168.1951715577</v>
      </c>
      <c r="N283" s="84">
        <f>SUM(N279:N282)</f>
        <v>36376.14731155767</v>
      </c>
      <c r="O283" s="120"/>
      <c r="P283" s="262">
        <f>P280+P281</f>
        <v>1</v>
      </c>
      <c r="Q283" s="67"/>
    </row>
    <row r="284" spans="7:17" ht="15.75">
      <c r="G284" s="68" t="s">
        <v>119</v>
      </c>
      <c r="H284" s="67"/>
      <c r="I284" s="67"/>
      <c r="J284" s="129">
        <f>F281</f>
        <v>75970.56</v>
      </c>
      <c r="K284" s="79"/>
      <c r="L284" s="68"/>
      <c r="M284" s="84">
        <f>J284</f>
        <v>75970.56</v>
      </c>
      <c r="N284" s="84">
        <f>L284</f>
        <v>0</v>
      </c>
      <c r="O284" s="96"/>
      <c r="P284" s="235"/>
      <c r="Q284" s="67"/>
    </row>
    <row r="285" spans="7:17" ht="15.75">
      <c r="G285" s="68" t="s">
        <v>120</v>
      </c>
      <c r="H285" s="67"/>
      <c r="I285" s="67"/>
      <c r="J285" s="219">
        <f>F282</f>
        <v>42831.299999999996</v>
      </c>
      <c r="K285" s="79"/>
      <c r="L285" s="68"/>
      <c r="M285" s="119">
        <f>J285</f>
        <v>42831.299999999996</v>
      </c>
      <c r="N285" s="119">
        <f>L285</f>
        <v>0</v>
      </c>
      <c r="O285" s="92"/>
      <c r="P285" s="235"/>
      <c r="Q285" s="67"/>
    </row>
    <row r="286" spans="1:17" ht="15.75">
      <c r="A286">
        <v>1</v>
      </c>
      <c r="G286" s="68" t="s">
        <v>122</v>
      </c>
      <c r="H286" s="67"/>
      <c r="I286" s="67"/>
      <c r="J286" s="120">
        <f>J283+J284+J285</f>
        <v>669593.9078600002</v>
      </c>
      <c r="K286" s="84"/>
      <c r="L286" s="68"/>
      <c r="M286" s="84">
        <f>M283+M284+M285</f>
        <v>705970.0551715577</v>
      </c>
      <c r="N286" s="84">
        <f>N283+N284+N285</f>
        <v>36376.14731155767</v>
      </c>
      <c r="O286" s="120"/>
      <c r="P286" s="235"/>
      <c r="Q286" s="67"/>
    </row>
    <row r="287" spans="1:17" ht="15.75">
      <c r="A287">
        <v>2</v>
      </c>
      <c r="C287" t="str">
        <f>$C$93</f>
        <v>        CLARK ENERGY COOPERATIVE, INC.</v>
      </c>
      <c r="G287" s="68" t="s">
        <v>127</v>
      </c>
      <c r="H287" s="81"/>
      <c r="I287" s="67"/>
      <c r="J287" s="220">
        <f>J286/H279</f>
        <v>17620.89231210527</v>
      </c>
      <c r="K287" s="232"/>
      <c r="L287" s="68"/>
      <c r="M287" s="81">
        <f>M286/H279</f>
        <v>18578.15934661994</v>
      </c>
      <c r="N287" s="81">
        <f>M287-J287</f>
        <v>957.2670345146726</v>
      </c>
      <c r="O287" s="120"/>
      <c r="P287" s="235"/>
      <c r="Q287" s="67"/>
    </row>
    <row r="288" spans="1:17" ht="16.5" thickBot="1">
      <c r="A288">
        <v>3</v>
      </c>
      <c r="D288" t="s">
        <v>33</v>
      </c>
      <c r="G288" s="86" t="s">
        <v>105</v>
      </c>
      <c r="H288" s="103"/>
      <c r="I288" s="87"/>
      <c r="J288" s="97"/>
      <c r="K288" s="87"/>
      <c r="L288" s="86"/>
      <c r="M288" s="103"/>
      <c r="N288" s="103"/>
      <c r="O288" s="123">
        <f>M286/J286-1</f>
        <v>0.054325684395508445</v>
      </c>
      <c r="P288" s="237"/>
      <c r="Q288" s="67"/>
    </row>
    <row r="289" spans="1:12" ht="15.75">
      <c r="A289">
        <v>4</v>
      </c>
      <c r="C289" t="str">
        <f>C95</f>
        <v>      TEST YEAR ENDING SEPTEMBER 30, 2006</v>
      </c>
      <c r="F289" s="67"/>
      <c r="G289" s="67"/>
      <c r="J289" s="67"/>
      <c r="K289" s="67"/>
      <c r="L289" s="67"/>
    </row>
    <row r="290" spans="1:12" ht="15.75">
      <c r="A290">
        <v>5</v>
      </c>
      <c r="F290" s="67"/>
      <c r="G290" s="67"/>
      <c r="J290" s="67"/>
      <c r="K290" s="67"/>
      <c r="L290" s="67"/>
    </row>
    <row r="291" spans="1:12" ht="15.75">
      <c r="A291">
        <v>6</v>
      </c>
      <c r="F291" s="67"/>
      <c r="G291" s="67"/>
      <c r="J291" s="67"/>
      <c r="K291" s="67"/>
      <c r="L291" s="67"/>
    </row>
    <row r="292" spans="1:12" ht="16.5" thickBot="1">
      <c r="A292">
        <v>7</v>
      </c>
      <c r="F292" s="67"/>
      <c r="G292" s="67"/>
      <c r="J292" s="67"/>
      <c r="K292" s="67"/>
      <c r="L292" s="67"/>
    </row>
    <row r="293" spans="1:17" ht="15.75">
      <c r="A293">
        <v>8</v>
      </c>
      <c r="C293" s="7" t="s">
        <v>34</v>
      </c>
      <c r="D293" s="7" t="s">
        <v>54</v>
      </c>
      <c r="E293" t="s">
        <v>36</v>
      </c>
      <c r="G293" s="89" t="s">
        <v>131</v>
      </c>
      <c r="H293" s="90"/>
      <c r="I293" s="90"/>
      <c r="J293" s="91"/>
      <c r="K293" s="90"/>
      <c r="L293" s="105"/>
      <c r="M293" s="90"/>
      <c r="N293" s="90"/>
      <c r="O293" s="91"/>
      <c r="P293" s="236"/>
      <c r="Q293" s="67"/>
    </row>
    <row r="294" spans="1:17" ht="16.5" thickBot="1">
      <c r="A294">
        <v>9</v>
      </c>
      <c r="B294" t="s">
        <v>37</v>
      </c>
      <c r="C294" s="7" t="s">
        <v>38</v>
      </c>
      <c r="D294" s="7" t="s">
        <v>39</v>
      </c>
      <c r="E294" s="7" t="s">
        <v>5</v>
      </c>
      <c r="F294" s="7" t="s">
        <v>7</v>
      </c>
      <c r="G294" s="66" t="str">
        <f>B296</f>
        <v>Schedule "H"</v>
      </c>
      <c r="H294" s="67"/>
      <c r="I294" s="67"/>
      <c r="J294" s="92"/>
      <c r="K294" s="67"/>
      <c r="L294" s="68"/>
      <c r="M294" s="67"/>
      <c r="N294" s="67"/>
      <c r="O294" s="92"/>
      <c r="P294" s="235"/>
      <c r="Q294" s="67"/>
    </row>
    <row r="295" spans="1:17" ht="15.75">
      <c r="A295">
        <v>10</v>
      </c>
      <c r="B295" s="8" t="s">
        <v>40</v>
      </c>
      <c r="C295" s="8" t="s">
        <v>40</v>
      </c>
      <c r="D295" s="8" t="s">
        <v>40</v>
      </c>
      <c r="E295" s="8" t="s">
        <v>40</v>
      </c>
      <c r="F295" s="8" t="s">
        <v>40</v>
      </c>
      <c r="G295" s="68"/>
      <c r="H295" s="69" t="s">
        <v>102</v>
      </c>
      <c r="I295" s="272" t="s">
        <v>103</v>
      </c>
      <c r="J295" s="276"/>
      <c r="K295" s="238" t="s">
        <v>186</v>
      </c>
      <c r="L295" s="279" t="s">
        <v>104</v>
      </c>
      <c r="M295" s="275"/>
      <c r="N295" s="93" t="s">
        <v>129</v>
      </c>
      <c r="O295" s="93" t="s">
        <v>105</v>
      </c>
      <c r="P295" s="238" t="s">
        <v>104</v>
      </c>
      <c r="Q295" s="67"/>
    </row>
    <row r="296" spans="1:17" ht="15.75">
      <c r="A296">
        <v>11</v>
      </c>
      <c r="B296" t="s">
        <v>59</v>
      </c>
      <c r="G296" s="110"/>
      <c r="H296" s="72" t="s">
        <v>106</v>
      </c>
      <c r="I296" s="73" t="s">
        <v>107</v>
      </c>
      <c r="J296" s="127" t="s">
        <v>108</v>
      </c>
      <c r="K296" s="239" t="s">
        <v>187</v>
      </c>
      <c r="L296" s="106" t="s">
        <v>107</v>
      </c>
      <c r="M296" s="74" t="s">
        <v>108</v>
      </c>
      <c r="N296" s="94" t="s">
        <v>109</v>
      </c>
      <c r="O296" s="94" t="s">
        <v>109</v>
      </c>
      <c r="P296" s="239" t="s">
        <v>187</v>
      </c>
      <c r="Q296" s="67"/>
    </row>
    <row r="297" spans="1:17" ht="16.5" thickBot="1">
      <c r="A297">
        <v>12</v>
      </c>
      <c r="G297" s="68"/>
      <c r="H297" s="75" t="s">
        <v>110</v>
      </c>
      <c r="I297" s="75" t="s">
        <v>111</v>
      </c>
      <c r="J297" s="128" t="s">
        <v>112</v>
      </c>
      <c r="K297" s="240" t="s">
        <v>188</v>
      </c>
      <c r="L297" s="107" t="s">
        <v>113</v>
      </c>
      <c r="M297" s="76" t="s">
        <v>114</v>
      </c>
      <c r="N297" s="138" t="s">
        <v>115</v>
      </c>
      <c r="O297" s="95" t="s">
        <v>130</v>
      </c>
      <c r="P297" s="240" t="s">
        <v>188</v>
      </c>
      <c r="Q297" s="67"/>
    </row>
    <row r="298" spans="1:17" ht="15.75">
      <c r="A298">
        <v>13</v>
      </c>
      <c r="B298" t="s">
        <v>12</v>
      </c>
      <c r="E298" s="25">
        <v>7.82</v>
      </c>
      <c r="F298" s="25">
        <v>0</v>
      </c>
      <c r="G298" s="68" t="s">
        <v>21</v>
      </c>
      <c r="H298" s="77">
        <f>C299</f>
        <v>0</v>
      </c>
      <c r="I298" s="78">
        <v>0</v>
      </c>
      <c r="J298" s="129">
        <f>H298*I298</f>
        <v>0</v>
      </c>
      <c r="K298" s="79"/>
      <c r="L298" s="108">
        <f>I298</f>
        <v>0</v>
      </c>
      <c r="M298" s="80">
        <f>L298*H298</f>
        <v>0</v>
      </c>
      <c r="N298" s="80"/>
      <c r="O298" s="92"/>
      <c r="P298" s="235"/>
      <c r="Q298" s="67"/>
    </row>
    <row r="299" spans="1:20" ht="15.75">
      <c r="A299">
        <v>14</v>
      </c>
      <c r="B299" t="s">
        <v>13</v>
      </c>
      <c r="C299">
        <v>0</v>
      </c>
      <c r="D299">
        <v>0</v>
      </c>
      <c r="E299" s="60">
        <v>0.04405</v>
      </c>
      <c r="F299" s="25">
        <v>0</v>
      </c>
      <c r="G299" s="68" t="s">
        <v>116</v>
      </c>
      <c r="H299" s="81">
        <f>D299</f>
        <v>0</v>
      </c>
      <c r="I299" s="111">
        <f>E299</f>
        <v>0.04405</v>
      </c>
      <c r="J299" s="129">
        <f>H299*I299</f>
        <v>0</v>
      </c>
      <c r="K299" s="79"/>
      <c r="L299" s="153">
        <f>I299+Q383</f>
        <v>0.048024275618826565</v>
      </c>
      <c r="M299" s="80">
        <f>L299*H299</f>
        <v>0</v>
      </c>
      <c r="N299" s="80"/>
      <c r="O299" s="92"/>
      <c r="P299" s="235"/>
      <c r="Q299" s="81">
        <f>H299</f>
        <v>0</v>
      </c>
      <c r="T299" s="24">
        <f>M299</f>
        <v>0</v>
      </c>
    </row>
    <row r="300" spans="1:17" ht="15.75">
      <c r="A300">
        <v>15</v>
      </c>
      <c r="B300" t="s">
        <v>16</v>
      </c>
      <c r="F300" s="25">
        <v>0</v>
      </c>
      <c r="G300" s="112" t="s">
        <v>126</v>
      </c>
      <c r="H300" s="113">
        <v>0</v>
      </c>
      <c r="I300" s="114">
        <f>E298</f>
        <v>7.82</v>
      </c>
      <c r="J300" s="129">
        <f>H300*I300</f>
        <v>0</v>
      </c>
      <c r="K300" s="79"/>
      <c r="L300" s="116">
        <f>I300</f>
        <v>7.82</v>
      </c>
      <c r="M300" s="80">
        <f>L300*H300</f>
        <v>0</v>
      </c>
      <c r="N300" s="80"/>
      <c r="O300" s="92"/>
      <c r="P300" s="235"/>
      <c r="Q300" s="67"/>
    </row>
    <row r="301" spans="1:17" ht="17.25">
      <c r="A301">
        <v>16</v>
      </c>
      <c r="B301" t="s">
        <v>99</v>
      </c>
      <c r="F301" s="25">
        <v>0</v>
      </c>
      <c r="G301" s="68" t="s">
        <v>117</v>
      </c>
      <c r="H301" s="67"/>
      <c r="I301" s="67"/>
      <c r="J301" s="218">
        <f>F299+F298-J299-J300</f>
        <v>0</v>
      </c>
      <c r="K301" s="231"/>
      <c r="L301" s="68"/>
      <c r="M301" s="83"/>
      <c r="N301" s="85"/>
      <c r="O301" s="92"/>
      <c r="P301" s="235"/>
      <c r="Q301" s="67"/>
    </row>
    <row r="302" spans="1:17" ht="15.75">
      <c r="A302">
        <v>17</v>
      </c>
      <c r="B302" t="s">
        <v>17</v>
      </c>
      <c r="F302" s="25">
        <f>SUM(F298:F301)</f>
        <v>0</v>
      </c>
      <c r="G302" s="68" t="s">
        <v>118</v>
      </c>
      <c r="H302" s="67"/>
      <c r="I302" s="67"/>
      <c r="J302" s="129">
        <f>SUM(J298:J301)</f>
        <v>0</v>
      </c>
      <c r="K302" s="79"/>
      <c r="L302" s="68"/>
      <c r="M302" s="84">
        <f>SUM(M298:M300)</f>
        <v>0</v>
      </c>
      <c r="N302" s="84"/>
      <c r="O302" s="96" t="e">
        <f>(J299+J300)/(M299+M300)-1</f>
        <v>#DIV/0!</v>
      </c>
      <c r="P302" s="235"/>
      <c r="Q302" s="67"/>
    </row>
    <row r="303" spans="7:17" ht="15.75">
      <c r="G303" s="68" t="s">
        <v>119</v>
      </c>
      <c r="H303" s="67"/>
      <c r="I303" s="67"/>
      <c r="J303" s="129">
        <f>F300</f>
        <v>0</v>
      </c>
      <c r="K303" s="79"/>
      <c r="L303" s="68"/>
      <c r="M303" s="84"/>
      <c r="N303" s="84"/>
      <c r="O303" s="92"/>
      <c r="P303" s="235"/>
      <c r="Q303" s="67"/>
    </row>
    <row r="304" spans="7:17" ht="15.75">
      <c r="G304" s="68" t="s">
        <v>120</v>
      </c>
      <c r="H304" s="67"/>
      <c r="I304" s="67"/>
      <c r="J304" s="219">
        <f>F301</f>
        <v>0</v>
      </c>
      <c r="K304" s="79"/>
      <c r="L304" s="68"/>
      <c r="M304" s="84"/>
      <c r="N304" s="84"/>
      <c r="O304" s="92"/>
      <c r="P304" s="235"/>
      <c r="Q304" s="67"/>
    </row>
    <row r="305" spans="1:17" ht="17.25">
      <c r="A305">
        <v>1</v>
      </c>
      <c r="G305" s="68" t="s">
        <v>122</v>
      </c>
      <c r="H305" s="67"/>
      <c r="I305" s="67"/>
      <c r="J305" s="120">
        <f>J302+J303+J304</f>
        <v>0</v>
      </c>
      <c r="K305" s="84"/>
      <c r="L305" s="68"/>
      <c r="M305" s="85"/>
      <c r="N305" s="85"/>
      <c r="O305" s="92"/>
      <c r="P305" s="235"/>
      <c r="Q305" s="67"/>
    </row>
    <row r="306" spans="1:17" ht="15.75">
      <c r="A306">
        <v>2</v>
      </c>
      <c r="C306" t="str">
        <f>$C$93</f>
        <v>        CLARK ENERGY COOPERATIVE, INC.</v>
      </c>
      <c r="G306" s="68"/>
      <c r="H306" s="81"/>
      <c r="I306" s="67"/>
      <c r="J306" s="92"/>
      <c r="K306" s="67"/>
      <c r="L306" s="68"/>
      <c r="M306" s="81"/>
      <c r="N306" s="81"/>
      <c r="O306" s="92"/>
      <c r="P306" s="235"/>
      <c r="Q306" s="67"/>
    </row>
    <row r="307" spans="1:17" ht="16.5" thickBot="1">
      <c r="A307">
        <v>3</v>
      </c>
      <c r="D307" t="s">
        <v>33</v>
      </c>
      <c r="G307" s="86"/>
      <c r="H307" s="103"/>
      <c r="I307" s="87"/>
      <c r="J307" s="97"/>
      <c r="K307" s="87"/>
      <c r="L307" s="86"/>
      <c r="M307" s="103"/>
      <c r="N307" s="103"/>
      <c r="O307" s="97"/>
      <c r="P307" s="237"/>
      <c r="Q307" s="67"/>
    </row>
    <row r="308" spans="1:12" ht="15.75">
      <c r="A308">
        <v>4</v>
      </c>
      <c r="C308" t="str">
        <f>C95</f>
        <v>      TEST YEAR ENDING SEPTEMBER 30, 2006</v>
      </c>
      <c r="F308" s="67"/>
      <c r="G308" s="67"/>
      <c r="J308" s="67"/>
      <c r="K308" s="67"/>
      <c r="L308" s="67"/>
    </row>
    <row r="309" spans="1:12" ht="15.75">
      <c r="A309">
        <v>5</v>
      </c>
      <c r="F309" s="67"/>
      <c r="G309" s="67"/>
      <c r="J309" s="67"/>
      <c r="K309" s="67"/>
      <c r="L309" s="67"/>
    </row>
    <row r="310" spans="1:12" ht="15.75">
      <c r="A310">
        <v>6</v>
      </c>
      <c r="F310" s="67"/>
      <c r="G310" s="67"/>
      <c r="J310" s="67"/>
      <c r="K310" s="67"/>
      <c r="L310" s="67"/>
    </row>
    <row r="311" spans="1:12" ht="16.5" thickBot="1">
      <c r="A311">
        <v>7</v>
      </c>
      <c r="F311" s="67"/>
      <c r="G311" s="67"/>
      <c r="J311" s="67"/>
      <c r="K311" s="67"/>
      <c r="L311" s="67"/>
    </row>
    <row r="312" spans="1:16" ht="15.75">
      <c r="A312">
        <v>8</v>
      </c>
      <c r="C312" s="7" t="s">
        <v>34</v>
      </c>
      <c r="D312" s="7" t="s">
        <v>54</v>
      </c>
      <c r="E312" t="s">
        <v>36</v>
      </c>
      <c r="G312" s="89" t="s">
        <v>131</v>
      </c>
      <c r="H312" s="90"/>
      <c r="I312" s="90"/>
      <c r="J312" s="91"/>
      <c r="K312" s="90"/>
      <c r="L312" s="105"/>
      <c r="M312" s="90"/>
      <c r="N312" s="90"/>
      <c r="O312" s="91"/>
      <c r="P312" s="236"/>
    </row>
    <row r="313" spans="1:16" ht="16.5" thickBot="1">
      <c r="A313">
        <v>9</v>
      </c>
      <c r="B313" t="s">
        <v>37</v>
      </c>
      <c r="C313" s="7" t="s">
        <v>38</v>
      </c>
      <c r="D313" s="7" t="s">
        <v>39</v>
      </c>
      <c r="E313" s="7" t="s">
        <v>5</v>
      </c>
      <c r="F313" s="7" t="s">
        <v>7</v>
      </c>
      <c r="G313" s="66" t="str">
        <f>B315</f>
        <v>Schedule "G"</v>
      </c>
      <c r="H313" s="67"/>
      <c r="I313" s="67"/>
      <c r="J313" s="92"/>
      <c r="K313" s="67"/>
      <c r="L313" s="68"/>
      <c r="M313" s="67"/>
      <c r="N313" s="67"/>
      <c r="O313" s="92"/>
      <c r="P313" s="235"/>
    </row>
    <row r="314" spans="1:16" ht="15.75">
      <c r="A314">
        <v>10</v>
      </c>
      <c r="B314" s="8" t="s">
        <v>40</v>
      </c>
      <c r="C314" s="8" t="s">
        <v>40</v>
      </c>
      <c r="D314" s="8" t="s">
        <v>40</v>
      </c>
      <c r="E314" s="8" t="s">
        <v>40</v>
      </c>
      <c r="F314" s="8" t="s">
        <v>40</v>
      </c>
      <c r="G314" s="68"/>
      <c r="H314" s="69" t="s">
        <v>102</v>
      </c>
      <c r="I314" s="272" t="s">
        <v>103</v>
      </c>
      <c r="J314" s="276"/>
      <c r="K314" s="238" t="s">
        <v>186</v>
      </c>
      <c r="L314" s="279" t="s">
        <v>104</v>
      </c>
      <c r="M314" s="275"/>
      <c r="N314" s="93" t="s">
        <v>129</v>
      </c>
      <c r="O314" s="93" t="s">
        <v>105</v>
      </c>
      <c r="P314" s="238" t="s">
        <v>104</v>
      </c>
    </row>
    <row r="315" spans="1:16" ht="15.75">
      <c r="A315">
        <v>11</v>
      </c>
      <c r="B315" t="s">
        <v>60</v>
      </c>
      <c r="G315" s="110"/>
      <c r="H315" s="72" t="s">
        <v>106</v>
      </c>
      <c r="I315" s="73" t="s">
        <v>107</v>
      </c>
      <c r="J315" s="127" t="s">
        <v>108</v>
      </c>
      <c r="K315" s="239" t="s">
        <v>187</v>
      </c>
      <c r="L315" s="106" t="s">
        <v>107</v>
      </c>
      <c r="M315" s="74" t="s">
        <v>108</v>
      </c>
      <c r="N315" s="94" t="s">
        <v>109</v>
      </c>
      <c r="O315" s="94" t="s">
        <v>109</v>
      </c>
      <c r="P315" s="239" t="s">
        <v>187</v>
      </c>
    </row>
    <row r="316" spans="1:16" ht="16.5" thickBot="1">
      <c r="A316">
        <v>12</v>
      </c>
      <c r="G316" s="68"/>
      <c r="H316" s="75" t="s">
        <v>110</v>
      </c>
      <c r="I316" s="75" t="s">
        <v>111</v>
      </c>
      <c r="J316" s="128" t="s">
        <v>112</v>
      </c>
      <c r="K316" s="240" t="s">
        <v>188</v>
      </c>
      <c r="L316" s="107" t="s">
        <v>113</v>
      </c>
      <c r="M316" s="76" t="s">
        <v>114</v>
      </c>
      <c r="N316" s="138" t="s">
        <v>115</v>
      </c>
      <c r="O316" s="95" t="s">
        <v>130</v>
      </c>
      <c r="P316" s="240" t="s">
        <v>188</v>
      </c>
    </row>
    <row r="317" spans="1:16" ht="15.75">
      <c r="A317">
        <v>13</v>
      </c>
      <c r="B317" t="s">
        <v>12</v>
      </c>
      <c r="E317" s="25">
        <v>7.82</v>
      </c>
      <c r="F317" s="25">
        <v>0</v>
      </c>
      <c r="G317" s="68" t="s">
        <v>21</v>
      </c>
      <c r="H317" s="77">
        <f>C318</f>
        <v>0</v>
      </c>
      <c r="I317" s="78">
        <v>0</v>
      </c>
      <c r="J317" s="129">
        <f>H317*I317</f>
        <v>0</v>
      </c>
      <c r="K317" s="79"/>
      <c r="L317" s="108">
        <f>I317</f>
        <v>0</v>
      </c>
      <c r="M317" s="80">
        <f>L317*H317</f>
        <v>0</v>
      </c>
      <c r="N317" s="80"/>
      <c r="O317" s="92"/>
      <c r="P317" s="236"/>
    </row>
    <row r="318" spans="1:20" ht="15.75">
      <c r="A318">
        <v>14</v>
      </c>
      <c r="B318" t="s">
        <v>13</v>
      </c>
      <c r="C318">
        <v>0</v>
      </c>
      <c r="D318">
        <v>0</v>
      </c>
      <c r="E318" s="60">
        <v>0.04702</v>
      </c>
      <c r="F318" s="25">
        <v>0</v>
      </c>
      <c r="G318" s="68" t="s">
        <v>116</v>
      </c>
      <c r="H318" s="81">
        <f>D318</f>
        <v>0</v>
      </c>
      <c r="I318" s="111">
        <f>E318</f>
        <v>0.04702</v>
      </c>
      <c r="J318" s="129">
        <f>H318*I318</f>
        <v>0</v>
      </c>
      <c r="K318" s="79"/>
      <c r="L318" s="154">
        <f>I318+Q383</f>
        <v>0.050994275618826565</v>
      </c>
      <c r="M318" s="80">
        <f>L318*H318</f>
        <v>0</v>
      </c>
      <c r="N318" s="80"/>
      <c r="O318" s="92"/>
      <c r="P318" s="235"/>
      <c r="Q318" s="199">
        <f>H318</f>
        <v>0</v>
      </c>
      <c r="T318" s="24">
        <f>M318</f>
        <v>0</v>
      </c>
    </row>
    <row r="319" spans="1:16" ht="15.75">
      <c r="A319">
        <v>15</v>
      </c>
      <c r="B319" t="s">
        <v>16</v>
      </c>
      <c r="F319" s="25">
        <v>0</v>
      </c>
      <c r="G319" s="112" t="s">
        <v>126</v>
      </c>
      <c r="H319" s="113">
        <v>0</v>
      </c>
      <c r="I319" s="114">
        <f>E317</f>
        <v>7.82</v>
      </c>
      <c r="J319" s="129">
        <f>H319*I319</f>
        <v>0</v>
      </c>
      <c r="K319" s="79"/>
      <c r="L319" s="198">
        <f>I319</f>
        <v>7.82</v>
      </c>
      <c r="M319" s="80">
        <f>L319*H319</f>
        <v>0</v>
      </c>
      <c r="N319" s="80"/>
      <c r="O319" s="92"/>
      <c r="P319" s="235"/>
    </row>
    <row r="320" spans="1:16" ht="17.25">
      <c r="A320">
        <v>16</v>
      </c>
      <c r="B320" t="s">
        <v>99</v>
      </c>
      <c r="F320" s="25">
        <v>0</v>
      </c>
      <c r="G320" s="68" t="s">
        <v>117</v>
      </c>
      <c r="H320" s="67"/>
      <c r="I320" s="67"/>
      <c r="J320" s="218">
        <f>F318+F317-J318-J319</f>
        <v>0</v>
      </c>
      <c r="K320" s="231"/>
      <c r="L320" s="68"/>
      <c r="M320" s="83"/>
      <c r="N320" s="85"/>
      <c r="O320" s="92"/>
      <c r="P320" s="235"/>
    </row>
    <row r="321" spans="1:16" ht="15.75">
      <c r="A321">
        <v>17</v>
      </c>
      <c r="B321" t="s">
        <v>17</v>
      </c>
      <c r="F321" s="25">
        <f>SUM(F317:F320)</f>
        <v>0</v>
      </c>
      <c r="G321" s="68" t="s">
        <v>118</v>
      </c>
      <c r="H321" s="67"/>
      <c r="I321" s="67"/>
      <c r="J321" s="129">
        <f>SUM(J317:J320)</f>
        <v>0</v>
      </c>
      <c r="K321" s="79"/>
      <c r="L321" s="68"/>
      <c r="M321" s="84">
        <f>SUM(M317:M319)</f>
        <v>0</v>
      </c>
      <c r="N321" s="84"/>
      <c r="O321" s="96" t="e">
        <f>(J318+J319)/(M318+M319)-1</f>
        <v>#DIV/0!</v>
      </c>
      <c r="P321" s="235"/>
    </row>
    <row r="322" spans="7:16" ht="15.75">
      <c r="G322" s="68" t="s">
        <v>119</v>
      </c>
      <c r="H322" s="67"/>
      <c r="I322" s="67"/>
      <c r="J322" s="129">
        <f>F319</f>
        <v>0</v>
      </c>
      <c r="K322" s="79"/>
      <c r="L322" s="68"/>
      <c r="M322" s="84"/>
      <c r="N322" s="84"/>
      <c r="O322" s="92"/>
      <c r="P322" s="235"/>
    </row>
    <row r="323" spans="7:16" ht="15.75">
      <c r="G323" s="68" t="s">
        <v>120</v>
      </c>
      <c r="H323" s="67"/>
      <c r="I323" s="67"/>
      <c r="J323" s="219">
        <f>F320</f>
        <v>0</v>
      </c>
      <c r="K323" s="79"/>
      <c r="L323" s="68"/>
      <c r="M323" s="84"/>
      <c r="N323" s="84"/>
      <c r="O323" s="92"/>
      <c r="P323" s="235"/>
    </row>
    <row r="324" spans="1:16" ht="17.25">
      <c r="A324">
        <v>1</v>
      </c>
      <c r="G324" s="68" t="s">
        <v>122</v>
      </c>
      <c r="H324" s="67"/>
      <c r="I324" s="67"/>
      <c r="J324" s="120">
        <f>J321+J322+J323</f>
        <v>0</v>
      </c>
      <c r="K324" s="84"/>
      <c r="L324" s="68"/>
      <c r="M324" s="85"/>
      <c r="N324" s="85"/>
      <c r="O324" s="92"/>
      <c r="P324" s="235"/>
    </row>
    <row r="325" spans="1:16" ht="15.75">
      <c r="A325">
        <v>2</v>
      </c>
      <c r="C325" t="str">
        <f>$C$93</f>
        <v>        CLARK ENERGY COOPERATIVE, INC.</v>
      </c>
      <c r="G325" s="68"/>
      <c r="H325" s="81"/>
      <c r="I325" s="67"/>
      <c r="J325" s="92"/>
      <c r="K325" s="67"/>
      <c r="L325" s="68"/>
      <c r="M325" s="81"/>
      <c r="N325" s="81"/>
      <c r="O325" s="92"/>
      <c r="P325" s="235"/>
    </row>
    <row r="326" spans="1:16" ht="16.5" thickBot="1">
      <c r="A326">
        <v>3</v>
      </c>
      <c r="D326" t="s">
        <v>33</v>
      </c>
      <c r="G326" s="86"/>
      <c r="H326" s="103"/>
      <c r="I326" s="87"/>
      <c r="J326" s="97"/>
      <c r="K326" s="87"/>
      <c r="L326" s="86"/>
      <c r="M326" s="103"/>
      <c r="N326" s="103"/>
      <c r="O326" s="97"/>
      <c r="P326" s="237"/>
    </row>
    <row r="327" spans="1:17" ht="15.75">
      <c r="A327">
        <v>4</v>
      </c>
      <c r="C327" t="str">
        <f>C95</f>
        <v>      TEST YEAR ENDING SEPTEMBER 30, 2006</v>
      </c>
      <c r="F327" s="67"/>
      <c r="G327" s="67"/>
      <c r="J327" s="67"/>
      <c r="K327" s="67"/>
      <c r="L327" s="67"/>
      <c r="P327" s="269" t="s">
        <v>192</v>
      </c>
      <c r="Q327" s="67"/>
    </row>
    <row r="328" spans="1:17" ht="15.75">
      <c r="A328">
        <v>5</v>
      </c>
      <c r="F328" s="67"/>
      <c r="G328" s="67"/>
      <c r="J328" s="67"/>
      <c r="K328" s="67"/>
      <c r="L328" s="67"/>
      <c r="P328" s="269" t="s">
        <v>194</v>
      </c>
      <c r="Q328" s="67"/>
    </row>
    <row r="329" spans="1:17" ht="15.75">
      <c r="A329">
        <v>6</v>
      </c>
      <c r="F329" s="67"/>
      <c r="G329" s="67"/>
      <c r="J329" s="67"/>
      <c r="K329" s="67"/>
      <c r="L329" s="67"/>
      <c r="P329" s="269" t="s">
        <v>198</v>
      </c>
      <c r="Q329" s="67"/>
    </row>
    <row r="330" spans="1:17" ht="16.5" thickBot="1">
      <c r="A330">
        <v>7</v>
      </c>
      <c r="F330" s="67"/>
      <c r="G330" s="67"/>
      <c r="J330" s="67"/>
      <c r="K330" s="67"/>
      <c r="L330" s="67"/>
      <c r="Q330" s="67"/>
    </row>
    <row r="331" spans="1:16" ht="15.75">
      <c r="A331">
        <v>8</v>
      </c>
      <c r="C331" s="7" t="s">
        <v>34</v>
      </c>
      <c r="D331" s="7" t="s">
        <v>35</v>
      </c>
      <c r="E331" s="7" t="s">
        <v>48</v>
      </c>
      <c r="F331" s="7"/>
      <c r="G331" s="89" t="s">
        <v>131</v>
      </c>
      <c r="H331" s="90"/>
      <c r="I331" s="90"/>
      <c r="J331" s="91"/>
      <c r="K331" s="90"/>
      <c r="L331" s="105"/>
      <c r="M331" s="90"/>
      <c r="N331" s="90"/>
      <c r="O331" s="91"/>
      <c r="P331" s="236"/>
    </row>
    <row r="332" spans="1:16" ht="16.5" thickBot="1">
      <c r="A332">
        <v>9</v>
      </c>
      <c r="B332" t="s">
        <v>37</v>
      </c>
      <c r="C332" s="7" t="s">
        <v>38</v>
      </c>
      <c r="D332" s="7" t="s">
        <v>39</v>
      </c>
      <c r="E332" s="7" t="s">
        <v>5</v>
      </c>
      <c r="F332" s="7" t="s">
        <v>7</v>
      </c>
      <c r="G332" s="66" t="str">
        <f>B334</f>
        <v>Schedule "M"</v>
      </c>
      <c r="H332" s="67"/>
      <c r="I332" s="67"/>
      <c r="J332" s="92"/>
      <c r="K332" s="67"/>
      <c r="L332" s="68"/>
      <c r="M332" s="67"/>
      <c r="N332" s="67"/>
      <c r="O332" s="92"/>
      <c r="P332" s="235"/>
    </row>
    <row r="333" spans="1:16" ht="15.75">
      <c r="A333">
        <v>10</v>
      </c>
      <c r="B333" s="8" t="s">
        <v>40</v>
      </c>
      <c r="C333" s="8" t="s">
        <v>40</v>
      </c>
      <c r="D333" s="8" t="s">
        <v>40</v>
      </c>
      <c r="E333" s="8" t="s">
        <v>40</v>
      </c>
      <c r="F333" s="8" t="s">
        <v>40</v>
      </c>
      <c r="G333" s="68"/>
      <c r="H333" s="69" t="s">
        <v>102</v>
      </c>
      <c r="I333" s="272" t="s">
        <v>103</v>
      </c>
      <c r="J333" s="276"/>
      <c r="K333" s="238" t="s">
        <v>186</v>
      </c>
      <c r="L333" s="279" t="s">
        <v>104</v>
      </c>
      <c r="M333" s="275"/>
      <c r="N333" s="93" t="s">
        <v>129</v>
      </c>
      <c r="O333" s="93" t="s">
        <v>105</v>
      </c>
      <c r="P333" s="238" t="s">
        <v>104</v>
      </c>
    </row>
    <row r="334" spans="1:16" ht="15.75">
      <c r="A334">
        <v>11</v>
      </c>
      <c r="B334" t="s">
        <v>61</v>
      </c>
      <c r="G334" s="110"/>
      <c r="H334" s="72" t="s">
        <v>106</v>
      </c>
      <c r="I334" s="73" t="s">
        <v>107</v>
      </c>
      <c r="J334" s="127" t="s">
        <v>108</v>
      </c>
      <c r="K334" s="239" t="s">
        <v>187</v>
      </c>
      <c r="L334" s="106" t="s">
        <v>107</v>
      </c>
      <c r="M334" s="74" t="s">
        <v>108</v>
      </c>
      <c r="N334" s="94" t="s">
        <v>109</v>
      </c>
      <c r="O334" s="94" t="s">
        <v>109</v>
      </c>
      <c r="P334" s="239" t="s">
        <v>187</v>
      </c>
    </row>
    <row r="335" spans="1:16" ht="16.5" thickBot="1">
      <c r="A335">
        <v>12</v>
      </c>
      <c r="G335" s="68"/>
      <c r="H335" s="75" t="s">
        <v>110</v>
      </c>
      <c r="I335" s="75" t="s">
        <v>111</v>
      </c>
      <c r="J335" s="128" t="s">
        <v>112</v>
      </c>
      <c r="K335" s="240" t="s">
        <v>188</v>
      </c>
      <c r="L335" s="107" t="s">
        <v>113</v>
      </c>
      <c r="M335" s="76" t="s">
        <v>114</v>
      </c>
      <c r="N335" s="138" t="s">
        <v>115</v>
      </c>
      <c r="O335" s="95" t="s">
        <v>130</v>
      </c>
      <c r="P335" s="240" t="s">
        <v>188</v>
      </c>
    </row>
    <row r="336" spans="1:16" ht="15.75">
      <c r="A336">
        <v>13</v>
      </c>
      <c r="B336" t="s">
        <v>12</v>
      </c>
      <c r="D336" s="6"/>
      <c r="E336" s="25">
        <f>BB63</f>
        <v>8.23</v>
      </c>
      <c r="F336" s="44">
        <f>BE63</f>
        <v>151339.83</v>
      </c>
      <c r="G336" s="68" t="s">
        <v>21</v>
      </c>
      <c r="H336" s="77">
        <f>C337</f>
        <v>12</v>
      </c>
      <c r="I336" s="78">
        <v>0</v>
      </c>
      <c r="J336" s="129">
        <f>H336*I336</f>
        <v>0</v>
      </c>
      <c r="K336" s="79"/>
      <c r="L336" s="108">
        <f>I336</f>
        <v>0</v>
      </c>
      <c r="M336" s="80">
        <f>L336*H336</f>
        <v>0</v>
      </c>
      <c r="N336" s="80">
        <f>M336-J336</f>
        <v>0</v>
      </c>
      <c r="O336" s="92"/>
      <c r="P336" s="235"/>
    </row>
    <row r="337" spans="1:20" ht="15.75">
      <c r="A337">
        <v>14</v>
      </c>
      <c r="B337" t="s">
        <v>13</v>
      </c>
      <c r="C337" s="10">
        <f>BC64</f>
        <v>12</v>
      </c>
      <c r="D337" s="10">
        <f>BD64</f>
        <v>10547161</v>
      </c>
      <c r="E337" s="60">
        <f>BB64</f>
        <v>0.04702</v>
      </c>
      <c r="F337" s="44">
        <f>BE64</f>
        <v>495928</v>
      </c>
      <c r="G337" s="68" t="s">
        <v>116</v>
      </c>
      <c r="H337" s="81">
        <f>D337</f>
        <v>10547161</v>
      </c>
      <c r="I337" s="111">
        <f>E337</f>
        <v>0.04702</v>
      </c>
      <c r="J337" s="129">
        <f>H337*I337</f>
        <v>495927.51022</v>
      </c>
      <c r="K337" s="266">
        <f>J337/$J$340</f>
        <v>0.7661859391652447</v>
      </c>
      <c r="L337" s="154">
        <f>I337+Q383</f>
        <v>0.050994275618826565</v>
      </c>
      <c r="M337" s="80">
        <f>L337*H337</f>
        <v>537844.8350301384</v>
      </c>
      <c r="N337" s="80">
        <f>M337-J337</f>
        <v>41917.32481013838</v>
      </c>
      <c r="O337" s="92"/>
      <c r="P337" s="246">
        <f>M337/$M$340</f>
        <v>0.7804072399698239</v>
      </c>
      <c r="Q337" s="199">
        <f>H337</f>
        <v>10547161</v>
      </c>
      <c r="T337" s="24">
        <f>N337</f>
        <v>41917.32481013838</v>
      </c>
    </row>
    <row r="338" spans="1:18" ht="15.75">
      <c r="A338">
        <v>15</v>
      </c>
      <c r="B338" t="s">
        <v>16</v>
      </c>
      <c r="F338" s="44">
        <f>BE65</f>
        <v>87203.98999999999</v>
      </c>
      <c r="G338" s="112" t="s">
        <v>126</v>
      </c>
      <c r="H338" s="113">
        <v>18388.8214</v>
      </c>
      <c r="I338" s="114">
        <f>E336</f>
        <v>8.23</v>
      </c>
      <c r="J338" s="129">
        <f>H338*I338</f>
        <v>151340.00012200003</v>
      </c>
      <c r="K338" s="266">
        <f>J338/$J$340</f>
        <v>0.23381356697736702</v>
      </c>
      <c r="L338" s="198">
        <f>I338</f>
        <v>8.23</v>
      </c>
      <c r="M338" s="80">
        <f>L338*H338</f>
        <v>151340.00012200003</v>
      </c>
      <c r="N338" s="80">
        <f>M338-J338</f>
        <v>0</v>
      </c>
      <c r="O338" s="92"/>
      <c r="P338" s="246">
        <f>M338/$M$340</f>
        <v>0.21959276003017614</v>
      </c>
      <c r="R338" s="28">
        <f>N338</f>
        <v>0</v>
      </c>
    </row>
    <row r="339" spans="1:16" ht="16.5" thickBot="1">
      <c r="A339">
        <v>16</v>
      </c>
      <c r="B339" t="s">
        <v>99</v>
      </c>
      <c r="D339" s="2"/>
      <c r="E339" s="4"/>
      <c r="F339" s="44">
        <f>BE66</f>
        <v>47575.71000000001</v>
      </c>
      <c r="G339" s="68" t="s">
        <v>117</v>
      </c>
      <c r="H339" s="67"/>
      <c r="I339" s="67"/>
      <c r="J339" s="218">
        <f>F337+F336-J338-J337</f>
        <v>0.31965799996396527</v>
      </c>
      <c r="K339" s="267"/>
      <c r="L339" s="68"/>
      <c r="M339" s="118">
        <f>J339</f>
        <v>0.31965799996396527</v>
      </c>
      <c r="N339" s="146">
        <f>M339-J339</f>
        <v>0</v>
      </c>
      <c r="O339" s="92"/>
      <c r="P339" s="246"/>
    </row>
    <row r="340" spans="1:16" ht="16.5" thickBot="1">
      <c r="A340">
        <v>17</v>
      </c>
      <c r="B340" t="s">
        <v>17</v>
      </c>
      <c r="D340" s="2"/>
      <c r="E340" s="4"/>
      <c r="F340" s="1">
        <f>SUM(F336:F339)</f>
        <v>782047.5299999999</v>
      </c>
      <c r="G340" s="68" t="s">
        <v>118</v>
      </c>
      <c r="H340" s="67"/>
      <c r="I340" s="67"/>
      <c r="J340" s="129">
        <f>SUM(J336:J339)</f>
        <v>647267.8300000001</v>
      </c>
      <c r="K340" s="262">
        <f>K337+K338</f>
        <v>0.9999995061426117</v>
      </c>
      <c r="L340" s="68"/>
      <c r="M340" s="84">
        <f>SUM(M336:M338)</f>
        <v>689184.8351521384</v>
      </c>
      <c r="N340" s="84">
        <f>SUM(N336:N338)</f>
        <v>41917.32481013838</v>
      </c>
      <c r="O340" s="120"/>
      <c r="P340" s="262">
        <f>P337+P338</f>
        <v>1</v>
      </c>
    </row>
    <row r="341" spans="7:16" ht="15.75">
      <c r="G341" s="68" t="s">
        <v>119</v>
      </c>
      <c r="H341" s="67"/>
      <c r="I341" s="67"/>
      <c r="J341" s="129">
        <f>F338</f>
        <v>87203.98999999999</v>
      </c>
      <c r="K341" s="79"/>
      <c r="L341" s="68"/>
      <c r="M341" s="84">
        <f>J341</f>
        <v>87203.98999999999</v>
      </c>
      <c r="N341" s="84">
        <f>L341</f>
        <v>0</v>
      </c>
      <c r="O341" s="96"/>
      <c r="P341" s="235"/>
    </row>
    <row r="342" spans="7:16" ht="15.75">
      <c r="G342" s="68" t="s">
        <v>120</v>
      </c>
      <c r="H342" s="67"/>
      <c r="I342" s="67"/>
      <c r="J342" s="219">
        <f>F339</f>
        <v>47575.71000000001</v>
      </c>
      <c r="K342" s="79"/>
      <c r="L342" s="68"/>
      <c r="M342" s="119">
        <f>J342</f>
        <v>47575.71000000001</v>
      </c>
      <c r="N342" s="119">
        <f>L342</f>
        <v>0</v>
      </c>
      <c r="O342" s="92"/>
      <c r="P342" s="235"/>
    </row>
    <row r="343" spans="1:16" ht="15.75">
      <c r="A343">
        <v>1</v>
      </c>
      <c r="G343" s="68" t="s">
        <v>122</v>
      </c>
      <c r="H343" s="67"/>
      <c r="I343" s="67"/>
      <c r="J343" s="120">
        <f>J340+J341+J342</f>
        <v>782047.53</v>
      </c>
      <c r="K343" s="84"/>
      <c r="L343" s="68"/>
      <c r="M343" s="84">
        <f>M340+M341+M342</f>
        <v>823964.5351521383</v>
      </c>
      <c r="N343" s="84">
        <f>N340+N341+N342</f>
        <v>41917.32481013838</v>
      </c>
      <c r="O343" s="120"/>
      <c r="P343" s="235"/>
    </row>
    <row r="344" spans="1:16" ht="15.75">
      <c r="A344">
        <v>2</v>
      </c>
      <c r="C344" t="str">
        <f>$C$93</f>
        <v>        CLARK ENERGY COOPERATIVE, INC.</v>
      </c>
      <c r="G344" s="68" t="s">
        <v>127</v>
      </c>
      <c r="H344" s="81"/>
      <c r="I344" s="67"/>
      <c r="J344" s="129">
        <f>J343/H336</f>
        <v>65170.6275</v>
      </c>
      <c r="K344" s="79"/>
      <c r="L344" s="136"/>
      <c r="M344" s="79">
        <f>M343/H336</f>
        <v>68663.71126267819</v>
      </c>
      <c r="N344" s="79">
        <f>M344-J344</f>
        <v>3493.0837626781868</v>
      </c>
      <c r="O344" s="120"/>
      <c r="P344" s="235"/>
    </row>
    <row r="345" spans="1:16" ht="16.5" thickBot="1">
      <c r="A345">
        <v>3</v>
      </c>
      <c r="D345" t="s">
        <v>33</v>
      </c>
      <c r="G345" s="86" t="s">
        <v>105</v>
      </c>
      <c r="H345" s="103"/>
      <c r="I345" s="87"/>
      <c r="J345" s="97"/>
      <c r="K345" s="87"/>
      <c r="L345" s="86"/>
      <c r="M345" s="103"/>
      <c r="N345" s="103"/>
      <c r="O345" s="123">
        <f>M343/J343-1</f>
        <v>0.05359905062565473</v>
      </c>
      <c r="P345" s="237"/>
    </row>
    <row r="346" spans="1:12" ht="15.75">
      <c r="A346">
        <v>4</v>
      </c>
      <c r="C346" t="str">
        <f>C95</f>
        <v>      TEST YEAR ENDING SEPTEMBER 30, 2006</v>
      </c>
      <c r="F346" s="67"/>
      <c r="G346" s="67"/>
      <c r="J346" s="67"/>
      <c r="K346" s="67"/>
      <c r="L346" s="67"/>
    </row>
    <row r="347" spans="1:12" ht="15.75">
      <c r="A347">
        <v>5</v>
      </c>
      <c r="F347" s="67"/>
      <c r="G347" s="67"/>
      <c r="J347" s="67"/>
      <c r="K347" s="67"/>
      <c r="L347" s="67"/>
    </row>
    <row r="348" spans="1:12" ht="15.75">
      <c r="A348">
        <v>6</v>
      </c>
      <c r="F348" s="67"/>
      <c r="G348" s="67"/>
      <c r="J348" s="67"/>
      <c r="K348" s="67"/>
      <c r="L348" s="67"/>
    </row>
    <row r="349" spans="1:12" ht="16.5" thickBot="1">
      <c r="A349">
        <v>7</v>
      </c>
      <c r="F349" s="67"/>
      <c r="G349" s="67"/>
      <c r="J349" s="67"/>
      <c r="K349" s="67"/>
      <c r="L349" s="67"/>
    </row>
    <row r="350" spans="1:16" ht="15.75">
      <c r="A350">
        <v>8</v>
      </c>
      <c r="C350" s="7" t="s">
        <v>34</v>
      </c>
      <c r="D350" s="7" t="s">
        <v>35</v>
      </c>
      <c r="E350" s="7" t="s">
        <v>48</v>
      </c>
      <c r="G350" s="89" t="s">
        <v>131</v>
      </c>
      <c r="H350" s="90"/>
      <c r="I350" s="90"/>
      <c r="J350" s="91"/>
      <c r="K350" s="90"/>
      <c r="L350" s="105"/>
      <c r="M350" s="90"/>
      <c r="N350" s="90"/>
      <c r="O350" s="91"/>
      <c r="P350" s="236"/>
    </row>
    <row r="351" spans="1:16" ht="16.5" thickBot="1">
      <c r="A351">
        <v>9</v>
      </c>
      <c r="B351" t="s">
        <v>37</v>
      </c>
      <c r="C351" s="7" t="s">
        <v>38</v>
      </c>
      <c r="D351" s="7" t="s">
        <v>39</v>
      </c>
      <c r="E351" s="7" t="s">
        <v>5</v>
      </c>
      <c r="F351" s="7" t="s">
        <v>7</v>
      </c>
      <c r="G351" s="66" t="str">
        <f>B353</f>
        <v>Schedule "J"</v>
      </c>
      <c r="H351" s="67"/>
      <c r="I351" s="67"/>
      <c r="J351" s="92"/>
      <c r="K351" s="67"/>
      <c r="L351" s="68"/>
      <c r="M351" s="67"/>
      <c r="N351" s="67"/>
      <c r="O351" s="92"/>
      <c r="P351" s="235"/>
    </row>
    <row r="352" spans="1:16" ht="15.75">
      <c r="A352">
        <v>10</v>
      </c>
      <c r="B352" s="8" t="s">
        <v>40</v>
      </c>
      <c r="C352" s="8" t="s">
        <v>40</v>
      </c>
      <c r="D352" s="8" t="s">
        <v>40</v>
      </c>
      <c r="E352" s="8" t="s">
        <v>40</v>
      </c>
      <c r="F352" s="8" t="s">
        <v>40</v>
      </c>
      <c r="G352" s="68"/>
      <c r="H352" s="69" t="s">
        <v>102</v>
      </c>
      <c r="I352" s="272" t="s">
        <v>103</v>
      </c>
      <c r="J352" s="276"/>
      <c r="K352" s="238" t="s">
        <v>186</v>
      </c>
      <c r="L352" s="279" t="s">
        <v>104</v>
      </c>
      <c r="M352" s="275"/>
      <c r="N352" s="93" t="s">
        <v>129</v>
      </c>
      <c r="O352" s="93" t="s">
        <v>105</v>
      </c>
      <c r="P352" s="238" t="s">
        <v>104</v>
      </c>
    </row>
    <row r="353" spans="1:16" ht="15.75">
      <c r="A353">
        <v>11</v>
      </c>
      <c r="B353" t="s">
        <v>62</v>
      </c>
      <c r="G353" s="110"/>
      <c r="H353" s="72" t="s">
        <v>106</v>
      </c>
      <c r="I353" s="73" t="s">
        <v>107</v>
      </c>
      <c r="J353" s="127" t="s">
        <v>108</v>
      </c>
      <c r="K353" s="239" t="s">
        <v>187</v>
      </c>
      <c r="L353" s="106" t="s">
        <v>107</v>
      </c>
      <c r="M353" s="74" t="s">
        <v>108</v>
      </c>
      <c r="N353" s="94" t="s">
        <v>109</v>
      </c>
      <c r="O353" s="94" t="s">
        <v>109</v>
      </c>
      <c r="P353" s="239" t="s">
        <v>187</v>
      </c>
    </row>
    <row r="354" spans="1:16" ht="16.5" thickBot="1">
      <c r="A354">
        <v>12</v>
      </c>
      <c r="G354" s="68"/>
      <c r="H354" s="75" t="s">
        <v>110</v>
      </c>
      <c r="I354" s="75" t="s">
        <v>111</v>
      </c>
      <c r="J354" s="128" t="s">
        <v>112</v>
      </c>
      <c r="K354" s="240" t="s">
        <v>188</v>
      </c>
      <c r="L354" s="107" t="s">
        <v>113</v>
      </c>
      <c r="M354" s="76" t="s">
        <v>114</v>
      </c>
      <c r="N354" s="138" t="s">
        <v>115</v>
      </c>
      <c r="O354" s="95" t="s">
        <v>130</v>
      </c>
      <c r="P354" s="240" t="s">
        <v>188</v>
      </c>
    </row>
    <row r="355" spans="1:16" ht="15.75">
      <c r="A355">
        <v>13</v>
      </c>
      <c r="B355" t="s">
        <v>12</v>
      </c>
      <c r="E355" s="64">
        <f>BB56</f>
        <v>5.8</v>
      </c>
      <c r="F355" s="44">
        <f>BE56</f>
        <v>28854.52</v>
      </c>
      <c r="G355" s="68" t="s">
        <v>21</v>
      </c>
      <c r="H355" s="77">
        <f>C356</f>
        <v>5</v>
      </c>
      <c r="I355" s="78">
        <v>0</v>
      </c>
      <c r="J355" s="129">
        <f>H355*I355</f>
        <v>0</v>
      </c>
      <c r="K355" s="79"/>
      <c r="L355" s="108">
        <f>I355</f>
        <v>0</v>
      </c>
      <c r="M355" s="80">
        <f>L355*H355</f>
        <v>0</v>
      </c>
      <c r="N355" s="80">
        <f>M355-J355</f>
        <v>0</v>
      </c>
      <c r="O355" s="92"/>
      <c r="P355" s="235"/>
    </row>
    <row r="356" spans="1:16" ht="15.75">
      <c r="A356">
        <v>14</v>
      </c>
      <c r="B356" t="s">
        <v>13</v>
      </c>
      <c r="C356" s="10">
        <f>BC57</f>
        <v>5</v>
      </c>
      <c r="D356" s="10">
        <f>BD57</f>
        <v>2289215</v>
      </c>
      <c r="E356" s="61">
        <f>BB57</f>
        <v>0.03598</v>
      </c>
      <c r="F356" s="44">
        <f>BE57</f>
        <v>82511</v>
      </c>
      <c r="G356" s="68" t="s">
        <v>116</v>
      </c>
      <c r="H356" s="81">
        <f>D356</f>
        <v>2289215</v>
      </c>
      <c r="I356" s="111">
        <f>E356</f>
        <v>0.03598</v>
      </c>
      <c r="J356" s="129">
        <f>H356*I356</f>
        <v>82365.95569999999</v>
      </c>
      <c r="K356" s="266">
        <f>J356/$J$359</f>
        <v>0.7405614812568995</v>
      </c>
      <c r="L356" s="109">
        <f>I356</f>
        <v>0.03598</v>
      </c>
      <c r="M356" s="80">
        <f>L356*H356</f>
        <v>82365.95569999999</v>
      </c>
      <c r="N356" s="80">
        <f>M356-J356</f>
        <v>0</v>
      </c>
      <c r="O356" s="92"/>
      <c r="P356" s="246">
        <f>M356/$M$359</f>
        <v>0.6785103040996411</v>
      </c>
    </row>
    <row r="357" spans="1:18" ht="15.75">
      <c r="A357">
        <v>15</v>
      </c>
      <c r="B357" t="s">
        <v>16</v>
      </c>
      <c r="F357" s="44">
        <f>BE58</f>
        <v>17183.3</v>
      </c>
      <c r="G357" s="112" t="s">
        <v>126</v>
      </c>
      <c r="H357" s="113">
        <v>4975</v>
      </c>
      <c r="I357" s="114">
        <f>E355</f>
        <v>5.8</v>
      </c>
      <c r="J357" s="129">
        <f>H357*I357</f>
        <v>28855</v>
      </c>
      <c r="K357" s="266">
        <f>J357/$J$359</f>
        <v>0.25943851874310053</v>
      </c>
      <c r="L357" s="147">
        <f>I357*1.3525</f>
        <v>7.8445</v>
      </c>
      <c r="M357" s="80">
        <f>L357*H357</f>
        <v>39026.3875</v>
      </c>
      <c r="N357" s="80">
        <f>M357-J357</f>
        <v>10171.387499999997</v>
      </c>
      <c r="O357" s="92"/>
      <c r="P357" s="246">
        <f>M357/$M$359</f>
        <v>0.3214896959003589</v>
      </c>
      <c r="R357" s="28">
        <f>N357</f>
        <v>10171.387499999997</v>
      </c>
    </row>
    <row r="358" spans="1:16" ht="16.5" thickBot="1">
      <c r="A358">
        <v>16</v>
      </c>
      <c r="B358" t="s">
        <v>99</v>
      </c>
      <c r="E358" s="4"/>
      <c r="F358" s="44">
        <f>BE59</f>
        <v>8780.19</v>
      </c>
      <c r="G358" s="68" t="s">
        <v>117</v>
      </c>
      <c r="H358" s="67"/>
      <c r="I358" s="67"/>
      <c r="J358" s="218">
        <v>0</v>
      </c>
      <c r="K358" s="267"/>
      <c r="L358" s="68"/>
      <c r="M358" s="118">
        <f>J358</f>
        <v>0</v>
      </c>
      <c r="N358" s="146">
        <f>M358-J358</f>
        <v>0</v>
      </c>
      <c r="O358" s="92"/>
      <c r="P358" s="249"/>
    </row>
    <row r="359" spans="1:16" ht="16.5" thickBot="1">
      <c r="A359">
        <v>17</v>
      </c>
      <c r="B359" t="s">
        <v>17</v>
      </c>
      <c r="F359" s="44">
        <f>SUM(F355:F358)</f>
        <v>137329.01</v>
      </c>
      <c r="G359" s="68" t="s">
        <v>118</v>
      </c>
      <c r="H359" s="67"/>
      <c r="I359" s="67"/>
      <c r="J359" s="129">
        <f>SUM(J355:J358)</f>
        <v>111220.95569999999</v>
      </c>
      <c r="K359" s="262">
        <f>K356+K357</f>
        <v>1</v>
      </c>
      <c r="L359" s="68"/>
      <c r="M359" s="84">
        <f>SUM(M355:M358)</f>
        <v>121392.34319999999</v>
      </c>
      <c r="N359" s="84">
        <f>SUM(N355:N358)</f>
        <v>10171.387499999997</v>
      </c>
      <c r="O359" s="120"/>
      <c r="P359" s="248">
        <f>P356+P357</f>
        <v>1</v>
      </c>
    </row>
    <row r="360" spans="7:16" ht="15.75">
      <c r="G360" s="68" t="s">
        <v>119</v>
      </c>
      <c r="H360" s="67"/>
      <c r="I360" s="67"/>
      <c r="J360" s="129">
        <f>F357</f>
        <v>17183.3</v>
      </c>
      <c r="K360" s="79"/>
      <c r="L360" s="68"/>
      <c r="M360" s="84">
        <f>J360</f>
        <v>17183.3</v>
      </c>
      <c r="N360" s="84">
        <f>L360</f>
        <v>0</v>
      </c>
      <c r="O360" s="96"/>
      <c r="P360" s="235"/>
    </row>
    <row r="361" spans="7:16" ht="15.75">
      <c r="G361" s="68" t="s">
        <v>120</v>
      </c>
      <c r="H361" s="67"/>
      <c r="I361" s="67"/>
      <c r="J361" s="219">
        <f>F358</f>
        <v>8780.19</v>
      </c>
      <c r="K361" s="79"/>
      <c r="L361" s="68"/>
      <c r="M361" s="119">
        <f>J361</f>
        <v>8780.19</v>
      </c>
      <c r="N361" s="119">
        <f>L361</f>
        <v>0</v>
      </c>
      <c r="O361" s="92"/>
      <c r="P361" s="235"/>
    </row>
    <row r="362" spans="7:16" ht="15.75">
      <c r="G362" s="68" t="s">
        <v>122</v>
      </c>
      <c r="H362" s="67"/>
      <c r="I362" s="67"/>
      <c r="J362" s="120">
        <f>J359+J360+J361</f>
        <v>137184.44569999998</v>
      </c>
      <c r="K362" s="84"/>
      <c r="L362" s="68"/>
      <c r="M362" s="84">
        <f>M359+M360+M361</f>
        <v>147355.8332</v>
      </c>
      <c r="N362" s="84">
        <f>N359+N360+N361</f>
        <v>10171.387499999997</v>
      </c>
      <c r="O362" s="92"/>
      <c r="P362" s="235"/>
    </row>
    <row r="363" spans="7:16" ht="15.75">
      <c r="G363" s="68" t="s">
        <v>127</v>
      </c>
      <c r="H363" s="81"/>
      <c r="I363" s="67"/>
      <c r="J363" s="132">
        <f>J362/H355</f>
        <v>27436.889139999996</v>
      </c>
      <c r="K363" s="122"/>
      <c r="L363" s="68"/>
      <c r="M363" s="81">
        <f>M362/H355</f>
        <v>29471.16664</v>
      </c>
      <c r="N363" s="81">
        <f>M363-J363</f>
        <v>2034.2775000000038</v>
      </c>
      <c r="O363" s="92"/>
      <c r="P363" s="235"/>
    </row>
    <row r="364" spans="7:16" ht="16.5" thickBot="1">
      <c r="G364" s="86" t="s">
        <v>105</v>
      </c>
      <c r="H364" s="103"/>
      <c r="I364" s="87"/>
      <c r="J364" s="97"/>
      <c r="K364" s="87"/>
      <c r="L364" s="86"/>
      <c r="M364" s="103"/>
      <c r="N364" s="103"/>
      <c r="O364" s="123">
        <f>M362/J362-1</f>
        <v>0.0741438830626846</v>
      </c>
      <c r="P364" s="237"/>
    </row>
    <row r="365" spans="6:12" ht="15.75">
      <c r="F365" s="67"/>
      <c r="G365" s="67"/>
      <c r="J365" s="67"/>
      <c r="K365" s="67"/>
      <c r="L365" s="67"/>
    </row>
    <row r="366" spans="6:12" ht="15.75">
      <c r="F366" s="67"/>
      <c r="G366" s="67"/>
      <c r="J366" s="67"/>
      <c r="K366" s="67"/>
      <c r="L366" s="67"/>
    </row>
    <row r="367" spans="6:14" ht="15.75">
      <c r="F367" s="67"/>
      <c r="G367" s="67" t="s">
        <v>165</v>
      </c>
      <c r="J367" s="67"/>
      <c r="K367" s="67"/>
      <c r="L367" s="67"/>
      <c r="N367" s="28">
        <f>N111+N129+N150+N170+N189+N207+N226+N246+N267+N286+N305+N324+N343+N362</f>
        <v>1679812.0000000026</v>
      </c>
    </row>
    <row r="368" spans="6:14" ht="15.75">
      <c r="F368" s="67"/>
      <c r="G368" s="67" t="s">
        <v>175</v>
      </c>
      <c r="J368" s="67"/>
      <c r="K368" s="67"/>
      <c r="L368" s="67"/>
      <c r="N368" s="28">
        <f>Q377</f>
        <v>1679812</v>
      </c>
    </row>
    <row r="369" spans="6:21" ht="15.75">
      <c r="F369" s="67"/>
      <c r="G369" s="67" t="s">
        <v>176</v>
      </c>
      <c r="J369" s="67"/>
      <c r="K369" s="67"/>
      <c r="L369" s="67"/>
      <c r="N369" s="28">
        <f>N367-N368</f>
        <v>2.561137080192566E-09</v>
      </c>
      <c r="P369" s="67" t="s">
        <v>183</v>
      </c>
      <c r="Q369" s="99">
        <f>SUM(Q105:Q365)</f>
        <v>420111933</v>
      </c>
      <c r="T369" s="67"/>
      <c r="U369" s="67"/>
    </row>
    <row r="370" spans="5:21" ht="15.75">
      <c r="E370" s="7"/>
      <c r="J370" s="67"/>
      <c r="K370" s="67"/>
      <c r="L370" s="67"/>
      <c r="P370" s="67"/>
      <c r="Q370" s="67"/>
      <c r="T370" s="67"/>
      <c r="U370" s="67"/>
    </row>
    <row r="371" spans="4:21" ht="15.75">
      <c r="D371" s="7"/>
      <c r="E371" s="7"/>
      <c r="J371" s="67"/>
      <c r="K371" s="67"/>
      <c r="L371" s="67"/>
      <c r="P371" s="67" t="s">
        <v>163</v>
      </c>
      <c r="Q371" s="149"/>
      <c r="R371" s="24">
        <f>SUM(R105:R364)</f>
        <v>10171.387499999997</v>
      </c>
      <c r="S371" s="24"/>
      <c r="T371" s="67"/>
      <c r="U371" s="67"/>
    </row>
    <row r="372" spans="2:21" ht="15.75">
      <c r="B372" s="8"/>
      <c r="C372" s="8"/>
      <c r="D372" s="8"/>
      <c r="E372" s="8"/>
      <c r="F372" s="8"/>
      <c r="H372" s="28">
        <v>0.00506617</v>
      </c>
      <c r="I372" s="2" t="e">
        <f>#REF!</f>
        <v>#REF!</v>
      </c>
      <c r="P372" s="67"/>
      <c r="Q372" s="149"/>
      <c r="R372" s="24"/>
      <c r="S372" s="24"/>
      <c r="T372" s="67"/>
      <c r="U372" s="67"/>
    </row>
    <row r="373" spans="16:21" ht="15.75">
      <c r="P373" s="67" t="s">
        <v>164</v>
      </c>
      <c r="Q373" s="149"/>
      <c r="R373" s="24"/>
      <c r="S373" s="24">
        <f>SUM(S104:S364)</f>
        <v>0</v>
      </c>
      <c r="T373" s="67"/>
      <c r="U373" s="67"/>
    </row>
    <row r="374" spans="4:21" ht="15.75">
      <c r="D374" s="2"/>
      <c r="E374" s="2"/>
      <c r="F374" s="2"/>
      <c r="P374" s="67"/>
      <c r="Q374" s="149"/>
      <c r="R374" s="24"/>
      <c r="S374" s="24"/>
      <c r="T374" s="67"/>
      <c r="U374" s="67"/>
    </row>
    <row r="375" spans="4:21" ht="15.75">
      <c r="D375" s="2"/>
      <c r="E375" s="2"/>
      <c r="F375" s="2"/>
      <c r="G375" s="30"/>
      <c r="P375" s="67" t="s">
        <v>124</v>
      </c>
      <c r="Q375" s="67"/>
      <c r="R375" s="149"/>
      <c r="S375" s="149"/>
      <c r="T375" s="24">
        <f>SUM(T105:T365)</f>
        <v>1669640.6125000026</v>
      </c>
      <c r="U375"/>
    </row>
    <row r="376" spans="4:21" ht="15.75">
      <c r="D376" s="2"/>
      <c r="E376" s="2"/>
      <c r="F376" s="2"/>
      <c r="G376" s="30"/>
      <c r="P376" s="67"/>
      <c r="Q376" s="67"/>
      <c r="R376" s="24"/>
      <c r="S376" s="24"/>
      <c r="U376"/>
    </row>
    <row r="377" spans="4:21" ht="15.75">
      <c r="D377" s="2"/>
      <c r="E377" s="2"/>
      <c r="F377" s="2"/>
      <c r="G377" s="30"/>
      <c r="P377" s="67" t="s">
        <v>159</v>
      </c>
      <c r="Q377" s="149">
        <v>1679812</v>
      </c>
      <c r="R377" s="24"/>
      <c r="S377" s="24"/>
      <c r="U377" s="24">
        <f>T375+S373+R371</f>
        <v>1679812.0000000026</v>
      </c>
    </row>
    <row r="378" spans="4:21" ht="15.75">
      <c r="D378" s="2"/>
      <c r="E378" s="2"/>
      <c r="F378" s="2"/>
      <c r="G378" s="30"/>
      <c r="P378" s="67"/>
      <c r="Q378" s="24"/>
      <c r="R378" s="24"/>
      <c r="S378" s="24"/>
      <c r="U378" s="24"/>
    </row>
    <row r="379" spans="4:21" ht="15.75">
      <c r="D379" s="2"/>
      <c r="E379" s="2"/>
      <c r="F379" s="2"/>
      <c r="G379" s="30"/>
      <c r="P379" s="67" t="s">
        <v>160</v>
      </c>
      <c r="Q379" s="24">
        <f>Q377-R371</f>
        <v>1669640.6125</v>
      </c>
      <c r="R379" s="24"/>
      <c r="S379" s="24"/>
      <c r="U379"/>
    </row>
    <row r="380" spans="4:21" ht="15.75">
      <c r="D380" s="2"/>
      <c r="E380" s="2"/>
      <c r="F380" s="2"/>
      <c r="G380" s="30"/>
      <c r="P380" s="67"/>
      <c r="Q380" s="24"/>
      <c r="R380"/>
      <c r="S380" s="67"/>
      <c r="U380" s="149"/>
    </row>
    <row r="381" spans="4:21" ht="15.75">
      <c r="D381" s="2"/>
      <c r="E381" s="2"/>
      <c r="F381" s="2"/>
      <c r="G381" s="30"/>
      <c r="P381" s="67" t="s">
        <v>161</v>
      </c>
      <c r="Q381" s="24">
        <f>Q379-S373</f>
        <v>1669640.6125</v>
      </c>
      <c r="R381" s="67"/>
      <c r="S381" s="67"/>
      <c r="U381" s="67"/>
    </row>
    <row r="382" spans="4:21" ht="15.75">
      <c r="D382" s="2"/>
      <c r="E382" s="2"/>
      <c r="F382" s="2"/>
      <c r="G382" s="30"/>
      <c r="P382" s="67"/>
      <c r="Q382" s="24"/>
      <c r="R382" s="24"/>
      <c r="S382" s="67"/>
      <c r="U382" s="149"/>
    </row>
    <row r="383" spans="4:21" ht="15.75">
      <c r="D383" s="2"/>
      <c r="E383" s="2"/>
      <c r="F383" s="2"/>
      <c r="G383" s="30"/>
      <c r="P383" s="67" t="s">
        <v>162</v>
      </c>
      <c r="Q383" s="150">
        <f>Q381/Q369</f>
        <v>0.003974275618826567</v>
      </c>
      <c r="R383" s="137"/>
      <c r="S383" s="137"/>
      <c r="U383" s="67"/>
    </row>
    <row r="384" spans="4:21" ht="15.75">
      <c r="D384" s="2"/>
      <c r="E384" s="2"/>
      <c r="F384" s="2"/>
      <c r="G384" s="30"/>
      <c r="P384" s="67"/>
      <c r="Q384" s="137"/>
      <c r="R384" s="137"/>
      <c r="S384" s="137"/>
      <c r="U384" s="150"/>
    </row>
    <row r="385" spans="4:17" ht="15.75">
      <c r="D385" s="2"/>
      <c r="E385" s="2"/>
      <c r="F385" s="2"/>
      <c r="G385" s="30"/>
      <c r="P385" s="67"/>
      <c r="Q385" s="67"/>
    </row>
    <row r="386" spans="4:17" ht="15.75">
      <c r="D386" s="2"/>
      <c r="E386" s="2"/>
      <c r="F386" s="2"/>
      <c r="G386" s="30"/>
      <c r="P386" s="67"/>
      <c r="Q386" s="67"/>
    </row>
    <row r="387" spans="4:17" ht="15.75">
      <c r="D387" s="2"/>
      <c r="E387" s="2"/>
      <c r="F387" s="2"/>
      <c r="G387" s="30"/>
      <c r="P387" s="67"/>
      <c r="Q387" s="67"/>
    </row>
    <row r="388" spans="4:7" ht="15.75">
      <c r="D388" s="2"/>
      <c r="E388" s="2"/>
      <c r="F388" s="2"/>
      <c r="G388" s="30"/>
    </row>
    <row r="389" spans="4:7" ht="15.75">
      <c r="D389" s="2"/>
      <c r="E389" s="2"/>
      <c r="F389" s="2"/>
      <c r="G389" s="30"/>
    </row>
    <row r="390" spans="4:7" ht="15.75">
      <c r="D390" s="2"/>
      <c r="E390" s="2"/>
      <c r="F390" s="2"/>
      <c r="G390" s="30"/>
    </row>
    <row r="391" spans="4:7" ht="15.75">
      <c r="D391" s="2"/>
      <c r="E391" s="2"/>
      <c r="F391" s="2"/>
      <c r="G391" s="30"/>
    </row>
    <row r="392" spans="4:7" ht="15.75">
      <c r="D392" s="2"/>
      <c r="E392" s="2"/>
      <c r="F392" s="2"/>
      <c r="G392" s="30"/>
    </row>
    <row r="393" spans="4:7" ht="15.75">
      <c r="D393" s="2"/>
      <c r="E393" s="2"/>
      <c r="F393" s="2"/>
      <c r="G393" s="30"/>
    </row>
    <row r="394" spans="4:7" ht="15.75">
      <c r="D394" s="2"/>
      <c r="E394" s="2"/>
      <c r="F394" s="2"/>
      <c r="G394" s="30"/>
    </row>
    <row r="395" spans="4:7" ht="15.75">
      <c r="D395" s="2"/>
      <c r="E395" s="2"/>
      <c r="F395" s="2"/>
      <c r="G395" s="30"/>
    </row>
    <row r="396" spans="4:7" ht="15.75">
      <c r="D396" s="2"/>
      <c r="E396" s="2"/>
      <c r="F396" s="2"/>
      <c r="G396" s="30"/>
    </row>
    <row r="397" spans="4:7" ht="15.75">
      <c r="D397" s="2"/>
      <c r="E397" s="2"/>
      <c r="F397" s="2"/>
      <c r="G397" s="30"/>
    </row>
    <row r="398" spans="4:7" ht="15.75">
      <c r="D398" s="2"/>
      <c r="E398" s="2"/>
      <c r="F398" s="2"/>
      <c r="G398" s="30"/>
    </row>
    <row r="399" spans="4:7" ht="15.75">
      <c r="D399" s="2"/>
      <c r="E399" s="2"/>
      <c r="F399" s="2"/>
      <c r="G399" s="30"/>
    </row>
    <row r="400" spans="4:6" ht="15.75">
      <c r="D400" s="2"/>
      <c r="E400" s="2"/>
      <c r="F400" s="2"/>
    </row>
    <row r="401" spans="4:8" ht="15.75">
      <c r="D401" s="8"/>
      <c r="E401" s="8"/>
      <c r="G401" s="30"/>
      <c r="H401" s="28">
        <v>234</v>
      </c>
    </row>
    <row r="402" spans="4:6" ht="15.75">
      <c r="D402" s="2"/>
      <c r="E402" s="2"/>
      <c r="F402" s="2"/>
    </row>
    <row r="403" ht="15.75">
      <c r="D403" s="8"/>
    </row>
    <row r="404" ht="15.75">
      <c r="E404" s="2"/>
    </row>
    <row r="405" ht="15.75">
      <c r="E405" s="8"/>
    </row>
    <row r="406" spans="5:6" ht="15.75">
      <c r="E406" s="2"/>
      <c r="F406" s="2"/>
    </row>
    <row r="407" ht="15.75">
      <c r="E407" s="8"/>
    </row>
    <row r="416" ht="15.75">
      <c r="H416" s="58"/>
    </row>
    <row r="417" ht="15.75">
      <c r="H417" s="58"/>
    </row>
    <row r="418" ht="15.75">
      <c r="H418" s="58"/>
    </row>
    <row r="425" spans="4:8" ht="15.75">
      <c r="D425" s="2"/>
      <c r="F425" s="2"/>
      <c r="G425" s="39"/>
      <c r="H425" s="58" t="e">
        <f>#REF!/G425</f>
        <v>#REF!</v>
      </c>
    </row>
    <row r="426" spans="4:8" ht="15.75">
      <c r="D426" s="2"/>
      <c r="F426" s="2"/>
      <c r="G426" s="39"/>
      <c r="H426" s="58"/>
    </row>
    <row r="427" spans="4:8" ht="15.75">
      <c r="D427" s="2"/>
      <c r="F427" s="2"/>
      <c r="G427" s="39"/>
      <c r="H427" s="58" t="e">
        <f>#REF!/G427</f>
        <v>#REF!</v>
      </c>
    </row>
    <row r="428" spans="4:8" ht="15.75">
      <c r="D428" s="2"/>
      <c r="F428" s="2"/>
      <c r="G428" s="39"/>
      <c r="H428" s="58"/>
    </row>
    <row r="429" spans="4:8" ht="15.75">
      <c r="D429" s="2"/>
      <c r="F429" s="2"/>
      <c r="G429" s="39"/>
      <c r="H429" s="58" t="e">
        <f>#REF!/G429</f>
        <v>#REF!</v>
      </c>
    </row>
    <row r="430" spans="4:8" ht="15.75">
      <c r="D430" s="2"/>
      <c r="F430" s="2"/>
      <c r="G430" s="39"/>
      <c r="H430" s="58"/>
    </row>
    <row r="431" spans="4:8" ht="15.75">
      <c r="D431" s="2"/>
      <c r="F431" s="2"/>
      <c r="G431" s="39"/>
      <c r="H431" s="58" t="e">
        <f>#REF!/G431</f>
        <v>#REF!</v>
      </c>
    </row>
    <row r="432" spans="4:8" ht="15.75">
      <c r="D432" s="2"/>
      <c r="F432" s="2"/>
      <c r="G432" s="39"/>
      <c r="H432" s="58"/>
    </row>
    <row r="433" spans="4:8" ht="15.75">
      <c r="D433" s="2"/>
      <c r="F433" s="2"/>
      <c r="G433" s="39"/>
      <c r="H433" s="58" t="e">
        <f>#REF!/G433</f>
        <v>#REF!</v>
      </c>
    </row>
    <row r="434" spans="4:8" ht="15.75">
      <c r="D434" s="2"/>
      <c r="F434" s="2"/>
      <c r="G434" s="39"/>
      <c r="H434" s="58"/>
    </row>
    <row r="435" spans="4:8" ht="15.75">
      <c r="D435" s="2"/>
      <c r="F435" s="2"/>
      <c r="G435" s="39"/>
      <c r="H435" s="58" t="e">
        <f>#REF!/G435</f>
        <v>#REF!</v>
      </c>
    </row>
    <row r="436" spans="4:8" ht="15.75">
      <c r="D436" s="2"/>
      <c r="F436" s="2"/>
      <c r="G436" s="39"/>
      <c r="H436" s="58"/>
    </row>
    <row r="437" spans="4:8" ht="15.75">
      <c r="D437" s="2"/>
      <c r="F437" s="2"/>
      <c r="G437" s="39"/>
      <c r="H437" s="58" t="e">
        <f>#REF!/G437</f>
        <v>#REF!</v>
      </c>
    </row>
    <row r="438" spans="4:8" ht="15.75">
      <c r="D438" s="2"/>
      <c r="F438" s="2"/>
      <c r="G438" s="39"/>
      <c r="H438" s="58"/>
    </row>
    <row r="439" spans="4:8" ht="15.75">
      <c r="D439" s="2"/>
      <c r="F439" s="2"/>
      <c r="G439" s="39"/>
      <c r="H439" s="58" t="e">
        <f>#REF!/G439</f>
        <v>#REF!</v>
      </c>
    </row>
    <row r="440" spans="4:8" ht="15.75">
      <c r="D440" s="2"/>
      <c r="F440" s="2"/>
      <c r="G440" s="39"/>
      <c r="H440" s="58"/>
    </row>
    <row r="441" spans="4:8" ht="15.75">
      <c r="D441" s="2"/>
      <c r="F441" s="2"/>
      <c r="G441" s="39"/>
      <c r="H441" s="58" t="e">
        <f>#REF!/G441</f>
        <v>#REF!</v>
      </c>
    </row>
    <row r="442" spans="4:8" ht="15.75">
      <c r="D442" s="2"/>
      <c r="F442" s="2"/>
      <c r="G442" s="39"/>
      <c r="H442" s="58"/>
    </row>
    <row r="443" spans="4:8" ht="15.75">
      <c r="D443" s="2"/>
      <c r="F443" s="2"/>
      <c r="G443" s="39"/>
      <c r="H443" s="58" t="e">
        <f>#REF!/G443</f>
        <v>#REF!</v>
      </c>
    </row>
    <row r="444" spans="4:8" ht="15.75">
      <c r="D444" s="2"/>
      <c r="F444" s="2"/>
      <c r="G444" s="39"/>
      <c r="H444" s="58"/>
    </row>
    <row r="445" spans="4:8" ht="15.75">
      <c r="D445" s="2"/>
      <c r="F445" s="2"/>
      <c r="G445" s="39"/>
      <c r="H445" s="58" t="e">
        <f>#REF!/G445</f>
        <v>#REF!</v>
      </c>
    </row>
    <row r="446" spans="4:8" ht="15.75">
      <c r="D446" s="2"/>
      <c r="F446" s="2"/>
      <c r="G446" s="39"/>
      <c r="H446" s="58"/>
    </row>
    <row r="447" spans="4:8" ht="15.75">
      <c r="D447" s="2"/>
      <c r="F447" s="2"/>
      <c r="G447" s="39"/>
      <c r="H447" s="58"/>
    </row>
    <row r="448" spans="4:8" ht="15.75">
      <c r="D448" s="2"/>
      <c r="F448" s="2"/>
      <c r="G448" s="39"/>
      <c r="H448" s="58"/>
    </row>
    <row r="449" spans="4:8" ht="15.75">
      <c r="D449" s="2"/>
      <c r="F449" s="2"/>
      <c r="G449" s="39"/>
      <c r="H449" s="58" t="e">
        <f>#REF!/G449</f>
        <v>#REF!</v>
      </c>
    </row>
    <row r="450" spans="4:7" ht="15.75">
      <c r="D450" s="2"/>
      <c r="F450" s="2"/>
      <c r="G450" s="39"/>
    </row>
    <row r="451" spans="4:7" ht="15.75">
      <c r="D451" s="2"/>
      <c r="F451" s="2"/>
      <c r="G451" s="39"/>
    </row>
    <row r="1125" ht="15.75">
      <c r="CA1125" s="13" t="s">
        <v>90</v>
      </c>
    </row>
    <row r="1126" ht="15.75">
      <c r="CB1126" s="12" t="s">
        <v>63</v>
      </c>
    </row>
    <row r="1127" ht="15.75">
      <c r="CA1127" s="12" t="str">
        <f>$C$95</f>
        <v>      TEST YEAR ENDING SEPTEMBER 30, 2006</v>
      </c>
    </row>
    <row r="1129" spans="75:87" ht="15.75">
      <c r="BW1129" s="14">
        <f>$C$1</f>
        <v>38626</v>
      </c>
      <c r="BX1129" s="14">
        <f>$G$1</f>
        <v>38657</v>
      </c>
      <c r="BY1129" s="14">
        <f>$L$1</f>
        <v>38687</v>
      </c>
      <c r="BZ1129" s="14">
        <f>$Q$1</f>
        <v>38718</v>
      </c>
      <c r="CA1129" s="14">
        <f>$U$1</f>
        <v>38749</v>
      </c>
      <c r="CB1129" s="14">
        <f>$Y$1</f>
        <v>38777</v>
      </c>
      <c r="CC1129" s="14">
        <f>$AC$1</f>
        <v>38808</v>
      </c>
      <c r="CD1129" s="14">
        <f>$AG$1</f>
        <v>38838</v>
      </c>
      <c r="CE1129" s="14">
        <f>$AK$1</f>
        <v>38869</v>
      </c>
      <c r="CF1129" s="14">
        <f>$AO$1</f>
        <v>38899</v>
      </c>
      <c r="CG1129" s="14">
        <f>$AS$1</f>
        <v>38930</v>
      </c>
      <c r="CH1129" s="14">
        <f>$AW$1</f>
        <v>38961</v>
      </c>
      <c r="CI1129" s="15" t="s">
        <v>64</v>
      </c>
    </row>
    <row r="1131" spans="74:87" ht="15.75">
      <c r="BV1131" s="12" t="s">
        <v>11</v>
      </c>
      <c r="BW1131" s="16" t="e">
        <f>#REF!</f>
        <v>#REF!</v>
      </c>
      <c r="BX1131" s="16" t="e">
        <f>#REF!</f>
        <v>#REF!</v>
      </c>
      <c r="BY1131" s="16" t="e">
        <f>#REF!</f>
        <v>#REF!</v>
      </c>
      <c r="BZ1131" s="16" t="e">
        <f>#REF!</f>
        <v>#REF!</v>
      </c>
      <c r="CA1131" s="16" t="e">
        <f>#REF!</f>
        <v>#REF!</v>
      </c>
      <c r="CB1131" s="16" t="e">
        <f>#REF!</f>
        <v>#REF!</v>
      </c>
      <c r="CC1131" s="16" t="e">
        <f>#REF!</f>
        <v>#REF!</v>
      </c>
      <c r="CD1131" s="16" t="e">
        <f>#REF!</f>
        <v>#REF!</v>
      </c>
      <c r="CE1131" s="16" t="e">
        <f>#REF!</f>
        <v>#REF!</v>
      </c>
      <c r="CF1131" s="16" t="e">
        <f>#REF!</f>
        <v>#REF!</v>
      </c>
      <c r="CG1131" s="16" t="e">
        <f>#REF!</f>
        <v>#REF!</v>
      </c>
      <c r="CH1131" s="16" t="e">
        <f>#REF!</f>
        <v>#REF!</v>
      </c>
      <c r="CI1131" s="16" t="e">
        <f aca="true" t="shared" si="7" ref="CI1131:CI1144">SUM(BW1131:CH1131)</f>
        <v>#REF!</v>
      </c>
    </row>
    <row r="1132" spans="74:87" ht="15.75">
      <c r="BV1132" s="12" t="s">
        <v>65</v>
      </c>
      <c r="BW1132" s="16">
        <v>0</v>
      </c>
      <c r="BX1132" s="16">
        <v>0</v>
      </c>
      <c r="BY1132" s="16">
        <v>0</v>
      </c>
      <c r="BZ1132" s="16">
        <v>0</v>
      </c>
      <c r="CA1132" s="16">
        <v>0</v>
      </c>
      <c r="CB1132" s="16">
        <v>0</v>
      </c>
      <c r="CC1132" s="16">
        <v>0</v>
      </c>
      <c r="CD1132" s="16">
        <v>0</v>
      </c>
      <c r="CE1132" s="16">
        <v>0</v>
      </c>
      <c r="CF1132" s="16">
        <v>0</v>
      </c>
      <c r="CG1132" s="16">
        <v>0</v>
      </c>
      <c r="CH1132" s="16">
        <v>0</v>
      </c>
      <c r="CI1132" s="16">
        <f t="shared" si="7"/>
        <v>0</v>
      </c>
    </row>
    <row r="1133" spans="74:87" ht="15.75">
      <c r="BV1133" s="12" t="s">
        <v>18</v>
      </c>
      <c r="BW1133" s="16" t="e">
        <f>#REF!</f>
        <v>#REF!</v>
      </c>
      <c r="BX1133" s="16" t="e">
        <f>#REF!</f>
        <v>#REF!</v>
      </c>
      <c r="BY1133" s="16" t="e">
        <f>#REF!</f>
        <v>#REF!</v>
      </c>
      <c r="BZ1133" s="16" t="e">
        <f>#REF!</f>
        <v>#REF!</v>
      </c>
      <c r="CA1133" s="16" t="e">
        <f>#REF!</f>
        <v>#REF!</v>
      </c>
      <c r="CB1133" s="16" t="e">
        <f>#REF!</f>
        <v>#REF!</v>
      </c>
      <c r="CC1133" s="16" t="e">
        <f>#REF!</f>
        <v>#REF!</v>
      </c>
      <c r="CD1133" s="16" t="e">
        <f>#REF!</f>
        <v>#REF!</v>
      </c>
      <c r="CE1133" s="16" t="e">
        <f>#REF!</f>
        <v>#REF!</v>
      </c>
      <c r="CF1133" s="16" t="e">
        <f>#REF!</f>
        <v>#REF!</v>
      </c>
      <c r="CG1133" s="16" t="e">
        <f>#REF!</f>
        <v>#REF!</v>
      </c>
      <c r="CH1133" s="16" t="e">
        <f>#REF!</f>
        <v>#REF!</v>
      </c>
      <c r="CI1133" s="16" t="e">
        <f t="shared" si="7"/>
        <v>#REF!</v>
      </c>
    </row>
    <row r="1134" spans="74:87" ht="15.75">
      <c r="BV1134" s="12" t="s">
        <v>28</v>
      </c>
      <c r="BW1134" s="16" t="e">
        <f>#REF!</f>
        <v>#REF!</v>
      </c>
      <c r="BX1134" s="16" t="e">
        <f>#REF!</f>
        <v>#REF!</v>
      </c>
      <c r="BY1134" s="16" t="e">
        <f>#REF!</f>
        <v>#REF!</v>
      </c>
      <c r="BZ1134" s="16" t="e">
        <f>#REF!</f>
        <v>#REF!</v>
      </c>
      <c r="CA1134" s="16" t="e">
        <f>#REF!</f>
        <v>#REF!</v>
      </c>
      <c r="CB1134" s="16" t="e">
        <f>#REF!</f>
        <v>#REF!</v>
      </c>
      <c r="CC1134" s="16" t="e">
        <f>#REF!</f>
        <v>#REF!</v>
      </c>
      <c r="CD1134" s="16" t="e">
        <f>#REF!</f>
        <v>#REF!</v>
      </c>
      <c r="CE1134" s="16" t="e">
        <f>#REF!</f>
        <v>#REF!</v>
      </c>
      <c r="CF1134" s="16" t="e">
        <f>#REF!</f>
        <v>#REF!</v>
      </c>
      <c r="CG1134" s="16" t="e">
        <f>#REF!</f>
        <v>#REF!</v>
      </c>
      <c r="CH1134" s="16" t="e">
        <f>#REF!</f>
        <v>#REF!</v>
      </c>
      <c r="CI1134" s="16" t="e">
        <f t="shared" si="7"/>
        <v>#REF!</v>
      </c>
    </row>
    <row r="1135" spans="74:87" ht="15.75">
      <c r="BV1135" s="12" t="s">
        <v>66</v>
      </c>
      <c r="BW1135" s="16" t="e">
        <f>#REF!</f>
        <v>#REF!</v>
      </c>
      <c r="BX1135" s="16" t="e">
        <f>#REF!</f>
        <v>#REF!</v>
      </c>
      <c r="BY1135" s="16" t="e">
        <f>#REF!</f>
        <v>#REF!</v>
      </c>
      <c r="BZ1135" s="16" t="e">
        <f>#REF!</f>
        <v>#REF!</v>
      </c>
      <c r="CA1135" s="16" t="e">
        <f>#REF!</f>
        <v>#REF!</v>
      </c>
      <c r="CB1135" s="16" t="e">
        <f>#REF!</f>
        <v>#REF!</v>
      </c>
      <c r="CC1135" s="16" t="e">
        <f>#REF!</f>
        <v>#REF!</v>
      </c>
      <c r="CD1135" s="16" t="e">
        <f>#REF!</f>
        <v>#REF!</v>
      </c>
      <c r="CE1135" s="16" t="e">
        <f>#REF!</f>
        <v>#REF!</v>
      </c>
      <c r="CF1135" s="16" t="e">
        <f>#REF!</f>
        <v>#REF!</v>
      </c>
      <c r="CG1135" s="16" t="e">
        <f>#REF!</f>
        <v>#REF!</v>
      </c>
      <c r="CH1135" s="16" t="e">
        <f>#REF!</f>
        <v>#REF!</v>
      </c>
      <c r="CI1135" s="16" t="e">
        <f t="shared" si="7"/>
        <v>#REF!</v>
      </c>
    </row>
    <row r="1136" spans="74:87" ht="15.75">
      <c r="BV1136" s="12" t="s">
        <v>20</v>
      </c>
      <c r="BW1136" s="16" t="e">
        <f>#REF!</f>
        <v>#REF!</v>
      </c>
      <c r="BX1136" s="16" t="e">
        <f>#REF!</f>
        <v>#REF!</v>
      </c>
      <c r="BY1136" s="16" t="e">
        <f>#REF!</f>
        <v>#REF!</v>
      </c>
      <c r="BZ1136" s="16" t="e">
        <f>#REF!</f>
        <v>#REF!</v>
      </c>
      <c r="CA1136" s="16" t="e">
        <f>#REF!</f>
        <v>#REF!</v>
      </c>
      <c r="CB1136" s="16" t="e">
        <f>#REF!</f>
        <v>#REF!</v>
      </c>
      <c r="CC1136" s="16" t="e">
        <f>#REF!</f>
        <v>#REF!</v>
      </c>
      <c r="CD1136" s="16" t="e">
        <f>#REF!</f>
        <v>#REF!</v>
      </c>
      <c r="CE1136" s="16" t="e">
        <f>#REF!</f>
        <v>#REF!</v>
      </c>
      <c r="CF1136" s="16" t="e">
        <f>#REF!</f>
        <v>#REF!</v>
      </c>
      <c r="CG1136" s="16" t="e">
        <f>#REF!</f>
        <v>#REF!</v>
      </c>
      <c r="CH1136" s="16" t="e">
        <f>#REF!</f>
        <v>#REF!</v>
      </c>
      <c r="CI1136" s="16" t="e">
        <f t="shared" si="7"/>
        <v>#REF!</v>
      </c>
    </row>
    <row r="1137" spans="74:87" ht="15.75">
      <c r="BV1137" s="12" t="s">
        <v>22</v>
      </c>
      <c r="BW1137" s="16" t="e">
        <f>#REF!+#REF!</f>
        <v>#REF!</v>
      </c>
      <c r="BX1137" s="16" t="e">
        <f>#REF!+#REF!</f>
        <v>#REF!</v>
      </c>
      <c r="BY1137" s="16" t="e">
        <f>#REF!+#REF!</f>
        <v>#REF!</v>
      </c>
      <c r="BZ1137" s="16" t="e">
        <f>#REF!+#REF!</f>
        <v>#REF!</v>
      </c>
      <c r="CA1137" s="16" t="e">
        <f>#REF!+#REF!</f>
        <v>#REF!</v>
      </c>
      <c r="CB1137" s="16" t="e">
        <f>#REF!+#REF!</f>
        <v>#REF!</v>
      </c>
      <c r="CC1137" s="16" t="e">
        <f>#REF!+#REF!</f>
        <v>#REF!</v>
      </c>
      <c r="CD1137" s="16" t="e">
        <f>#REF!+#REF!</f>
        <v>#REF!</v>
      </c>
      <c r="CE1137" s="16" t="e">
        <f>#REF!</f>
        <v>#REF!</v>
      </c>
      <c r="CF1137" s="16" t="e">
        <f>#REF!</f>
        <v>#REF!</v>
      </c>
      <c r="CG1137" s="16" t="e">
        <f>#REF!</f>
        <v>#REF!</v>
      </c>
      <c r="CH1137" s="16" t="e">
        <f>#REF!</f>
        <v>#REF!</v>
      </c>
      <c r="CI1137" s="16" t="e">
        <f t="shared" si="7"/>
        <v>#REF!</v>
      </c>
    </row>
    <row r="1138" spans="74:87" ht="15.75">
      <c r="BV1138" s="12" t="s">
        <v>23</v>
      </c>
      <c r="BW1138" s="16" t="e">
        <f>#REF!</f>
        <v>#REF!</v>
      </c>
      <c r="BX1138" s="16" t="e">
        <f>#REF!</f>
        <v>#REF!</v>
      </c>
      <c r="BY1138" s="16" t="e">
        <f>#REF!</f>
        <v>#REF!</v>
      </c>
      <c r="BZ1138" s="16" t="e">
        <f>#REF!</f>
        <v>#REF!</v>
      </c>
      <c r="CA1138" s="16" t="e">
        <f>#REF!</f>
        <v>#REF!</v>
      </c>
      <c r="CB1138" s="16" t="e">
        <f>#REF!</f>
        <v>#REF!</v>
      </c>
      <c r="CC1138" s="16" t="e">
        <f>#REF!</f>
        <v>#REF!</v>
      </c>
      <c r="CD1138" s="16" t="e">
        <f>#REF!</f>
        <v>#REF!</v>
      </c>
      <c r="CE1138" s="16" t="e">
        <f>#REF!</f>
        <v>#REF!</v>
      </c>
      <c r="CF1138" s="16" t="e">
        <f>#REF!</f>
        <v>#REF!</v>
      </c>
      <c r="CG1138" s="16" t="e">
        <f>#REF!</f>
        <v>#REF!</v>
      </c>
      <c r="CH1138" s="16" t="e">
        <f>#REF!</f>
        <v>#REF!</v>
      </c>
      <c r="CI1138" s="16" t="e">
        <f t="shared" si="7"/>
        <v>#REF!</v>
      </c>
    </row>
    <row r="1139" spans="74:87" ht="15.75">
      <c r="BV1139" s="12" t="s">
        <v>25</v>
      </c>
      <c r="BW1139" s="16" t="e">
        <f>#REF!</f>
        <v>#REF!</v>
      </c>
      <c r="BX1139" s="16" t="e">
        <f>#REF!</f>
        <v>#REF!</v>
      </c>
      <c r="BY1139" s="16" t="e">
        <f>#REF!</f>
        <v>#REF!</v>
      </c>
      <c r="BZ1139" s="16" t="e">
        <f>#REF!</f>
        <v>#REF!</v>
      </c>
      <c r="CA1139" s="16" t="e">
        <f>#REF!</f>
        <v>#REF!</v>
      </c>
      <c r="CB1139" s="16" t="e">
        <f>#REF!</f>
        <v>#REF!</v>
      </c>
      <c r="CC1139" s="16" t="e">
        <f>#REF!</f>
        <v>#REF!</v>
      </c>
      <c r="CD1139" s="16" t="e">
        <f>#REF!</f>
        <v>#REF!</v>
      </c>
      <c r="CE1139" s="16" t="e">
        <f>#REF!</f>
        <v>#REF!</v>
      </c>
      <c r="CF1139" s="16" t="e">
        <f>#REF!</f>
        <v>#REF!</v>
      </c>
      <c r="CG1139" s="16" t="e">
        <f>#REF!</f>
        <v>#REF!</v>
      </c>
      <c r="CH1139" s="16" t="e">
        <f>#REF!</f>
        <v>#REF!</v>
      </c>
      <c r="CI1139" s="16" t="e">
        <f t="shared" si="7"/>
        <v>#REF!</v>
      </c>
    </row>
    <row r="1140" spans="74:87" ht="15.75">
      <c r="BV1140" s="12" t="s">
        <v>26</v>
      </c>
      <c r="BW1140" s="16" t="e">
        <f>#REF!</f>
        <v>#REF!</v>
      </c>
      <c r="BX1140" s="16" t="e">
        <f>#REF!</f>
        <v>#REF!</v>
      </c>
      <c r="BY1140" s="16" t="e">
        <f>#REF!</f>
        <v>#REF!</v>
      </c>
      <c r="BZ1140" s="16" t="e">
        <f>#REF!</f>
        <v>#REF!</v>
      </c>
      <c r="CA1140" s="16" t="e">
        <f>#REF!</f>
        <v>#REF!</v>
      </c>
      <c r="CB1140" s="16" t="e">
        <f>#REF!</f>
        <v>#REF!</v>
      </c>
      <c r="CC1140" s="16" t="e">
        <f>#REF!</f>
        <v>#REF!</v>
      </c>
      <c r="CD1140" s="16" t="e">
        <f>#REF!</f>
        <v>#REF!</v>
      </c>
      <c r="CE1140" s="16" t="e">
        <f>#REF!</f>
        <v>#REF!</v>
      </c>
      <c r="CF1140" s="16" t="e">
        <f>#REF!</f>
        <v>#REF!</v>
      </c>
      <c r="CG1140" s="16" t="e">
        <f>#REF!</f>
        <v>#REF!</v>
      </c>
      <c r="CH1140" s="16" t="e">
        <f>#REF!</f>
        <v>#REF!</v>
      </c>
      <c r="CI1140" s="16" t="e">
        <f t="shared" si="7"/>
        <v>#REF!</v>
      </c>
    </row>
    <row r="1141" spans="74:87" ht="15.75">
      <c r="BV1141" s="12" t="s">
        <v>67</v>
      </c>
      <c r="BW1141" s="16">
        <v>0</v>
      </c>
      <c r="BX1141" s="16">
        <v>0</v>
      </c>
      <c r="BY1141" s="16">
        <v>0</v>
      </c>
      <c r="BZ1141" s="16">
        <v>0</v>
      </c>
      <c r="CA1141" s="16">
        <v>0</v>
      </c>
      <c r="CB1141" s="16">
        <v>0</v>
      </c>
      <c r="CC1141" s="16">
        <v>0</v>
      </c>
      <c r="CD1141" s="16">
        <v>0</v>
      </c>
      <c r="CE1141" s="16">
        <v>0</v>
      </c>
      <c r="CF1141" s="16">
        <v>0</v>
      </c>
      <c r="CG1141" s="16">
        <v>0</v>
      </c>
      <c r="CH1141" s="16">
        <v>0</v>
      </c>
      <c r="CI1141" s="16">
        <f t="shared" si="7"/>
        <v>0</v>
      </c>
    </row>
    <row r="1142" spans="74:87" ht="15.75">
      <c r="BV1142" s="12" t="s">
        <v>68</v>
      </c>
      <c r="BW1142" s="16">
        <v>0</v>
      </c>
      <c r="BX1142" s="16">
        <v>0</v>
      </c>
      <c r="BY1142" s="16">
        <v>0</v>
      </c>
      <c r="BZ1142" s="16">
        <v>0</v>
      </c>
      <c r="CA1142" s="16">
        <v>0</v>
      </c>
      <c r="CB1142" s="16">
        <v>0</v>
      </c>
      <c r="CC1142" s="16">
        <v>0</v>
      </c>
      <c r="CD1142" s="16">
        <v>0</v>
      </c>
      <c r="CE1142" s="16">
        <v>0</v>
      </c>
      <c r="CF1142" s="16">
        <v>0</v>
      </c>
      <c r="CG1142" s="16">
        <v>0</v>
      </c>
      <c r="CH1142" s="16">
        <v>0</v>
      </c>
      <c r="CI1142" s="16">
        <f t="shared" si="7"/>
        <v>0</v>
      </c>
    </row>
    <row r="1143" spans="74:87" ht="15.75">
      <c r="BV1143" s="12" t="s">
        <v>27</v>
      </c>
      <c r="BW1143" s="16" t="e">
        <f>#REF!</f>
        <v>#REF!</v>
      </c>
      <c r="BX1143" s="16" t="e">
        <f>#REF!</f>
        <v>#REF!</v>
      </c>
      <c r="BY1143" s="16" t="e">
        <f>#REF!</f>
        <v>#REF!</v>
      </c>
      <c r="BZ1143" s="16" t="e">
        <f>#REF!</f>
        <v>#REF!</v>
      </c>
      <c r="CA1143" s="16" t="e">
        <f>#REF!</f>
        <v>#REF!</v>
      </c>
      <c r="CB1143" s="16" t="e">
        <f>#REF!</f>
        <v>#REF!</v>
      </c>
      <c r="CC1143" s="16" t="e">
        <f>#REF!</f>
        <v>#REF!</v>
      </c>
      <c r="CD1143" s="16" t="e">
        <f>#REF!</f>
        <v>#REF!</v>
      </c>
      <c r="CE1143" s="16" t="e">
        <f>#REF!</f>
        <v>#REF!</v>
      </c>
      <c r="CF1143" s="16" t="e">
        <f>#REF!</f>
        <v>#REF!</v>
      </c>
      <c r="CG1143" s="16" t="e">
        <f>#REF!</f>
        <v>#REF!</v>
      </c>
      <c r="CH1143" s="16" t="e">
        <f>#REF!</f>
        <v>#REF!</v>
      </c>
      <c r="CI1143" s="16" t="e">
        <f t="shared" si="7"/>
        <v>#REF!</v>
      </c>
    </row>
    <row r="1144" spans="74:87" ht="15.75">
      <c r="BV1144" s="12" t="s">
        <v>69</v>
      </c>
      <c r="BW1144" s="16">
        <v>0</v>
      </c>
      <c r="BX1144" s="16">
        <v>0</v>
      </c>
      <c r="BY1144" s="16">
        <v>0</v>
      </c>
      <c r="BZ1144" s="16">
        <v>0</v>
      </c>
      <c r="CA1144" s="16">
        <v>0</v>
      </c>
      <c r="CB1144" s="16">
        <v>0</v>
      </c>
      <c r="CC1144" s="16">
        <v>0</v>
      </c>
      <c r="CD1144" s="16">
        <v>0</v>
      </c>
      <c r="CE1144" s="16">
        <v>0</v>
      </c>
      <c r="CF1144" s="16">
        <v>0</v>
      </c>
      <c r="CG1144" s="16">
        <v>0</v>
      </c>
      <c r="CH1144" s="16">
        <v>0</v>
      </c>
      <c r="CI1144" s="16">
        <f t="shared" si="7"/>
        <v>0</v>
      </c>
    </row>
    <row r="1145" spans="75:87" ht="15.75"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</row>
    <row r="1146" spans="74:87" ht="15.75">
      <c r="BV1146" s="12" t="s">
        <v>64</v>
      </c>
      <c r="BW1146" s="16" t="e">
        <f aca="true" t="shared" si="8" ref="BW1146:CH1146">SUM(BW1130:BW1144)</f>
        <v>#REF!</v>
      </c>
      <c r="BX1146" s="16" t="e">
        <f t="shared" si="8"/>
        <v>#REF!</v>
      </c>
      <c r="BY1146" s="16" t="e">
        <f t="shared" si="8"/>
        <v>#REF!</v>
      </c>
      <c r="BZ1146" s="16" t="e">
        <f t="shared" si="8"/>
        <v>#REF!</v>
      </c>
      <c r="CA1146" s="16" t="e">
        <f t="shared" si="8"/>
        <v>#REF!</v>
      </c>
      <c r="CB1146" s="16" t="e">
        <f t="shared" si="8"/>
        <v>#REF!</v>
      </c>
      <c r="CC1146" s="16" t="e">
        <f t="shared" si="8"/>
        <v>#REF!</v>
      </c>
      <c r="CD1146" s="16" t="e">
        <f t="shared" si="8"/>
        <v>#REF!</v>
      </c>
      <c r="CE1146" s="16" t="e">
        <f t="shared" si="8"/>
        <v>#REF!</v>
      </c>
      <c r="CF1146" s="16" t="e">
        <f t="shared" si="8"/>
        <v>#REF!</v>
      </c>
      <c r="CG1146" s="16" t="e">
        <f t="shared" si="8"/>
        <v>#REF!</v>
      </c>
      <c r="CH1146" s="16" t="e">
        <f t="shared" si="8"/>
        <v>#REF!</v>
      </c>
      <c r="CI1146" s="16"/>
    </row>
    <row r="1147" spans="75:87" ht="15.75"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</row>
    <row r="1154" spans="74:79" ht="15.75">
      <c r="BV1154" s="11"/>
      <c r="CA1154" s="13" t="s">
        <v>90</v>
      </c>
    </row>
    <row r="1155" spans="74:79" ht="15.75">
      <c r="BV1155" s="11"/>
      <c r="CA1155" s="13" t="s">
        <v>91</v>
      </c>
    </row>
    <row r="1156" spans="74:79" ht="15.75">
      <c r="BV1156" s="11"/>
      <c r="CA1156" s="12" t="str">
        <f>$C$95</f>
        <v>      TEST YEAR ENDING SEPTEMBER 30, 2006</v>
      </c>
    </row>
    <row r="1157" ht="15.75">
      <c r="BV1157" s="11"/>
    </row>
    <row r="1158" spans="74:87" ht="15.75">
      <c r="BV1158" s="11"/>
      <c r="BW1158" s="14">
        <f>$C$1</f>
        <v>38626</v>
      </c>
      <c r="BX1158" s="14">
        <f>$G$1</f>
        <v>38657</v>
      </c>
      <c r="BY1158" s="14">
        <f>$L$1</f>
        <v>38687</v>
      </c>
      <c r="BZ1158" s="14">
        <f>$Q$1</f>
        <v>38718</v>
      </c>
      <c r="CA1158" s="14">
        <f>$U$1</f>
        <v>38749</v>
      </c>
      <c r="CB1158" s="14">
        <f>$Y$1</f>
        <v>38777</v>
      </c>
      <c r="CC1158" s="14">
        <f>$AC$1</f>
        <v>38808</v>
      </c>
      <c r="CD1158" s="14">
        <f>$AG$1</f>
        <v>38838</v>
      </c>
      <c r="CE1158" s="14">
        <f>$AK$1</f>
        <v>38869</v>
      </c>
      <c r="CF1158" s="14">
        <f>$AO$1</f>
        <v>38899</v>
      </c>
      <c r="CG1158" s="14">
        <f>$AS$1</f>
        <v>38930</v>
      </c>
      <c r="CH1158" s="14">
        <f>$AW$1</f>
        <v>38961</v>
      </c>
      <c r="CI1158" s="15" t="s">
        <v>64</v>
      </c>
    </row>
    <row r="1159" ht="15.75">
      <c r="BV1159" s="11"/>
    </row>
    <row r="1160" spans="74:87" ht="15.75">
      <c r="BV1160" s="11" t="s">
        <v>70</v>
      </c>
      <c r="BW1160" s="16" t="e">
        <f>#REF!</f>
        <v>#REF!</v>
      </c>
      <c r="BX1160" s="16" t="e">
        <f>#REF!</f>
        <v>#REF!</v>
      </c>
      <c r="BY1160" s="16" t="e">
        <f>#REF!</f>
        <v>#REF!</v>
      </c>
      <c r="BZ1160" s="16" t="e">
        <f>#REF!</f>
        <v>#REF!</v>
      </c>
      <c r="CA1160" s="16" t="e">
        <f>#REF!</f>
        <v>#REF!</v>
      </c>
      <c r="CB1160" s="16" t="e">
        <f>#REF!</f>
        <v>#REF!</v>
      </c>
      <c r="CC1160" s="16" t="e">
        <f>#REF!</f>
        <v>#REF!</v>
      </c>
      <c r="CD1160" s="16" t="e">
        <f>#REF!</f>
        <v>#REF!</v>
      </c>
      <c r="CE1160" s="16" t="e">
        <f>#REF!</f>
        <v>#REF!</v>
      </c>
      <c r="CF1160" s="16" t="e">
        <f>#REF!</f>
        <v>#REF!</v>
      </c>
      <c r="CG1160" s="16" t="e">
        <f>#REF!</f>
        <v>#REF!</v>
      </c>
      <c r="CH1160" s="16" t="e">
        <f>#REF!</f>
        <v>#REF!</v>
      </c>
      <c r="CI1160" s="16" t="e">
        <f aca="true" t="shared" si="9" ref="CI1160:CI1180">SUM(BW1160:CH1160)</f>
        <v>#REF!</v>
      </c>
    </row>
    <row r="1161" spans="74:87" ht="15.75">
      <c r="BV1161" s="11" t="s">
        <v>65</v>
      </c>
      <c r="BW1161" s="16">
        <v>0</v>
      </c>
      <c r="BX1161" s="16">
        <v>0</v>
      </c>
      <c r="BY1161" s="16">
        <v>0</v>
      </c>
      <c r="BZ1161" s="16">
        <v>0</v>
      </c>
      <c r="CA1161" s="16">
        <v>0</v>
      </c>
      <c r="CB1161" s="16">
        <v>0</v>
      </c>
      <c r="CC1161" s="16">
        <v>0</v>
      </c>
      <c r="CD1161" s="16">
        <v>0</v>
      </c>
      <c r="CE1161" s="16">
        <v>0</v>
      </c>
      <c r="CF1161" s="16">
        <v>0</v>
      </c>
      <c r="CG1161" s="16">
        <v>0</v>
      </c>
      <c r="CH1161" s="16">
        <v>0</v>
      </c>
      <c r="CI1161" s="16">
        <f t="shared" si="9"/>
        <v>0</v>
      </c>
    </row>
    <row r="1162" spans="74:87" ht="15.75">
      <c r="BV1162" s="11" t="s">
        <v>71</v>
      </c>
      <c r="BW1162" s="16">
        <f>E14</f>
        <v>10675</v>
      </c>
      <c r="BX1162" s="16">
        <f>I14</f>
        <v>109322</v>
      </c>
      <c r="BY1162" s="16">
        <f>O14</f>
        <v>320235</v>
      </c>
      <c r="BZ1162" s="16">
        <f>S14</f>
        <v>373243</v>
      </c>
      <c r="CA1162" s="16">
        <f>W14</f>
        <v>336088</v>
      </c>
      <c r="CB1162" s="16">
        <f>AA14</f>
        <v>336935</v>
      </c>
      <c r="CC1162" s="16">
        <f>AE14</f>
        <v>242728</v>
      </c>
      <c r="CD1162" s="16">
        <f>AI14</f>
        <v>76426</v>
      </c>
      <c r="CE1162" s="16">
        <f>AM14</f>
        <v>32635</v>
      </c>
      <c r="CF1162" s="16">
        <f>AQ14</f>
        <v>4359</v>
      </c>
      <c r="CG1162" s="16">
        <f>AU14</f>
        <v>2070</v>
      </c>
      <c r="CH1162" s="16">
        <f>AY14</f>
        <v>1079</v>
      </c>
      <c r="CI1162" s="16">
        <f t="shared" si="9"/>
        <v>1845795</v>
      </c>
    </row>
    <row r="1163" spans="74:87" ht="15.75">
      <c r="BV1163" s="11" t="s">
        <v>72</v>
      </c>
      <c r="BW1163" s="16" t="e">
        <f>#REF!</f>
        <v>#REF!</v>
      </c>
      <c r="BX1163" s="16" t="e">
        <f>#REF!</f>
        <v>#REF!</v>
      </c>
      <c r="BY1163" s="16" t="e">
        <f>#REF!</f>
        <v>#REF!</v>
      </c>
      <c r="BZ1163" s="16" t="e">
        <f>#REF!</f>
        <v>#REF!</v>
      </c>
      <c r="CA1163" s="16" t="e">
        <f>#REF!</f>
        <v>#REF!</v>
      </c>
      <c r="CB1163" s="16" t="e">
        <f>#REF!</f>
        <v>#REF!</v>
      </c>
      <c r="CC1163" s="16" t="e">
        <f>#REF!</f>
        <v>#REF!</v>
      </c>
      <c r="CD1163" s="16" t="e">
        <f>#REF!</f>
        <v>#REF!</v>
      </c>
      <c r="CE1163" s="16" t="e">
        <f>#REF!</f>
        <v>#REF!</v>
      </c>
      <c r="CF1163" s="16" t="e">
        <f>#REF!</f>
        <v>#REF!</v>
      </c>
      <c r="CG1163" s="16" t="e">
        <f>#REF!</f>
        <v>#REF!</v>
      </c>
      <c r="CH1163" s="16" t="e">
        <f>#REF!</f>
        <v>#REF!</v>
      </c>
      <c r="CI1163" s="16" t="e">
        <f t="shared" si="9"/>
        <v>#REF!</v>
      </c>
    </row>
    <row r="1164" spans="74:87" ht="15.75">
      <c r="BV1164" s="11" t="s">
        <v>73</v>
      </c>
      <c r="BW1164" s="16" t="e">
        <f>#REF!*70</f>
        <v>#REF!</v>
      </c>
      <c r="BX1164" s="16" t="e">
        <f>#REF!*70</f>
        <v>#REF!</v>
      </c>
      <c r="BY1164" s="16" t="e">
        <f>#REF!*70</f>
        <v>#REF!</v>
      </c>
      <c r="BZ1164" s="16" t="e">
        <f>#REF!*70</f>
        <v>#REF!</v>
      </c>
      <c r="CA1164" s="16" t="e">
        <f>#REF!*70</f>
        <v>#REF!</v>
      </c>
      <c r="CB1164" s="16" t="e">
        <f>#REF!*70</f>
        <v>#REF!</v>
      </c>
      <c r="CC1164" s="16" t="e">
        <f>#REF!*70</f>
        <v>#REF!</v>
      </c>
      <c r="CD1164" s="16" t="e">
        <f>#REF!*70</f>
        <v>#REF!</v>
      </c>
      <c r="CE1164" s="16" t="e">
        <f>#REF!*70</f>
        <v>#REF!</v>
      </c>
      <c r="CF1164" s="16" t="e">
        <f>#REF!*70</f>
        <v>#REF!</v>
      </c>
      <c r="CG1164" s="16" t="e">
        <f>#REF!*70</f>
        <v>#REF!</v>
      </c>
      <c r="CH1164" s="16" t="e">
        <f>#REF!*70</f>
        <v>#REF!</v>
      </c>
      <c r="CI1164" s="16" t="e">
        <f t="shared" si="9"/>
        <v>#REF!</v>
      </c>
    </row>
    <row r="1165" spans="74:87" ht="15.75">
      <c r="BV1165" s="11" t="s">
        <v>74</v>
      </c>
      <c r="BW1165" s="16" t="e">
        <f>#REF!</f>
        <v>#REF!</v>
      </c>
      <c r="BX1165" s="16" t="e">
        <f>#REF!</f>
        <v>#REF!</v>
      </c>
      <c r="BY1165" s="16" t="e">
        <f>#REF!</f>
        <v>#REF!</v>
      </c>
      <c r="BZ1165" s="16" t="e">
        <f>#REF!</f>
        <v>#REF!</v>
      </c>
      <c r="CA1165" s="16" t="e">
        <f>#REF!</f>
        <v>#REF!</v>
      </c>
      <c r="CB1165" s="16" t="e">
        <f>#REF!</f>
        <v>#REF!</v>
      </c>
      <c r="CC1165" s="16" t="e">
        <f>#REF!</f>
        <v>#REF!</v>
      </c>
      <c r="CD1165" s="16" t="e">
        <f>#REF!</f>
        <v>#REF!</v>
      </c>
      <c r="CE1165" s="16" t="e">
        <f>#REF!</f>
        <v>#REF!</v>
      </c>
      <c r="CF1165" s="16" t="e">
        <f>#REF!</f>
        <v>#REF!</v>
      </c>
      <c r="CG1165" s="16" t="e">
        <f>#REF!</f>
        <v>#REF!</v>
      </c>
      <c r="CH1165" s="16" t="e">
        <f>#REF!</f>
        <v>#REF!</v>
      </c>
      <c r="CI1165" s="16" t="e">
        <f t="shared" si="9"/>
        <v>#REF!</v>
      </c>
    </row>
    <row r="1166" spans="74:87" ht="15.75">
      <c r="BV1166" s="11" t="s">
        <v>75</v>
      </c>
      <c r="BW1166" s="16" t="e">
        <f>#REF!+#REF!</f>
        <v>#REF!</v>
      </c>
      <c r="BX1166" s="16" t="e">
        <f>#REF!+#REF!</f>
        <v>#REF!</v>
      </c>
      <c r="BY1166" s="16" t="e">
        <f>#REF!+#REF!</f>
        <v>#REF!</v>
      </c>
      <c r="BZ1166" s="16" t="e">
        <f>#REF!+#REF!</f>
        <v>#REF!</v>
      </c>
      <c r="CA1166" s="16" t="e">
        <f>#REF!+#REF!</f>
        <v>#REF!</v>
      </c>
      <c r="CB1166" s="16" t="e">
        <f>#REF!+#REF!</f>
        <v>#REF!</v>
      </c>
      <c r="CC1166" s="16" t="e">
        <f>#REF!+#REF!</f>
        <v>#REF!</v>
      </c>
      <c r="CD1166" s="16" t="e">
        <f>#REF!+#REF!</f>
        <v>#REF!</v>
      </c>
      <c r="CE1166" s="16" t="e">
        <f>#REF!</f>
        <v>#REF!</v>
      </c>
      <c r="CF1166" s="16" t="e">
        <f>#REF!</f>
        <v>#REF!</v>
      </c>
      <c r="CG1166" s="16" t="e">
        <f>#REF!</f>
        <v>#REF!</v>
      </c>
      <c r="CH1166" s="16" t="e">
        <f>#REF!</f>
        <v>#REF!</v>
      </c>
      <c r="CI1166" s="16" t="e">
        <f t="shared" si="9"/>
        <v>#REF!</v>
      </c>
    </row>
    <row r="1167" spans="74:87" ht="15.75">
      <c r="BV1167" s="11" t="s">
        <v>76</v>
      </c>
      <c r="BW1167" s="16" t="e">
        <f>#REF!</f>
        <v>#REF!</v>
      </c>
      <c r="BX1167" s="16" t="e">
        <f>#REF!</f>
        <v>#REF!</v>
      </c>
      <c r="BY1167" s="16" t="e">
        <f>#REF!</f>
        <v>#REF!</v>
      </c>
      <c r="BZ1167" s="16" t="e">
        <f>#REF!</f>
        <v>#REF!</v>
      </c>
      <c r="CA1167" s="16" t="e">
        <f>#REF!</f>
        <v>#REF!</v>
      </c>
      <c r="CB1167" s="16" t="e">
        <f>#REF!</f>
        <v>#REF!</v>
      </c>
      <c r="CC1167" s="16" t="e">
        <f>#REF!</f>
        <v>#REF!</v>
      </c>
      <c r="CD1167" s="16" t="e">
        <f>#REF!</f>
        <v>#REF!</v>
      </c>
      <c r="CE1167" s="16" t="e">
        <f>#REF!</f>
        <v>#REF!</v>
      </c>
      <c r="CF1167" s="16" t="e">
        <f>#REF!</f>
        <v>#REF!</v>
      </c>
      <c r="CG1167" s="16" t="e">
        <f>#REF!</f>
        <v>#REF!</v>
      </c>
      <c r="CH1167" s="16" t="e">
        <f>#REF!</f>
        <v>#REF!</v>
      </c>
      <c r="CI1167" s="16" t="e">
        <f t="shared" si="9"/>
        <v>#REF!</v>
      </c>
    </row>
    <row r="1168" spans="74:87" ht="15.75">
      <c r="BV1168" s="11" t="s">
        <v>77</v>
      </c>
      <c r="BW1168" s="17" t="e">
        <f>#REF!</f>
        <v>#REF!</v>
      </c>
      <c r="BX1168" s="17" t="e">
        <f>#REF!</f>
        <v>#REF!</v>
      </c>
      <c r="BY1168" s="17" t="e">
        <f>#REF!</f>
        <v>#REF!</v>
      </c>
      <c r="BZ1168" s="17" t="e">
        <f>#REF!</f>
        <v>#REF!</v>
      </c>
      <c r="CA1168" s="17" t="e">
        <f>#REF!</f>
        <v>#REF!</v>
      </c>
      <c r="CB1168" s="17" t="e">
        <f>#REF!</f>
        <v>#REF!</v>
      </c>
      <c r="CC1168" s="17" t="e">
        <f>#REF!</f>
        <v>#REF!</v>
      </c>
      <c r="CD1168" s="17" t="e">
        <f>#REF!</f>
        <v>#REF!</v>
      </c>
      <c r="CE1168" s="17" t="e">
        <f>#REF!</f>
        <v>#REF!</v>
      </c>
      <c r="CF1168" s="17" t="e">
        <f>#REF!</f>
        <v>#REF!</v>
      </c>
      <c r="CG1168" s="17" t="e">
        <f>#REF!</f>
        <v>#REF!</v>
      </c>
      <c r="CH1168" s="17" t="e">
        <f>#REF!</f>
        <v>#REF!</v>
      </c>
      <c r="CI1168" s="17" t="e">
        <f t="shared" si="9"/>
        <v>#REF!</v>
      </c>
    </row>
    <row r="1169" spans="74:87" ht="15.75">
      <c r="BV1169" s="11" t="s">
        <v>78</v>
      </c>
      <c r="BW1169" s="16" t="e">
        <f>#REF!</f>
        <v>#REF!</v>
      </c>
      <c r="BX1169" s="16" t="e">
        <f>#REF!</f>
        <v>#REF!</v>
      </c>
      <c r="BY1169" s="16" t="e">
        <f>#REF!</f>
        <v>#REF!</v>
      </c>
      <c r="BZ1169" s="16" t="e">
        <f>#REF!</f>
        <v>#REF!</v>
      </c>
      <c r="CA1169" s="16" t="e">
        <f>#REF!</f>
        <v>#REF!</v>
      </c>
      <c r="CB1169" s="16" t="e">
        <f>#REF!</f>
        <v>#REF!</v>
      </c>
      <c r="CC1169" s="16" t="e">
        <f>#REF!</f>
        <v>#REF!</v>
      </c>
      <c r="CD1169" s="16" t="e">
        <f>#REF!</f>
        <v>#REF!</v>
      </c>
      <c r="CE1169" s="16" t="e">
        <f>#REF!</f>
        <v>#REF!</v>
      </c>
      <c r="CF1169" s="16" t="e">
        <f>#REF!</f>
        <v>#REF!</v>
      </c>
      <c r="CG1169" s="16" t="e">
        <f>#REF!</f>
        <v>#REF!</v>
      </c>
      <c r="CH1169" s="16" t="e">
        <f>#REF!</f>
        <v>#REF!</v>
      </c>
      <c r="CI1169" s="16" t="e">
        <f t="shared" si="9"/>
        <v>#REF!</v>
      </c>
    </row>
    <row r="1170" spans="74:87" ht="15.75">
      <c r="BV1170" s="11" t="s">
        <v>77</v>
      </c>
      <c r="BW1170" s="17" t="e">
        <f>#REF!</f>
        <v>#REF!</v>
      </c>
      <c r="BX1170" s="17" t="e">
        <f>#REF!</f>
        <v>#REF!</v>
      </c>
      <c r="BY1170" s="17" t="e">
        <f>#REF!</f>
        <v>#REF!</v>
      </c>
      <c r="BZ1170" s="17" t="e">
        <f>#REF!</f>
        <v>#REF!</v>
      </c>
      <c r="CA1170" s="17" t="e">
        <f>#REF!</f>
        <v>#REF!</v>
      </c>
      <c r="CB1170" s="17" t="e">
        <f>#REF!</f>
        <v>#REF!</v>
      </c>
      <c r="CC1170" s="17" t="e">
        <f>#REF!</f>
        <v>#REF!</v>
      </c>
      <c r="CD1170" s="17" t="e">
        <f>#REF!</f>
        <v>#REF!</v>
      </c>
      <c r="CE1170" s="17" t="e">
        <f>#REF!</f>
        <v>#REF!</v>
      </c>
      <c r="CF1170" s="17" t="e">
        <f>#REF!</f>
        <v>#REF!</v>
      </c>
      <c r="CG1170" s="17" t="e">
        <f>#REF!</f>
        <v>#REF!</v>
      </c>
      <c r="CH1170" s="17" t="e">
        <f>#REF!</f>
        <v>#REF!</v>
      </c>
      <c r="CI1170" s="17" t="e">
        <f t="shared" si="9"/>
        <v>#REF!</v>
      </c>
    </row>
    <row r="1171" spans="74:87" ht="15.75">
      <c r="BV1171" s="11" t="s">
        <v>79</v>
      </c>
      <c r="BW1171" s="16" t="e">
        <f>#REF!</f>
        <v>#REF!</v>
      </c>
      <c r="BX1171" s="16" t="e">
        <f>#REF!</f>
        <v>#REF!</v>
      </c>
      <c r="BY1171" s="16" t="e">
        <f>#REF!</f>
        <v>#REF!</v>
      </c>
      <c r="BZ1171" s="16" t="e">
        <f>#REF!</f>
        <v>#REF!</v>
      </c>
      <c r="CA1171" s="16" t="e">
        <f>#REF!</f>
        <v>#REF!</v>
      </c>
      <c r="CB1171" s="16" t="e">
        <f>#REF!</f>
        <v>#REF!</v>
      </c>
      <c r="CC1171" s="16" t="e">
        <f>#REF!</f>
        <v>#REF!</v>
      </c>
      <c r="CD1171" s="16" t="e">
        <f>#REF!</f>
        <v>#REF!</v>
      </c>
      <c r="CE1171" s="16" t="e">
        <f>#REF!</f>
        <v>#REF!</v>
      </c>
      <c r="CF1171" s="16" t="e">
        <f>#REF!</f>
        <v>#REF!</v>
      </c>
      <c r="CG1171" s="16" t="e">
        <f>#REF!</f>
        <v>#REF!</v>
      </c>
      <c r="CH1171" s="16" t="e">
        <f>#REF!</f>
        <v>#REF!</v>
      </c>
      <c r="CI1171" s="16" t="e">
        <f t="shared" si="9"/>
        <v>#REF!</v>
      </c>
    </row>
    <row r="1172" spans="74:87" ht="15.75">
      <c r="BV1172" s="11" t="s">
        <v>77</v>
      </c>
      <c r="BW1172" s="17" t="e">
        <f>#REF!</f>
        <v>#REF!</v>
      </c>
      <c r="BX1172" s="17" t="e">
        <f>#REF!</f>
        <v>#REF!</v>
      </c>
      <c r="BY1172" s="17" t="e">
        <f>#REF!</f>
        <v>#REF!</v>
      </c>
      <c r="BZ1172" s="17" t="e">
        <f>#REF!</f>
        <v>#REF!</v>
      </c>
      <c r="CA1172" s="17" t="e">
        <f>#REF!</f>
        <v>#REF!</v>
      </c>
      <c r="CB1172" s="17" t="e">
        <f>#REF!</f>
        <v>#REF!</v>
      </c>
      <c r="CC1172" s="17" t="e">
        <f>#REF!</f>
        <v>#REF!</v>
      </c>
      <c r="CD1172" s="17" t="e">
        <f>#REF!</f>
        <v>#REF!</v>
      </c>
      <c r="CE1172" s="17" t="e">
        <f>#REF!</f>
        <v>#REF!</v>
      </c>
      <c r="CF1172" s="17" t="e">
        <f>#REF!</f>
        <v>#REF!</v>
      </c>
      <c r="CG1172" s="17" t="e">
        <f>#REF!</f>
        <v>#REF!</v>
      </c>
      <c r="CH1172" s="17" t="e">
        <f>#REF!</f>
        <v>#REF!</v>
      </c>
      <c r="CI1172" s="17" t="e">
        <f t="shared" si="9"/>
        <v>#REF!</v>
      </c>
    </row>
    <row r="1173" spans="74:87" ht="15.75">
      <c r="BV1173" s="11" t="s">
        <v>80</v>
      </c>
      <c r="BW1173" s="16">
        <v>0</v>
      </c>
      <c r="BX1173" s="16">
        <v>0</v>
      </c>
      <c r="BY1173" s="16">
        <v>0</v>
      </c>
      <c r="BZ1173" s="16">
        <v>0</v>
      </c>
      <c r="CA1173" s="16">
        <v>0</v>
      </c>
      <c r="CB1173" s="16">
        <v>0</v>
      </c>
      <c r="CC1173" s="16">
        <v>0</v>
      </c>
      <c r="CD1173" s="16">
        <v>0</v>
      </c>
      <c r="CE1173" s="16">
        <v>0</v>
      </c>
      <c r="CF1173" s="16">
        <v>0</v>
      </c>
      <c r="CG1173" s="16">
        <v>0</v>
      </c>
      <c r="CH1173" s="16">
        <v>0</v>
      </c>
      <c r="CI1173" s="16">
        <f t="shared" si="9"/>
        <v>0</v>
      </c>
    </row>
    <row r="1174" spans="74:87" ht="15.75">
      <c r="BV1174" s="11" t="s">
        <v>77</v>
      </c>
      <c r="BW1174" s="17">
        <v>0</v>
      </c>
      <c r="BX1174" s="17">
        <v>0</v>
      </c>
      <c r="BY1174" s="17">
        <v>0</v>
      </c>
      <c r="BZ1174" s="17">
        <v>0</v>
      </c>
      <c r="CA1174" s="17">
        <v>0</v>
      </c>
      <c r="CB1174" s="17">
        <v>0</v>
      </c>
      <c r="CC1174" s="17">
        <v>0</v>
      </c>
      <c r="CD1174" s="17">
        <v>0</v>
      </c>
      <c r="CE1174" s="17">
        <v>0</v>
      </c>
      <c r="CF1174" s="17">
        <v>0</v>
      </c>
      <c r="CG1174" s="17">
        <v>0</v>
      </c>
      <c r="CH1174" s="17">
        <v>0</v>
      </c>
      <c r="CI1174" s="17">
        <f t="shared" si="9"/>
        <v>0</v>
      </c>
    </row>
    <row r="1175" spans="74:87" ht="15.75">
      <c r="BV1175" s="11" t="s">
        <v>81</v>
      </c>
      <c r="BW1175" s="16">
        <v>0</v>
      </c>
      <c r="BX1175" s="16">
        <v>0</v>
      </c>
      <c r="BY1175" s="16">
        <v>0</v>
      </c>
      <c r="BZ1175" s="16">
        <v>0</v>
      </c>
      <c r="CA1175" s="16">
        <v>0</v>
      </c>
      <c r="CB1175" s="16">
        <v>0</v>
      </c>
      <c r="CC1175" s="16">
        <v>0</v>
      </c>
      <c r="CD1175" s="16">
        <v>0</v>
      </c>
      <c r="CE1175" s="16">
        <v>0</v>
      </c>
      <c r="CF1175" s="16">
        <v>0</v>
      </c>
      <c r="CG1175" s="16">
        <v>0</v>
      </c>
      <c r="CH1175" s="16">
        <v>0</v>
      </c>
      <c r="CI1175" s="16">
        <f t="shared" si="9"/>
        <v>0</v>
      </c>
    </row>
    <row r="1176" spans="74:87" ht="15.75">
      <c r="BV1176" s="11" t="s">
        <v>77</v>
      </c>
      <c r="BW1176" s="17">
        <v>0</v>
      </c>
      <c r="BX1176" s="17">
        <v>0</v>
      </c>
      <c r="BY1176" s="17">
        <v>0</v>
      </c>
      <c r="BZ1176" s="17">
        <v>0</v>
      </c>
      <c r="CA1176" s="17">
        <v>0</v>
      </c>
      <c r="CB1176" s="17">
        <v>0</v>
      </c>
      <c r="CC1176" s="17">
        <v>0</v>
      </c>
      <c r="CD1176" s="17">
        <v>0</v>
      </c>
      <c r="CE1176" s="17">
        <v>0</v>
      </c>
      <c r="CF1176" s="17">
        <v>0</v>
      </c>
      <c r="CG1176" s="17">
        <v>0</v>
      </c>
      <c r="CH1176" s="17">
        <v>0</v>
      </c>
      <c r="CI1176" s="17">
        <f t="shared" si="9"/>
        <v>0</v>
      </c>
    </row>
    <row r="1177" spans="74:87" ht="15.75">
      <c r="BV1177" s="11" t="s">
        <v>82</v>
      </c>
      <c r="BW1177" s="16" t="e">
        <f>#REF!</f>
        <v>#REF!</v>
      </c>
      <c r="BX1177" s="16" t="e">
        <f>#REF!</f>
        <v>#REF!</v>
      </c>
      <c r="BY1177" s="16" t="e">
        <f>#REF!</f>
        <v>#REF!</v>
      </c>
      <c r="BZ1177" s="16" t="e">
        <f>#REF!</f>
        <v>#REF!</v>
      </c>
      <c r="CA1177" s="16" t="e">
        <f>#REF!</f>
        <v>#REF!</v>
      </c>
      <c r="CB1177" s="16" t="e">
        <f>#REF!</f>
        <v>#REF!</v>
      </c>
      <c r="CC1177" s="16" t="e">
        <f>#REF!</f>
        <v>#REF!</v>
      </c>
      <c r="CD1177" s="16" t="e">
        <f>#REF!</f>
        <v>#REF!</v>
      </c>
      <c r="CE1177" s="16" t="e">
        <f>#REF!</f>
        <v>#REF!</v>
      </c>
      <c r="CF1177" s="16" t="e">
        <f>#REF!</f>
        <v>#REF!</v>
      </c>
      <c r="CG1177" s="16" t="e">
        <f>#REF!</f>
        <v>#REF!</v>
      </c>
      <c r="CH1177" s="16" t="e">
        <f>#REF!</f>
        <v>#REF!</v>
      </c>
      <c r="CI1177" s="16" t="e">
        <f t="shared" si="9"/>
        <v>#REF!</v>
      </c>
    </row>
    <row r="1178" spans="74:87" ht="15.75">
      <c r="BV1178" s="11" t="s">
        <v>77</v>
      </c>
      <c r="BW1178" s="17" t="e">
        <f>#REF!</f>
        <v>#REF!</v>
      </c>
      <c r="BX1178" s="17" t="e">
        <f>#REF!</f>
        <v>#REF!</v>
      </c>
      <c r="BY1178" s="17" t="e">
        <f>#REF!</f>
        <v>#REF!</v>
      </c>
      <c r="BZ1178" s="17" t="e">
        <f>#REF!</f>
        <v>#REF!</v>
      </c>
      <c r="CA1178" s="17" t="e">
        <f>#REF!</f>
        <v>#REF!</v>
      </c>
      <c r="CB1178" s="17" t="e">
        <f>#REF!</f>
        <v>#REF!</v>
      </c>
      <c r="CC1178" s="17" t="e">
        <f>#REF!</f>
        <v>#REF!</v>
      </c>
      <c r="CD1178" s="17" t="e">
        <f>#REF!</f>
        <v>#REF!</v>
      </c>
      <c r="CE1178" s="17" t="e">
        <f>#REF!</f>
        <v>#REF!</v>
      </c>
      <c r="CF1178" s="17" t="e">
        <f>#REF!</f>
        <v>#REF!</v>
      </c>
      <c r="CG1178" s="17" t="e">
        <f>#REF!</f>
        <v>#REF!</v>
      </c>
      <c r="CH1178" s="17" t="e">
        <f>#REF!</f>
        <v>#REF!</v>
      </c>
      <c r="CI1178" s="17" t="e">
        <f t="shared" si="9"/>
        <v>#REF!</v>
      </c>
    </row>
    <row r="1179" spans="74:88" ht="15.75">
      <c r="BV1179" s="11" t="s">
        <v>83</v>
      </c>
      <c r="BW1179" s="16">
        <v>0</v>
      </c>
      <c r="BX1179" s="16">
        <v>0</v>
      </c>
      <c r="BY1179" s="16">
        <v>0</v>
      </c>
      <c r="BZ1179" s="16">
        <v>0</v>
      </c>
      <c r="CA1179" s="16">
        <v>0</v>
      </c>
      <c r="CB1179" s="16">
        <v>0</v>
      </c>
      <c r="CC1179" s="16">
        <v>0</v>
      </c>
      <c r="CD1179" s="16">
        <v>0</v>
      </c>
      <c r="CE1179" s="16">
        <v>0</v>
      </c>
      <c r="CF1179" s="16">
        <v>0</v>
      </c>
      <c r="CG1179" s="16">
        <v>0</v>
      </c>
      <c r="CH1179" s="16">
        <v>0</v>
      </c>
      <c r="CI1179" s="16">
        <f t="shared" si="9"/>
        <v>0</v>
      </c>
      <c r="CJ1179" s="6"/>
    </row>
    <row r="1180" spans="74:87" ht="15.75">
      <c r="BV1180" s="11" t="s">
        <v>77</v>
      </c>
      <c r="BW1180" s="17">
        <v>0</v>
      </c>
      <c r="BX1180" s="17">
        <v>0</v>
      </c>
      <c r="BY1180" s="17">
        <v>0</v>
      </c>
      <c r="BZ1180" s="17">
        <v>0</v>
      </c>
      <c r="CA1180" s="17">
        <v>0</v>
      </c>
      <c r="CB1180" s="17">
        <v>0</v>
      </c>
      <c r="CC1180" s="17">
        <v>0</v>
      </c>
      <c r="CD1180" s="17">
        <v>0</v>
      </c>
      <c r="CE1180" s="17">
        <v>0</v>
      </c>
      <c r="CF1180" s="17">
        <v>0</v>
      </c>
      <c r="CG1180" s="17">
        <v>0</v>
      </c>
      <c r="CH1180" s="17">
        <v>0</v>
      </c>
      <c r="CI1180" s="17">
        <f t="shared" si="9"/>
        <v>0</v>
      </c>
    </row>
    <row r="1181" spans="74:87" ht="15.75">
      <c r="BV1181" s="11"/>
      <c r="BW1181" s="17"/>
      <c r="BX1181" s="17"/>
      <c r="BY1181" s="17"/>
      <c r="BZ1181" s="17"/>
      <c r="CA1181" s="17"/>
      <c r="CB1181" s="17"/>
      <c r="CC1181" s="17"/>
      <c r="CD1181" s="17"/>
      <c r="CE1181" s="17"/>
      <c r="CF1181" s="17"/>
      <c r="CG1181" s="17"/>
      <c r="CH1181" s="17"/>
      <c r="CI1181" s="17"/>
    </row>
    <row r="1199" ht="15.75">
      <c r="CA1199" s="13" t="s">
        <v>92</v>
      </c>
    </row>
    <row r="1200" ht="15.75">
      <c r="CA1200" s="12" t="s">
        <v>84</v>
      </c>
    </row>
    <row r="1201" ht="15.75">
      <c r="CA1201" s="12" t="str">
        <f>C95</f>
        <v>      TEST YEAR ENDING SEPTEMBER 30, 2006</v>
      </c>
    </row>
    <row r="1206" spans="78:82" ht="15.75">
      <c r="BZ1206" s="15" t="s">
        <v>1</v>
      </c>
      <c r="CB1206" s="15" t="s">
        <v>85</v>
      </c>
      <c r="CD1206" s="15" t="s">
        <v>86</v>
      </c>
    </row>
    <row r="1207" spans="78:82" ht="15.75">
      <c r="BZ1207" s="14">
        <f>C1</f>
        <v>38626</v>
      </c>
      <c r="CB1207" s="12">
        <v>156</v>
      </c>
      <c r="CD1207" s="12" t="e">
        <f>#REF!</f>
        <v>#REF!</v>
      </c>
    </row>
    <row r="1208" spans="78:82" ht="15.75">
      <c r="BZ1208" s="14">
        <f>G1</f>
        <v>38657</v>
      </c>
      <c r="CB1208" s="12">
        <v>157</v>
      </c>
      <c r="CD1208" s="12" t="e">
        <f>#REF!</f>
        <v>#REF!</v>
      </c>
    </row>
    <row r="1209" spans="78:82" ht="15.75">
      <c r="BZ1209" s="14">
        <f>L1</f>
        <v>38687</v>
      </c>
      <c r="CB1209" s="12">
        <v>157</v>
      </c>
      <c r="CD1209" s="12" t="e">
        <f>#REF!</f>
        <v>#REF!</v>
      </c>
    </row>
    <row r="1210" spans="78:82" ht="15.75">
      <c r="BZ1210" s="14">
        <f>Q1</f>
        <v>38718</v>
      </c>
      <c r="CB1210" s="12">
        <v>161</v>
      </c>
      <c r="CD1210" s="12" t="e">
        <f>#REF!</f>
        <v>#REF!</v>
      </c>
    </row>
    <row r="1211" spans="78:82" ht="15.75">
      <c r="BZ1211" s="14">
        <f>U1</f>
        <v>38749</v>
      </c>
      <c r="CB1211" s="12">
        <v>162</v>
      </c>
      <c r="CD1211" s="12" t="e">
        <f>#REF!</f>
        <v>#REF!</v>
      </c>
    </row>
    <row r="1212" spans="78:82" ht="15.75">
      <c r="BZ1212" s="14">
        <f>Y1</f>
        <v>38777</v>
      </c>
      <c r="CB1212" s="12">
        <v>148</v>
      </c>
      <c r="CD1212" s="12" t="e">
        <f>#REF!</f>
        <v>#REF!</v>
      </c>
    </row>
    <row r="1213" spans="78:82" ht="15.75">
      <c r="BZ1213" s="14">
        <f>AC1</f>
        <v>38808</v>
      </c>
      <c r="CB1213" s="12">
        <v>125</v>
      </c>
      <c r="CD1213" s="12" t="e">
        <f>#REF!</f>
        <v>#REF!</v>
      </c>
    </row>
    <row r="1214" spans="78:82" ht="15.75">
      <c r="BZ1214" s="14">
        <f>AG1</f>
        <v>38838</v>
      </c>
      <c r="CB1214" s="12">
        <v>125</v>
      </c>
      <c r="CD1214" s="12" t="e">
        <f>#REF!</f>
        <v>#REF!</v>
      </c>
    </row>
    <row r="1215" spans="78:82" ht="15.75">
      <c r="BZ1215" s="14">
        <f>AK1</f>
        <v>38869</v>
      </c>
      <c r="CB1215" s="12">
        <v>157</v>
      </c>
      <c r="CD1215" s="12" t="e">
        <f>#REF!</f>
        <v>#REF!</v>
      </c>
    </row>
    <row r="1216" spans="78:82" ht="15.75">
      <c r="BZ1216" s="14">
        <f>AO1</f>
        <v>38899</v>
      </c>
      <c r="CB1216" s="12">
        <v>160</v>
      </c>
      <c r="CD1216" s="12" t="e">
        <f>#REF!</f>
        <v>#REF!</v>
      </c>
    </row>
    <row r="1217" spans="78:82" ht="15.75">
      <c r="BZ1217" s="14">
        <f>AS1</f>
        <v>38930</v>
      </c>
      <c r="CB1217" s="12">
        <v>161</v>
      </c>
      <c r="CD1217" s="12" t="e">
        <f>#REF!</f>
        <v>#REF!</v>
      </c>
    </row>
    <row r="1218" spans="78:82" ht="15.75">
      <c r="BZ1218" s="14">
        <f>AW1</f>
        <v>38961</v>
      </c>
      <c r="CB1218" s="12">
        <v>161</v>
      </c>
      <c r="CD1218" s="12" t="e">
        <f>#REF!</f>
        <v>#REF!</v>
      </c>
    </row>
    <row r="1220" ht="15.75">
      <c r="BZ1220" s="13" t="s">
        <v>94</v>
      </c>
    </row>
    <row r="1221" ht="15.75">
      <c r="BZ1221" s="13" t="s">
        <v>93</v>
      </c>
    </row>
    <row r="1223" spans="78:82" ht="15.75">
      <c r="BZ1223" s="13" t="s">
        <v>95</v>
      </c>
      <c r="CD1223" s="16">
        <f>1809+450+77+299</f>
        <v>2635</v>
      </c>
    </row>
    <row r="1225" spans="78:82" ht="15.75">
      <c r="BZ1225" s="13" t="s">
        <v>96</v>
      </c>
      <c r="CD1225" s="12">
        <f>110+46+18+5</f>
        <v>179</v>
      </c>
    </row>
    <row r="1227" spans="78:82" ht="15.75">
      <c r="BZ1227" s="12" t="s">
        <v>87</v>
      </c>
      <c r="CD1227" s="18">
        <f>CD1225/CD1223</f>
        <v>0.06793168880455408</v>
      </c>
    </row>
    <row r="1228" spans="78:82" ht="15.75">
      <c r="BZ1228" s="19" t="s">
        <v>40</v>
      </c>
      <c r="CA1228" s="19" t="s">
        <v>40</v>
      </c>
      <c r="CB1228" s="19" t="s">
        <v>40</v>
      </c>
      <c r="CC1228" s="19" t="s">
        <v>40</v>
      </c>
      <c r="CD1228" s="19" t="s">
        <v>40</v>
      </c>
    </row>
    <row r="1229" spans="78:82" ht="15.75">
      <c r="BZ1229" s="13" t="s">
        <v>97</v>
      </c>
      <c r="CD1229" s="16">
        <v>332</v>
      </c>
    </row>
    <row r="1231" spans="78:82" ht="15.75">
      <c r="BZ1231" s="13" t="s">
        <v>98</v>
      </c>
      <c r="CD1231" s="12">
        <v>7</v>
      </c>
    </row>
    <row r="1233" spans="78:82" ht="15.75">
      <c r="BZ1233" s="12" t="s">
        <v>87</v>
      </c>
      <c r="CD1233" s="18">
        <f>CD1231/CD1229</f>
        <v>0.02108433734939759</v>
      </c>
    </row>
  </sheetData>
  <mergeCells count="27">
    <mergeCell ref="I159:J159"/>
    <mergeCell ref="I352:J352"/>
    <mergeCell ref="L352:M352"/>
    <mergeCell ref="I314:J314"/>
    <mergeCell ref="L314:M314"/>
    <mergeCell ref="I333:J333"/>
    <mergeCell ref="L333:M333"/>
    <mergeCell ref="I276:J276"/>
    <mergeCell ref="L276:M276"/>
    <mergeCell ref="I295:J295"/>
    <mergeCell ref="L295:M295"/>
    <mergeCell ref="I236:J236"/>
    <mergeCell ref="L236:M236"/>
    <mergeCell ref="I257:J257"/>
    <mergeCell ref="L257:M257"/>
    <mergeCell ref="I198:J198"/>
    <mergeCell ref="L198:M198"/>
    <mergeCell ref="I217:J217"/>
    <mergeCell ref="L217:M217"/>
    <mergeCell ref="I177:J177"/>
    <mergeCell ref="L177:M177"/>
    <mergeCell ref="I180:J180"/>
    <mergeCell ref="L180:M180"/>
    <mergeCell ref="I101:J101"/>
    <mergeCell ref="L101:M101"/>
    <mergeCell ref="I120:J120"/>
    <mergeCell ref="L120:M120"/>
  </mergeCells>
  <printOptions horizontalCentered="1"/>
  <pageMargins left="0.5" right="0.5" top="1" bottom="0.73" header="1.25" footer="0.46"/>
  <pageSetup horizontalDpi="300" verticalDpi="300" orientation="portrait" scale="55" r:id="rId1"/>
  <rowBreaks count="10" manualBreakCount="10">
    <brk id="132" max="5" man="1"/>
    <brk id="152" min="6" max="15" man="1"/>
    <brk id="170" max="5" man="1"/>
    <brk id="207" max="5" man="1"/>
    <brk id="210" min="6" max="15" man="1"/>
    <brk id="247" max="5" man="1"/>
    <brk id="269" min="6" max="15" man="1"/>
    <brk id="285" max="5" man="1"/>
    <brk id="323" max="5" man="1"/>
    <brk id="326" min="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E5:M29"/>
  <sheetViews>
    <sheetView workbookViewId="0" topLeftCell="C1">
      <selection activeCell="E5" sqref="E5:M29"/>
    </sheetView>
  </sheetViews>
  <sheetFormatPr defaultColWidth="9.00390625" defaultRowHeight="12.75"/>
  <cols>
    <col min="5" max="5" width="18.125" style="0" customWidth="1"/>
    <col min="6" max="6" width="1.625" style="0" customWidth="1"/>
    <col min="7" max="7" width="11.75390625" style="0" customWidth="1"/>
    <col min="8" max="8" width="1.37890625" style="0" customWidth="1"/>
    <col min="9" max="9" width="10.875" style="0" customWidth="1"/>
    <col min="10" max="10" width="1.625" style="0" customWidth="1"/>
    <col min="11" max="11" width="10.875" style="0" bestFit="1" customWidth="1"/>
    <col min="12" max="12" width="1.625" style="0" customWidth="1"/>
    <col min="13" max="13" width="9.875" style="0" customWidth="1"/>
  </cols>
  <sheetData>
    <row r="5" spans="5:13" ht="12.75">
      <c r="E5" s="270" t="s">
        <v>143</v>
      </c>
      <c r="F5" s="270"/>
      <c r="G5" s="270"/>
      <c r="H5" s="270"/>
      <c r="I5" s="270"/>
      <c r="J5" s="270"/>
      <c r="K5" s="270"/>
      <c r="L5" s="270"/>
      <c r="M5" s="270"/>
    </row>
    <row r="7" spans="5:13" ht="12.75">
      <c r="E7" s="270" t="s">
        <v>132</v>
      </c>
      <c r="F7" s="270"/>
      <c r="G7" s="270"/>
      <c r="H7" s="270"/>
      <c r="I7" s="270"/>
      <c r="J7" s="270"/>
      <c r="K7" s="270"/>
      <c r="L7" s="270"/>
      <c r="M7" s="270"/>
    </row>
    <row r="8" spans="5:13" ht="12.75">
      <c r="E8" s="145"/>
      <c r="F8" s="145"/>
      <c r="G8" s="145"/>
      <c r="H8" s="145"/>
      <c r="I8" s="145"/>
      <c r="J8" s="145"/>
      <c r="K8" s="145"/>
      <c r="L8" s="145"/>
      <c r="M8" s="145"/>
    </row>
    <row r="9" spans="5:13" ht="12.75">
      <c r="E9" s="270" t="s">
        <v>177</v>
      </c>
      <c r="F9" s="270"/>
      <c r="G9" s="270"/>
      <c r="H9" s="270"/>
      <c r="I9" s="270"/>
      <c r="J9" s="270"/>
      <c r="K9" s="270"/>
      <c r="L9" s="270"/>
      <c r="M9" s="270"/>
    </row>
    <row r="11" spans="5:13" ht="12.75">
      <c r="E11" s="69"/>
      <c r="G11" s="186" t="s">
        <v>178</v>
      </c>
      <c r="H11" s="185"/>
      <c r="I11" s="186" t="s">
        <v>140</v>
      </c>
      <c r="J11" s="185"/>
      <c r="K11" s="186"/>
      <c r="L11" s="185"/>
      <c r="M11" s="186"/>
    </row>
    <row r="12" spans="5:13" ht="12.75">
      <c r="E12" s="191"/>
      <c r="G12" s="187" t="s">
        <v>179</v>
      </c>
      <c r="H12" s="185"/>
      <c r="I12" s="187" t="s">
        <v>104</v>
      </c>
      <c r="J12" s="185"/>
      <c r="K12" s="187"/>
      <c r="L12" s="185"/>
      <c r="M12" s="187"/>
    </row>
    <row r="13" spans="5:13" ht="12.75">
      <c r="E13" s="72"/>
      <c r="G13" s="187" t="s">
        <v>108</v>
      </c>
      <c r="H13" s="185"/>
      <c r="I13" s="187" t="s">
        <v>108</v>
      </c>
      <c r="J13" s="185"/>
      <c r="K13" s="192" t="s">
        <v>141</v>
      </c>
      <c r="L13" s="185"/>
      <c r="M13" s="187" t="s">
        <v>142</v>
      </c>
    </row>
    <row r="14" spans="5:13" ht="12.75">
      <c r="E14" s="183" t="s">
        <v>154</v>
      </c>
      <c r="G14" s="188">
        <f>'Detailed Summary'!H9</f>
        <v>26439864.265490003</v>
      </c>
      <c r="I14" s="188">
        <f>'Detailed Summary'!P9</f>
        <v>27654261.4223142</v>
      </c>
      <c r="K14" s="188">
        <f>I14-G14</f>
        <v>1214397.1568241976</v>
      </c>
      <c r="M14" s="193">
        <f>I14/G14-1</f>
        <v>0.04593053673158454</v>
      </c>
    </row>
    <row r="15" spans="5:13" ht="12.75">
      <c r="E15" s="176" t="s">
        <v>155</v>
      </c>
      <c r="G15" s="189">
        <f>'Detailed Summary'!H10</f>
        <v>0</v>
      </c>
      <c r="I15" s="189">
        <f>'Detailed Summary'!P10</f>
        <v>0</v>
      </c>
      <c r="K15" s="189">
        <f aca="true" t="shared" si="0" ref="K15:K27">I15-G15</f>
        <v>0</v>
      </c>
      <c r="M15" s="194">
        <v>0</v>
      </c>
    </row>
    <row r="16" spans="5:13" ht="12.75">
      <c r="E16" s="176" t="s">
        <v>144</v>
      </c>
      <c r="G16" s="189">
        <f>'Detailed Summary'!H11</f>
        <v>97869.72254999999</v>
      </c>
      <c r="I16" s="189">
        <f>'Detailed Summary'!P11</f>
        <v>105205.42061585198</v>
      </c>
      <c r="K16" s="189">
        <f t="shared" si="0"/>
        <v>7335.69806585199</v>
      </c>
      <c r="M16" s="194">
        <f aca="true" t="shared" si="1" ref="M16:M27">I16/G16-1</f>
        <v>0.0749537024803999</v>
      </c>
    </row>
    <row r="17" spans="5:13" ht="12.75">
      <c r="E17" s="176" t="s">
        <v>181</v>
      </c>
      <c r="G17" s="189">
        <f>'Detailed Summary'!H12</f>
        <v>101125.77436639857</v>
      </c>
      <c r="I17" s="189">
        <f>'Detailed Summary'!P12</f>
        <v>106250.37226888954</v>
      </c>
      <c r="K17" s="189">
        <f t="shared" si="0"/>
        <v>5124.597902490961</v>
      </c>
      <c r="M17" s="194">
        <f t="shared" si="1"/>
        <v>0.050675487377960904</v>
      </c>
    </row>
    <row r="18" spans="5:13" ht="12.75">
      <c r="E18" s="176" t="s">
        <v>182</v>
      </c>
      <c r="G18" s="189">
        <f>'Detailed Summary'!H13</f>
        <v>681287.5581336014</v>
      </c>
      <c r="I18" s="189">
        <f>'Detailed Summary'!P13</f>
        <v>709902.8036051245</v>
      </c>
      <c r="K18" s="189">
        <f t="shared" si="0"/>
        <v>28615.245471523027</v>
      </c>
      <c r="M18" s="194">
        <f t="shared" si="1"/>
        <v>0.04200171444480061</v>
      </c>
    </row>
    <row r="19" spans="5:13" ht="12.75">
      <c r="E19" s="176" t="s">
        <v>145</v>
      </c>
      <c r="G19" s="189">
        <f>'Detailed Summary'!H14</f>
        <v>354122.08444</v>
      </c>
      <c r="I19" s="189">
        <f>'Detailed Summary'!P14</f>
        <v>368996.61374713347</v>
      </c>
      <c r="K19" s="189">
        <f t="shared" si="0"/>
        <v>14874.52930713346</v>
      </c>
      <c r="M19" s="194">
        <f t="shared" si="1"/>
        <v>0.042003958410715025</v>
      </c>
    </row>
    <row r="20" spans="5:13" ht="12.75">
      <c r="E20" s="176" t="s">
        <v>146</v>
      </c>
      <c r="G20" s="189">
        <f>'Detailed Summary'!H15</f>
        <v>1458732.838263617</v>
      </c>
      <c r="I20" s="189">
        <f>'Detailed Summary'!P15</f>
        <v>1511886.4258685317</v>
      </c>
      <c r="K20" s="189">
        <f t="shared" si="0"/>
        <v>53153.58760491479</v>
      </c>
      <c r="M20" s="194">
        <f t="shared" si="1"/>
        <v>0.03643819225197231</v>
      </c>
    </row>
    <row r="21" spans="5:13" ht="12.75">
      <c r="E21" s="176" t="s">
        <v>147</v>
      </c>
      <c r="G21" s="189">
        <f>'Detailed Summary'!H16</f>
        <v>1238085.512146383</v>
      </c>
      <c r="I21" s="189">
        <f>'Detailed Summary'!P16</f>
        <v>1288265.0459745638</v>
      </c>
      <c r="K21" s="189">
        <f t="shared" si="0"/>
        <v>50179.53382818075</v>
      </c>
      <c r="M21" s="194">
        <f t="shared" si="1"/>
        <v>0.0405299418625682</v>
      </c>
    </row>
    <row r="22" spans="5:13" ht="12.75">
      <c r="E22" s="176" t="s">
        <v>148</v>
      </c>
      <c r="G22" s="189">
        <f>'Detailed Summary'!H17</f>
        <v>4646916.381560001</v>
      </c>
      <c r="I22" s="189">
        <f>'Detailed Summary'!P17</f>
        <v>4864583.172934014</v>
      </c>
      <c r="K22" s="189">
        <f t="shared" si="0"/>
        <v>217666.79137401376</v>
      </c>
      <c r="M22" s="194">
        <f t="shared" si="1"/>
        <v>0.046841125060430144</v>
      </c>
    </row>
    <row r="23" spans="5:13" ht="12.75">
      <c r="E23" s="176" t="s">
        <v>149</v>
      </c>
      <c r="G23" s="189">
        <f>'Detailed Summary'!H18</f>
        <v>669593.9078600002</v>
      </c>
      <c r="I23" s="189">
        <f>'Detailed Summary'!P18</f>
        <v>705970.0551715577</v>
      </c>
      <c r="K23" s="189">
        <f t="shared" si="0"/>
        <v>36376.14731155755</v>
      </c>
      <c r="M23" s="194">
        <f t="shared" si="1"/>
        <v>0.054325684395508445</v>
      </c>
    </row>
    <row r="24" spans="5:13" ht="12.75">
      <c r="E24" s="176" t="s">
        <v>150</v>
      </c>
      <c r="G24" s="189">
        <f>'Detailed Summary'!H19</f>
        <v>0</v>
      </c>
      <c r="I24" s="189">
        <f>'Detailed Summary'!P19</f>
        <v>0</v>
      </c>
      <c r="K24" s="189">
        <f t="shared" si="0"/>
        <v>0</v>
      </c>
      <c r="M24" s="194">
        <v>0</v>
      </c>
    </row>
    <row r="25" spans="5:13" ht="12.75">
      <c r="E25" s="176" t="s">
        <v>151</v>
      </c>
      <c r="G25" s="189">
        <f>'Detailed Summary'!H20</f>
        <v>0</v>
      </c>
      <c r="I25" s="189">
        <f>'Detailed Summary'!P20</f>
        <v>0</v>
      </c>
      <c r="K25" s="189">
        <f t="shared" si="0"/>
        <v>0</v>
      </c>
      <c r="M25" s="194">
        <v>0</v>
      </c>
    </row>
    <row r="26" spans="5:13" ht="12.75">
      <c r="E26" s="176" t="s">
        <v>152</v>
      </c>
      <c r="G26" s="189">
        <f>'Detailed Summary'!H21</f>
        <v>782047.210342</v>
      </c>
      <c r="I26" s="189">
        <f>'Detailed Summary'!P21</f>
        <v>823964.5351521383</v>
      </c>
      <c r="K26" s="189">
        <f t="shared" si="0"/>
        <v>41917.32481013832</v>
      </c>
      <c r="M26" s="194">
        <f t="shared" si="1"/>
        <v>0.05359948127915093</v>
      </c>
    </row>
    <row r="27" spans="5:13" ht="12.75">
      <c r="E27" s="177" t="s">
        <v>153</v>
      </c>
      <c r="G27" s="190">
        <f>'Detailed Summary'!H22</f>
        <v>137184.44569999998</v>
      </c>
      <c r="I27" s="190">
        <f>'Detailed Summary'!P22</f>
        <v>147355.8332</v>
      </c>
      <c r="K27" s="190">
        <f t="shared" si="0"/>
        <v>10171.387500000012</v>
      </c>
      <c r="M27" s="195">
        <f t="shared" si="1"/>
        <v>0.0741438830626846</v>
      </c>
    </row>
    <row r="28" spans="5:13" ht="12">
      <c r="E28" s="69"/>
      <c r="G28" s="191"/>
      <c r="I28" s="191"/>
      <c r="K28" s="69"/>
      <c r="M28" s="69"/>
    </row>
    <row r="29" spans="5:13" ht="12.75">
      <c r="E29" s="196" t="s">
        <v>180</v>
      </c>
      <c r="G29" s="190">
        <f>SUM(G14:G27)</f>
        <v>36606829.700852</v>
      </c>
      <c r="H29" s="145"/>
      <c r="I29" s="190">
        <f>SUM(I14:I27)</f>
        <v>38286641.70085201</v>
      </c>
      <c r="J29" s="145"/>
      <c r="K29" s="190">
        <f>SUM(K14:K27)</f>
        <v>1679812.0000000026</v>
      </c>
      <c r="L29" s="145"/>
      <c r="M29" s="195">
        <f>I29/G29-1</f>
        <v>0.045887939866065874</v>
      </c>
    </row>
  </sheetData>
  <mergeCells count="3">
    <mergeCell ref="E5:M5"/>
    <mergeCell ref="E7:M7"/>
    <mergeCell ref="E9:M9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 topLeftCell="I1">
      <selection activeCell="E27" sqref="E27"/>
    </sheetView>
  </sheetViews>
  <sheetFormatPr defaultColWidth="9.00390625" defaultRowHeight="12.75"/>
  <cols>
    <col min="1" max="1" width="14.875" style="0" customWidth="1"/>
    <col min="2" max="3" width="10.875" style="0" bestFit="1" customWidth="1"/>
    <col min="4" max="4" width="11.875" style="0" bestFit="1" customWidth="1"/>
    <col min="5" max="5" width="12.125" style="0" customWidth="1"/>
    <col min="6" max="7" width="10.875" style="0" bestFit="1" customWidth="1"/>
    <col min="8" max="8" width="11.875" style="0" bestFit="1" customWidth="1"/>
    <col min="9" max="9" width="1.12109375" style="0" customWidth="1"/>
    <col min="10" max="11" width="10.875" style="0" bestFit="1" customWidth="1"/>
    <col min="12" max="12" width="11.875" style="0" bestFit="1" customWidth="1"/>
    <col min="13" max="13" width="13.50390625" style="0" customWidth="1"/>
    <col min="14" max="14" width="11.875" style="0" customWidth="1"/>
    <col min="15" max="16" width="10.875" style="0" bestFit="1" customWidth="1"/>
    <col min="17" max="17" width="1.12109375" style="0" customWidth="1"/>
    <col min="18" max="19" width="10.375" style="0" customWidth="1"/>
    <col min="20" max="20" width="10.50390625" style="0" customWidth="1"/>
  </cols>
  <sheetData>
    <row r="1" spans="1:20" ht="14.25">
      <c r="A1" s="140"/>
      <c r="B1" s="140"/>
      <c r="C1" s="140"/>
      <c r="D1" s="140"/>
      <c r="E1" s="140"/>
      <c r="F1" s="140"/>
      <c r="G1" s="140"/>
      <c r="H1" s="140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2.75">
      <c r="A2" s="271" t="s">
        <v>143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1:20" ht="12.75">
      <c r="A3" s="271" t="s">
        <v>132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</row>
    <row r="4" spans="1:20" ht="12.75">
      <c r="A4" s="271" t="s">
        <v>133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</row>
    <row r="5" spans="1:19" ht="12.75">
      <c r="A5" s="179"/>
      <c r="B5" s="160"/>
      <c r="C5" s="200"/>
      <c r="D5" s="161"/>
      <c r="E5" s="200"/>
      <c r="F5" s="161"/>
      <c r="G5" s="200"/>
      <c r="H5" s="162"/>
      <c r="I5" s="144"/>
      <c r="J5" s="200"/>
      <c r="K5" s="161"/>
      <c r="L5" s="200"/>
      <c r="M5" s="161"/>
      <c r="N5" s="200"/>
      <c r="O5" s="161"/>
      <c r="P5" s="200"/>
      <c r="R5" s="200"/>
      <c r="S5" s="162"/>
    </row>
    <row r="6" spans="1:19" ht="12.75">
      <c r="A6" s="180"/>
      <c r="B6" s="163"/>
      <c r="C6" s="201"/>
      <c r="D6" s="164"/>
      <c r="E6" s="201"/>
      <c r="F6" s="164"/>
      <c r="G6" s="201"/>
      <c r="H6" s="165"/>
      <c r="I6" s="144"/>
      <c r="J6" s="201"/>
      <c r="K6" s="164"/>
      <c r="L6" s="201"/>
      <c r="M6" s="164"/>
      <c r="N6" s="201"/>
      <c r="O6" s="164"/>
      <c r="P6" s="201"/>
      <c r="R6" s="201"/>
      <c r="S6" s="165"/>
    </row>
    <row r="7" spans="1:19" ht="12.75">
      <c r="A7" s="180"/>
      <c r="B7" s="163" t="s">
        <v>134</v>
      </c>
      <c r="C7" s="201"/>
      <c r="D7" s="164"/>
      <c r="E7" s="201"/>
      <c r="F7" s="164"/>
      <c r="G7" s="201"/>
      <c r="H7" s="165"/>
      <c r="I7" s="144"/>
      <c r="J7" s="201" t="s">
        <v>104</v>
      </c>
      <c r="K7" s="164"/>
      <c r="L7" s="201"/>
      <c r="M7" s="164"/>
      <c r="N7" s="201"/>
      <c r="O7" s="164"/>
      <c r="P7" s="201"/>
      <c r="R7" s="201"/>
      <c r="S7" s="165"/>
    </row>
    <row r="8" spans="1:19" ht="12.75">
      <c r="A8" s="178" t="s">
        <v>172</v>
      </c>
      <c r="B8" s="166" t="s">
        <v>135</v>
      </c>
      <c r="C8" s="203" t="s">
        <v>136</v>
      </c>
      <c r="D8" s="159" t="s">
        <v>124</v>
      </c>
      <c r="E8" s="202" t="s">
        <v>137</v>
      </c>
      <c r="F8" s="159" t="s">
        <v>138</v>
      </c>
      <c r="G8" s="202" t="s">
        <v>139</v>
      </c>
      <c r="H8" s="167" t="s">
        <v>140</v>
      </c>
      <c r="I8" s="144"/>
      <c r="J8" s="203" t="s">
        <v>135</v>
      </c>
      <c r="K8" s="158" t="s">
        <v>136</v>
      </c>
      <c r="L8" s="202" t="s">
        <v>124</v>
      </c>
      <c r="M8" s="159" t="s">
        <v>137</v>
      </c>
      <c r="N8" s="202" t="s">
        <v>138</v>
      </c>
      <c r="O8" s="159" t="s">
        <v>139</v>
      </c>
      <c r="P8" s="202" t="s">
        <v>140</v>
      </c>
      <c r="R8" s="202" t="s">
        <v>141</v>
      </c>
      <c r="S8" s="167" t="s">
        <v>142</v>
      </c>
    </row>
    <row r="9" spans="1:19" ht="12.75">
      <c r="A9" s="183" t="s">
        <v>154</v>
      </c>
      <c r="B9" s="188">
        <f>'Request 3a(2)'!J104</f>
        <v>1516484.25</v>
      </c>
      <c r="C9" s="171"/>
      <c r="D9" s="188">
        <f>'Request 3a(2)'!J105</f>
        <v>20726433.45549</v>
      </c>
      <c r="E9" s="171">
        <f>+B9+C9+D9</f>
        <v>22242917.70549</v>
      </c>
      <c r="F9" s="188">
        <f>'Request 3a(2)'!J108</f>
        <v>2556426.1</v>
      </c>
      <c r="G9" s="171">
        <f>'Request 3a(2)'!J109</f>
        <v>1640520.46</v>
      </c>
      <c r="H9" s="188">
        <f>+E9+F9+G9</f>
        <v>26439864.265490003</v>
      </c>
      <c r="I9" s="145"/>
      <c r="J9" s="184">
        <f>'Request 3a(2)'!M104</f>
        <v>1516484.25</v>
      </c>
      <c r="K9" s="188"/>
      <c r="L9" s="169">
        <f>'Request 3a(2)'!M105</f>
        <v>21940830.6123142</v>
      </c>
      <c r="M9" s="188">
        <f>J9+K9+L9</f>
        <v>23457314.8623142</v>
      </c>
      <c r="N9" s="169">
        <f>'Request 3a(2)'!M108</f>
        <v>2556426.1</v>
      </c>
      <c r="O9" s="188">
        <f>'Request 3a(2)'!M109</f>
        <v>1640520.46</v>
      </c>
      <c r="P9" s="170">
        <f>M9+N9+O9</f>
        <v>27654261.4223142</v>
      </c>
      <c r="R9" s="168">
        <f aca="true" t="shared" si="0" ref="R9:R22">P9-H9</f>
        <v>1214397.1568241976</v>
      </c>
      <c r="S9" s="193">
        <f aca="true" t="shared" si="1" ref="S9:S23">P9/H9-1</f>
        <v>0.04593053673158454</v>
      </c>
    </row>
    <row r="10" spans="1:19" ht="12.75">
      <c r="A10" s="176" t="s">
        <v>155</v>
      </c>
      <c r="B10" s="189"/>
      <c r="C10" s="171"/>
      <c r="D10" s="189"/>
      <c r="E10" s="171">
        <f aca="true" t="shared" si="2" ref="E10:E22">+B10+C10+D10</f>
        <v>0</v>
      </c>
      <c r="F10" s="189"/>
      <c r="G10" s="171"/>
      <c r="H10" s="189">
        <f aca="true" t="shared" si="3" ref="H10:H22">+E10+F10+G10</f>
        <v>0</v>
      </c>
      <c r="I10" s="145"/>
      <c r="J10" s="168">
        <f>'Request 3a(2)'!M124</f>
        <v>0</v>
      </c>
      <c r="K10" s="189"/>
      <c r="L10" s="171">
        <f>'Request 3a(2)'!M125+'Request 3a(2)'!M127</f>
        <v>0</v>
      </c>
      <c r="M10" s="189">
        <f aca="true" t="shared" si="4" ref="M10:M22">J10+K10+L10</f>
        <v>0</v>
      </c>
      <c r="N10" s="171">
        <v>0</v>
      </c>
      <c r="O10" s="189">
        <v>0</v>
      </c>
      <c r="P10" s="172">
        <f aca="true" t="shared" si="5" ref="P10:P22">M10+N10+O10</f>
        <v>0</v>
      </c>
      <c r="R10" s="168">
        <f t="shared" si="0"/>
        <v>0</v>
      </c>
      <c r="S10" s="194">
        <v>0</v>
      </c>
    </row>
    <row r="11" spans="1:19" ht="12.75">
      <c r="A11" s="176" t="s">
        <v>144</v>
      </c>
      <c r="B11" s="189"/>
      <c r="C11" s="171"/>
      <c r="D11" s="189">
        <f>'Request 3a(2)'!J145</f>
        <v>81011.94254999999</v>
      </c>
      <c r="E11" s="171">
        <f t="shared" si="2"/>
        <v>81011.94254999999</v>
      </c>
      <c r="F11" s="189">
        <f>'Request 3a(2)'!J148</f>
        <v>16821.780000000002</v>
      </c>
      <c r="G11" s="171">
        <f>'Request 3a(2)'!J149</f>
        <v>35.99999999999999</v>
      </c>
      <c r="H11" s="189">
        <f t="shared" si="3"/>
        <v>97869.72254999999</v>
      </c>
      <c r="I11" s="145"/>
      <c r="J11" s="168">
        <f>'Request 3a(2)'!M145</f>
        <v>88347.64061585198</v>
      </c>
      <c r="K11" s="189"/>
      <c r="L11" s="171"/>
      <c r="M11" s="189">
        <f t="shared" si="4"/>
        <v>88347.64061585198</v>
      </c>
      <c r="N11" s="171">
        <f>'Request 3a(2)'!M148</f>
        <v>16821.780000000002</v>
      </c>
      <c r="O11" s="189">
        <f>'Request 3a(2)'!M149</f>
        <v>35.99999999999999</v>
      </c>
      <c r="P11" s="172">
        <f t="shared" si="5"/>
        <v>105205.42061585198</v>
      </c>
      <c r="R11" s="168">
        <f t="shared" si="0"/>
        <v>7335.69806585199</v>
      </c>
      <c r="S11" s="194">
        <f t="shared" si="1"/>
        <v>0.0749537024803999</v>
      </c>
    </row>
    <row r="12" spans="1:19" ht="12.75">
      <c r="A12" s="176" t="s">
        <v>166</v>
      </c>
      <c r="B12" s="189">
        <f>'Request 3a(2)'!J165</f>
        <v>89444.5725</v>
      </c>
      <c r="C12" s="171"/>
      <c r="D12" s="189"/>
      <c r="E12" s="171">
        <f t="shared" si="2"/>
        <v>89444.5725</v>
      </c>
      <c r="F12" s="189">
        <f>'Request 3a(2)'!J168</f>
        <v>10722.359999999999</v>
      </c>
      <c r="G12" s="171">
        <f>'Request 3a(2)'!J169</f>
        <v>958.8418663985764</v>
      </c>
      <c r="H12" s="189">
        <f t="shared" si="3"/>
        <v>101125.77436639857</v>
      </c>
      <c r="I12" s="145"/>
      <c r="J12" s="168">
        <f>'Request 3a(2)'!M165</f>
        <v>94569.17040249096</v>
      </c>
      <c r="K12" s="189"/>
      <c r="L12" s="171"/>
      <c r="M12" s="189">
        <f t="shared" si="4"/>
        <v>94569.17040249096</v>
      </c>
      <c r="N12" s="171">
        <f>'Request 3a(2)'!M168</f>
        <v>10722.359999999999</v>
      </c>
      <c r="O12" s="189">
        <f>'Request 3a(2)'!M169</f>
        <v>958.8418663985764</v>
      </c>
      <c r="P12" s="172">
        <f t="shared" si="5"/>
        <v>106250.37226888954</v>
      </c>
      <c r="R12" s="168">
        <f t="shared" si="0"/>
        <v>5124.597902490961</v>
      </c>
      <c r="S12" s="194">
        <f t="shared" si="1"/>
        <v>0.050675487377960904</v>
      </c>
    </row>
    <row r="13" spans="1:19" ht="12.75">
      <c r="A13" s="176" t="s">
        <v>167</v>
      </c>
      <c r="B13" s="189">
        <f>'Request 3a(2)'!J183</f>
        <v>617152.8</v>
      </c>
      <c r="C13" s="171"/>
      <c r="D13" s="189"/>
      <c r="E13" s="171">
        <f t="shared" si="2"/>
        <v>617152.8</v>
      </c>
      <c r="F13" s="189">
        <f>'Request 3a(2)'!J187</f>
        <v>59793.46</v>
      </c>
      <c r="G13" s="171">
        <f>'Request 3a(2)'!J188</f>
        <v>4341.298133601417</v>
      </c>
      <c r="H13" s="189">
        <f t="shared" si="3"/>
        <v>681287.5581336014</v>
      </c>
      <c r="I13" s="145"/>
      <c r="J13" s="168">
        <f>'Request 3a(2)'!M183</f>
        <v>645768.0454715231</v>
      </c>
      <c r="K13" s="189"/>
      <c r="L13" s="171"/>
      <c r="M13" s="189">
        <f t="shared" si="4"/>
        <v>645768.0454715231</v>
      </c>
      <c r="N13" s="171">
        <f>'Request 3a(2)'!M187</f>
        <v>59793.46</v>
      </c>
      <c r="O13" s="189">
        <f>'Request 3a(2)'!M188</f>
        <v>4341.298133601417</v>
      </c>
      <c r="P13" s="172">
        <f t="shared" si="5"/>
        <v>709902.8036051245</v>
      </c>
      <c r="R13" s="168">
        <f t="shared" si="0"/>
        <v>28615.245471523027</v>
      </c>
      <c r="S13" s="194">
        <f t="shared" si="1"/>
        <v>0.04200171444480061</v>
      </c>
    </row>
    <row r="14" spans="1:19" ht="12.75">
      <c r="A14" s="176" t="s">
        <v>145</v>
      </c>
      <c r="B14" s="189">
        <f>'Request 3a(2)'!J201</f>
        <v>18986.4</v>
      </c>
      <c r="C14" s="171"/>
      <c r="D14" s="189">
        <f>'Request 3a(2)'!J202</f>
        <v>281526.04443999997</v>
      </c>
      <c r="E14" s="171">
        <f t="shared" si="2"/>
        <v>300512.44444</v>
      </c>
      <c r="F14" s="189">
        <f>'Request 3a(2)'!J205</f>
        <v>30714.27</v>
      </c>
      <c r="G14" s="171">
        <f>'Request 3a(2)'!J206</f>
        <v>22895.37</v>
      </c>
      <c r="H14" s="189">
        <f t="shared" si="3"/>
        <v>354122.08444</v>
      </c>
      <c r="I14" s="145"/>
      <c r="J14" s="168">
        <f>'Request 3a(2)'!M201</f>
        <v>18986.4</v>
      </c>
      <c r="K14" s="189"/>
      <c r="L14" s="171">
        <f>'Request 3a(2)'!M202</f>
        <v>296400.5737471334</v>
      </c>
      <c r="M14" s="189">
        <f t="shared" si="4"/>
        <v>315386.97374713345</v>
      </c>
      <c r="N14" s="171">
        <f>'Request 3a(2)'!M205</f>
        <v>30714.27</v>
      </c>
      <c r="O14" s="189">
        <f>'Request 3a(2)'!M206</f>
        <v>22895.37</v>
      </c>
      <c r="P14" s="172">
        <f t="shared" si="5"/>
        <v>368996.61374713347</v>
      </c>
      <c r="R14" s="168">
        <f t="shared" si="0"/>
        <v>14874.52930713346</v>
      </c>
      <c r="S14" s="194">
        <f t="shared" si="1"/>
        <v>0.042003958410715025</v>
      </c>
    </row>
    <row r="15" spans="1:19" ht="12.75">
      <c r="A15" s="176" t="s">
        <v>146</v>
      </c>
      <c r="B15" s="189">
        <f>'Request 3a(2)'!J220</f>
        <v>86164.5</v>
      </c>
      <c r="C15" s="171"/>
      <c r="D15" s="189">
        <f>'Request 3a(2)'!J221</f>
        <v>1176011.7833699998</v>
      </c>
      <c r="E15" s="171">
        <f t="shared" si="2"/>
        <v>1262176.2833699998</v>
      </c>
      <c r="F15" s="189">
        <f>'Request 3a(2)'!J224</f>
        <v>109950.45999999999</v>
      </c>
      <c r="G15" s="171">
        <f>'Request 3a(2)'!J225</f>
        <v>86606.09489361702</v>
      </c>
      <c r="H15" s="189">
        <f t="shared" si="3"/>
        <v>1458732.838263617</v>
      </c>
      <c r="I15" s="145"/>
      <c r="J15" s="168">
        <f>'Request 3a(2)'!M220</f>
        <v>86164.5</v>
      </c>
      <c r="K15" s="189"/>
      <c r="L15" s="171">
        <f>'Request 3a(2)'!M221</f>
        <v>1229165.3709749146</v>
      </c>
      <c r="M15" s="189">
        <f t="shared" si="4"/>
        <v>1315329.8709749146</v>
      </c>
      <c r="N15" s="171">
        <f>'Request 3a(2)'!M224</f>
        <v>109950.45999999999</v>
      </c>
      <c r="O15" s="189">
        <f>'Request 3a(2)'!M225</f>
        <v>86606.09489361702</v>
      </c>
      <c r="P15" s="172">
        <f t="shared" si="5"/>
        <v>1511886.4258685317</v>
      </c>
      <c r="R15" s="168">
        <f t="shared" si="0"/>
        <v>53153.58760491479</v>
      </c>
      <c r="S15" s="194">
        <f t="shared" si="1"/>
        <v>0.03643819225197231</v>
      </c>
    </row>
    <row r="16" spans="1:19" ht="12.75">
      <c r="A16" s="176" t="s">
        <v>147</v>
      </c>
      <c r="B16" s="189">
        <f>'Request 3a(2)'!J239</f>
        <v>8998.29</v>
      </c>
      <c r="C16" s="171">
        <f>'Request 3a(2)'!J241</f>
        <v>170911.00008</v>
      </c>
      <c r="D16" s="189">
        <f>'Request 3a(2)'!J240</f>
        <v>872714.85696</v>
      </c>
      <c r="E16" s="171">
        <f t="shared" si="2"/>
        <v>1052624.14704</v>
      </c>
      <c r="F16" s="189">
        <f>'Request 3a(2)'!J244</f>
        <v>103153.02</v>
      </c>
      <c r="G16" s="171">
        <f>'Request 3a(2)'!J245</f>
        <v>82308.34510638297</v>
      </c>
      <c r="H16" s="189">
        <f t="shared" si="3"/>
        <v>1238085.512146383</v>
      </c>
      <c r="I16" s="145"/>
      <c r="J16" s="168">
        <f>'Request 3a(2)'!M239</f>
        <v>8998.29</v>
      </c>
      <c r="K16" s="189">
        <f>'Request 3a(2)'!M241</f>
        <v>170911.00008</v>
      </c>
      <c r="L16" s="171">
        <f>'Request 3a(2)'!M240</f>
        <v>922894.3907881806</v>
      </c>
      <c r="M16" s="189">
        <f t="shared" si="4"/>
        <v>1102803.6808681807</v>
      </c>
      <c r="N16" s="171">
        <f>'Request 3a(2)'!M244</f>
        <v>103153.02</v>
      </c>
      <c r="O16" s="189">
        <f>'Request 3a(2)'!M245</f>
        <v>82308.34510638297</v>
      </c>
      <c r="P16" s="172">
        <f t="shared" si="5"/>
        <v>1288265.0459745638</v>
      </c>
      <c r="R16" s="168">
        <f t="shared" si="0"/>
        <v>50179.53382818075</v>
      </c>
      <c r="S16" s="194">
        <f t="shared" si="1"/>
        <v>0.0405299418625682</v>
      </c>
    </row>
    <row r="17" spans="1:19" ht="12.75">
      <c r="A17" s="176" t="s">
        <v>148</v>
      </c>
      <c r="B17" s="189"/>
      <c r="C17" s="171">
        <f>'Request 3a(2)'!J262</f>
        <v>1101003.99984</v>
      </c>
      <c r="D17" s="189">
        <f>'Request 3a(2)'!J261</f>
        <v>2807454.94172</v>
      </c>
      <c r="E17" s="171">
        <f t="shared" si="2"/>
        <v>3908458.94156</v>
      </c>
      <c r="F17" s="189">
        <f>'Request 3a(2)'!J265</f>
        <v>450555.87000000005</v>
      </c>
      <c r="G17" s="171">
        <f>'Request 3a(2)'!J266</f>
        <v>287901.57</v>
      </c>
      <c r="H17" s="189">
        <f t="shared" si="3"/>
        <v>4646916.381560001</v>
      </c>
      <c r="I17" s="145"/>
      <c r="J17" s="168">
        <f>'Request 3a(2)'!M260</f>
        <v>0</v>
      </c>
      <c r="K17" s="189">
        <f>'Request 3a(2)'!M262</f>
        <v>1101003.99984</v>
      </c>
      <c r="L17" s="171">
        <f>'Request 3a(2)'!M261</f>
        <v>3025121.7330940138</v>
      </c>
      <c r="M17" s="189">
        <f t="shared" si="4"/>
        <v>4126125.732934014</v>
      </c>
      <c r="N17" s="171">
        <f>'Request 3a(2)'!M265</f>
        <v>450555.87000000005</v>
      </c>
      <c r="O17" s="189">
        <f>'Request 3a(2)'!M266</f>
        <v>287901.57</v>
      </c>
      <c r="P17" s="172">
        <f t="shared" si="5"/>
        <v>4864583.172934014</v>
      </c>
      <c r="R17" s="168">
        <f t="shared" si="0"/>
        <v>217666.79137401376</v>
      </c>
      <c r="S17" s="194">
        <f t="shared" si="1"/>
        <v>0.046841125060430144</v>
      </c>
    </row>
    <row r="18" spans="1:19" ht="12.75">
      <c r="A18" s="176" t="s">
        <v>149</v>
      </c>
      <c r="B18" s="189"/>
      <c r="C18" s="171">
        <f>'Request 3a(2)'!J281</f>
        <v>156118.99986</v>
      </c>
      <c r="D18" s="189">
        <f>'Request 3a(2)'!J280</f>
        <v>394673.048</v>
      </c>
      <c r="E18" s="171">
        <f t="shared" si="2"/>
        <v>550792.04786</v>
      </c>
      <c r="F18" s="189">
        <f>'Request 3a(2)'!J284</f>
        <v>75970.56</v>
      </c>
      <c r="G18" s="171">
        <f>'Request 3a(2)'!J285</f>
        <v>42831.299999999996</v>
      </c>
      <c r="H18" s="189">
        <f t="shared" si="3"/>
        <v>669593.9078600002</v>
      </c>
      <c r="I18" s="145"/>
      <c r="J18" s="168">
        <f>'Request 3a(2)'!M279</f>
        <v>0</v>
      </c>
      <c r="K18" s="189">
        <f>'Request 3a(2)'!M281</f>
        <v>156118.99986</v>
      </c>
      <c r="L18" s="171">
        <f>'Request 3a(2)'!M280</f>
        <v>431049.1953115577</v>
      </c>
      <c r="M18" s="189">
        <f t="shared" si="4"/>
        <v>587168.1951715577</v>
      </c>
      <c r="N18" s="171">
        <f>'Request 3a(2)'!M284</f>
        <v>75970.56</v>
      </c>
      <c r="O18" s="189">
        <f>'Request 3a(2)'!M285</f>
        <v>42831.299999999996</v>
      </c>
      <c r="P18" s="172">
        <f t="shared" si="5"/>
        <v>705970.0551715577</v>
      </c>
      <c r="R18" s="168">
        <f t="shared" si="0"/>
        <v>36376.14731155755</v>
      </c>
      <c r="S18" s="194">
        <f t="shared" si="1"/>
        <v>0.054325684395508445</v>
      </c>
    </row>
    <row r="19" spans="1:19" ht="12.75">
      <c r="A19" s="176" t="s">
        <v>150</v>
      </c>
      <c r="B19" s="189"/>
      <c r="C19" s="171"/>
      <c r="D19" s="189"/>
      <c r="E19" s="171">
        <f t="shared" si="2"/>
        <v>0</v>
      </c>
      <c r="F19" s="189"/>
      <c r="G19" s="171"/>
      <c r="H19" s="189">
        <f t="shared" si="3"/>
        <v>0</v>
      </c>
      <c r="I19" s="145"/>
      <c r="J19" s="168">
        <f>'Request 3a(2)'!M298</f>
        <v>0</v>
      </c>
      <c r="K19" s="189">
        <f>'Request 3a(2)'!M300</f>
        <v>0</v>
      </c>
      <c r="L19" s="171">
        <f>'Request 3a(2)'!M299</f>
        <v>0</v>
      </c>
      <c r="M19" s="189">
        <f t="shared" si="4"/>
        <v>0</v>
      </c>
      <c r="N19" s="171">
        <v>0</v>
      </c>
      <c r="O19" s="189">
        <v>0</v>
      </c>
      <c r="P19" s="172">
        <f t="shared" si="5"/>
        <v>0</v>
      </c>
      <c r="R19" s="168">
        <f t="shared" si="0"/>
        <v>0</v>
      </c>
      <c r="S19" s="194">
        <v>0</v>
      </c>
    </row>
    <row r="20" spans="1:19" ht="12.75">
      <c r="A20" s="176" t="s">
        <v>151</v>
      </c>
      <c r="B20" s="189"/>
      <c r="C20" s="171"/>
      <c r="D20" s="189"/>
      <c r="E20" s="171">
        <f t="shared" si="2"/>
        <v>0</v>
      </c>
      <c r="F20" s="189"/>
      <c r="G20" s="171"/>
      <c r="H20" s="189">
        <f t="shared" si="3"/>
        <v>0</v>
      </c>
      <c r="I20" s="145"/>
      <c r="J20" s="168">
        <f>'Request 3a(2)'!M317</f>
        <v>0</v>
      </c>
      <c r="K20" s="189">
        <f>'Request 3a(2)'!M319</f>
        <v>0</v>
      </c>
      <c r="L20" s="171">
        <f>'Request 3a(2)'!M318</f>
        <v>0</v>
      </c>
      <c r="M20" s="189">
        <f t="shared" si="4"/>
        <v>0</v>
      </c>
      <c r="N20" s="171">
        <v>0</v>
      </c>
      <c r="O20" s="189">
        <v>0</v>
      </c>
      <c r="P20" s="172">
        <f t="shared" si="5"/>
        <v>0</v>
      </c>
      <c r="R20" s="168">
        <f t="shared" si="0"/>
        <v>0</v>
      </c>
      <c r="S20" s="194">
        <v>0</v>
      </c>
    </row>
    <row r="21" spans="1:19" ht="12.75">
      <c r="A21" s="176" t="s">
        <v>152</v>
      </c>
      <c r="B21" s="189"/>
      <c r="C21" s="171">
        <f>'Request 3a(2)'!J338</f>
        <v>151340.00012200003</v>
      </c>
      <c r="D21" s="189">
        <f>'Request 3a(2)'!J337</f>
        <v>495927.51022</v>
      </c>
      <c r="E21" s="171">
        <f t="shared" si="2"/>
        <v>647267.510342</v>
      </c>
      <c r="F21" s="189">
        <f>'Request 3a(2)'!J341</f>
        <v>87203.98999999999</v>
      </c>
      <c r="G21" s="171">
        <f>'Request 3a(2)'!J342</f>
        <v>47575.71000000001</v>
      </c>
      <c r="H21" s="189">
        <f t="shared" si="3"/>
        <v>782047.210342</v>
      </c>
      <c r="I21" s="145"/>
      <c r="J21" s="168">
        <f>'Request 3a(2)'!M336</f>
        <v>0</v>
      </c>
      <c r="K21" s="189">
        <f>'Request 3a(2)'!M338</f>
        <v>151340.00012200003</v>
      </c>
      <c r="L21" s="171">
        <f>'Request 3a(2)'!M337</f>
        <v>537844.8350301384</v>
      </c>
      <c r="M21" s="189">
        <f t="shared" si="4"/>
        <v>689184.8351521384</v>
      </c>
      <c r="N21" s="171">
        <f>'Request 3a(2)'!M341</f>
        <v>87203.98999999999</v>
      </c>
      <c r="O21" s="189">
        <f>'Request 3a(2)'!M342</f>
        <v>47575.71000000001</v>
      </c>
      <c r="P21" s="172">
        <f t="shared" si="5"/>
        <v>823964.5351521383</v>
      </c>
      <c r="R21" s="168">
        <f t="shared" si="0"/>
        <v>41917.32481013832</v>
      </c>
      <c r="S21" s="194">
        <f t="shared" si="1"/>
        <v>0.05359948127915093</v>
      </c>
    </row>
    <row r="22" spans="1:19" ht="12.75">
      <c r="A22" s="177" t="s">
        <v>153</v>
      </c>
      <c r="B22" s="190"/>
      <c r="C22" s="157">
        <f>'Request 3a(2)'!J357</f>
        <v>28855</v>
      </c>
      <c r="D22" s="190">
        <f>'Request 3a(2)'!J356</f>
        <v>82365.95569999999</v>
      </c>
      <c r="E22" s="157">
        <f t="shared" si="2"/>
        <v>111220.95569999999</v>
      </c>
      <c r="F22" s="190">
        <f>'Request 3a(2)'!J360</f>
        <v>17183.3</v>
      </c>
      <c r="G22" s="157">
        <f>'Request 3a(2)'!J361</f>
        <v>8780.19</v>
      </c>
      <c r="H22" s="190">
        <f t="shared" si="3"/>
        <v>137184.44569999998</v>
      </c>
      <c r="I22" s="145"/>
      <c r="J22" s="173">
        <f>'Request 3a(2)'!M355</f>
        <v>0</v>
      </c>
      <c r="K22" s="190">
        <f>'Request 3a(2)'!M357</f>
        <v>39026.3875</v>
      </c>
      <c r="L22" s="157">
        <f>'Request 3a(2)'!M356</f>
        <v>82365.95569999999</v>
      </c>
      <c r="M22" s="190">
        <f t="shared" si="4"/>
        <v>121392.34319999999</v>
      </c>
      <c r="N22" s="157">
        <f>'Request 3a(2)'!M360</f>
        <v>17183.3</v>
      </c>
      <c r="O22" s="190">
        <f>'Request 3a(2)'!M361</f>
        <v>8780.19</v>
      </c>
      <c r="P22" s="174">
        <f t="shared" si="5"/>
        <v>147355.8332</v>
      </c>
      <c r="R22" s="173">
        <f t="shared" si="0"/>
        <v>10171.387500000012</v>
      </c>
      <c r="S22" s="195">
        <f t="shared" si="1"/>
        <v>0.0741438830626846</v>
      </c>
    </row>
    <row r="23" spans="1:19" ht="12.75">
      <c r="A23" s="177" t="s">
        <v>156</v>
      </c>
      <c r="B23" s="173">
        <f>SUM(B9:B22)</f>
        <v>2337230.8125</v>
      </c>
      <c r="C23" s="157">
        <f aca="true" t="shared" si="6" ref="C23:H23">SUM(C9:C22)</f>
        <v>1608228.999902</v>
      </c>
      <c r="D23" s="157">
        <f t="shared" si="6"/>
        <v>26918119.53845</v>
      </c>
      <c r="E23" s="157">
        <f t="shared" si="6"/>
        <v>30863579.350852</v>
      </c>
      <c r="F23" s="157">
        <f t="shared" si="6"/>
        <v>3518495.17</v>
      </c>
      <c r="G23" s="157">
        <f t="shared" si="6"/>
        <v>2224755.1799999997</v>
      </c>
      <c r="H23" s="174">
        <f t="shared" si="6"/>
        <v>36606829.700852</v>
      </c>
      <c r="I23" s="145"/>
      <c r="J23" s="173">
        <f aca="true" t="shared" si="7" ref="J23:P23">SUM(J9:J22)</f>
        <v>2459318.296489866</v>
      </c>
      <c r="K23" s="157">
        <f t="shared" si="7"/>
        <v>1618400.387402</v>
      </c>
      <c r="L23" s="157">
        <f t="shared" si="7"/>
        <v>28465672.66696013</v>
      </c>
      <c r="M23" s="157">
        <f t="shared" si="7"/>
        <v>32543391.350851998</v>
      </c>
      <c r="N23" s="157">
        <f t="shared" si="7"/>
        <v>3518495.17</v>
      </c>
      <c r="O23" s="157">
        <f t="shared" si="7"/>
        <v>2224755.1799999997</v>
      </c>
      <c r="P23" s="174">
        <f t="shared" si="7"/>
        <v>38286641.70085201</v>
      </c>
      <c r="R23" s="173">
        <f>SUM(R9:R22)</f>
        <v>1679812.0000000026</v>
      </c>
      <c r="S23" s="175">
        <f t="shared" si="1"/>
        <v>0.045887939866065874</v>
      </c>
    </row>
    <row r="24" spans="1:20" ht="12.75">
      <c r="A24" s="145"/>
      <c r="B24" s="156"/>
      <c r="C24" s="156"/>
      <c r="D24" s="156"/>
      <c r="E24" s="156"/>
      <c r="F24" s="156"/>
      <c r="G24" s="156"/>
      <c r="H24" s="156"/>
      <c r="I24" s="145"/>
      <c r="J24" s="156"/>
      <c r="K24" s="156"/>
      <c r="L24" s="156"/>
      <c r="M24" s="156"/>
      <c r="N24" s="156"/>
      <c r="O24" s="156"/>
      <c r="P24" s="156"/>
      <c r="Q24" s="156"/>
      <c r="R24" s="145"/>
      <c r="S24" s="145"/>
      <c r="T24" s="145"/>
    </row>
    <row r="25" spans="1:20" ht="12.75">
      <c r="A25" s="145" t="s">
        <v>168</v>
      </c>
      <c r="B25" s="156"/>
      <c r="C25" s="156"/>
      <c r="D25" s="156"/>
      <c r="E25" s="156"/>
      <c r="F25" s="156"/>
      <c r="G25" s="156"/>
      <c r="H25" s="156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</row>
    <row r="26" spans="1:20" ht="12.75">
      <c r="A26" s="145" t="s">
        <v>169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</row>
    <row r="27" spans="1:20" ht="12.75">
      <c r="A27" s="145" t="s">
        <v>170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</row>
    <row r="28" spans="1:20" ht="12.75">
      <c r="A28" s="145" t="s">
        <v>171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mergeCells count="3">
    <mergeCell ref="A2:T2"/>
    <mergeCell ref="A3:T3"/>
    <mergeCell ref="A4:T4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Rural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 Rural Electric Corp</dc:creator>
  <cp:keywords/>
  <dc:description/>
  <cp:lastModifiedBy>peggy</cp:lastModifiedBy>
  <cp:lastPrinted>2007-03-20T15:41:25Z</cp:lastPrinted>
  <dcterms:created xsi:type="dcterms:W3CDTF">1998-04-23T12:22:44Z</dcterms:created>
  <dcterms:modified xsi:type="dcterms:W3CDTF">2007-03-20T15:41:57Z</dcterms:modified>
  <cp:category/>
  <cp:version/>
  <cp:contentType/>
  <cp:contentStatus/>
</cp:coreProperties>
</file>