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105" windowWidth="9135" windowHeight="4770" activeTab="0"/>
  </bookViews>
  <sheets>
    <sheet name="Summary" sheetId="1" r:id="rId1"/>
    <sheet name="Detail Sheet" sheetId="2" r:id="rId2"/>
    <sheet name="Billing Analysis" sheetId="3" r:id="rId3"/>
  </sheets>
  <definedNames>
    <definedName name="\P">'Billing Analysis'!#REF!</definedName>
    <definedName name="__123Graph_A" hidden="1">'Detail Sheet'!$B$10:$B$90</definedName>
    <definedName name="__123Graph_B" hidden="1">'Detail Sheet'!$C$10:$C$90</definedName>
    <definedName name="__123Graph_C" hidden="1">'Detail Sheet'!$D$10:$D$90</definedName>
    <definedName name="__123Graph_D" hidden="1">'Detail Sheet'!$E$10:$E$90</definedName>
    <definedName name="__123Graph_E" hidden="1">'Billing Analysis'!#REF!</definedName>
    <definedName name="__123Graph_F" hidden="1">'Billing Analysis'!#REF!</definedName>
    <definedName name="__123Graph_X" hidden="1">'Detail Sheet'!$A$10:$A$90</definedName>
    <definedName name="_Fill" hidden="1">'Billing Analysis'!#REF!</definedName>
    <definedName name="_P">'Billing Analysis'!#REF!</definedName>
    <definedName name="_xlnm.Print_Area" localSheetId="2">'Billing Analysis'!$A$1:$S$298</definedName>
    <definedName name="Print_Area_MI" localSheetId="2">'Billing Analysis'!$A$3:$F$295</definedName>
    <definedName name="_xlnm.Print_Titles" localSheetId="1">'Detail Sheet'!$A:$A</definedName>
    <definedName name="TEMP">'Billing Analysis'!#REF!</definedName>
  </definedNames>
  <calcPr fullCalcOnLoad="1"/>
</workbook>
</file>

<file path=xl/sharedStrings.xml><?xml version="1.0" encoding="utf-8"?>
<sst xmlns="http://schemas.openxmlformats.org/spreadsheetml/2006/main" count="1453" uniqueCount="143">
  <si>
    <t xml:space="preserve"> </t>
  </si>
  <si>
    <t>MONTH</t>
  </si>
  <si>
    <t>TOTALS</t>
  </si>
  <si>
    <t>RATE</t>
  </si>
  <si>
    <t>KWH USED</t>
  </si>
  <si>
    <t>REVENUE</t>
  </si>
  <si>
    <t># BILLINGS</t>
  </si>
  <si>
    <t>RATE R</t>
  </si>
  <si>
    <t>DEMAND</t>
  </si>
  <si>
    <t>All KWH</t>
  </si>
  <si>
    <t>TOTAL BASIC RATES</t>
  </si>
  <si>
    <t>FUEL</t>
  </si>
  <si>
    <t>TOTAL REVENUE</t>
  </si>
  <si>
    <t>RATE D</t>
  </si>
  <si>
    <t>ALL ENERGY</t>
  </si>
  <si>
    <t>RATE E</t>
  </si>
  <si>
    <t>Customer Charge</t>
  </si>
  <si>
    <t>RATE A</t>
  </si>
  <si>
    <t>RATE B</t>
  </si>
  <si>
    <t>DEMAND - OVER 10 KW</t>
  </si>
  <si>
    <t>RATE L</t>
  </si>
  <si>
    <t>RATE P</t>
  </si>
  <si>
    <t>RATE M</t>
  </si>
  <si>
    <t>RATE T</t>
  </si>
  <si>
    <t>PER MONTH</t>
  </si>
  <si>
    <t>200 WATT</t>
  </si>
  <si>
    <t>300 WATT</t>
  </si>
  <si>
    <t>400 WATT</t>
  </si>
  <si>
    <t xml:space="preserve">  BILLING ANALYSIS</t>
  </si>
  <si>
    <t>NUMBER</t>
  </si>
  <si>
    <t>KWH</t>
  </si>
  <si>
    <t xml:space="preserve">        EXISTING</t>
  </si>
  <si>
    <t>RATE STEP</t>
  </si>
  <si>
    <t>BILLINGS</t>
  </si>
  <si>
    <t>USED</t>
  </si>
  <si>
    <t>-</t>
  </si>
  <si>
    <t>Schedule "R"</t>
  </si>
  <si>
    <t>CUSTOMER CHARGE</t>
  </si>
  <si>
    <t>Schedule "R-TOD"</t>
  </si>
  <si>
    <t>ON-PEAK</t>
  </si>
  <si>
    <t xml:space="preserve">   SERVICE CHARGE</t>
  </si>
  <si>
    <t>OFF-PEAK</t>
  </si>
  <si>
    <t>Schedule "D"</t>
  </si>
  <si>
    <t>EXISTING</t>
  </si>
  <si>
    <t>RATE/YR</t>
  </si>
  <si>
    <t>Schedule "T"</t>
  </si>
  <si>
    <t>Schedule "S"</t>
  </si>
  <si>
    <t>175 WATT</t>
  </si>
  <si>
    <t>Schedule "E"</t>
  </si>
  <si>
    <t>KW/KWH</t>
  </si>
  <si>
    <t>Schedule "A"</t>
  </si>
  <si>
    <t>Schedule "B"</t>
  </si>
  <si>
    <t>Schedule "L"</t>
  </si>
  <si>
    <t>Schedule "P"</t>
  </si>
  <si>
    <t>Schedule "H"</t>
  </si>
  <si>
    <t>Schedule "G"</t>
  </si>
  <si>
    <t>Schedule "M"</t>
  </si>
  <si>
    <t>Schedule "J"</t>
  </si>
  <si>
    <t>RATE S</t>
  </si>
  <si>
    <t>RATE J</t>
  </si>
  <si>
    <t xml:space="preserve">        CLARK ENERGY COOPERATIVE, INC.</t>
  </si>
  <si>
    <t>ESC</t>
  </si>
  <si>
    <t xml:space="preserve">      TEST YEAR ENDING SEPTEMBER 30, 2006</t>
  </si>
  <si>
    <t xml:space="preserve">   ALL KWH</t>
  </si>
  <si>
    <t>Billing</t>
  </si>
  <si>
    <t>Actual</t>
  </si>
  <si>
    <t>Proposed</t>
  </si>
  <si>
    <t>Percent</t>
  </si>
  <si>
    <t>Determinants</t>
  </si>
  <si>
    <t>Rate</t>
  </si>
  <si>
    <t>Revenues</t>
  </si>
  <si>
    <t>Increase</t>
  </si>
  <si>
    <t>(1)</t>
  </si>
  <si>
    <t>(2)</t>
  </si>
  <si>
    <t>(3)=(1)*(2)</t>
  </si>
  <si>
    <t>(4)</t>
  </si>
  <si>
    <t>(5)=(1)*(4)</t>
  </si>
  <si>
    <t>(6)</t>
  </si>
  <si>
    <t>Energy Charge per kWh</t>
  </si>
  <si>
    <t>Billing Adjustments</t>
  </si>
  <si>
    <t>Total from Base Rates</t>
  </si>
  <si>
    <t>Plus Fuel Adjustment</t>
  </si>
  <si>
    <t>Plus Environmental Surcharge</t>
  </si>
  <si>
    <t>Green Power</t>
  </si>
  <si>
    <t>Total Revenues</t>
  </si>
  <si>
    <t>Number of Bills</t>
  </si>
  <si>
    <t>Energy</t>
  </si>
  <si>
    <t>Rev from Bases Rates</t>
  </si>
  <si>
    <t>Demand Charge</t>
  </si>
  <si>
    <t>Average</t>
  </si>
  <si>
    <t>Sch T</t>
  </si>
  <si>
    <t>Dollar</t>
  </si>
  <si>
    <t>(7)</t>
  </si>
  <si>
    <t>Clark</t>
  </si>
  <si>
    <t>Billing Analysis</t>
  </si>
  <si>
    <t>Customer</t>
  </si>
  <si>
    <t>Demand</t>
  </si>
  <si>
    <t>Total</t>
  </si>
  <si>
    <t>$ Increase</t>
  </si>
  <si>
    <t>% Increase</t>
  </si>
  <si>
    <t>Clark Energy</t>
  </si>
  <si>
    <t>Schedule D</t>
  </si>
  <si>
    <t>Schedule E</t>
  </si>
  <si>
    <t>Schedule A</t>
  </si>
  <si>
    <t>Schedule B</t>
  </si>
  <si>
    <t>Schedule L</t>
  </si>
  <si>
    <t>Schedule P</t>
  </si>
  <si>
    <t>Schedule H</t>
  </si>
  <si>
    <t>Schedule G</t>
  </si>
  <si>
    <t>Schedule M</t>
  </si>
  <si>
    <t>Schedule J</t>
  </si>
  <si>
    <t>Schedule R</t>
  </si>
  <si>
    <t>Schedule R-TOD</t>
  </si>
  <si>
    <t>Non-demand</t>
  </si>
  <si>
    <t>kWh</t>
  </si>
  <si>
    <t>Total $</t>
  </si>
  <si>
    <t>Less Dmd $</t>
  </si>
  <si>
    <t>Less Cust Chg $</t>
  </si>
  <si>
    <t>per kWh</t>
  </si>
  <si>
    <t>Demand $</t>
  </si>
  <si>
    <t>Customer$</t>
  </si>
  <si>
    <t>Total Increase</t>
  </si>
  <si>
    <t>Customer Charge (Lamp Charge)</t>
  </si>
  <si>
    <t>Actual Annual</t>
  </si>
  <si>
    <t>EKPC Calculated Increase</t>
  </si>
  <si>
    <t>Difference</t>
  </si>
  <si>
    <t>for the 12 month ending September 30, 2006</t>
  </si>
  <si>
    <t>Total Present</t>
  </si>
  <si>
    <t>Annualized</t>
  </si>
  <si>
    <t>Total - All Rate Classes</t>
  </si>
  <si>
    <t>Schedule T</t>
  </si>
  <si>
    <t>Schedule S</t>
  </si>
  <si>
    <t>Non-B/C kWh</t>
  </si>
  <si>
    <t>Request 1b</t>
  </si>
  <si>
    <t>Attachment</t>
  </si>
  <si>
    <t>Page 8 of 8</t>
  </si>
  <si>
    <t>Page 7 of 8</t>
  </si>
  <si>
    <t>Page 6 of 8</t>
  </si>
  <si>
    <t>Page 5 of 8</t>
  </si>
  <si>
    <t>Page 4 of 8</t>
  </si>
  <si>
    <t>Page 3 of 8</t>
  </si>
  <si>
    <t>Page 2 of 8</t>
  </si>
  <si>
    <t>Page 1 of 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</si>
</sst>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#,##0.00000_);\(#,##0.00000\)"/>
    <numFmt numFmtId="167" formatCode="0.00000_)"/>
    <numFmt numFmtId="168" formatCode="0.00_)"/>
    <numFmt numFmtId="169" formatCode="#,##0.0_);\(#,##0.0\)"/>
    <numFmt numFmtId="170" formatCode="0.0000%"/>
    <numFmt numFmtId="171" formatCode="0_);\(0\)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"/>
    <numFmt numFmtId="176" formatCode="0.0"/>
    <numFmt numFmtId="177" formatCode="0.00000"/>
    <numFmt numFmtId="178" formatCode="mmmm\-yy"/>
    <numFmt numFmtId="179" formatCode="mmmm\ d\,\ yyyy"/>
    <numFmt numFmtId="180" formatCode="&quot;$&quot;#,##0"/>
    <numFmt numFmtId="181" formatCode="&quot;$&quot;#,##0.00"/>
    <numFmt numFmtId="182" formatCode="0.00000%"/>
    <numFmt numFmtId="183" formatCode="&quot;$&quot;#,##0.0"/>
    <numFmt numFmtId="184" formatCode="&quot;$&quot;#,##0.0000"/>
    <numFmt numFmtId="185" formatCode="&quot;$&quot;#,##0.00000"/>
    <numFmt numFmtId="186" formatCode="&quot;$&quot;#,##0.00000_);\(&quot;$&quot;#,##0.00000\)"/>
    <numFmt numFmtId="187" formatCode="_(&quot;$&quot;* #,##0_);_(&quot;$&quot;* \(#,##0\);_(&quot;$&quot;* &quot;-&quot;??_);_(@_)"/>
    <numFmt numFmtId="188" formatCode="_(&quot;$&quot;* #,##0.00000_);_(&quot;$&quot;* \(#,##0.00000\);_(&quot;$&quot;* &quot;-&quot;??_);_(@_)"/>
    <numFmt numFmtId="189" formatCode="&quot;$&quot;#,##0.000_);\(&quot;$&quot;#,##0.000\)"/>
    <numFmt numFmtId="190" formatCode="&quot;$&quot;#,##0.0000_);\(&quot;$&quot;#,##0.0000\)"/>
    <numFmt numFmtId="191" formatCode="_(* #,##0.00000_);_(* \(#,##0.00000\);_(* &quot;-&quot;?????_);_(@_)"/>
    <numFmt numFmtId="192" formatCode="&quot;$&quot;#,##0.000000"/>
    <numFmt numFmtId="193" formatCode="0.0%"/>
    <numFmt numFmtId="194" formatCode="#,##0.0"/>
    <numFmt numFmtId="195" formatCode="_(&quot;$&quot;* #,##0.0_);_(&quot;$&quot;* \(#,##0.0\);_(&quot;$&quot;* &quot;-&quot;??_);_(@_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&quot;$&quot;#,##0.000"/>
    <numFmt numFmtId="199" formatCode="_(* #,##0.000000_);_(* \(#,##0.000000\);_(* &quot;-&quot;??????_);_(@_)"/>
    <numFmt numFmtId="200" formatCode="&quot;$&quot;#,##0.000000_);\(&quot;$&quot;#,##0.000000\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7" fontId="2" fillId="0" borderId="0" xfId="0" applyNumberFormat="1" applyFont="1" applyAlignment="1" applyProtection="1">
      <alignment/>
      <protection/>
    </xf>
    <xf numFmtId="17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5" fontId="2" fillId="0" borderId="0" xfId="0" applyNumberFormat="1" applyFont="1" applyAlignment="1" applyProtection="1">
      <alignment/>
      <protection/>
    </xf>
    <xf numFmtId="181" fontId="2" fillId="0" borderId="1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6" fillId="0" borderId="2" xfId="0" applyFont="1" applyFill="1" applyBorder="1" applyAlignment="1">
      <alignment horizontal="center"/>
    </xf>
    <xf numFmtId="3" fontId="2" fillId="0" borderId="0" xfId="20" applyNumberFormat="1" applyFont="1" applyAlignment="1">
      <alignment/>
    </xf>
    <xf numFmtId="3" fontId="2" fillId="2" borderId="0" xfId="0" applyNumberFormat="1" applyFont="1" applyFill="1" applyAlignment="1">
      <alignment/>
    </xf>
    <xf numFmtId="180" fontId="2" fillId="2" borderId="0" xfId="0" applyNumberFormat="1" applyFont="1" applyFill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Alignment="1" applyProtection="1">
      <alignment/>
      <protection/>
    </xf>
    <xf numFmtId="39" fontId="2" fillId="0" borderId="1" xfId="0" applyNumberFormat="1" applyFont="1" applyBorder="1" applyAlignment="1" applyProtection="1">
      <alignment/>
      <protection/>
    </xf>
    <xf numFmtId="5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81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applyProtection="1">
      <alignment/>
      <protection/>
    </xf>
    <xf numFmtId="7" fontId="2" fillId="0" borderId="0" xfId="0" applyNumberFormat="1" applyFont="1" applyAlignment="1">
      <alignment/>
    </xf>
    <xf numFmtId="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3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fill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6" fillId="0" borderId="17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19" xfId="0" applyFont="1" applyBorder="1" applyAlignment="1" quotePrefix="1">
      <alignment horizontal="center"/>
    </xf>
    <xf numFmtId="3" fontId="2" fillId="0" borderId="0" xfId="0" applyNumberFormat="1" applyFont="1" applyFill="1" applyBorder="1" applyAlignment="1">
      <alignment/>
    </xf>
    <xf numFmtId="7" fontId="2" fillId="0" borderId="0" xfId="17" applyNumberFormat="1" applyFont="1" applyBorder="1" applyAlignment="1">
      <alignment/>
    </xf>
    <xf numFmtId="187" fontId="2" fillId="0" borderId="8" xfId="17" applyNumberFormat="1" applyFont="1" applyBorder="1" applyAlignment="1">
      <alignment/>
    </xf>
    <xf numFmtId="7" fontId="2" fillId="0" borderId="7" xfId="17" applyNumberFormat="1" applyFont="1" applyBorder="1" applyAlignment="1">
      <alignment/>
    </xf>
    <xf numFmtId="180" fontId="2" fillId="0" borderId="0" xfId="17" applyNumberFormat="1" applyFont="1" applyBorder="1" applyAlignment="1">
      <alignment/>
    </xf>
    <xf numFmtId="18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8" fontId="2" fillId="0" borderId="0" xfId="17" applyNumberFormat="1" applyFont="1" applyBorder="1" applyAlignment="1">
      <alignment/>
    </xf>
    <xf numFmtId="188" fontId="2" fillId="0" borderId="7" xfId="17" applyNumberFormat="1" applyFont="1" applyBorder="1" applyAlignment="1">
      <alignment/>
    </xf>
    <xf numFmtId="180" fontId="2" fillId="5" borderId="0" xfId="17" applyNumberFormat="1" applyFont="1" applyFill="1" applyBorder="1" applyAlignment="1">
      <alignment/>
    </xf>
    <xf numFmtId="187" fontId="2" fillId="0" borderId="20" xfId="0" applyNumberFormat="1" applyFont="1" applyBorder="1" applyAlignment="1">
      <alignment horizontal="right"/>
    </xf>
    <xf numFmtId="187" fontId="2" fillId="0" borderId="3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187" fontId="2" fillId="0" borderId="20" xfId="17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186" fontId="2" fillId="0" borderId="0" xfId="17" applyNumberFormat="1" applyFont="1" applyBorder="1" applyAlignment="1">
      <alignment/>
    </xf>
    <xf numFmtId="18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6" fillId="0" borderId="9" xfId="0" applyFont="1" applyBorder="1" applyAlignment="1" quotePrefix="1">
      <alignment horizontal="center"/>
    </xf>
    <xf numFmtId="7" fontId="2" fillId="0" borderId="5" xfId="17" applyNumberFormat="1" applyFont="1" applyBorder="1" applyAlignment="1">
      <alignment/>
    </xf>
    <xf numFmtId="180" fontId="2" fillId="0" borderId="5" xfId="17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87" fontId="2" fillId="0" borderId="8" xfId="0" applyNumberFormat="1" applyFont="1" applyBorder="1" applyAlignment="1">
      <alignment horizontal="right"/>
    </xf>
    <xf numFmtId="186" fontId="2" fillId="5" borderId="0" xfId="0" applyNumberFormat="1" applyFont="1" applyFill="1" applyBorder="1" applyAlignment="1">
      <alignment/>
    </xf>
    <xf numFmtId="187" fontId="7" fillId="0" borderId="8" xfId="17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0" fontId="2" fillId="0" borderId="14" xfId="21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180" fontId="2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7" fontId="2" fillId="5" borderId="0" xfId="17" applyNumberFormat="1" applyFont="1" applyFill="1" applyBorder="1" applyAlignment="1">
      <alignment/>
    </xf>
    <xf numFmtId="181" fontId="2" fillId="0" borderId="0" xfId="17" applyNumberFormat="1" applyFont="1" applyBorder="1" applyAlignment="1">
      <alignment/>
    </xf>
    <xf numFmtId="7" fontId="2" fillId="5" borderId="0" xfId="0" applyNumberFormat="1" applyFont="1" applyFill="1" applyBorder="1" applyAlignment="1">
      <alignment/>
    </xf>
    <xf numFmtId="187" fontId="2" fillId="0" borderId="0" xfId="17" applyNumberFormat="1" applyFont="1" applyBorder="1" applyAlignment="1">
      <alignment/>
    </xf>
    <xf numFmtId="181" fontId="2" fillId="0" borderId="3" xfId="17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7" fontId="2" fillId="0" borderId="20" xfId="0" applyNumberFormat="1" applyFont="1" applyBorder="1" applyAlignment="1">
      <alignment/>
    </xf>
    <xf numFmtId="44" fontId="2" fillId="0" borderId="8" xfId="17" applyFont="1" applyBorder="1" applyAlignment="1">
      <alignment/>
    </xf>
    <xf numFmtId="44" fontId="2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7" fontId="2" fillId="5" borderId="7" xfId="17" applyNumberFormat="1" applyFont="1" applyFill="1" applyBorder="1" applyAlignment="1">
      <alignment/>
    </xf>
    <xf numFmtId="180" fontId="2" fillId="0" borderId="3" xfId="17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7" fontId="2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/>
      <protection/>
    </xf>
    <xf numFmtId="188" fontId="2" fillId="5" borderId="7" xfId="17" applyNumberFormat="1" applyFont="1" applyFill="1" applyBorder="1" applyAlignment="1">
      <alignment/>
    </xf>
    <xf numFmtId="44" fontId="2" fillId="0" borderId="0" xfId="17" applyNumberFormat="1" applyFont="1" applyBorder="1" applyAlignment="1">
      <alignment/>
    </xf>
    <xf numFmtId="180" fontId="2" fillId="0" borderId="0" xfId="21" applyNumberFormat="1" applyFont="1" applyBorder="1" applyAlignment="1">
      <alignment/>
    </xf>
    <xf numFmtId="169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7" fontId="2" fillId="0" borderId="7" xfId="17" applyNumberFormat="1" applyFont="1" applyFill="1" applyBorder="1" applyAlignment="1">
      <alignment/>
    </xf>
    <xf numFmtId="192" fontId="2" fillId="0" borderId="0" xfId="17" applyNumberFormat="1" applyFont="1" applyBorder="1" applyAlignment="1">
      <alignment/>
    </xf>
    <xf numFmtId="0" fontId="2" fillId="0" borderId="7" xfId="0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1" fontId="2" fillId="0" borderId="7" xfId="17" applyNumberFormat="1" applyFont="1" applyFill="1" applyBorder="1" applyAlignment="1">
      <alignment/>
    </xf>
    <xf numFmtId="5" fontId="2" fillId="0" borderId="20" xfId="0" applyNumberFormat="1" applyFont="1" applyBorder="1" applyAlignment="1">
      <alignment/>
    </xf>
    <xf numFmtId="173" fontId="2" fillId="0" borderId="8" xfId="0" applyNumberFormat="1" applyFont="1" applyBorder="1" applyAlignment="1">
      <alignment/>
    </xf>
    <xf numFmtId="181" fontId="2" fillId="0" borderId="7" xfId="17" applyNumberFormat="1" applyFont="1" applyBorder="1" applyAlignment="1">
      <alignment/>
    </xf>
    <xf numFmtId="187" fontId="7" fillId="0" borderId="3" xfId="0" applyNumberFormat="1" applyFont="1" applyBorder="1" applyAlignment="1">
      <alignment/>
    </xf>
    <xf numFmtId="188" fontId="2" fillId="0" borderId="7" xfId="17" applyNumberFormat="1" applyFont="1" applyFill="1" applyBorder="1" applyAlignment="1">
      <alignment/>
    </xf>
    <xf numFmtId="187" fontId="2" fillId="0" borderId="7" xfId="17" applyNumberFormat="1" applyFont="1" applyBorder="1" applyAlignment="1">
      <alignment/>
    </xf>
    <xf numFmtId="181" fontId="2" fillId="3" borderId="7" xfId="17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 quotePrefix="1">
      <alignment horizontal="center"/>
    </xf>
    <xf numFmtId="180" fontId="2" fillId="0" borderId="9" xfId="0" applyNumberFormat="1" applyFont="1" applyBorder="1" applyAlignment="1">
      <alignment/>
    </xf>
    <xf numFmtId="10" fontId="2" fillId="0" borderId="9" xfId="21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0" fontId="2" fillId="0" borderId="26" xfId="21" applyNumberFormat="1" applyFont="1" applyBorder="1" applyAlignment="1">
      <alignment/>
    </xf>
    <xf numFmtId="10" fontId="5" fillId="0" borderId="0" xfId="21" applyNumberFormat="1" applyFont="1" applyBorder="1" applyAlignment="1">
      <alignment/>
    </xf>
    <xf numFmtId="10" fontId="2" fillId="0" borderId="22" xfId="21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18.125" style="1" customWidth="1"/>
    <col min="2" max="2" width="1.625" style="1" customWidth="1"/>
    <col min="3" max="3" width="11.75390625" style="1" customWidth="1"/>
    <col min="4" max="4" width="1.37890625" style="1" customWidth="1"/>
    <col min="5" max="5" width="10.875" style="1" customWidth="1"/>
    <col min="6" max="6" width="1.625" style="1" customWidth="1"/>
    <col min="7" max="7" width="10.875" style="1" bestFit="1" customWidth="1"/>
    <col min="8" max="8" width="1.625" style="1" customWidth="1"/>
    <col min="9" max="9" width="9.875" style="1" customWidth="1"/>
    <col min="10" max="16384" width="9.00390625" style="1" customWidth="1"/>
  </cols>
  <sheetData>
    <row r="1" ht="12.75">
      <c r="J1" s="149" t="s">
        <v>133</v>
      </c>
    </row>
    <row r="2" ht="12.75">
      <c r="J2" s="149" t="s">
        <v>134</v>
      </c>
    </row>
    <row r="3" ht="12.75">
      <c r="J3" s="149" t="s">
        <v>142</v>
      </c>
    </row>
    <row r="5" spans="1:9" ht="12.75">
      <c r="A5" s="160" t="s">
        <v>100</v>
      </c>
      <c r="B5" s="160"/>
      <c r="C5" s="160"/>
      <c r="D5" s="160"/>
      <c r="E5" s="160"/>
      <c r="F5" s="160"/>
      <c r="G5" s="160"/>
      <c r="H5" s="160"/>
      <c r="I5" s="160"/>
    </row>
    <row r="7" spans="1:9" ht="12.75">
      <c r="A7" s="160" t="s">
        <v>94</v>
      </c>
      <c r="B7" s="160"/>
      <c r="C7" s="160"/>
      <c r="D7" s="160"/>
      <c r="E7" s="160"/>
      <c r="F7" s="160"/>
      <c r="G7" s="160"/>
      <c r="H7" s="160"/>
      <c r="I7" s="160"/>
    </row>
    <row r="9" spans="1:9" ht="12.75">
      <c r="A9" s="160" t="s">
        <v>126</v>
      </c>
      <c r="B9" s="160"/>
      <c r="C9" s="160"/>
      <c r="D9" s="160"/>
      <c r="E9" s="160"/>
      <c r="F9" s="160"/>
      <c r="G9" s="160"/>
      <c r="H9" s="160"/>
      <c r="I9" s="160"/>
    </row>
    <row r="11" spans="1:9" ht="12.75">
      <c r="A11" s="53"/>
      <c r="C11" s="150" t="s">
        <v>127</v>
      </c>
      <c r="D11" s="9"/>
      <c r="E11" s="150" t="s">
        <v>97</v>
      </c>
      <c r="F11" s="9"/>
      <c r="G11" s="150"/>
      <c r="H11" s="9"/>
      <c r="I11" s="150"/>
    </row>
    <row r="12" spans="1:9" ht="12.75">
      <c r="A12" s="151"/>
      <c r="C12" s="152" t="s">
        <v>128</v>
      </c>
      <c r="D12" s="9"/>
      <c r="E12" s="152" t="s">
        <v>66</v>
      </c>
      <c r="F12" s="9"/>
      <c r="G12" s="152"/>
      <c r="H12" s="9"/>
      <c r="I12" s="152"/>
    </row>
    <row r="13" spans="1:9" ht="12.75">
      <c r="A13" s="58"/>
      <c r="C13" s="152" t="s">
        <v>70</v>
      </c>
      <c r="D13" s="9"/>
      <c r="E13" s="152" t="s">
        <v>70</v>
      </c>
      <c r="F13" s="9"/>
      <c r="G13" s="153" t="s">
        <v>98</v>
      </c>
      <c r="H13" s="9"/>
      <c r="I13" s="152" t="s">
        <v>99</v>
      </c>
    </row>
    <row r="14" spans="1:9" ht="12.75">
      <c r="A14" s="53" t="s">
        <v>111</v>
      </c>
      <c r="C14" s="154">
        <v>26439864.265490003</v>
      </c>
      <c r="E14" s="154">
        <v>27654261.4223142</v>
      </c>
      <c r="G14" s="154">
        <f>E14-C14</f>
        <v>1214397.1568241976</v>
      </c>
      <c r="I14" s="155">
        <f>E14/C14-1</f>
        <v>0.04593053673158454</v>
      </c>
    </row>
    <row r="15" spans="1:9" ht="12.75">
      <c r="A15" s="151" t="s">
        <v>112</v>
      </c>
      <c r="C15" s="156">
        <v>0</v>
      </c>
      <c r="E15" s="156">
        <v>0</v>
      </c>
      <c r="G15" s="156">
        <f aca="true" t="shared" si="0" ref="G15:G27">E15-C15</f>
        <v>0</v>
      </c>
      <c r="I15" s="157">
        <v>0</v>
      </c>
    </row>
    <row r="16" spans="1:9" ht="12.75">
      <c r="A16" s="151" t="s">
        <v>101</v>
      </c>
      <c r="C16" s="156">
        <v>97869.72254999999</v>
      </c>
      <c r="E16" s="156">
        <v>105205.42061585198</v>
      </c>
      <c r="G16" s="156">
        <f t="shared" si="0"/>
        <v>7335.69806585199</v>
      </c>
      <c r="I16" s="157">
        <f aca="true" t="shared" si="1" ref="I16:I27">E16/C16-1</f>
        <v>0.0749537024803999</v>
      </c>
    </row>
    <row r="17" spans="1:9" ht="12.75">
      <c r="A17" s="151" t="s">
        <v>130</v>
      </c>
      <c r="C17" s="156">
        <v>101125.77436639857</v>
      </c>
      <c r="E17" s="156">
        <v>106250.37226888954</v>
      </c>
      <c r="G17" s="156">
        <f t="shared" si="0"/>
        <v>5124.597902490961</v>
      </c>
      <c r="I17" s="157">
        <f t="shared" si="1"/>
        <v>0.050675487377960904</v>
      </c>
    </row>
    <row r="18" spans="1:9" ht="12.75">
      <c r="A18" s="151" t="s">
        <v>131</v>
      </c>
      <c r="C18" s="156">
        <v>681287.5581336014</v>
      </c>
      <c r="E18" s="156">
        <v>709902.8036051245</v>
      </c>
      <c r="G18" s="156">
        <f t="shared" si="0"/>
        <v>28615.245471523027</v>
      </c>
      <c r="I18" s="157">
        <f t="shared" si="1"/>
        <v>0.04200171444480061</v>
      </c>
    </row>
    <row r="19" spans="1:9" ht="12.75">
      <c r="A19" s="151" t="s">
        <v>102</v>
      </c>
      <c r="C19" s="156">
        <v>354122.08444</v>
      </c>
      <c r="E19" s="156">
        <v>368996.61374713347</v>
      </c>
      <c r="G19" s="156">
        <f t="shared" si="0"/>
        <v>14874.52930713346</v>
      </c>
      <c r="I19" s="157">
        <f t="shared" si="1"/>
        <v>0.042003958410715025</v>
      </c>
    </row>
    <row r="20" spans="1:9" ht="12.75">
      <c r="A20" s="151" t="s">
        <v>103</v>
      </c>
      <c r="C20" s="156">
        <v>1458732.838263617</v>
      </c>
      <c r="E20" s="156">
        <v>1511886.4258685317</v>
      </c>
      <c r="G20" s="156">
        <f t="shared" si="0"/>
        <v>53153.58760491479</v>
      </c>
      <c r="I20" s="157">
        <f t="shared" si="1"/>
        <v>0.03643819225197231</v>
      </c>
    </row>
    <row r="21" spans="1:9" ht="12.75">
      <c r="A21" s="151" t="s">
        <v>104</v>
      </c>
      <c r="C21" s="156">
        <v>1238085.512146383</v>
      </c>
      <c r="E21" s="156">
        <v>1288265.0459745638</v>
      </c>
      <c r="G21" s="156">
        <f t="shared" si="0"/>
        <v>50179.53382818075</v>
      </c>
      <c r="I21" s="157">
        <f t="shared" si="1"/>
        <v>0.0405299418625682</v>
      </c>
    </row>
    <row r="22" spans="1:9" ht="12.75">
      <c r="A22" s="151" t="s">
        <v>105</v>
      </c>
      <c r="C22" s="156">
        <v>4646916.381560001</v>
      </c>
      <c r="E22" s="156">
        <v>4864583.172934014</v>
      </c>
      <c r="G22" s="156">
        <f t="shared" si="0"/>
        <v>217666.79137401376</v>
      </c>
      <c r="I22" s="157">
        <f t="shared" si="1"/>
        <v>0.046841125060430144</v>
      </c>
    </row>
    <row r="23" spans="1:9" ht="12.75">
      <c r="A23" s="151" t="s">
        <v>106</v>
      </c>
      <c r="C23" s="156">
        <v>669593.9078600002</v>
      </c>
      <c r="E23" s="156">
        <v>705970.0551715577</v>
      </c>
      <c r="G23" s="156">
        <f t="shared" si="0"/>
        <v>36376.14731155755</v>
      </c>
      <c r="I23" s="157">
        <f t="shared" si="1"/>
        <v>0.054325684395508445</v>
      </c>
    </row>
    <row r="24" spans="1:9" ht="12.75">
      <c r="A24" s="151" t="s">
        <v>107</v>
      </c>
      <c r="C24" s="156">
        <v>0</v>
      </c>
      <c r="E24" s="156">
        <v>0</v>
      </c>
      <c r="G24" s="156">
        <f t="shared" si="0"/>
        <v>0</v>
      </c>
      <c r="I24" s="157">
        <v>0</v>
      </c>
    </row>
    <row r="25" spans="1:9" ht="12.75">
      <c r="A25" s="151" t="s">
        <v>108</v>
      </c>
      <c r="C25" s="156">
        <v>0</v>
      </c>
      <c r="E25" s="156">
        <v>0</v>
      </c>
      <c r="G25" s="156">
        <f t="shared" si="0"/>
        <v>0</v>
      </c>
      <c r="I25" s="157">
        <v>0</v>
      </c>
    </row>
    <row r="26" spans="1:9" ht="12.75">
      <c r="A26" s="151" t="s">
        <v>109</v>
      </c>
      <c r="C26" s="156">
        <v>782047.210342</v>
      </c>
      <c r="E26" s="156">
        <v>823964.5351521383</v>
      </c>
      <c r="G26" s="156">
        <f t="shared" si="0"/>
        <v>41917.32481013832</v>
      </c>
      <c r="I26" s="157">
        <f t="shared" si="1"/>
        <v>0.05359948127915093</v>
      </c>
    </row>
    <row r="27" spans="1:9" ht="12.75">
      <c r="A27" s="58" t="s">
        <v>110</v>
      </c>
      <c r="C27" s="137">
        <v>137184.44569999998</v>
      </c>
      <c r="E27" s="137">
        <v>147355.8332</v>
      </c>
      <c r="G27" s="137">
        <f t="shared" si="0"/>
        <v>10171.387500000012</v>
      </c>
      <c r="I27" s="106">
        <f t="shared" si="1"/>
        <v>0.0741438830626846</v>
      </c>
    </row>
    <row r="28" spans="1:9" ht="12.75">
      <c r="A28" s="53"/>
      <c r="C28" s="151"/>
      <c r="E28" s="151"/>
      <c r="G28" s="53"/>
      <c r="I28" s="53"/>
    </row>
    <row r="29" spans="1:9" ht="12.75">
      <c r="A29" s="107" t="s">
        <v>129</v>
      </c>
      <c r="C29" s="137">
        <f>SUM(C14:C27)</f>
        <v>36606829.700852</v>
      </c>
      <c r="E29" s="137">
        <f>SUM(E14:E27)</f>
        <v>38286641.70085201</v>
      </c>
      <c r="G29" s="137">
        <f>SUM(G14:G27)</f>
        <v>1679812.0000000026</v>
      </c>
      <c r="I29" s="106">
        <f>E29/C29-1</f>
        <v>0.045887939866065874</v>
      </c>
    </row>
  </sheetData>
  <mergeCells count="3">
    <mergeCell ref="A5:I5"/>
    <mergeCell ref="A7:I7"/>
    <mergeCell ref="A9:I9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94"/>
  <sheetViews>
    <sheetView view="pageBreakPreview" zoomScale="60" workbookViewId="0" topLeftCell="A1">
      <selection activeCell="A4" sqref="A4"/>
    </sheetView>
  </sheetViews>
  <sheetFormatPr defaultColWidth="9.00390625" defaultRowHeight="12.75"/>
  <cols>
    <col min="1" max="1" width="21.00390625" style="0" bestFit="1" customWidth="1"/>
    <col min="2" max="2" width="11.375" style="0" bestFit="1" customWidth="1"/>
    <col min="3" max="4" width="10.375" style="0" bestFit="1" customWidth="1"/>
    <col min="5" max="5" width="10.75390625" style="0" customWidth="1"/>
    <col min="6" max="6" width="11.375" style="0" bestFit="1" customWidth="1"/>
    <col min="7" max="7" width="10.375" style="0" bestFit="1" customWidth="1"/>
    <col min="8" max="8" width="10.125" style="0" bestFit="1" customWidth="1"/>
    <col min="9" max="9" width="11.00390625" style="0" bestFit="1" customWidth="1"/>
    <col min="10" max="10" width="11.375" style="0" bestFit="1" customWidth="1"/>
    <col min="11" max="11" width="10.375" style="0" bestFit="1" customWidth="1"/>
    <col min="12" max="12" width="3.125" style="0" customWidth="1"/>
    <col min="13" max="13" width="10.125" style="0" bestFit="1" customWidth="1"/>
    <col min="14" max="14" width="10.875" style="0" bestFit="1" customWidth="1"/>
    <col min="15" max="15" width="11.375" style="0" bestFit="1" customWidth="1"/>
    <col min="16" max="17" width="10.375" style="0" bestFit="1" customWidth="1"/>
    <col min="18" max="18" width="10.50390625" style="0" bestFit="1" customWidth="1"/>
    <col min="19" max="19" width="11.375" style="0" bestFit="1" customWidth="1"/>
    <col min="20" max="22" width="10.375" style="0" bestFit="1" customWidth="1"/>
    <col min="23" max="23" width="11.375" style="0" bestFit="1" customWidth="1"/>
    <col min="24" max="24" width="10.375" style="0" bestFit="1" customWidth="1"/>
    <col min="25" max="25" width="10.125" style="0" bestFit="1" customWidth="1"/>
    <col min="26" max="26" width="10.75390625" style="0" bestFit="1" customWidth="1"/>
    <col min="27" max="27" width="11.375" style="0" bestFit="1" customWidth="1"/>
    <col min="28" max="28" width="10.375" style="0" bestFit="1" customWidth="1"/>
    <col min="29" max="30" width="10.50390625" style="0" bestFit="1" customWidth="1"/>
    <col min="31" max="31" width="11.375" style="0" bestFit="1" customWidth="1"/>
    <col min="32" max="32" width="10.375" style="0" bestFit="1" customWidth="1"/>
    <col min="33" max="33" width="10.125" style="0" bestFit="1" customWidth="1"/>
    <col min="34" max="34" width="10.75390625" style="0" bestFit="1" customWidth="1"/>
    <col min="35" max="35" width="11.375" style="0" bestFit="1" customWidth="1"/>
    <col min="36" max="36" width="10.375" style="0" bestFit="1" customWidth="1"/>
    <col min="37" max="37" width="10.125" style="0" bestFit="1" customWidth="1"/>
    <col min="38" max="38" width="10.75390625" style="0" bestFit="1" customWidth="1"/>
    <col min="39" max="39" width="11.375" style="0" bestFit="1" customWidth="1"/>
    <col min="40" max="41" width="10.375" style="0" bestFit="1" customWidth="1"/>
    <col min="42" max="42" width="11.00390625" style="0" bestFit="1" customWidth="1"/>
    <col min="43" max="43" width="11.375" style="0" bestFit="1" customWidth="1"/>
    <col min="44" max="44" width="10.375" style="0" bestFit="1" customWidth="1"/>
    <col min="45" max="45" width="10.125" style="0" bestFit="1" customWidth="1"/>
    <col min="46" max="46" width="10.75390625" style="0" bestFit="1" customWidth="1"/>
    <col min="47" max="47" width="11.375" style="0" bestFit="1" customWidth="1"/>
    <col min="48" max="49" width="10.375" style="0" bestFit="1" customWidth="1"/>
    <col min="50" max="50" width="10.75390625" style="0" bestFit="1" customWidth="1"/>
    <col min="51" max="51" width="11.375" style="0" bestFit="1" customWidth="1"/>
    <col min="52" max="52" width="10.375" style="0" bestFit="1" customWidth="1"/>
    <col min="53" max="53" width="11.75390625" style="0" bestFit="1" customWidth="1"/>
    <col min="54" max="54" width="11.00390625" style="0" bestFit="1" customWidth="1"/>
  </cols>
  <sheetData>
    <row r="2" spans="14:54" ht="12">
      <c r="N2" t="s">
        <v>133</v>
      </c>
      <c r="Z2" t="s">
        <v>133</v>
      </c>
      <c r="AL2" t="s">
        <v>133</v>
      </c>
      <c r="BB2" s="148" t="s">
        <v>133</v>
      </c>
    </row>
    <row r="3" spans="1:54" ht="12.75">
      <c r="A3" s="1"/>
      <c r="B3" s="1"/>
      <c r="C3" s="1"/>
      <c r="D3" s="1"/>
      <c r="E3" s="1"/>
      <c r="F3" s="6"/>
      <c r="G3" s="5"/>
      <c r="H3" s="1"/>
      <c r="I3" s="1"/>
      <c r="J3" s="6"/>
      <c r="K3" s="5"/>
      <c r="L3" s="5"/>
      <c r="M3" s="1"/>
      <c r="N3" s="1" t="s">
        <v>134</v>
      </c>
      <c r="O3" s="6"/>
      <c r="P3" s="5"/>
      <c r="Q3" s="1"/>
      <c r="S3" s="6"/>
      <c r="T3" s="5"/>
      <c r="U3" s="1"/>
      <c r="V3" s="1"/>
      <c r="W3" s="6"/>
      <c r="X3" s="5"/>
      <c r="Y3" s="1"/>
      <c r="Z3" s="1" t="s">
        <v>134</v>
      </c>
      <c r="AA3" s="6"/>
      <c r="AB3" s="5"/>
      <c r="AC3" s="1"/>
      <c r="AD3" s="1"/>
      <c r="AE3" s="6"/>
      <c r="AF3" s="5"/>
      <c r="AG3" s="1"/>
      <c r="AH3" s="1"/>
      <c r="AI3" s="6"/>
      <c r="AJ3" s="5"/>
      <c r="AK3" s="1"/>
      <c r="AL3" s="1" t="s">
        <v>134</v>
      </c>
      <c r="AM3" s="6"/>
      <c r="AN3" s="5"/>
      <c r="AO3" s="1"/>
      <c r="AP3" s="1"/>
      <c r="AQ3" s="6"/>
      <c r="AR3" s="5"/>
      <c r="AS3" s="1"/>
      <c r="AT3" s="1"/>
      <c r="AU3" s="6"/>
      <c r="AV3" s="5"/>
      <c r="AW3" s="1"/>
      <c r="AX3" s="1"/>
      <c r="AY3" s="1"/>
      <c r="AZ3" s="1"/>
      <c r="BA3" s="1"/>
      <c r="BB3" s="149" t="s">
        <v>134</v>
      </c>
    </row>
    <row r="4" spans="1:54" ht="12.75">
      <c r="A4" s="1"/>
      <c r="B4" s="1"/>
      <c r="C4" s="1"/>
      <c r="D4" s="1"/>
      <c r="E4" s="1"/>
      <c r="F4" s="6"/>
      <c r="G4" s="5"/>
      <c r="H4" s="1"/>
      <c r="I4" s="1"/>
      <c r="J4" s="6"/>
      <c r="K4" s="5"/>
      <c r="L4" s="5"/>
      <c r="M4" s="1"/>
      <c r="N4" s="1" t="s">
        <v>141</v>
      </c>
      <c r="O4" s="6"/>
      <c r="P4" s="5"/>
      <c r="Q4" s="1"/>
      <c r="S4" s="6"/>
      <c r="T4" s="5"/>
      <c r="U4" s="1"/>
      <c r="V4" s="1"/>
      <c r="W4" s="6"/>
      <c r="X4" s="5"/>
      <c r="Y4" s="1"/>
      <c r="Z4" s="1" t="s">
        <v>140</v>
      </c>
      <c r="AA4" s="6"/>
      <c r="AB4" s="5"/>
      <c r="AC4" s="1"/>
      <c r="AD4" s="1"/>
      <c r="AE4" s="6"/>
      <c r="AF4" s="5"/>
      <c r="AG4" s="1"/>
      <c r="AH4" s="1"/>
      <c r="AI4" s="6"/>
      <c r="AJ4" s="5"/>
      <c r="AK4" s="1"/>
      <c r="AL4" s="1" t="s">
        <v>139</v>
      </c>
      <c r="AM4" s="6"/>
      <c r="AN4" s="5"/>
      <c r="AO4" s="1"/>
      <c r="AP4" s="1"/>
      <c r="AQ4" s="6"/>
      <c r="AR4" s="5"/>
      <c r="AS4" s="1"/>
      <c r="AT4" s="1"/>
      <c r="AU4" s="6"/>
      <c r="AV4" s="5"/>
      <c r="AW4" s="1"/>
      <c r="AX4" s="1"/>
      <c r="AY4" s="1"/>
      <c r="AZ4" s="1"/>
      <c r="BA4" s="1"/>
      <c r="BB4" s="149" t="s">
        <v>138</v>
      </c>
    </row>
    <row r="5" spans="1:54" ht="12.75">
      <c r="A5" s="2" t="s">
        <v>1</v>
      </c>
      <c r="B5" s="3">
        <f>DATE(2005,10,1)</f>
        <v>38626</v>
      </c>
      <c r="C5" s="2"/>
      <c r="D5" s="2"/>
      <c r="E5" s="2"/>
      <c r="F5" s="4">
        <f>DATE(YEAR($B$5),MONTH(B5)+1,1)</f>
        <v>38657</v>
      </c>
      <c r="G5" s="5"/>
      <c r="H5" s="2"/>
      <c r="I5" s="2"/>
      <c r="J5" s="4">
        <f>DATE((YEAR($F$5)-1900),MONTH(F5)+1,1)</f>
        <v>38687</v>
      </c>
      <c r="K5" s="5"/>
      <c r="L5" s="5"/>
      <c r="M5" s="2"/>
      <c r="N5" s="2"/>
      <c r="O5" s="4">
        <f>DATE((YEAR($J$5)+1),1,1)</f>
        <v>38718</v>
      </c>
      <c r="P5" s="5"/>
      <c r="Q5" s="2"/>
      <c r="R5" s="2"/>
      <c r="S5" s="4">
        <f>DATE((YEAR($O$5)-1900),MONTH(O5)+1,1)</f>
        <v>38749</v>
      </c>
      <c r="T5" s="5"/>
      <c r="U5" s="2"/>
      <c r="V5" s="2"/>
      <c r="W5" s="4">
        <f>DATE((YEAR($S$5)-1900),MONTH(S5)+1,1)</f>
        <v>38777</v>
      </c>
      <c r="X5" s="5"/>
      <c r="Y5" s="2"/>
      <c r="Z5" s="2"/>
      <c r="AA5" s="4">
        <f>DATE((YEAR($W$5)-1900),MONTH(W5)+1,1)</f>
        <v>38808</v>
      </c>
      <c r="AB5" s="5"/>
      <c r="AC5" s="2"/>
      <c r="AD5" s="2"/>
      <c r="AE5" s="4">
        <f>DATE((YEAR($AA$5)-1900),MONTH(AA5)+1,1)</f>
        <v>38838</v>
      </c>
      <c r="AF5" s="5"/>
      <c r="AG5" s="2"/>
      <c r="AH5" s="2"/>
      <c r="AI5" s="4">
        <f>DATE((YEAR($AE$5)-1900),MONTH(AE5)+1,1)</f>
        <v>38869</v>
      </c>
      <c r="AJ5" s="5"/>
      <c r="AK5" s="2"/>
      <c r="AL5" s="2"/>
      <c r="AM5" s="4">
        <f>DATE((YEAR($AI$5)-1900),MONTH(AI5)+1,1)</f>
        <v>38899</v>
      </c>
      <c r="AN5" s="5"/>
      <c r="AO5" s="2"/>
      <c r="AP5" s="2"/>
      <c r="AQ5" s="4">
        <f>DATE((YEAR($AM$5)-1900),MONTH(AM5)+1,1)</f>
        <v>38930</v>
      </c>
      <c r="AR5" s="5"/>
      <c r="AS5" s="2"/>
      <c r="AT5" s="2"/>
      <c r="AU5" s="4">
        <f>DATE((YEAR($AQ$5)-1900),MONTH(AQ5)+1,1)</f>
        <v>38961</v>
      </c>
      <c r="AV5" s="5"/>
      <c r="AW5" s="2"/>
      <c r="AX5" s="2"/>
      <c r="AY5" s="2" t="s">
        <v>2</v>
      </c>
      <c r="AZ5" s="2"/>
      <c r="BA5" s="2"/>
      <c r="BB5" s="2"/>
    </row>
    <row r="6" spans="1:54" ht="12.75">
      <c r="A6" s="1"/>
      <c r="B6" s="1"/>
      <c r="C6" s="1"/>
      <c r="D6" s="1"/>
      <c r="E6" s="1"/>
      <c r="F6" s="6"/>
      <c r="G6" s="5"/>
      <c r="H6" s="1"/>
      <c r="I6" s="1"/>
      <c r="J6" s="6"/>
      <c r="K6" s="5"/>
      <c r="L6" s="5"/>
      <c r="M6" s="1"/>
      <c r="N6" s="1"/>
      <c r="O6" s="6" t="s">
        <v>0</v>
      </c>
      <c r="P6" s="5"/>
      <c r="Q6" s="1"/>
      <c r="R6" s="1"/>
      <c r="S6" s="6"/>
      <c r="T6" s="5"/>
      <c r="U6" s="1"/>
      <c r="V6" s="1"/>
      <c r="W6" s="6"/>
      <c r="X6" s="5"/>
      <c r="Y6" s="1"/>
      <c r="Z6" s="1"/>
      <c r="AA6" s="6"/>
      <c r="AB6" s="5"/>
      <c r="AC6" s="1"/>
      <c r="AD6" s="1"/>
      <c r="AE6" s="6"/>
      <c r="AF6" s="5"/>
      <c r="AG6" s="1"/>
      <c r="AH6" s="1"/>
      <c r="AI6" s="6"/>
      <c r="AJ6" s="5"/>
      <c r="AK6" s="1"/>
      <c r="AL6" s="1"/>
      <c r="AM6" s="6"/>
      <c r="AN6" s="5"/>
      <c r="AO6" s="1"/>
      <c r="AP6" s="1"/>
      <c r="AQ6" s="6"/>
      <c r="AR6" s="5"/>
      <c r="AS6" s="1"/>
      <c r="AT6" s="1"/>
      <c r="AU6" s="6" t="s">
        <v>0</v>
      </c>
      <c r="AV6" s="5"/>
      <c r="AW6" s="1"/>
      <c r="AX6" s="1"/>
      <c r="AY6" s="1"/>
      <c r="AZ6" s="1"/>
      <c r="BA6" s="1"/>
      <c r="BB6" s="1"/>
    </row>
    <row r="7" spans="1:54" ht="12.75">
      <c r="A7" s="1"/>
      <c r="B7" s="1"/>
      <c r="C7" s="1"/>
      <c r="D7" s="1"/>
      <c r="E7" s="1"/>
      <c r="F7" s="6"/>
      <c r="G7" s="5"/>
      <c r="H7" s="1"/>
      <c r="I7" s="1"/>
      <c r="J7" s="6"/>
      <c r="K7" s="5"/>
      <c r="L7" s="5"/>
      <c r="M7" s="1"/>
      <c r="N7" s="1"/>
      <c r="O7" s="6"/>
      <c r="P7" s="5"/>
      <c r="Q7" s="1"/>
      <c r="R7" s="1"/>
      <c r="S7" s="6"/>
      <c r="T7" s="5"/>
      <c r="U7" s="1"/>
      <c r="V7" s="1"/>
      <c r="W7" s="6"/>
      <c r="X7" s="5"/>
      <c r="Y7" s="1"/>
      <c r="Z7" s="1"/>
      <c r="AA7" s="6"/>
      <c r="AB7" s="5"/>
      <c r="AC7" s="1"/>
      <c r="AD7" s="1"/>
      <c r="AE7" s="6"/>
      <c r="AF7" s="5"/>
      <c r="AG7" s="1"/>
      <c r="AH7" s="1"/>
      <c r="AI7" s="6"/>
      <c r="AJ7" s="5"/>
      <c r="AK7" s="1"/>
      <c r="AL7" s="1"/>
      <c r="AM7" s="6"/>
      <c r="AN7" s="5"/>
      <c r="AO7" s="1"/>
      <c r="AP7" s="1"/>
      <c r="AQ7" s="6"/>
      <c r="AR7" s="5"/>
      <c r="AS7" s="1"/>
      <c r="AT7" s="1"/>
      <c r="AU7" s="6"/>
      <c r="AV7" s="5"/>
      <c r="AW7" s="1"/>
      <c r="AX7" s="1"/>
      <c r="AY7" s="1"/>
      <c r="AZ7" s="1"/>
      <c r="BA7" s="1"/>
      <c r="BB7" s="1"/>
    </row>
    <row r="8" spans="1:54" ht="12.75">
      <c r="A8" s="1"/>
      <c r="B8" s="7"/>
      <c r="C8" s="1"/>
      <c r="D8" s="1"/>
      <c r="E8" s="1"/>
      <c r="F8" s="6"/>
      <c r="G8" s="5"/>
      <c r="H8" s="1"/>
      <c r="I8" s="1"/>
      <c r="J8" s="6"/>
      <c r="K8" s="5"/>
      <c r="L8" s="5"/>
      <c r="M8" s="1"/>
      <c r="N8" s="1"/>
      <c r="O8" s="6"/>
      <c r="P8" s="5"/>
      <c r="Q8" s="1"/>
      <c r="R8" s="1"/>
      <c r="S8" s="6"/>
      <c r="T8" s="5"/>
      <c r="U8" s="1"/>
      <c r="V8" s="1"/>
      <c r="W8" s="6"/>
      <c r="X8" s="5"/>
      <c r="Y8" s="1"/>
      <c r="Z8" s="1"/>
      <c r="AA8" s="6"/>
      <c r="AB8" s="5"/>
      <c r="AC8" s="1"/>
      <c r="AD8" s="1"/>
      <c r="AE8" s="6"/>
      <c r="AF8" s="5"/>
      <c r="AG8" s="1"/>
      <c r="AH8" s="1"/>
      <c r="AI8" s="6"/>
      <c r="AJ8" s="5"/>
      <c r="AK8" s="1"/>
      <c r="AL8" s="1"/>
      <c r="AM8" s="6"/>
      <c r="AN8" s="5"/>
      <c r="AO8" s="1"/>
      <c r="AP8" s="1"/>
      <c r="AQ8" s="6"/>
      <c r="AR8" s="5"/>
      <c r="AS8" s="1"/>
      <c r="AT8" s="1"/>
      <c r="AU8" s="6"/>
      <c r="AV8" s="5"/>
      <c r="AW8" s="1"/>
      <c r="AX8" s="1"/>
      <c r="AY8" s="8"/>
      <c r="AZ8" s="8"/>
      <c r="BA8" s="1"/>
      <c r="BB8" s="1"/>
    </row>
    <row r="9" spans="1:54" ht="12.75">
      <c r="A9" s="1"/>
      <c r="B9" s="9" t="s">
        <v>3</v>
      </c>
      <c r="C9" s="9" t="s">
        <v>6</v>
      </c>
      <c r="D9" s="9" t="s">
        <v>4</v>
      </c>
      <c r="E9" s="9" t="s">
        <v>5</v>
      </c>
      <c r="F9" s="10" t="s">
        <v>3</v>
      </c>
      <c r="G9" s="11" t="s">
        <v>6</v>
      </c>
      <c r="H9" s="9" t="s">
        <v>4</v>
      </c>
      <c r="I9" s="9" t="s">
        <v>5</v>
      </c>
      <c r="J9" s="10" t="s">
        <v>3</v>
      </c>
      <c r="K9" s="11" t="s">
        <v>6</v>
      </c>
      <c r="L9" s="11"/>
      <c r="M9" s="9" t="s">
        <v>4</v>
      </c>
      <c r="N9" s="9" t="s">
        <v>5</v>
      </c>
      <c r="O9" s="10" t="s">
        <v>3</v>
      </c>
      <c r="P9" s="11" t="s">
        <v>6</v>
      </c>
      <c r="Q9" s="9" t="s">
        <v>4</v>
      </c>
      <c r="R9" s="9" t="s">
        <v>5</v>
      </c>
      <c r="S9" s="10" t="s">
        <v>3</v>
      </c>
      <c r="T9" s="11" t="s">
        <v>6</v>
      </c>
      <c r="U9" s="9" t="s">
        <v>4</v>
      </c>
      <c r="V9" s="9" t="s">
        <v>5</v>
      </c>
      <c r="W9" s="10" t="s">
        <v>3</v>
      </c>
      <c r="X9" s="11" t="s">
        <v>6</v>
      </c>
      <c r="Y9" s="9" t="s">
        <v>4</v>
      </c>
      <c r="Z9" s="9" t="s">
        <v>5</v>
      </c>
      <c r="AA9" s="10" t="s">
        <v>3</v>
      </c>
      <c r="AB9" s="11" t="s">
        <v>6</v>
      </c>
      <c r="AC9" s="9" t="s">
        <v>4</v>
      </c>
      <c r="AD9" s="9" t="s">
        <v>5</v>
      </c>
      <c r="AE9" s="10" t="s">
        <v>3</v>
      </c>
      <c r="AF9" s="11" t="s">
        <v>6</v>
      </c>
      <c r="AG9" s="9" t="s">
        <v>4</v>
      </c>
      <c r="AH9" s="9" t="s">
        <v>5</v>
      </c>
      <c r="AI9" s="10" t="s">
        <v>3</v>
      </c>
      <c r="AJ9" s="11" t="s">
        <v>6</v>
      </c>
      <c r="AK9" s="9" t="s">
        <v>4</v>
      </c>
      <c r="AL9" s="9" t="s">
        <v>5</v>
      </c>
      <c r="AM9" s="10" t="s">
        <v>3</v>
      </c>
      <c r="AN9" s="11" t="s">
        <v>6</v>
      </c>
      <c r="AO9" s="9" t="s">
        <v>4</v>
      </c>
      <c r="AP9" s="9" t="s">
        <v>5</v>
      </c>
      <c r="AQ9" s="10" t="s">
        <v>3</v>
      </c>
      <c r="AR9" s="11" t="s">
        <v>6</v>
      </c>
      <c r="AS9" s="9" t="s">
        <v>4</v>
      </c>
      <c r="AT9" s="9" t="s">
        <v>5</v>
      </c>
      <c r="AU9" s="10" t="s">
        <v>3</v>
      </c>
      <c r="AV9" s="11" t="s">
        <v>6</v>
      </c>
      <c r="AW9" s="9" t="s">
        <v>4</v>
      </c>
      <c r="AX9" s="9" t="s">
        <v>5</v>
      </c>
      <c r="AY9" s="9" t="s">
        <v>3</v>
      </c>
      <c r="AZ9" s="9" t="s">
        <v>6</v>
      </c>
      <c r="BA9" s="9" t="s">
        <v>4</v>
      </c>
      <c r="BB9" s="9" t="s">
        <v>5</v>
      </c>
    </row>
    <row r="10" spans="1:54" ht="12.75">
      <c r="A10" s="1" t="s">
        <v>7</v>
      </c>
      <c r="B10" s="1"/>
      <c r="C10" s="1"/>
      <c r="D10" s="1"/>
      <c r="E10" s="1"/>
      <c r="F10" s="6"/>
      <c r="G10" s="5"/>
      <c r="H10" s="1"/>
      <c r="I10" s="1"/>
      <c r="J10" s="6" t="s">
        <v>0</v>
      </c>
      <c r="K10" s="5"/>
      <c r="L10" s="5"/>
      <c r="M10" s="1"/>
      <c r="N10" s="1"/>
      <c r="O10" s="6"/>
      <c r="P10" s="5"/>
      <c r="Q10" s="1"/>
      <c r="R10" s="1"/>
      <c r="S10" s="6"/>
      <c r="T10" s="5"/>
      <c r="U10" s="1"/>
      <c r="V10" s="1"/>
      <c r="W10" s="6"/>
      <c r="X10" s="5"/>
      <c r="Y10" s="1"/>
      <c r="Z10" s="1"/>
      <c r="AA10" s="6"/>
      <c r="AB10" s="5"/>
      <c r="AC10" s="1"/>
      <c r="AD10" s="1"/>
      <c r="AE10" s="6"/>
      <c r="AF10" s="5"/>
      <c r="AG10" s="1"/>
      <c r="AH10" s="1"/>
      <c r="AI10" s="6"/>
      <c r="AJ10" s="5"/>
      <c r="AK10" s="1"/>
      <c r="AL10" s="1"/>
      <c r="AM10" s="6"/>
      <c r="AN10" s="5"/>
      <c r="AO10" s="1"/>
      <c r="AP10" s="1"/>
      <c r="AQ10" s="6"/>
      <c r="AR10" s="5"/>
      <c r="AS10" s="1"/>
      <c r="AT10" s="1"/>
      <c r="AU10" s="6"/>
      <c r="AV10" s="5"/>
      <c r="AW10" s="1"/>
      <c r="AX10" s="1"/>
      <c r="AY10" s="1"/>
      <c r="AZ10" s="1"/>
      <c r="BA10" s="1"/>
      <c r="BB10" s="1"/>
    </row>
    <row r="11" spans="1:54" ht="12.75">
      <c r="A11" s="1" t="s">
        <v>16</v>
      </c>
      <c r="B11" s="12">
        <v>5.35</v>
      </c>
      <c r="C11" s="1"/>
      <c r="D11" s="1"/>
      <c r="E11" s="13">
        <v>125553.8</v>
      </c>
      <c r="F11" s="14">
        <f>B11</f>
        <v>5.35</v>
      </c>
      <c r="G11" s="5"/>
      <c r="H11" s="1"/>
      <c r="I11" s="15">
        <v>125377.25</v>
      </c>
      <c r="J11" s="6">
        <f>F11</f>
        <v>5.35</v>
      </c>
      <c r="K11" s="5"/>
      <c r="L11" s="5"/>
      <c r="M11" s="1"/>
      <c r="N11" s="15">
        <v>125762.45</v>
      </c>
      <c r="O11" s="6">
        <f>J11</f>
        <v>5.35</v>
      </c>
      <c r="P11" s="5"/>
      <c r="Q11" s="1"/>
      <c r="R11" s="15">
        <v>126099.5</v>
      </c>
      <c r="S11" s="6">
        <f>O11</f>
        <v>5.35</v>
      </c>
      <c r="T11" s="5"/>
      <c r="U11" s="1"/>
      <c r="V11" s="15">
        <v>126078.1</v>
      </c>
      <c r="W11" s="6">
        <f>S11</f>
        <v>5.35</v>
      </c>
      <c r="X11" s="5"/>
      <c r="Y11" s="1"/>
      <c r="Z11" s="15">
        <v>125944.35</v>
      </c>
      <c r="AA11" s="6">
        <f>W11</f>
        <v>5.35</v>
      </c>
      <c r="AB11" s="5"/>
      <c r="AC11" s="1"/>
      <c r="AD11" s="15">
        <v>126789.65</v>
      </c>
      <c r="AE11" s="6">
        <f>AA11</f>
        <v>5.35</v>
      </c>
      <c r="AF11" s="5"/>
      <c r="AG11" s="1"/>
      <c r="AH11" s="15">
        <v>126356.3</v>
      </c>
      <c r="AI11" s="6">
        <f>AE11</f>
        <v>5.35</v>
      </c>
      <c r="AJ11" s="5"/>
      <c r="AK11" s="1"/>
      <c r="AL11" s="15">
        <v>126436.55</v>
      </c>
      <c r="AM11" s="6">
        <f>AI11</f>
        <v>5.35</v>
      </c>
      <c r="AN11" s="5"/>
      <c r="AO11" s="1"/>
      <c r="AP11" s="15">
        <v>126827.1</v>
      </c>
      <c r="AQ11" s="6">
        <f>AM11</f>
        <v>5.35</v>
      </c>
      <c r="AR11" s="5"/>
      <c r="AS11" s="1"/>
      <c r="AT11" s="15">
        <v>126805.7</v>
      </c>
      <c r="AU11" s="6">
        <f>AQ11</f>
        <v>5.35</v>
      </c>
      <c r="AV11" s="5"/>
      <c r="AW11" s="1"/>
      <c r="AX11" s="15">
        <v>127190.9</v>
      </c>
      <c r="AY11" s="1">
        <v>5.35</v>
      </c>
      <c r="AZ11" s="1"/>
      <c r="BA11" s="16"/>
      <c r="BB11" s="16">
        <f>E11+I11+N11+R11+V11+Z11+AD11+AH11+AL11+AP11+AT11+AX11</f>
        <v>1515221.65</v>
      </c>
    </row>
    <row r="12" spans="1:54" ht="12.75">
      <c r="A12" s="1" t="s">
        <v>9</v>
      </c>
      <c r="B12" s="17">
        <v>0.06783</v>
      </c>
      <c r="C12" s="16">
        <v>23489</v>
      </c>
      <c r="D12" s="5">
        <v>20390661</v>
      </c>
      <c r="E12" s="13">
        <v>1383367</v>
      </c>
      <c r="F12" s="6">
        <f>B12</f>
        <v>0.06783</v>
      </c>
      <c r="G12" s="18">
        <v>23462</v>
      </c>
      <c r="H12" s="5">
        <v>19347423</v>
      </c>
      <c r="I12" s="15">
        <v>1312853</v>
      </c>
      <c r="J12" s="6">
        <f>F12</f>
        <v>0.06783</v>
      </c>
      <c r="K12" s="18">
        <v>23525</v>
      </c>
      <c r="L12" s="18"/>
      <c r="M12" s="5">
        <v>31206550</v>
      </c>
      <c r="N12" s="15">
        <f>2116407-6</f>
        <v>2116401</v>
      </c>
      <c r="O12" s="6">
        <f>J12</f>
        <v>0.06783</v>
      </c>
      <c r="P12" s="18">
        <v>23590</v>
      </c>
      <c r="Q12" s="5">
        <v>34716104</v>
      </c>
      <c r="R12" s="15">
        <f>2354353+6</f>
        <v>2354359</v>
      </c>
      <c r="S12" s="6">
        <f>O12</f>
        <v>0.06783</v>
      </c>
      <c r="T12" s="18">
        <v>23589</v>
      </c>
      <c r="U12" s="5">
        <v>30668454</v>
      </c>
      <c r="V12" s="15">
        <f>2080694+6</f>
        <v>2080700</v>
      </c>
      <c r="W12" s="6">
        <f>S12</f>
        <v>0.06783</v>
      </c>
      <c r="X12" s="18">
        <v>23563</v>
      </c>
      <c r="Y12" s="5">
        <v>29925612</v>
      </c>
      <c r="Z12" s="15">
        <f>2029778-6</f>
        <v>2029772</v>
      </c>
      <c r="AA12" s="6">
        <f>W12</f>
        <v>0.06783</v>
      </c>
      <c r="AB12" s="18">
        <v>23678</v>
      </c>
      <c r="AC12" s="5">
        <v>24380206</v>
      </c>
      <c r="AD12" s="15">
        <f>1653324+12+149.1</f>
        <v>1653485.1</v>
      </c>
      <c r="AE12" s="6">
        <f>AA12</f>
        <v>0.06783</v>
      </c>
      <c r="AF12" s="18">
        <v>23642</v>
      </c>
      <c r="AG12" s="5">
        <v>18038128</v>
      </c>
      <c r="AH12" s="15">
        <f>1223428+6</f>
        <v>1223434</v>
      </c>
      <c r="AI12" s="6">
        <f>AE12</f>
        <v>0.06783</v>
      </c>
      <c r="AJ12" s="18">
        <v>23664</v>
      </c>
      <c r="AK12" s="5">
        <v>19556314</v>
      </c>
      <c r="AL12" s="15">
        <f>1327154-6</f>
        <v>1327148</v>
      </c>
      <c r="AM12" s="19">
        <f>AI12</f>
        <v>0.06783</v>
      </c>
      <c r="AN12" s="18">
        <v>23727</v>
      </c>
      <c r="AO12" s="5">
        <v>22934358</v>
      </c>
      <c r="AP12" s="15">
        <f>1561429+6-5766.21</f>
        <v>1555668.79</v>
      </c>
      <c r="AQ12" s="6">
        <f>AM12</f>
        <v>0.06783</v>
      </c>
      <c r="AR12" s="18">
        <v>23725</v>
      </c>
      <c r="AS12" s="5">
        <v>29537005</v>
      </c>
      <c r="AT12" s="15">
        <f>2003778+1511.68</f>
        <v>2005289.68</v>
      </c>
      <c r="AU12" s="6">
        <f>AQ12</f>
        <v>0.06783</v>
      </c>
      <c r="AV12" s="18">
        <v>23801</v>
      </c>
      <c r="AW12" s="5">
        <v>24863588</v>
      </c>
      <c r="AX12" s="15">
        <v>1686768</v>
      </c>
      <c r="AY12" s="1">
        <f>AU12</f>
        <v>0.06783</v>
      </c>
      <c r="AZ12" s="16">
        <f>C12+G12+K12+P12+T12+X12+AB12+AF12+AJ12+AN12+AR12+AV12</f>
        <v>283455</v>
      </c>
      <c r="BA12" s="16">
        <f>D12+H12+M12+Q12+U12+Y12+AC12+AG12+AK12+AO12+AS12+AW12</f>
        <v>305564403</v>
      </c>
      <c r="BB12" s="16">
        <f>E12+I12+N12+R12+V12+Z12+AD12+AH12+AL12+AP12+AT12+AX12</f>
        <v>20729245.57</v>
      </c>
    </row>
    <row r="13" spans="1:54" ht="12.75">
      <c r="A13" s="1" t="s">
        <v>11</v>
      </c>
      <c r="B13" s="1"/>
      <c r="C13" s="1"/>
      <c r="D13" s="1"/>
      <c r="E13" s="13">
        <v>111278.36</v>
      </c>
      <c r="F13" s="6"/>
      <c r="G13" s="5"/>
      <c r="H13" s="1"/>
      <c r="I13" s="15">
        <v>228378.51</v>
      </c>
      <c r="J13" s="6"/>
      <c r="K13" s="5"/>
      <c r="L13" s="5"/>
      <c r="M13" s="1"/>
      <c r="N13" s="15">
        <v>344729.73</v>
      </c>
      <c r="O13" s="6"/>
      <c r="P13" s="5"/>
      <c r="Q13" s="1"/>
      <c r="R13" s="15">
        <v>334182.26</v>
      </c>
      <c r="S13" s="6"/>
      <c r="T13" s="5"/>
      <c r="U13" s="1"/>
      <c r="V13" s="15">
        <v>138180.46</v>
      </c>
      <c r="W13" s="6"/>
      <c r="X13" s="5"/>
      <c r="Y13" s="1"/>
      <c r="Z13" s="15">
        <v>330866.25</v>
      </c>
      <c r="AA13" s="6"/>
      <c r="AB13" s="5"/>
      <c r="AC13" s="1"/>
      <c r="AD13" s="15">
        <v>220125.73</v>
      </c>
      <c r="AE13" s="6"/>
      <c r="AF13" s="5"/>
      <c r="AG13" s="1"/>
      <c r="AH13" s="15">
        <v>134891.52</v>
      </c>
      <c r="AI13" s="6"/>
      <c r="AJ13" s="5"/>
      <c r="AK13" s="1"/>
      <c r="AL13" s="15">
        <v>165536.32</v>
      </c>
      <c r="AM13" s="6"/>
      <c r="AN13" s="5"/>
      <c r="AO13" s="1"/>
      <c r="AP13" s="15">
        <v>228892.63</v>
      </c>
      <c r="AQ13" s="6"/>
      <c r="AR13" s="5"/>
      <c r="AS13" s="1"/>
      <c r="AT13" s="15">
        <v>224070.31</v>
      </c>
      <c r="AU13" s="6"/>
      <c r="AV13" s="5"/>
      <c r="AW13" s="1"/>
      <c r="AX13" s="15">
        <v>95294.02</v>
      </c>
      <c r="AY13" s="1"/>
      <c r="AZ13" s="1"/>
      <c r="BA13" s="1"/>
      <c r="BB13" s="16">
        <f>E13+I13+N13+R13+V13+Z13+AD13+AH13+AL13+AP13+AT13+AX13</f>
        <v>2556426.1</v>
      </c>
    </row>
    <row r="14" spans="1:54" ht="12.75">
      <c r="A14" s="1" t="s">
        <v>61</v>
      </c>
      <c r="B14" s="1"/>
      <c r="C14" s="1"/>
      <c r="D14" s="1"/>
      <c r="E14" s="21">
        <v>125235.65</v>
      </c>
      <c r="F14" s="6"/>
      <c r="G14" s="5"/>
      <c r="H14" s="1"/>
      <c r="I14" s="21">
        <v>118142.28</v>
      </c>
      <c r="J14" s="6"/>
      <c r="K14" s="5"/>
      <c r="L14" s="5"/>
      <c r="M14" s="1"/>
      <c r="N14" s="21">
        <v>172524.22</v>
      </c>
      <c r="O14" s="6"/>
      <c r="P14" s="5"/>
      <c r="Q14" s="1"/>
      <c r="R14" s="21">
        <v>213774.96</v>
      </c>
      <c r="S14" s="6"/>
      <c r="T14" s="5"/>
      <c r="U14" s="1"/>
      <c r="V14" s="21">
        <v>93510.99</v>
      </c>
      <c r="W14" s="6"/>
      <c r="X14" s="5"/>
      <c r="Y14" s="1"/>
      <c r="Z14" s="21">
        <v>136149</v>
      </c>
      <c r="AA14" s="6"/>
      <c r="AB14" s="5"/>
      <c r="AC14" s="1"/>
      <c r="AD14" s="21">
        <f>120884.43-149.1</f>
        <v>120735.32999999999</v>
      </c>
      <c r="AE14" s="6"/>
      <c r="AF14" s="5"/>
      <c r="AG14" s="1"/>
      <c r="AH14" s="21">
        <v>94187.04</v>
      </c>
      <c r="AI14" s="6"/>
      <c r="AJ14" s="5"/>
      <c r="AK14" s="1"/>
      <c r="AL14" s="21">
        <v>98802.84</v>
      </c>
      <c r="AM14" s="6"/>
      <c r="AN14" s="5"/>
      <c r="AO14" s="1"/>
      <c r="AP14" s="21">
        <f>122651.49+5766.21</f>
        <v>128417.70000000001</v>
      </c>
      <c r="AQ14" s="6"/>
      <c r="AR14" s="5"/>
      <c r="AS14" s="1"/>
      <c r="AT14" s="21">
        <f>167032.21+1511.68</f>
        <v>168543.88999999998</v>
      </c>
      <c r="AU14" s="6"/>
      <c r="AV14" s="5"/>
      <c r="AW14" s="1"/>
      <c r="AX14" s="21">
        <v>170496.56</v>
      </c>
      <c r="AY14" s="1"/>
      <c r="AZ14" s="1"/>
      <c r="BA14" s="1"/>
      <c r="BB14" s="16">
        <f>E14+I14+N14+R14+V14+Z14+AD14+AH14+AL14+AP14+AT14+AX14</f>
        <v>1640520.46</v>
      </c>
    </row>
    <row r="15" spans="1:54" ht="12.75">
      <c r="A15" s="1" t="s">
        <v>12</v>
      </c>
      <c r="B15" s="1"/>
      <c r="C15" s="1"/>
      <c r="D15" s="1"/>
      <c r="E15" s="21">
        <f>SUM(E11:E14)</f>
        <v>1745434.81</v>
      </c>
      <c r="F15" s="6"/>
      <c r="G15" s="5"/>
      <c r="H15" s="1"/>
      <c r="I15" s="21">
        <f>SUM(I11:I14)</f>
        <v>1784751.04</v>
      </c>
      <c r="J15" s="6"/>
      <c r="K15" s="5"/>
      <c r="L15" s="5"/>
      <c r="M15" s="1"/>
      <c r="N15" s="21">
        <f>SUM(N11:N14)</f>
        <v>2759417.4000000004</v>
      </c>
      <c r="O15" s="6"/>
      <c r="P15" s="5"/>
      <c r="Q15" s="1"/>
      <c r="R15" s="21">
        <f>SUM(R11:R14)</f>
        <v>3028415.7199999997</v>
      </c>
      <c r="S15" s="6"/>
      <c r="T15" s="5"/>
      <c r="U15" s="1"/>
      <c r="V15" s="21">
        <f>SUM(V11:V14)</f>
        <v>2438469.5500000003</v>
      </c>
      <c r="W15" s="6"/>
      <c r="X15" s="5"/>
      <c r="Y15" s="1"/>
      <c r="Z15" s="21">
        <f>SUM(Z11:Z14)</f>
        <v>2622731.6</v>
      </c>
      <c r="AA15" s="6"/>
      <c r="AB15" s="5"/>
      <c r="AC15" s="12"/>
      <c r="AD15" s="21">
        <f>SUM(AD11:AD14)</f>
        <v>2121135.81</v>
      </c>
      <c r="AE15" s="6"/>
      <c r="AF15" s="5"/>
      <c r="AG15" s="1"/>
      <c r="AH15" s="21">
        <f>SUM(AH11:AH14)</f>
        <v>1578868.86</v>
      </c>
      <c r="AI15" s="6"/>
      <c r="AJ15" s="5"/>
      <c r="AK15" s="1"/>
      <c r="AL15" s="21">
        <f>SUM(AL11:AL14)</f>
        <v>1717923.7100000002</v>
      </c>
      <c r="AM15" s="6"/>
      <c r="AN15" s="5"/>
      <c r="AO15" s="1"/>
      <c r="AP15" s="21">
        <f>SUM(AP11:AP14)</f>
        <v>2039806.22</v>
      </c>
      <c r="AQ15" s="6"/>
      <c r="AR15" s="5"/>
      <c r="AS15" s="12"/>
      <c r="AT15" s="21">
        <f>SUM(AT11:AT14)</f>
        <v>2524709.58</v>
      </c>
      <c r="AU15" s="6"/>
      <c r="AV15" s="5"/>
      <c r="AW15" s="1"/>
      <c r="AX15" s="21">
        <f>SUM(AX11:AX14)</f>
        <v>2079749.48</v>
      </c>
      <c r="AY15" s="1"/>
      <c r="AZ15" s="1"/>
      <c r="BA15" s="1"/>
      <c r="BB15" s="20">
        <f>SUM(BB11:BB14)</f>
        <v>26441413.78</v>
      </c>
    </row>
    <row r="16" spans="1:54" ht="12.75">
      <c r="A16" s="1"/>
      <c r="B16" s="9" t="s">
        <v>3</v>
      </c>
      <c r="C16" s="9" t="s">
        <v>6</v>
      </c>
      <c r="D16" s="9" t="s">
        <v>4</v>
      </c>
      <c r="E16" s="9" t="s">
        <v>5</v>
      </c>
      <c r="F16" s="10" t="s">
        <v>3</v>
      </c>
      <c r="G16" s="11" t="s">
        <v>6</v>
      </c>
      <c r="H16" s="9" t="s">
        <v>4</v>
      </c>
      <c r="I16" s="9" t="s">
        <v>5</v>
      </c>
      <c r="J16" s="10" t="s">
        <v>3</v>
      </c>
      <c r="K16" s="11" t="s">
        <v>6</v>
      </c>
      <c r="L16" s="11"/>
      <c r="M16" s="9" t="s">
        <v>4</v>
      </c>
      <c r="N16" s="9" t="s">
        <v>5</v>
      </c>
      <c r="O16" s="10" t="s">
        <v>3</v>
      </c>
      <c r="P16" s="11" t="s">
        <v>6</v>
      </c>
      <c r="Q16" s="9" t="s">
        <v>4</v>
      </c>
      <c r="R16" s="9" t="s">
        <v>5</v>
      </c>
      <c r="S16" s="10" t="s">
        <v>3</v>
      </c>
      <c r="T16" s="11" t="s">
        <v>6</v>
      </c>
      <c r="U16" s="9" t="s">
        <v>4</v>
      </c>
      <c r="V16" s="9" t="s">
        <v>5</v>
      </c>
      <c r="W16" s="10" t="s">
        <v>3</v>
      </c>
      <c r="X16" s="11" t="s">
        <v>6</v>
      </c>
      <c r="Y16" s="9" t="s">
        <v>4</v>
      </c>
      <c r="Z16" s="9" t="s">
        <v>5</v>
      </c>
      <c r="AA16" s="10" t="s">
        <v>3</v>
      </c>
      <c r="AB16" s="11" t="s">
        <v>6</v>
      </c>
      <c r="AC16" s="9" t="s">
        <v>4</v>
      </c>
      <c r="AD16" s="9" t="s">
        <v>5</v>
      </c>
      <c r="AE16" s="10" t="s">
        <v>3</v>
      </c>
      <c r="AF16" s="11" t="s">
        <v>6</v>
      </c>
      <c r="AG16" s="9" t="s">
        <v>4</v>
      </c>
      <c r="AH16" s="9" t="s">
        <v>5</v>
      </c>
      <c r="AI16" s="10" t="s">
        <v>3</v>
      </c>
      <c r="AJ16" s="11" t="s">
        <v>6</v>
      </c>
      <c r="AK16" s="9" t="s">
        <v>4</v>
      </c>
      <c r="AL16" s="9" t="s">
        <v>5</v>
      </c>
      <c r="AM16" s="10" t="s">
        <v>3</v>
      </c>
      <c r="AN16" s="11" t="s">
        <v>6</v>
      </c>
      <c r="AO16" s="9" t="s">
        <v>4</v>
      </c>
      <c r="AP16" s="9" t="s">
        <v>5</v>
      </c>
      <c r="AQ16" s="10" t="s">
        <v>3</v>
      </c>
      <c r="AR16" s="11" t="s">
        <v>6</v>
      </c>
      <c r="AS16" s="9" t="s">
        <v>4</v>
      </c>
      <c r="AT16" s="9" t="s">
        <v>5</v>
      </c>
      <c r="AU16" s="10" t="s">
        <v>3</v>
      </c>
      <c r="AV16" s="11" t="s">
        <v>6</v>
      </c>
      <c r="AW16" s="9" t="s">
        <v>4</v>
      </c>
      <c r="AX16" s="9" t="s">
        <v>5</v>
      </c>
      <c r="AY16" s="9" t="s">
        <v>3</v>
      </c>
      <c r="AZ16" s="9" t="s">
        <v>6</v>
      </c>
      <c r="BA16" s="9" t="s">
        <v>4</v>
      </c>
      <c r="BB16" s="9" t="s">
        <v>5</v>
      </c>
    </row>
    <row r="17" spans="1:54" ht="12.75">
      <c r="A17" s="1" t="s">
        <v>13</v>
      </c>
      <c r="B17" s="1"/>
      <c r="C17" s="1"/>
      <c r="D17" s="1"/>
      <c r="E17" s="1"/>
      <c r="F17" s="6"/>
      <c r="G17" s="5"/>
      <c r="H17" s="1"/>
      <c r="I17" s="1"/>
      <c r="J17" s="6"/>
      <c r="K17" s="5"/>
      <c r="L17" s="5"/>
      <c r="M17" s="1"/>
      <c r="N17" s="1"/>
      <c r="O17" s="6"/>
      <c r="P17" s="5"/>
      <c r="Q17" s="1"/>
      <c r="R17" s="1"/>
      <c r="S17" s="6"/>
      <c r="T17" s="5"/>
      <c r="U17" s="1"/>
      <c r="V17" s="1"/>
      <c r="W17" s="6"/>
      <c r="X17" s="5"/>
      <c r="Y17" s="1"/>
      <c r="Z17" s="1"/>
      <c r="AA17" s="6"/>
      <c r="AB17" s="5"/>
      <c r="AC17" s="1"/>
      <c r="AD17" s="1"/>
      <c r="AE17" s="6"/>
      <c r="AF17" s="5"/>
      <c r="AG17" s="1"/>
      <c r="AH17" s="1"/>
      <c r="AI17" s="6"/>
      <c r="AJ17" s="5"/>
      <c r="AK17" s="1"/>
      <c r="AL17" s="1"/>
      <c r="AM17" s="6"/>
      <c r="AN17" s="5"/>
      <c r="AO17" s="1"/>
      <c r="AP17" s="1"/>
      <c r="AQ17" s="6"/>
      <c r="AR17" s="5"/>
      <c r="AS17" s="1"/>
      <c r="AT17" s="1"/>
      <c r="AU17" s="6"/>
      <c r="AV17" s="5"/>
      <c r="AW17" s="1"/>
      <c r="AX17" s="1"/>
      <c r="AY17" s="1"/>
      <c r="AZ17" s="1"/>
      <c r="BA17" s="1"/>
      <c r="BB17" s="1"/>
    </row>
    <row r="18" spans="1:54" ht="12.75">
      <c r="A18" s="1" t="s">
        <v>14</v>
      </c>
      <c r="B18" s="1">
        <v>0.04389</v>
      </c>
      <c r="C18" s="1">
        <v>235</v>
      </c>
      <c r="D18" s="5">
        <v>10675</v>
      </c>
      <c r="E18" s="15">
        <v>454</v>
      </c>
      <c r="F18" s="6">
        <f>B18</f>
        <v>0.04389</v>
      </c>
      <c r="G18" s="5">
        <v>237</v>
      </c>
      <c r="H18" s="5">
        <v>109322</v>
      </c>
      <c r="I18" s="15">
        <v>4798</v>
      </c>
      <c r="J18" s="6">
        <f>F18</f>
        <v>0.04389</v>
      </c>
      <c r="K18" s="5">
        <v>234</v>
      </c>
      <c r="L18" s="5"/>
      <c r="M18" s="5">
        <v>320235</v>
      </c>
      <c r="N18" s="15">
        <v>14055</v>
      </c>
      <c r="O18" s="6">
        <f>J18</f>
        <v>0.04389</v>
      </c>
      <c r="P18" s="5">
        <v>233</v>
      </c>
      <c r="Q18" s="5">
        <v>373243</v>
      </c>
      <c r="R18" s="15">
        <v>16382</v>
      </c>
      <c r="S18" s="6">
        <f>O18</f>
        <v>0.04389</v>
      </c>
      <c r="T18" s="5">
        <v>236</v>
      </c>
      <c r="U18" s="5">
        <v>336088</v>
      </c>
      <c r="V18" s="15">
        <v>14751</v>
      </c>
      <c r="W18" s="6">
        <f>S18</f>
        <v>0.04389</v>
      </c>
      <c r="X18" s="5">
        <v>236</v>
      </c>
      <c r="Y18" s="5">
        <v>336935</v>
      </c>
      <c r="Z18" s="15">
        <v>14788</v>
      </c>
      <c r="AA18" s="6">
        <f>W18</f>
        <v>0.04389</v>
      </c>
      <c r="AB18" s="5">
        <v>236</v>
      </c>
      <c r="AC18" s="5">
        <v>242728</v>
      </c>
      <c r="AD18" s="15">
        <v>10653</v>
      </c>
      <c r="AE18" s="6">
        <f>AA18</f>
        <v>0.04389</v>
      </c>
      <c r="AF18" s="5">
        <v>235</v>
      </c>
      <c r="AG18" s="5">
        <v>76426</v>
      </c>
      <c r="AH18" s="15">
        <v>3354</v>
      </c>
      <c r="AI18" s="6">
        <f>AE18</f>
        <v>0.04389</v>
      </c>
      <c r="AJ18" s="5">
        <v>238</v>
      </c>
      <c r="AK18" s="5">
        <v>32635</v>
      </c>
      <c r="AL18" s="15">
        <v>1432</v>
      </c>
      <c r="AM18" s="19">
        <f>AI18</f>
        <v>0.04389</v>
      </c>
      <c r="AN18" s="5">
        <v>235</v>
      </c>
      <c r="AO18" s="5">
        <v>4359</v>
      </c>
      <c r="AP18" s="15">
        <f>236.46-43.54</f>
        <v>192.92000000000002</v>
      </c>
      <c r="AQ18" s="6">
        <f>AM18</f>
        <v>0.04389</v>
      </c>
      <c r="AR18" s="5">
        <v>228</v>
      </c>
      <c r="AS18" s="5">
        <v>2070</v>
      </c>
      <c r="AT18" s="15">
        <f>106.73-15.73</f>
        <v>91</v>
      </c>
      <c r="AU18" s="6">
        <f>AQ18</f>
        <v>0.04389</v>
      </c>
      <c r="AV18" s="5">
        <v>236</v>
      </c>
      <c r="AW18" s="5">
        <v>1079</v>
      </c>
      <c r="AX18" s="15">
        <f>51.54-4.16</f>
        <v>47.379999999999995</v>
      </c>
      <c r="AY18" s="1">
        <f>AU18</f>
        <v>0.04389</v>
      </c>
      <c r="AZ18" s="16">
        <f>C18+G18+K18+P18+T18+X18+AB18+AF18+AJ18+AN18+AR18+AV18</f>
        <v>2819</v>
      </c>
      <c r="BA18" s="16">
        <f>D18+H18+M18+Q18+U18+Y18+AC18+AG18+AK18+AO18+AS18+AW18</f>
        <v>1845795</v>
      </c>
      <c r="BB18" s="16">
        <f>E18+I18+N18+R18+V18+Z18+AD18+AH18+AL18+AP18+AT18+AX18</f>
        <v>80998.3</v>
      </c>
    </row>
    <row r="19" spans="1:54" ht="12.75">
      <c r="A19" s="1" t="s">
        <v>11</v>
      </c>
      <c r="B19" s="1"/>
      <c r="C19" s="1"/>
      <c r="D19" s="1"/>
      <c r="E19" s="15">
        <v>58.22</v>
      </c>
      <c r="F19" s="6"/>
      <c r="G19" s="5"/>
      <c r="H19" s="1"/>
      <c r="I19" s="15">
        <v>1290</v>
      </c>
      <c r="J19" s="6"/>
      <c r="K19" s="5"/>
      <c r="L19" s="5"/>
      <c r="M19" s="1"/>
      <c r="N19" s="15">
        <v>3538.02</v>
      </c>
      <c r="O19" s="6"/>
      <c r="P19" s="5"/>
      <c r="Q19" s="1"/>
      <c r="R19" s="15">
        <v>3592.84</v>
      </c>
      <c r="S19" s="6"/>
      <c r="T19" s="5"/>
      <c r="U19" s="1"/>
      <c r="V19" s="15">
        <v>1514.78</v>
      </c>
      <c r="W19" s="6"/>
      <c r="X19" s="5"/>
      <c r="Y19" s="1"/>
      <c r="Z19" s="15">
        <v>3725.11</v>
      </c>
      <c r="AA19" s="6"/>
      <c r="AB19" s="5"/>
      <c r="AC19" s="1"/>
      <c r="AD19" s="15">
        <v>2191.61</v>
      </c>
      <c r="AE19" s="6"/>
      <c r="AF19" s="5"/>
      <c r="AG19" s="1"/>
      <c r="AH19" s="15">
        <v>571.56</v>
      </c>
      <c r="AI19" s="6"/>
      <c r="AJ19" s="5"/>
      <c r="AK19" s="1"/>
      <c r="AL19" s="15">
        <v>276.21</v>
      </c>
      <c r="AM19" s="6"/>
      <c r="AN19" s="5"/>
      <c r="AO19" s="1"/>
      <c r="AP19" s="15">
        <v>43.54</v>
      </c>
      <c r="AQ19" s="6"/>
      <c r="AR19" s="5"/>
      <c r="AS19" s="1"/>
      <c r="AT19" s="15">
        <v>15.73</v>
      </c>
      <c r="AU19" s="6"/>
      <c r="AV19" s="5"/>
      <c r="AW19" s="1"/>
      <c r="AX19" s="15">
        <v>4.16</v>
      </c>
      <c r="AY19" s="1"/>
      <c r="AZ19" s="1"/>
      <c r="BA19" s="1"/>
      <c r="BB19" s="16">
        <f>E19+I19+N19+R19+V19+Z19+AD19+AH19+AL19+AP19+AT19+AX19</f>
        <v>16821.780000000002</v>
      </c>
    </row>
    <row r="20" spans="1:54" ht="12.75">
      <c r="A20" s="1" t="s">
        <v>61</v>
      </c>
      <c r="B20" s="1"/>
      <c r="C20" s="1"/>
      <c r="D20" s="1"/>
      <c r="E20" s="15">
        <v>1.93</v>
      </c>
      <c r="F20" s="6"/>
      <c r="G20" s="5"/>
      <c r="H20" s="1"/>
      <c r="I20" s="21">
        <v>5.42</v>
      </c>
      <c r="J20" s="6"/>
      <c r="K20" s="5"/>
      <c r="L20" s="5"/>
      <c r="M20" s="1"/>
      <c r="N20" s="21">
        <v>7.25</v>
      </c>
      <c r="O20" s="6"/>
      <c r="P20" s="5"/>
      <c r="Q20" s="1"/>
      <c r="R20" s="21">
        <v>6.66</v>
      </c>
      <c r="S20" s="6"/>
      <c r="T20" s="5"/>
      <c r="U20" s="1"/>
      <c r="V20" s="21">
        <v>3.16</v>
      </c>
      <c r="W20" s="6"/>
      <c r="X20" s="5"/>
      <c r="Y20" s="1"/>
      <c r="Z20" s="21">
        <v>5.31</v>
      </c>
      <c r="AA20" s="6"/>
      <c r="AB20" s="5"/>
      <c r="AC20" s="1"/>
      <c r="AD20" s="21">
        <v>0</v>
      </c>
      <c r="AE20" s="6"/>
      <c r="AF20" s="5"/>
      <c r="AG20" s="1"/>
      <c r="AH20" s="21">
        <v>2.9</v>
      </c>
      <c r="AI20" s="6"/>
      <c r="AJ20" s="5"/>
      <c r="AK20" s="1"/>
      <c r="AL20" s="21">
        <v>3.37</v>
      </c>
      <c r="AM20" s="6"/>
      <c r="AN20" s="5"/>
      <c r="AO20" s="1"/>
      <c r="AP20" s="21">
        <v>0</v>
      </c>
      <c r="AQ20" s="6"/>
      <c r="AR20" s="5"/>
      <c r="AS20" s="1"/>
      <c r="AT20" s="21">
        <v>0</v>
      </c>
      <c r="AU20" s="6"/>
      <c r="AV20" s="5"/>
      <c r="AW20" s="1"/>
      <c r="AX20" s="21">
        <v>0</v>
      </c>
      <c r="AY20" s="1"/>
      <c r="AZ20" s="1"/>
      <c r="BA20" s="16"/>
      <c r="BB20" s="16">
        <f>E20+I20+N20+R20+V20+Z20+AD20+AH20+AL20+AP20+AT20+AX20</f>
        <v>35.99999999999999</v>
      </c>
    </row>
    <row r="21" spans="1:54" ht="12.75">
      <c r="A21" s="1" t="s">
        <v>12</v>
      </c>
      <c r="B21" s="1"/>
      <c r="C21" s="1"/>
      <c r="D21" s="1"/>
      <c r="E21" s="21">
        <f>SUM(E18:E20)</f>
        <v>514.15</v>
      </c>
      <c r="F21" s="6"/>
      <c r="G21" s="5"/>
      <c r="H21" s="1"/>
      <c r="I21" s="21">
        <f>SUM(I17:I20)</f>
        <v>6093.42</v>
      </c>
      <c r="J21" s="6"/>
      <c r="K21" s="5"/>
      <c r="L21" s="5"/>
      <c r="M21" s="21"/>
      <c r="N21" s="21">
        <f>SUM(N17:N20)</f>
        <v>17600.27</v>
      </c>
      <c r="O21" s="6"/>
      <c r="P21" s="5"/>
      <c r="Q21" s="1"/>
      <c r="R21" s="21">
        <f>SUM(R17:R20)</f>
        <v>19981.5</v>
      </c>
      <c r="S21" s="6"/>
      <c r="T21" s="5"/>
      <c r="U21" s="1"/>
      <c r="V21" s="21">
        <f>SUM(V17:V20)</f>
        <v>16268.94</v>
      </c>
      <c r="W21" s="6"/>
      <c r="X21" s="5"/>
      <c r="Y21" s="1"/>
      <c r="Z21" s="21">
        <f>SUM(Z17:Z20)</f>
        <v>18518.420000000002</v>
      </c>
      <c r="AA21" s="6"/>
      <c r="AB21" s="5"/>
      <c r="AC21" s="1"/>
      <c r="AD21" s="21">
        <f>SUM(AD17:AD20)</f>
        <v>12844.61</v>
      </c>
      <c r="AE21" s="6"/>
      <c r="AF21" s="5"/>
      <c r="AG21" s="1"/>
      <c r="AH21" s="21">
        <f>SUM(AH17:AH20)</f>
        <v>3928.46</v>
      </c>
      <c r="AI21" s="6"/>
      <c r="AJ21" s="5"/>
      <c r="AK21" s="1"/>
      <c r="AL21" s="21">
        <f>SUM(AL17:AL20)</f>
        <v>1711.58</v>
      </c>
      <c r="AM21" s="6"/>
      <c r="AN21" s="5"/>
      <c r="AO21" s="1"/>
      <c r="AP21" s="21">
        <f>SUM(AP17:AP20)</f>
        <v>236.46</v>
      </c>
      <c r="AQ21" s="6"/>
      <c r="AR21" s="5"/>
      <c r="AS21" s="1"/>
      <c r="AT21" s="21">
        <f>SUM(AT17:AT20)</f>
        <v>106.73</v>
      </c>
      <c r="AU21" s="6"/>
      <c r="AV21" s="5"/>
      <c r="AW21" s="1"/>
      <c r="AX21" s="21">
        <f>SUM(AX17:AX20)</f>
        <v>51.53999999999999</v>
      </c>
      <c r="AY21" s="1"/>
      <c r="AZ21" s="1"/>
      <c r="BA21" s="1"/>
      <c r="BB21" s="20">
        <f>SUM(BB17:BB20)</f>
        <v>97856.08</v>
      </c>
    </row>
    <row r="22" spans="1:54" ht="12.75">
      <c r="A22" s="1"/>
      <c r="B22" s="9" t="s">
        <v>3</v>
      </c>
      <c r="C22" s="9" t="s">
        <v>6</v>
      </c>
      <c r="D22" s="9" t="s">
        <v>4</v>
      </c>
      <c r="E22" s="9" t="s">
        <v>5</v>
      </c>
      <c r="F22" s="10" t="s">
        <v>3</v>
      </c>
      <c r="G22" s="11" t="s">
        <v>6</v>
      </c>
      <c r="H22" s="9" t="s">
        <v>4</v>
      </c>
      <c r="I22" s="9" t="s">
        <v>5</v>
      </c>
      <c r="J22" s="10" t="s">
        <v>3</v>
      </c>
      <c r="K22" s="11" t="s">
        <v>6</v>
      </c>
      <c r="L22" s="11"/>
      <c r="M22" s="9" t="s">
        <v>4</v>
      </c>
      <c r="N22" s="9" t="s">
        <v>5</v>
      </c>
      <c r="O22" s="10" t="s">
        <v>3</v>
      </c>
      <c r="P22" s="11" t="s">
        <v>6</v>
      </c>
      <c r="Q22" s="9" t="s">
        <v>4</v>
      </c>
      <c r="R22" s="9" t="s">
        <v>5</v>
      </c>
      <c r="S22" s="10" t="s">
        <v>3</v>
      </c>
      <c r="T22" s="11" t="s">
        <v>6</v>
      </c>
      <c r="U22" s="9" t="s">
        <v>4</v>
      </c>
      <c r="V22" s="9" t="s">
        <v>5</v>
      </c>
      <c r="W22" s="10" t="s">
        <v>3</v>
      </c>
      <c r="X22" s="11" t="s">
        <v>6</v>
      </c>
      <c r="Y22" s="9" t="s">
        <v>4</v>
      </c>
      <c r="Z22" s="9" t="s">
        <v>5</v>
      </c>
      <c r="AA22" s="10" t="s">
        <v>3</v>
      </c>
      <c r="AB22" s="11" t="s">
        <v>6</v>
      </c>
      <c r="AC22" s="9" t="s">
        <v>4</v>
      </c>
      <c r="AD22" s="9" t="s">
        <v>5</v>
      </c>
      <c r="AE22" s="10" t="s">
        <v>3</v>
      </c>
      <c r="AF22" s="11" t="s">
        <v>6</v>
      </c>
      <c r="AG22" s="9" t="s">
        <v>4</v>
      </c>
      <c r="AH22" s="9" t="s">
        <v>5</v>
      </c>
      <c r="AI22" s="10" t="s">
        <v>3</v>
      </c>
      <c r="AJ22" s="11" t="s">
        <v>6</v>
      </c>
      <c r="AK22" s="9" t="s">
        <v>4</v>
      </c>
      <c r="AL22" s="9" t="s">
        <v>5</v>
      </c>
      <c r="AM22" s="10" t="s">
        <v>3</v>
      </c>
      <c r="AN22" s="11" t="s">
        <v>6</v>
      </c>
      <c r="AO22" s="9" t="s">
        <v>4</v>
      </c>
      <c r="AP22" s="9" t="s">
        <v>5</v>
      </c>
      <c r="AQ22" s="10" t="s">
        <v>3</v>
      </c>
      <c r="AR22" s="11" t="s">
        <v>6</v>
      </c>
      <c r="AS22" s="9" t="s">
        <v>4</v>
      </c>
      <c r="AT22" s="9" t="s">
        <v>5</v>
      </c>
      <c r="AU22" s="10" t="s">
        <v>3</v>
      </c>
      <c r="AV22" s="11" t="s">
        <v>6</v>
      </c>
      <c r="AW22" s="9" t="s">
        <v>4</v>
      </c>
      <c r="AX22" s="9" t="s">
        <v>5</v>
      </c>
      <c r="AY22" s="9" t="s">
        <v>3</v>
      </c>
      <c r="AZ22" s="9" t="s">
        <v>6</v>
      </c>
      <c r="BA22" s="9" t="s">
        <v>4</v>
      </c>
      <c r="BB22" s="9" t="s">
        <v>5</v>
      </c>
    </row>
    <row r="23" spans="1:54" ht="12.75">
      <c r="A23" s="1" t="s">
        <v>15</v>
      </c>
      <c r="B23" s="1"/>
      <c r="C23" s="1"/>
      <c r="D23" s="1"/>
      <c r="E23" s="1"/>
      <c r="F23" s="6"/>
      <c r="G23" s="5"/>
      <c r="H23" s="1"/>
      <c r="I23" s="1"/>
      <c r="J23" s="6"/>
      <c r="K23" s="5"/>
      <c r="L23" s="5"/>
      <c r="M23" s="1"/>
      <c r="N23" s="1"/>
      <c r="O23" s="6"/>
      <c r="P23" s="5"/>
      <c r="Q23" s="1"/>
      <c r="R23" s="1"/>
      <c r="S23" s="6"/>
      <c r="T23" s="5"/>
      <c r="U23" s="1"/>
      <c r="V23" s="1"/>
      <c r="W23" s="6"/>
      <c r="X23" s="5"/>
      <c r="Y23" s="1"/>
      <c r="Z23" s="1"/>
      <c r="AA23" s="6"/>
      <c r="AB23" s="5"/>
      <c r="AC23" s="1"/>
      <c r="AD23" s="1"/>
      <c r="AE23" s="6"/>
      <c r="AF23" s="5"/>
      <c r="AG23" s="1"/>
      <c r="AH23" s="1"/>
      <c r="AI23" s="6"/>
      <c r="AJ23" s="5"/>
      <c r="AK23" s="1"/>
      <c r="AL23" s="1"/>
      <c r="AM23" s="6"/>
      <c r="AN23" s="5"/>
      <c r="AO23" s="1"/>
      <c r="AP23" s="1"/>
      <c r="AQ23" s="6"/>
      <c r="AR23" s="5"/>
      <c r="AS23" s="1"/>
      <c r="AT23" s="1"/>
      <c r="AU23" s="6"/>
      <c r="AV23" s="5"/>
      <c r="AW23" s="1"/>
      <c r="AX23" s="1"/>
      <c r="AY23" s="1"/>
      <c r="AZ23" s="1"/>
      <c r="BA23" s="1"/>
      <c r="BB23" s="1"/>
    </row>
    <row r="24" spans="1:54" ht="12.75">
      <c r="A24" s="1" t="s">
        <v>16</v>
      </c>
      <c r="B24" s="12">
        <v>5.4</v>
      </c>
      <c r="C24" s="1"/>
      <c r="D24" s="1">
        <v>0</v>
      </c>
      <c r="E24" s="15">
        <v>1566</v>
      </c>
      <c r="F24" s="14">
        <f>B24</f>
        <v>5.4</v>
      </c>
      <c r="G24" s="5"/>
      <c r="H24" s="1"/>
      <c r="I24" s="15">
        <v>1582.2</v>
      </c>
      <c r="J24" s="6">
        <f>F24</f>
        <v>5.4</v>
      </c>
      <c r="K24" s="5"/>
      <c r="L24" s="5"/>
      <c r="M24" s="1"/>
      <c r="N24" s="15">
        <v>1593</v>
      </c>
      <c r="O24" s="6">
        <f>J24</f>
        <v>5.4</v>
      </c>
      <c r="P24" s="5"/>
      <c r="Q24" s="1"/>
      <c r="R24" s="15">
        <v>1587.6</v>
      </c>
      <c r="S24" s="6">
        <f>O24</f>
        <v>5.4</v>
      </c>
      <c r="T24" s="5"/>
      <c r="U24" s="1"/>
      <c r="V24" s="15">
        <v>1582.2</v>
      </c>
      <c r="W24" s="6">
        <f>S24</f>
        <v>5.4</v>
      </c>
      <c r="X24" s="5"/>
      <c r="Y24" s="1"/>
      <c r="Z24" s="15">
        <v>1576.8</v>
      </c>
      <c r="AA24" s="6">
        <f>W24</f>
        <v>5.4</v>
      </c>
      <c r="AB24" s="5"/>
      <c r="AC24" s="1"/>
      <c r="AD24" s="15">
        <v>1593</v>
      </c>
      <c r="AE24" s="6">
        <f>AA24</f>
        <v>5.4</v>
      </c>
      <c r="AF24" s="5"/>
      <c r="AG24" s="1"/>
      <c r="AH24" s="15">
        <v>1576.8</v>
      </c>
      <c r="AI24" s="6">
        <f>AE24</f>
        <v>5.4</v>
      </c>
      <c r="AJ24" s="5"/>
      <c r="AK24" s="1"/>
      <c r="AL24" s="15">
        <v>1539</v>
      </c>
      <c r="AM24" s="6">
        <f>AI24</f>
        <v>5.4</v>
      </c>
      <c r="AN24" s="5"/>
      <c r="AO24" s="1"/>
      <c r="AP24" s="15">
        <v>1549.8</v>
      </c>
      <c r="AQ24" s="6">
        <f>AM24</f>
        <v>5.4</v>
      </c>
      <c r="AR24" s="5"/>
      <c r="AS24" s="1"/>
      <c r="AT24" s="15">
        <v>1539</v>
      </c>
      <c r="AU24" s="6">
        <f>AQ24</f>
        <v>5.4</v>
      </c>
      <c r="AV24" s="5"/>
      <c r="AW24" s="1"/>
      <c r="AX24" s="15">
        <v>1549.8</v>
      </c>
      <c r="AY24" s="1">
        <f>AU24</f>
        <v>5.4</v>
      </c>
      <c r="AZ24" s="1"/>
      <c r="BA24" s="16"/>
      <c r="BB24" s="16">
        <f>E24+I24+N24+R24+V24+Z24+AD24+AH24+AL24+AP24+AT24+AX24</f>
        <v>18835.199999999997</v>
      </c>
    </row>
    <row r="25" spans="1:54" ht="12.75">
      <c r="A25" s="1" t="s">
        <v>9</v>
      </c>
      <c r="B25" s="1">
        <v>0.07522</v>
      </c>
      <c r="C25" s="16">
        <v>292</v>
      </c>
      <c r="D25" s="5">
        <v>287603</v>
      </c>
      <c r="E25" s="15">
        <v>21655</v>
      </c>
      <c r="F25" s="6">
        <f>B25</f>
        <v>0.07522</v>
      </c>
      <c r="G25" s="18">
        <v>295</v>
      </c>
      <c r="H25" s="5">
        <v>221945</v>
      </c>
      <c r="I25" s="15">
        <v>16717</v>
      </c>
      <c r="J25" s="6">
        <f>F25</f>
        <v>0.07522</v>
      </c>
      <c r="K25" s="18">
        <v>297</v>
      </c>
      <c r="L25" s="18"/>
      <c r="M25" s="5">
        <v>329341</v>
      </c>
      <c r="N25" s="15">
        <v>24794</v>
      </c>
      <c r="O25" s="6">
        <f>J25</f>
        <v>0.07522</v>
      </c>
      <c r="P25" s="18">
        <v>296</v>
      </c>
      <c r="Q25" s="5">
        <v>367735</v>
      </c>
      <c r="R25" s="15">
        <v>27684</v>
      </c>
      <c r="S25" s="6">
        <f>O25</f>
        <v>0.07522</v>
      </c>
      <c r="T25" s="18">
        <v>295</v>
      </c>
      <c r="U25" s="5">
        <v>331303</v>
      </c>
      <c r="V25" s="15">
        <v>24939</v>
      </c>
      <c r="W25" s="6">
        <f>S25</f>
        <v>0.07522</v>
      </c>
      <c r="X25" s="18">
        <v>294</v>
      </c>
      <c r="Y25" s="5">
        <v>318321</v>
      </c>
      <c r="Z25" s="15">
        <v>23961</v>
      </c>
      <c r="AA25" s="6">
        <f>W25</f>
        <v>0.07522</v>
      </c>
      <c r="AB25" s="18">
        <v>297</v>
      </c>
      <c r="AC25" s="5">
        <v>265547</v>
      </c>
      <c r="AD25" s="15">
        <v>19991</v>
      </c>
      <c r="AE25" s="6">
        <f>AA25</f>
        <v>0.07522</v>
      </c>
      <c r="AF25" s="18">
        <v>294</v>
      </c>
      <c r="AG25" s="5">
        <v>219792</v>
      </c>
      <c r="AH25" s="15">
        <v>16544</v>
      </c>
      <c r="AI25" s="6">
        <f>AE25</f>
        <v>0.07522</v>
      </c>
      <c r="AJ25" s="18">
        <v>288</v>
      </c>
      <c r="AK25" s="5">
        <v>250489</v>
      </c>
      <c r="AL25" s="15">
        <v>18864</v>
      </c>
      <c r="AM25" s="19">
        <f>AI25</f>
        <v>0.07522</v>
      </c>
      <c r="AN25" s="18">
        <v>290</v>
      </c>
      <c r="AO25" s="5">
        <v>342847</v>
      </c>
      <c r="AP25" s="15">
        <v>25695</v>
      </c>
      <c r="AQ25" s="6">
        <f>AM25</f>
        <v>0.07522</v>
      </c>
      <c r="AR25" s="18">
        <v>288</v>
      </c>
      <c r="AS25" s="5">
        <v>441790</v>
      </c>
      <c r="AT25" s="15">
        <v>33325</v>
      </c>
      <c r="AU25" s="6">
        <f>AQ25</f>
        <v>0.07522</v>
      </c>
      <c r="AV25" s="18">
        <v>290</v>
      </c>
      <c r="AW25" s="5">
        <v>365989</v>
      </c>
      <c r="AX25" s="15">
        <v>27530</v>
      </c>
      <c r="AY25" s="1">
        <f>AU25</f>
        <v>0.07522</v>
      </c>
      <c r="AZ25" s="16">
        <f>C25+G25+K25+P25+T25+X25+AB25+AF25+AJ25+AN25+AR25+AV25</f>
        <v>3516</v>
      </c>
      <c r="BA25" s="16">
        <f>D25+H25+M25+Q25+U25+Y25+AC25+AG25+AK25+AO25+AS25+AW25</f>
        <v>3742702</v>
      </c>
      <c r="BB25" s="16">
        <f>E25+I25+N25+R25+V25+Z25+AD25+AH25+AL25+AP25+AT25+AX25</f>
        <v>281699</v>
      </c>
    </row>
    <row r="26" spans="1:54" ht="12.75">
      <c r="A26" s="1" t="s">
        <v>11</v>
      </c>
      <c r="B26" s="1"/>
      <c r="C26" s="1"/>
      <c r="D26" s="1"/>
      <c r="E26" s="15">
        <v>1569</v>
      </c>
      <c r="F26" s="6"/>
      <c r="G26" s="5"/>
      <c r="H26" s="1"/>
      <c r="I26" s="15">
        <v>2619.41</v>
      </c>
      <c r="J26" s="6"/>
      <c r="K26" s="5"/>
      <c r="L26" s="5"/>
      <c r="M26" s="1"/>
      <c r="N26" s="15">
        <v>3638.6</v>
      </c>
      <c r="O26" s="6"/>
      <c r="P26" s="5"/>
      <c r="Q26" s="1"/>
      <c r="R26" s="15">
        <v>3539.78</v>
      </c>
      <c r="S26" s="6"/>
      <c r="T26" s="5"/>
      <c r="U26" s="1"/>
      <c r="V26" s="15">
        <v>1493.21</v>
      </c>
      <c r="W26" s="6"/>
      <c r="X26" s="5"/>
      <c r="Y26" s="1"/>
      <c r="Z26" s="15">
        <v>3519.33</v>
      </c>
      <c r="AA26" s="6"/>
      <c r="AB26" s="5"/>
      <c r="AC26" s="1"/>
      <c r="AD26" s="15">
        <v>2397.6</v>
      </c>
      <c r="AE26" s="6"/>
      <c r="AF26" s="5"/>
      <c r="AG26" s="1"/>
      <c r="AH26" s="15">
        <v>1643.8</v>
      </c>
      <c r="AI26" s="6"/>
      <c r="AJ26" s="5"/>
      <c r="AK26" s="1"/>
      <c r="AL26" s="15">
        <v>2120.12</v>
      </c>
      <c r="AM26" s="6"/>
      <c r="AN26" s="5"/>
      <c r="AO26" s="1"/>
      <c r="AP26" s="15">
        <v>3422.15</v>
      </c>
      <c r="AQ26" s="6"/>
      <c r="AR26" s="5"/>
      <c r="AS26" s="1"/>
      <c r="AT26" s="15">
        <v>3348.45</v>
      </c>
      <c r="AU26" s="6"/>
      <c r="AV26" s="5"/>
      <c r="AW26" s="1"/>
      <c r="AX26" s="15">
        <v>1402.82</v>
      </c>
      <c r="AY26" s="1"/>
      <c r="AZ26" s="1"/>
      <c r="BA26" s="1"/>
      <c r="BB26" s="16">
        <f>E26+I26+N26+R26+V26+Z26+AD26+AH26+AL26+AP26+AT26+AX26</f>
        <v>30714.27</v>
      </c>
    </row>
    <row r="27" spans="1:54" ht="12.75">
      <c r="A27" s="1" t="s">
        <v>61</v>
      </c>
      <c r="B27" s="1"/>
      <c r="C27" s="1"/>
      <c r="D27" s="1"/>
      <c r="E27" s="15">
        <v>1976.41</v>
      </c>
      <c r="F27" s="6"/>
      <c r="G27" s="5"/>
      <c r="H27" s="1"/>
      <c r="I27" s="21">
        <v>1553.02</v>
      </c>
      <c r="J27" s="6"/>
      <c r="K27" s="5"/>
      <c r="L27" s="5"/>
      <c r="M27" s="1"/>
      <c r="N27" s="21">
        <v>2055.22</v>
      </c>
      <c r="O27" s="6"/>
      <c r="P27" s="5"/>
      <c r="Q27" s="1"/>
      <c r="R27" s="21">
        <v>2549.78</v>
      </c>
      <c r="S27" s="6"/>
      <c r="T27" s="5"/>
      <c r="U27" s="1"/>
      <c r="V27" s="21">
        <v>1155.35</v>
      </c>
      <c r="W27" s="6"/>
      <c r="X27" s="5"/>
      <c r="Y27" s="1"/>
      <c r="Z27" s="21">
        <v>1637.3</v>
      </c>
      <c r="AA27" s="6"/>
      <c r="AB27" s="5"/>
      <c r="AC27" s="1"/>
      <c r="AD27" s="21">
        <v>1497.02</v>
      </c>
      <c r="AE27" s="6"/>
      <c r="AF27" s="5"/>
      <c r="AG27" s="1"/>
      <c r="AH27" s="21">
        <v>1309.37</v>
      </c>
      <c r="AI27" s="6"/>
      <c r="AJ27" s="5"/>
      <c r="AK27" s="1"/>
      <c r="AL27" s="21">
        <v>1462.16</v>
      </c>
      <c r="AM27" s="6"/>
      <c r="AN27" s="5"/>
      <c r="AO27" s="1"/>
      <c r="AP27" s="21">
        <v>2218.3</v>
      </c>
      <c r="AQ27" s="6"/>
      <c r="AR27" s="5"/>
      <c r="AS27" s="1"/>
      <c r="AT27" s="21">
        <v>2684.23</v>
      </c>
      <c r="AU27" s="6"/>
      <c r="AV27" s="5"/>
      <c r="AW27" s="1"/>
      <c r="AX27" s="21">
        <v>2797.21</v>
      </c>
      <c r="AY27" s="1"/>
      <c r="AZ27" s="1"/>
      <c r="BA27" s="1"/>
      <c r="BB27" s="16">
        <f>E27+I27+N27+R27+V27+Z27+AD27+AH27+AL27+AP27+AT27+AX27</f>
        <v>22895.37</v>
      </c>
    </row>
    <row r="28" spans="1:54" ht="12.75">
      <c r="A28" s="1" t="s">
        <v>12</v>
      </c>
      <c r="B28" s="1"/>
      <c r="C28" s="1"/>
      <c r="D28" s="1"/>
      <c r="E28" s="21">
        <f>SUM(E24:E27)</f>
        <v>26766.41</v>
      </c>
      <c r="F28" s="6"/>
      <c r="G28" s="5"/>
      <c r="H28" s="1"/>
      <c r="I28" s="21">
        <f>SUM(I24:I27)</f>
        <v>22471.63</v>
      </c>
      <c r="J28" s="6"/>
      <c r="K28" s="5"/>
      <c r="L28" s="5"/>
      <c r="M28" s="1"/>
      <c r="N28" s="21">
        <f>SUM(N24:N27)</f>
        <v>32080.82</v>
      </c>
      <c r="O28" s="6"/>
      <c r="P28" s="5"/>
      <c r="Q28" s="1"/>
      <c r="R28" s="21">
        <f>SUM(R24:R27)</f>
        <v>35361.159999999996</v>
      </c>
      <c r="S28" s="6"/>
      <c r="T28" s="5"/>
      <c r="U28" s="1"/>
      <c r="V28" s="21">
        <f>SUM(V24:V27)</f>
        <v>29169.76</v>
      </c>
      <c r="W28" s="6"/>
      <c r="X28" s="5"/>
      <c r="Y28" s="1"/>
      <c r="Z28" s="21">
        <f>SUM(Z24:Z27)</f>
        <v>30694.429999999997</v>
      </c>
      <c r="AA28" s="6"/>
      <c r="AB28" s="5"/>
      <c r="AC28" s="1"/>
      <c r="AD28" s="21">
        <f>SUM(AD24:AD27)</f>
        <v>25478.62</v>
      </c>
      <c r="AE28" s="6"/>
      <c r="AF28" s="5"/>
      <c r="AG28" s="1"/>
      <c r="AH28" s="21">
        <f>SUM(AH24:AH27)</f>
        <v>21073.969999999998</v>
      </c>
      <c r="AI28" s="6"/>
      <c r="AJ28" s="5"/>
      <c r="AK28" s="1"/>
      <c r="AL28" s="21">
        <f>SUM(AL24:AL27)</f>
        <v>23985.28</v>
      </c>
      <c r="AM28" s="6"/>
      <c r="AN28" s="5"/>
      <c r="AO28" s="1"/>
      <c r="AP28" s="21">
        <f>SUM(AP24:AP27)</f>
        <v>32885.25</v>
      </c>
      <c r="AQ28" s="6"/>
      <c r="AR28" s="5"/>
      <c r="AS28" s="1"/>
      <c r="AT28" s="21">
        <f>SUM(AT24:AT27)</f>
        <v>40896.68</v>
      </c>
      <c r="AU28" s="6"/>
      <c r="AV28" s="5"/>
      <c r="AW28" s="1"/>
      <c r="AX28" s="21">
        <f>SUM(AX24:AX27)</f>
        <v>33279.83</v>
      </c>
      <c r="AY28" s="1"/>
      <c r="AZ28" s="1"/>
      <c r="BA28" s="1"/>
      <c r="BB28" s="20">
        <f>SUM(BB24:BB27)</f>
        <v>354143.84</v>
      </c>
    </row>
    <row r="29" spans="1:54" ht="12.75">
      <c r="A29" s="1"/>
      <c r="B29" s="9" t="s">
        <v>3</v>
      </c>
      <c r="C29" s="9" t="s">
        <v>6</v>
      </c>
      <c r="D29" s="9" t="s">
        <v>4</v>
      </c>
      <c r="E29" s="9" t="s">
        <v>5</v>
      </c>
      <c r="F29" s="10" t="s">
        <v>3</v>
      </c>
      <c r="G29" s="11" t="s">
        <v>6</v>
      </c>
      <c r="H29" s="9" t="s">
        <v>4</v>
      </c>
      <c r="I29" s="9" t="s">
        <v>5</v>
      </c>
      <c r="J29" s="10" t="s">
        <v>3</v>
      </c>
      <c r="K29" s="11" t="s">
        <v>6</v>
      </c>
      <c r="L29" s="11"/>
      <c r="M29" s="9" t="s">
        <v>4</v>
      </c>
      <c r="N29" s="9" t="s">
        <v>5</v>
      </c>
      <c r="O29" s="10" t="s">
        <v>3</v>
      </c>
      <c r="P29" s="11" t="s">
        <v>6</v>
      </c>
      <c r="Q29" s="9" t="s">
        <v>4</v>
      </c>
      <c r="R29" s="9" t="s">
        <v>5</v>
      </c>
      <c r="S29" s="10" t="s">
        <v>3</v>
      </c>
      <c r="T29" s="11" t="s">
        <v>6</v>
      </c>
      <c r="U29" s="9" t="s">
        <v>4</v>
      </c>
      <c r="V29" s="9" t="s">
        <v>5</v>
      </c>
      <c r="W29" s="10" t="s">
        <v>3</v>
      </c>
      <c r="X29" s="11" t="s">
        <v>6</v>
      </c>
      <c r="Y29" s="9" t="s">
        <v>4</v>
      </c>
      <c r="Z29" s="9" t="s">
        <v>5</v>
      </c>
      <c r="AA29" s="10" t="s">
        <v>3</v>
      </c>
      <c r="AB29" s="11" t="s">
        <v>6</v>
      </c>
      <c r="AC29" s="9" t="s">
        <v>4</v>
      </c>
      <c r="AD29" s="9" t="s">
        <v>5</v>
      </c>
      <c r="AE29" s="10" t="s">
        <v>3</v>
      </c>
      <c r="AF29" s="11" t="s">
        <v>6</v>
      </c>
      <c r="AG29" s="9" t="s">
        <v>4</v>
      </c>
      <c r="AH29" s="9" t="s">
        <v>5</v>
      </c>
      <c r="AI29" s="10" t="s">
        <v>3</v>
      </c>
      <c r="AJ29" s="11" t="s">
        <v>6</v>
      </c>
      <c r="AK29" s="9" t="s">
        <v>4</v>
      </c>
      <c r="AL29" s="9" t="s">
        <v>5</v>
      </c>
      <c r="AM29" s="10" t="s">
        <v>3</v>
      </c>
      <c r="AN29" s="11" t="s">
        <v>6</v>
      </c>
      <c r="AO29" s="9" t="s">
        <v>4</v>
      </c>
      <c r="AP29" s="9" t="s">
        <v>5</v>
      </c>
      <c r="AQ29" s="10" t="s">
        <v>3</v>
      </c>
      <c r="AR29" s="11" t="s">
        <v>6</v>
      </c>
      <c r="AS29" s="9" t="s">
        <v>4</v>
      </c>
      <c r="AT29" s="9" t="s">
        <v>5</v>
      </c>
      <c r="AU29" s="10" t="s">
        <v>3</v>
      </c>
      <c r="AV29" s="11" t="s">
        <v>6</v>
      </c>
      <c r="AW29" s="9" t="s">
        <v>4</v>
      </c>
      <c r="AX29" s="9" t="s">
        <v>5</v>
      </c>
      <c r="AY29" s="9" t="s">
        <v>3</v>
      </c>
      <c r="AZ29" s="9" t="s">
        <v>6</v>
      </c>
      <c r="BA29" s="9" t="s">
        <v>4</v>
      </c>
      <c r="BB29" s="9" t="s">
        <v>5</v>
      </c>
    </row>
    <row r="30" spans="1:54" ht="12.75">
      <c r="A30" s="1" t="s">
        <v>17</v>
      </c>
      <c r="B30" s="1"/>
      <c r="C30" s="16">
        <v>1474</v>
      </c>
      <c r="D30" s="1"/>
      <c r="E30" s="1"/>
      <c r="F30" s="6"/>
      <c r="G30" s="5">
        <v>1489</v>
      </c>
      <c r="H30" s="1"/>
      <c r="I30" s="1"/>
      <c r="J30" s="6"/>
      <c r="K30" s="5">
        <v>1493</v>
      </c>
      <c r="L30" s="5"/>
      <c r="M30" s="1"/>
      <c r="N30" s="1"/>
      <c r="O30" s="6"/>
      <c r="P30" s="5">
        <v>1505</v>
      </c>
      <c r="Q30" s="1"/>
      <c r="R30" s="1"/>
      <c r="S30" s="6"/>
      <c r="T30" s="5">
        <v>1497</v>
      </c>
      <c r="U30" s="1"/>
      <c r="V30" s="1"/>
      <c r="W30" s="6"/>
      <c r="X30" s="5">
        <v>1505</v>
      </c>
      <c r="Y30" s="1"/>
      <c r="Z30" s="1"/>
      <c r="AA30" s="6"/>
      <c r="AB30" s="5">
        <v>1509</v>
      </c>
      <c r="AC30" s="1"/>
      <c r="AD30" s="1"/>
      <c r="AE30" s="6"/>
      <c r="AF30" s="5">
        <v>1511</v>
      </c>
      <c r="AG30" s="1"/>
      <c r="AH30" s="1"/>
      <c r="AI30" s="6"/>
      <c r="AJ30" s="5">
        <v>1510</v>
      </c>
      <c r="AK30" s="1"/>
      <c r="AL30" s="1"/>
      <c r="AM30" s="6"/>
      <c r="AN30" s="5">
        <v>1523</v>
      </c>
      <c r="AO30" s="1"/>
      <c r="AP30" s="1"/>
      <c r="AQ30" s="6"/>
      <c r="AR30" s="5">
        <v>1515</v>
      </c>
      <c r="AS30" s="1"/>
      <c r="AT30" s="1"/>
      <c r="AU30" s="6"/>
      <c r="AV30" s="5">
        <v>1525</v>
      </c>
      <c r="AW30" s="1"/>
      <c r="AX30" s="1"/>
      <c r="AY30" s="1"/>
      <c r="AZ30" s="1"/>
      <c r="BA30" s="1"/>
      <c r="BB30" s="1"/>
    </row>
    <row r="31" spans="1:54" ht="12.75">
      <c r="A31" s="1" t="s">
        <v>16</v>
      </c>
      <c r="B31" s="1">
        <v>5.27</v>
      </c>
      <c r="C31" s="1"/>
      <c r="D31" s="1"/>
      <c r="E31" s="15">
        <v>6877</v>
      </c>
      <c r="F31" s="6">
        <f>B31</f>
        <v>5.27</v>
      </c>
      <c r="G31" s="5"/>
      <c r="H31" s="1"/>
      <c r="I31" s="15">
        <v>6951.21</v>
      </c>
      <c r="J31" s="6">
        <f>F31</f>
        <v>5.27</v>
      </c>
      <c r="K31" s="5"/>
      <c r="L31" s="5"/>
      <c r="M31" s="1"/>
      <c r="N31" s="15">
        <v>7024.91</v>
      </c>
      <c r="O31" s="6">
        <f>J31</f>
        <v>5.27</v>
      </c>
      <c r="P31" s="5"/>
      <c r="Q31" s="1"/>
      <c r="R31" s="15">
        <v>7103.96</v>
      </c>
      <c r="S31" s="6">
        <f>O31</f>
        <v>5.27</v>
      </c>
      <c r="T31" s="5"/>
      <c r="U31" s="1"/>
      <c r="V31" s="15">
        <v>7061.8</v>
      </c>
      <c r="W31" s="6">
        <f>S31</f>
        <v>5.27</v>
      </c>
      <c r="X31" s="5"/>
      <c r="Y31" s="1"/>
      <c r="Z31" s="15">
        <v>7098.69</v>
      </c>
      <c r="AA31" s="6">
        <f>W31</f>
        <v>5.27</v>
      </c>
      <c r="AB31" s="5"/>
      <c r="AC31" s="1"/>
      <c r="AD31" s="15">
        <v>7072.34</v>
      </c>
      <c r="AE31" s="6">
        <f>AA31</f>
        <v>5.27</v>
      </c>
      <c r="AF31" s="5"/>
      <c r="AG31" s="1"/>
      <c r="AH31" s="15">
        <v>7061.8</v>
      </c>
      <c r="AI31" s="6">
        <f>AE31</f>
        <v>5.27</v>
      </c>
      <c r="AJ31" s="5"/>
      <c r="AK31" s="1"/>
      <c r="AL31" s="15">
        <v>7024.91</v>
      </c>
      <c r="AM31" s="6">
        <f>AI31</f>
        <v>5.27</v>
      </c>
      <c r="AN31" s="5"/>
      <c r="AO31" s="1"/>
      <c r="AP31" s="15">
        <v>7103.96</v>
      </c>
      <c r="AQ31" s="6">
        <f>AM31</f>
        <v>5.27</v>
      </c>
      <c r="AR31" s="5"/>
      <c r="AS31" s="1"/>
      <c r="AT31" s="15">
        <v>7056.53</v>
      </c>
      <c r="AU31" s="6">
        <f>AQ31</f>
        <v>5.27</v>
      </c>
      <c r="AV31" s="5"/>
      <c r="AW31" s="1"/>
      <c r="AX31" s="15">
        <v>7130.31</v>
      </c>
      <c r="AY31" s="1">
        <f>AU31</f>
        <v>5.27</v>
      </c>
      <c r="AZ31" s="1"/>
      <c r="BA31" s="16"/>
      <c r="BB31" s="16">
        <f>E31+I31+N31+R31+V31+Z31+AD31+AH31+AL31+AP31+AT31+AX31</f>
        <v>84567.42000000001</v>
      </c>
    </row>
    <row r="32" spans="1:54" ht="12.75">
      <c r="A32" s="1" t="s">
        <v>9</v>
      </c>
      <c r="B32" s="1">
        <v>0.08793</v>
      </c>
      <c r="C32" s="23">
        <f>ROUNDDOWN((6877.35/(6877.35+816.27))*C30,0)</f>
        <v>1317</v>
      </c>
      <c r="D32" s="5">
        <v>1100205</v>
      </c>
      <c r="E32" s="15">
        <v>97430</v>
      </c>
      <c r="F32" s="6">
        <f>B32</f>
        <v>0.08793</v>
      </c>
      <c r="G32" s="18">
        <f>ROUNDDOWN((6951.21/(6951.21+811.44))*G30,0)</f>
        <v>1333</v>
      </c>
      <c r="H32" s="5">
        <v>932801</v>
      </c>
      <c r="I32" s="15">
        <v>82748</v>
      </c>
      <c r="J32" s="6">
        <f>F32</f>
        <v>0.08793</v>
      </c>
      <c r="K32" s="18">
        <f>ROUNDDOWN((7024.91/(7024.91+777.63))*K30,0)</f>
        <v>1344</v>
      </c>
      <c r="L32" s="18"/>
      <c r="M32" s="5">
        <v>1097296</v>
      </c>
      <c r="N32" s="15">
        <v>97168</v>
      </c>
      <c r="O32" s="6">
        <f>J32</f>
        <v>0.08793</v>
      </c>
      <c r="P32" s="18">
        <f>ROUNDDOWN((7103.96/(7103.96+758.31))*P30,0)</f>
        <v>1359</v>
      </c>
      <c r="Q32" s="5">
        <v>1187686</v>
      </c>
      <c r="R32" s="15">
        <v>105091</v>
      </c>
      <c r="S32" s="6">
        <f>O32</f>
        <v>0.08793</v>
      </c>
      <c r="T32" s="18">
        <f>ROUNDDOWN((7061.8/(7061.8+753.48))*T30,0)</f>
        <v>1352</v>
      </c>
      <c r="U32" s="5">
        <v>1110457</v>
      </c>
      <c r="V32" s="15">
        <v>98269</v>
      </c>
      <c r="W32" s="6">
        <f>S32</f>
        <v>0.08793</v>
      </c>
      <c r="X32" s="18">
        <f>ROUNDDOWN((7098.69/(7098.69+758.31))*X30,0)</f>
        <v>1359</v>
      </c>
      <c r="Y32" s="5">
        <v>1089386</v>
      </c>
      <c r="Z32" s="15">
        <v>96529</v>
      </c>
      <c r="AA32" s="6">
        <f>W32</f>
        <v>0.08793</v>
      </c>
      <c r="AB32" s="18">
        <f>ROUNDDOWN((7072.34/(7072.34+806.61))*AB30,0)</f>
        <v>1354</v>
      </c>
      <c r="AC32" s="5">
        <v>1044745</v>
      </c>
      <c r="AD32" s="15">
        <v>92542</v>
      </c>
      <c r="AE32" s="6">
        <f>AA32</f>
        <v>0.08793</v>
      </c>
      <c r="AF32" s="18">
        <f>ROUNDDOWN((7061.8/(7061.8+825.93))*AF30,0)</f>
        <v>1352</v>
      </c>
      <c r="AG32" s="5">
        <v>1020857</v>
      </c>
      <c r="AH32" s="15">
        <v>90352</v>
      </c>
      <c r="AI32" s="6">
        <f>AE32</f>
        <v>0.08793</v>
      </c>
      <c r="AJ32" s="18">
        <f>ROUNDDOWN((7024.91/(7024.91+859.74))*AJ30,0)</f>
        <v>1345</v>
      </c>
      <c r="AK32" s="5">
        <v>1032059</v>
      </c>
      <c r="AL32" s="15">
        <v>91304</v>
      </c>
      <c r="AM32" s="19">
        <f>AI32</f>
        <v>0.08793</v>
      </c>
      <c r="AN32" s="18">
        <f>ROUNDDOWN((7103.96/(7103.96+840.42))*AN30,0)</f>
        <v>1361</v>
      </c>
      <c r="AO32" s="5">
        <v>1138139</v>
      </c>
      <c r="AP32" s="15">
        <v>100825</v>
      </c>
      <c r="AQ32" s="6">
        <f>AM32</f>
        <v>0.08793</v>
      </c>
      <c r="AR32" s="18">
        <f>ROUNDDOWN((7061.8/(7061.8+840.42))*AR30,0)</f>
        <v>1353</v>
      </c>
      <c r="AS32" s="5">
        <v>1365056</v>
      </c>
      <c r="AT32" s="15">
        <v>120732</v>
      </c>
      <c r="AU32" s="6">
        <f>AQ32</f>
        <v>0.08793</v>
      </c>
      <c r="AV32" s="18">
        <f>ROUNDDOWN((7114.5/(7114.5+835.59))*AV30,0)</f>
        <v>1364</v>
      </c>
      <c r="AW32" s="5">
        <v>1255722</v>
      </c>
      <c r="AX32" s="15">
        <v>111146</v>
      </c>
      <c r="AY32" s="1">
        <f>AU32</f>
        <v>0.08793</v>
      </c>
      <c r="AZ32" s="16">
        <f>C30+G32+K32+P32+T32+X32+AB32+AF32+AJ32+AN32+AR32+AV32</f>
        <v>16350</v>
      </c>
      <c r="BA32" s="16">
        <f>D32+H32+M32+Q32+U32+Y32+AC32+AG32+AK32+AO32+AS32+AW32</f>
        <v>13374409</v>
      </c>
      <c r="BB32" s="16">
        <f>E32+I32+N32+R32+V32+Z32+AD32+AH32+AL32+AP32+AT32+AX32</f>
        <v>1184136</v>
      </c>
    </row>
    <row r="33" spans="1:54" ht="12.75">
      <c r="A33" s="1" t="s">
        <v>11</v>
      </c>
      <c r="B33" s="1"/>
      <c r="C33" s="1"/>
      <c r="D33" s="1"/>
      <c r="E33" s="15">
        <v>6003</v>
      </c>
      <c r="F33" s="6"/>
      <c r="G33" s="5"/>
      <c r="H33" s="1"/>
      <c r="I33" s="15">
        <v>11009.03</v>
      </c>
      <c r="J33" s="6"/>
      <c r="K33" s="5"/>
      <c r="L33" s="5"/>
      <c r="M33" s="1"/>
      <c r="N33" s="15">
        <v>12122.71</v>
      </c>
      <c r="O33" s="6"/>
      <c r="P33" s="5"/>
      <c r="Q33" s="1"/>
      <c r="R33" s="15">
        <v>11432.79</v>
      </c>
      <c r="S33" s="6"/>
      <c r="T33" s="5"/>
      <c r="U33" s="1"/>
      <c r="V33" s="15">
        <v>5004.68</v>
      </c>
      <c r="W33" s="6"/>
      <c r="X33" s="5"/>
      <c r="Y33" s="1"/>
      <c r="Z33" s="15">
        <v>12044.22</v>
      </c>
      <c r="AA33" s="6"/>
      <c r="AB33" s="5"/>
      <c r="AC33" s="1"/>
      <c r="AD33" s="15">
        <v>9433.13</v>
      </c>
      <c r="AE33" s="6"/>
      <c r="AF33" s="5"/>
      <c r="AG33" s="1"/>
      <c r="AH33" s="15">
        <v>7634.87</v>
      </c>
      <c r="AI33" s="6"/>
      <c r="AJ33" s="5"/>
      <c r="AK33" s="1"/>
      <c r="AL33" s="15">
        <v>8735.72</v>
      </c>
      <c r="AM33" s="6"/>
      <c r="AN33" s="5"/>
      <c r="AO33" s="1"/>
      <c r="AP33" s="15">
        <v>11361.8</v>
      </c>
      <c r="AQ33" s="6"/>
      <c r="AR33" s="5"/>
      <c r="AS33" s="1"/>
      <c r="AT33" s="15">
        <v>10355.48</v>
      </c>
      <c r="AU33" s="6"/>
      <c r="AV33" s="5"/>
      <c r="AW33" s="1"/>
      <c r="AX33" s="15">
        <v>4813.03</v>
      </c>
      <c r="AY33" s="1"/>
      <c r="AZ33" s="1"/>
      <c r="BA33" s="1"/>
      <c r="BB33" s="16">
        <f>E33+I33+N33+R33+V33+Z33+AD33+AH33+AL33+AP33+AT33+AX33</f>
        <v>109950.45999999999</v>
      </c>
    </row>
    <row r="34" spans="1:54" ht="12.75">
      <c r="A34" s="1" t="s">
        <v>61</v>
      </c>
      <c r="B34" s="1"/>
      <c r="C34" s="1"/>
      <c r="D34" s="1"/>
      <c r="E34" s="15">
        <f>(6003/(6003+6264))*16138.87</f>
        <v>7897.744893617021</v>
      </c>
      <c r="F34" s="6"/>
      <c r="G34" s="5"/>
      <c r="H34" s="1"/>
      <c r="I34" s="21">
        <v>6732.34</v>
      </c>
      <c r="J34" s="6"/>
      <c r="K34" s="5"/>
      <c r="L34" s="5"/>
      <c r="M34" s="1"/>
      <c r="N34" s="21">
        <v>7363.54</v>
      </c>
      <c r="O34" s="6"/>
      <c r="P34" s="5"/>
      <c r="Q34" s="1"/>
      <c r="R34" s="21">
        <v>8786.31</v>
      </c>
      <c r="S34" s="6"/>
      <c r="T34" s="5"/>
      <c r="U34" s="1"/>
      <c r="V34" s="21">
        <v>4130.46</v>
      </c>
      <c r="W34" s="6"/>
      <c r="X34" s="5"/>
      <c r="Y34" s="1"/>
      <c r="Z34" s="21">
        <v>5967.73</v>
      </c>
      <c r="AA34" s="6"/>
      <c r="AB34" s="5"/>
      <c r="AC34" s="1"/>
      <c r="AD34" s="21">
        <v>6184</v>
      </c>
      <c r="AE34" s="6"/>
      <c r="AF34" s="5"/>
      <c r="AG34" s="1"/>
      <c r="AH34" s="21">
        <v>6298.74</v>
      </c>
      <c r="AI34" s="6"/>
      <c r="AJ34" s="5"/>
      <c r="AK34" s="1"/>
      <c r="AL34" s="21">
        <v>6220.84</v>
      </c>
      <c r="AM34" s="6"/>
      <c r="AN34" s="5"/>
      <c r="AO34" s="1"/>
      <c r="AP34" s="21">
        <v>7503.53</v>
      </c>
      <c r="AQ34" s="6"/>
      <c r="AR34" s="5"/>
      <c r="AS34" s="1"/>
      <c r="AT34" s="21">
        <v>9252.78</v>
      </c>
      <c r="AU34" s="6"/>
      <c r="AV34" s="5"/>
      <c r="AW34" s="1"/>
      <c r="AX34" s="21">
        <v>10268.08</v>
      </c>
      <c r="AY34" s="1"/>
      <c r="AZ34" s="1"/>
      <c r="BA34" s="1"/>
      <c r="BB34" s="16">
        <f>E34+I34+N34+R34+V34+Z34+AD34+AH34+AL34+AP34+AT34+AX34</f>
        <v>86606.09489361702</v>
      </c>
    </row>
    <row r="35" spans="1:54" ht="12.75">
      <c r="A35" s="1" t="s">
        <v>12</v>
      </c>
      <c r="B35" s="1"/>
      <c r="C35" s="1"/>
      <c r="D35" s="1"/>
      <c r="E35" s="21">
        <f>SUM(E31:E34)</f>
        <v>118207.74489361703</v>
      </c>
      <c r="F35" s="6"/>
      <c r="G35" s="5"/>
      <c r="H35" s="1"/>
      <c r="I35" s="21">
        <f>SUM(I31:I34)</f>
        <v>107440.58</v>
      </c>
      <c r="J35" s="6"/>
      <c r="K35" s="5"/>
      <c r="L35" s="5"/>
      <c r="M35" s="1"/>
      <c r="N35" s="21">
        <f>SUM(N31:N34)</f>
        <v>123679.15999999999</v>
      </c>
      <c r="O35" s="6"/>
      <c r="P35" s="5"/>
      <c r="Q35" s="1"/>
      <c r="R35" s="21">
        <f>SUM(R31:R34)</f>
        <v>132414.06</v>
      </c>
      <c r="S35" s="6"/>
      <c r="T35" s="5"/>
      <c r="U35" s="1"/>
      <c r="V35" s="21">
        <f>SUM(V31:V34)</f>
        <v>114465.94000000002</v>
      </c>
      <c r="W35" s="6"/>
      <c r="X35" s="5"/>
      <c r="Y35" s="1"/>
      <c r="Z35" s="21">
        <f>SUM(Z31:Z34)</f>
        <v>121639.64</v>
      </c>
      <c r="AA35" s="6"/>
      <c r="AB35" s="5"/>
      <c r="AC35" s="1"/>
      <c r="AD35" s="21">
        <f>SUM(AD31:AD34)</f>
        <v>115231.47</v>
      </c>
      <c r="AE35" s="6"/>
      <c r="AF35" s="5"/>
      <c r="AG35" s="1"/>
      <c r="AH35" s="21">
        <f>SUM(AH31:AH34)</f>
        <v>111347.41</v>
      </c>
      <c r="AI35" s="6"/>
      <c r="AJ35" s="5"/>
      <c r="AK35" s="1"/>
      <c r="AL35" s="21">
        <f>SUM(AL31:AL34)</f>
        <v>113285.47</v>
      </c>
      <c r="AM35" s="6"/>
      <c r="AN35" s="5"/>
      <c r="AO35" s="1"/>
      <c r="AP35" s="21">
        <f>SUM(AP31:AP34)</f>
        <v>126794.29000000001</v>
      </c>
      <c r="AQ35" s="6"/>
      <c r="AR35" s="5"/>
      <c r="AS35" s="1"/>
      <c r="AT35" s="21">
        <f>SUM(AT31:AT34)</f>
        <v>147396.79</v>
      </c>
      <c r="AU35" s="6"/>
      <c r="AV35" s="5"/>
      <c r="AW35" s="1"/>
      <c r="AX35" s="21">
        <f>SUM(AX31:AX34)</f>
        <v>133357.41999999998</v>
      </c>
      <c r="AY35" s="1"/>
      <c r="AZ35" s="1"/>
      <c r="BA35" s="1"/>
      <c r="BB35" s="20">
        <f>SUM(BB31:BB34)</f>
        <v>1465259.974893617</v>
      </c>
    </row>
    <row r="36" spans="1:54" ht="12.75">
      <c r="A36" s="1"/>
      <c r="B36" s="9" t="s">
        <v>3</v>
      </c>
      <c r="C36" s="9" t="s">
        <v>6</v>
      </c>
      <c r="D36" s="9" t="s">
        <v>4</v>
      </c>
      <c r="E36" s="9" t="s">
        <v>5</v>
      </c>
      <c r="F36" s="10" t="s">
        <v>3</v>
      </c>
      <c r="G36" s="11" t="s">
        <v>6</v>
      </c>
      <c r="H36" s="9" t="s">
        <v>4</v>
      </c>
      <c r="I36" s="9" t="s">
        <v>5</v>
      </c>
      <c r="J36" s="10" t="s">
        <v>3</v>
      </c>
      <c r="K36" s="11" t="s">
        <v>6</v>
      </c>
      <c r="L36" s="11"/>
      <c r="M36" s="9" t="s">
        <v>4</v>
      </c>
      <c r="N36" s="9" t="s">
        <v>5</v>
      </c>
      <c r="O36" s="10" t="s">
        <v>3</v>
      </c>
      <c r="P36" s="11" t="s">
        <v>6</v>
      </c>
      <c r="Q36" s="9" t="s">
        <v>4</v>
      </c>
      <c r="R36" s="9" t="s">
        <v>5</v>
      </c>
      <c r="S36" s="10" t="s">
        <v>3</v>
      </c>
      <c r="T36" s="11" t="s">
        <v>6</v>
      </c>
      <c r="U36" s="9" t="s">
        <v>4</v>
      </c>
      <c r="V36" s="9" t="s">
        <v>5</v>
      </c>
      <c r="W36" s="10" t="s">
        <v>3</v>
      </c>
      <c r="X36" s="11" t="s">
        <v>6</v>
      </c>
      <c r="Y36" s="9" t="s">
        <v>4</v>
      </c>
      <c r="Z36" s="9" t="s">
        <v>5</v>
      </c>
      <c r="AA36" s="10" t="s">
        <v>3</v>
      </c>
      <c r="AB36" s="11" t="s">
        <v>6</v>
      </c>
      <c r="AC36" s="9" t="s">
        <v>4</v>
      </c>
      <c r="AD36" s="9" t="s">
        <v>5</v>
      </c>
      <c r="AE36" s="10" t="s">
        <v>3</v>
      </c>
      <c r="AF36" s="11" t="s">
        <v>6</v>
      </c>
      <c r="AG36" s="9" t="s">
        <v>4</v>
      </c>
      <c r="AH36" s="9" t="s">
        <v>5</v>
      </c>
      <c r="AI36" s="10" t="s">
        <v>3</v>
      </c>
      <c r="AJ36" s="11" t="s">
        <v>6</v>
      </c>
      <c r="AK36" s="9" t="s">
        <v>4</v>
      </c>
      <c r="AL36" s="9" t="s">
        <v>5</v>
      </c>
      <c r="AM36" s="10" t="s">
        <v>3</v>
      </c>
      <c r="AN36" s="11" t="s">
        <v>6</v>
      </c>
      <c r="AO36" s="9" t="s">
        <v>4</v>
      </c>
      <c r="AP36" s="9" t="s">
        <v>5</v>
      </c>
      <c r="AQ36" s="10" t="s">
        <v>3</v>
      </c>
      <c r="AR36" s="11" t="s">
        <v>6</v>
      </c>
      <c r="AS36" s="9" t="s">
        <v>4</v>
      </c>
      <c r="AT36" s="9" t="s">
        <v>5</v>
      </c>
      <c r="AU36" s="10" t="s">
        <v>3</v>
      </c>
      <c r="AV36" s="11" t="s">
        <v>6</v>
      </c>
      <c r="AW36" s="9" t="s">
        <v>4</v>
      </c>
      <c r="AX36" s="9" t="s">
        <v>5</v>
      </c>
      <c r="AY36" s="9" t="s">
        <v>3</v>
      </c>
      <c r="AZ36" s="9" t="s">
        <v>6</v>
      </c>
      <c r="BA36" s="9" t="s">
        <v>4</v>
      </c>
      <c r="BB36" s="9" t="s">
        <v>5</v>
      </c>
    </row>
    <row r="37" spans="1:54" ht="12.75">
      <c r="A37" s="1" t="s">
        <v>18</v>
      </c>
      <c r="B37" s="1"/>
      <c r="C37" s="1"/>
      <c r="D37" s="1"/>
      <c r="E37" s="1"/>
      <c r="F37" s="6"/>
      <c r="G37" s="5"/>
      <c r="H37" s="1"/>
      <c r="I37" s="1"/>
      <c r="J37" s="6"/>
      <c r="K37" s="5"/>
      <c r="L37" s="5"/>
      <c r="M37" s="1"/>
      <c r="N37" s="1"/>
      <c r="O37" s="6"/>
      <c r="P37" s="5"/>
      <c r="Q37" s="1"/>
      <c r="R37" s="1"/>
      <c r="S37" s="6"/>
      <c r="T37" s="5"/>
      <c r="U37" s="1"/>
      <c r="V37" s="1"/>
      <c r="W37" s="6"/>
      <c r="X37" s="5"/>
      <c r="Y37" s="1"/>
      <c r="Z37" s="1"/>
      <c r="AA37" s="6"/>
      <c r="AB37" s="5"/>
      <c r="AC37" s="1"/>
      <c r="AD37" s="1"/>
      <c r="AE37" s="6"/>
      <c r="AF37" s="5"/>
      <c r="AG37" s="1"/>
      <c r="AH37" s="1"/>
      <c r="AI37" s="6"/>
      <c r="AJ37" s="5"/>
      <c r="AK37" s="1"/>
      <c r="AL37" s="1"/>
      <c r="AM37" s="6"/>
      <c r="AN37" s="5"/>
      <c r="AO37" s="1"/>
      <c r="AP37" s="1"/>
      <c r="AQ37" s="6"/>
      <c r="AR37" s="5"/>
      <c r="AS37" s="1"/>
      <c r="AT37" s="1"/>
      <c r="AU37" s="6"/>
      <c r="AV37" s="5"/>
      <c r="AW37" s="1"/>
      <c r="AX37" s="1"/>
      <c r="AY37" s="1"/>
      <c r="AZ37" s="1"/>
      <c r="BA37" s="1"/>
      <c r="BB37" s="1"/>
    </row>
    <row r="38" spans="1:54" ht="12.75">
      <c r="A38" s="1" t="s">
        <v>19</v>
      </c>
      <c r="B38" s="1">
        <v>5.4</v>
      </c>
      <c r="C38" s="1"/>
      <c r="D38" s="1"/>
      <c r="E38" s="21">
        <v>14114.55</v>
      </c>
      <c r="F38" s="6">
        <f>B38</f>
        <v>5.4</v>
      </c>
      <c r="G38" s="5"/>
      <c r="H38" s="1"/>
      <c r="I38" s="15">
        <v>14576</v>
      </c>
      <c r="J38" s="6">
        <f>F38</f>
        <v>5.4</v>
      </c>
      <c r="K38" s="5"/>
      <c r="L38" s="5"/>
      <c r="M38" s="1"/>
      <c r="N38" s="15">
        <v>13711.75</v>
      </c>
      <c r="O38" s="6">
        <f>J38</f>
        <v>5.4</v>
      </c>
      <c r="P38" s="5"/>
      <c r="Q38" s="1"/>
      <c r="R38" s="15">
        <v>13046.23</v>
      </c>
      <c r="S38" s="6">
        <f>O38</f>
        <v>5.4</v>
      </c>
      <c r="T38" s="5"/>
      <c r="U38" s="1"/>
      <c r="V38" s="15">
        <v>11970.4</v>
      </c>
      <c r="W38" s="6">
        <f>S38</f>
        <v>5.4</v>
      </c>
      <c r="X38" s="5"/>
      <c r="Y38" s="1"/>
      <c r="Z38" s="15">
        <v>13028.38</v>
      </c>
      <c r="AA38" s="6">
        <f>W38</f>
        <v>5.4</v>
      </c>
      <c r="AB38" s="5"/>
      <c r="AC38" s="1"/>
      <c r="AD38" s="15">
        <v>13392.86</v>
      </c>
      <c r="AE38" s="6">
        <f>AA38</f>
        <v>5.4</v>
      </c>
      <c r="AF38" s="5"/>
      <c r="AG38" s="1"/>
      <c r="AH38" s="15">
        <v>14657.3</v>
      </c>
      <c r="AI38" s="6">
        <f>AE38</f>
        <v>5.4</v>
      </c>
      <c r="AJ38" s="5"/>
      <c r="AK38" s="1"/>
      <c r="AL38" s="15">
        <v>15449.37</v>
      </c>
      <c r="AM38" s="6">
        <f>AI38</f>
        <v>5.4</v>
      </c>
      <c r="AN38" s="5"/>
      <c r="AO38" s="1"/>
      <c r="AP38" s="15">
        <v>15224.71</v>
      </c>
      <c r="AQ38" s="6">
        <f>AM38</f>
        <v>5.4</v>
      </c>
      <c r="AR38" s="5"/>
      <c r="AS38" s="1"/>
      <c r="AT38" s="15">
        <v>15785.35</v>
      </c>
      <c r="AU38" s="6">
        <f>AQ38</f>
        <v>5.4</v>
      </c>
      <c r="AV38" s="5"/>
      <c r="AW38" s="1"/>
      <c r="AX38" s="15">
        <v>15954.45</v>
      </c>
      <c r="AY38" s="1">
        <f>AU38</f>
        <v>5.4</v>
      </c>
      <c r="AZ38" s="1"/>
      <c r="BA38" s="1"/>
      <c r="BB38" s="16">
        <f>E38+I38+N38+R38+V38+Z38+AD38+AH38+AL38+AP38+AT38+AX38</f>
        <v>170911.35</v>
      </c>
    </row>
    <row r="39" spans="1:54" ht="12.75">
      <c r="A39" s="1" t="s">
        <v>16</v>
      </c>
      <c r="B39" s="1">
        <v>4.83</v>
      </c>
      <c r="C39" s="1"/>
      <c r="D39" s="1"/>
      <c r="E39" s="15">
        <v>816.27</v>
      </c>
      <c r="F39" s="6">
        <f>B39</f>
        <v>4.83</v>
      </c>
      <c r="G39" s="5"/>
      <c r="H39" s="5"/>
      <c r="I39" s="15">
        <v>811.44</v>
      </c>
      <c r="J39" s="6">
        <f>F39</f>
        <v>4.83</v>
      </c>
      <c r="K39" s="5"/>
      <c r="L39" s="5"/>
      <c r="M39" s="5"/>
      <c r="N39" s="15">
        <v>777.63</v>
      </c>
      <c r="O39" s="6">
        <f>J39</f>
        <v>4.83</v>
      </c>
      <c r="P39" s="5"/>
      <c r="Q39" s="5"/>
      <c r="R39" s="15">
        <v>758.31</v>
      </c>
      <c r="S39" s="6">
        <f>O39</f>
        <v>4.83</v>
      </c>
      <c r="T39" s="5"/>
      <c r="U39" s="5"/>
      <c r="V39" s="15">
        <v>753</v>
      </c>
      <c r="W39" s="6">
        <f>S39</f>
        <v>4.83</v>
      </c>
      <c r="X39" s="5"/>
      <c r="Y39" s="5"/>
      <c r="Z39" s="15">
        <v>758.31</v>
      </c>
      <c r="AA39" s="6">
        <f>W39</f>
        <v>4.83</v>
      </c>
      <c r="AB39" s="5"/>
      <c r="AC39" s="5"/>
      <c r="AD39" s="15">
        <v>807.05</v>
      </c>
      <c r="AE39" s="6">
        <f>AA39</f>
        <v>4.83</v>
      </c>
      <c r="AF39" s="5"/>
      <c r="AG39" s="5"/>
      <c r="AH39" s="15">
        <v>825</v>
      </c>
      <c r="AI39" s="6">
        <f>AE39</f>
        <v>4.83</v>
      </c>
      <c r="AJ39" s="5"/>
      <c r="AK39" s="5"/>
      <c r="AL39" s="15">
        <v>859.74</v>
      </c>
      <c r="AM39" s="6">
        <f>AI39</f>
        <v>4.83</v>
      </c>
      <c r="AN39" s="5"/>
      <c r="AO39" s="5"/>
      <c r="AP39" s="15">
        <v>840.86</v>
      </c>
      <c r="AQ39" s="6">
        <f>AM39</f>
        <v>4.83</v>
      </c>
      <c r="AR39" s="5"/>
      <c r="AS39" s="5"/>
      <c r="AT39" s="15">
        <v>840.42</v>
      </c>
      <c r="AU39" s="6">
        <f>AQ39</f>
        <v>4.83</v>
      </c>
      <c r="AV39" s="5"/>
      <c r="AW39" s="5"/>
      <c r="AX39" s="15">
        <v>835.59</v>
      </c>
      <c r="AY39" s="1">
        <f>AU39</f>
        <v>4.83</v>
      </c>
      <c r="AZ39" s="1"/>
      <c r="BA39" s="16"/>
      <c r="BB39" s="16">
        <f>E39+I39+N39+R39+V39+Z39+AD39+AH39+AL39+AP39+AT39+AX39</f>
        <v>9683.619999999999</v>
      </c>
    </row>
    <row r="40" spans="1:54" ht="12.75">
      <c r="A40" s="1" t="s">
        <v>9</v>
      </c>
      <c r="B40" s="1">
        <v>0.06912</v>
      </c>
      <c r="C40" s="16">
        <f>C30-C32</f>
        <v>157</v>
      </c>
      <c r="D40" s="16">
        <v>1148066</v>
      </c>
      <c r="E40" s="15">
        <v>79354</v>
      </c>
      <c r="F40" s="6">
        <f>B40</f>
        <v>0.06912</v>
      </c>
      <c r="G40" s="16">
        <f>G30-G32</f>
        <v>156</v>
      </c>
      <c r="H40" s="5">
        <v>966073</v>
      </c>
      <c r="I40" s="15">
        <v>66775</v>
      </c>
      <c r="J40" s="6">
        <f>F40</f>
        <v>0.06912</v>
      </c>
      <c r="K40" s="18">
        <f>K30-K32</f>
        <v>149</v>
      </c>
      <c r="L40" s="18"/>
      <c r="M40" s="5">
        <v>922782</v>
      </c>
      <c r="N40" s="15">
        <v>63783</v>
      </c>
      <c r="O40" s="6">
        <f>J40</f>
        <v>0.06912</v>
      </c>
      <c r="P40" s="18">
        <f>P30-P32</f>
        <v>146</v>
      </c>
      <c r="Q40" s="5">
        <v>1083208</v>
      </c>
      <c r="R40" s="15">
        <v>74871</v>
      </c>
      <c r="S40" s="6">
        <f>O40</f>
        <v>0.06912</v>
      </c>
      <c r="T40" s="18">
        <f>T30-T32</f>
        <v>145</v>
      </c>
      <c r="U40" s="5">
        <v>978673</v>
      </c>
      <c r="V40" s="15">
        <v>67646</v>
      </c>
      <c r="W40" s="6">
        <f>S40</f>
        <v>0.06912</v>
      </c>
      <c r="X40" s="18">
        <f>X30-X32</f>
        <v>146</v>
      </c>
      <c r="Y40" s="5">
        <v>957403</v>
      </c>
      <c r="Z40" s="15">
        <v>66176</v>
      </c>
      <c r="AA40" s="6">
        <f>W40</f>
        <v>0.06912</v>
      </c>
      <c r="AB40" s="18">
        <f>AB30-AB32</f>
        <v>155</v>
      </c>
      <c r="AC40" s="5">
        <v>966253</v>
      </c>
      <c r="AD40" s="15">
        <v>66800</v>
      </c>
      <c r="AE40" s="6">
        <f>AA40</f>
        <v>0.06912</v>
      </c>
      <c r="AF40" s="18">
        <f>AF30-AF32</f>
        <v>159</v>
      </c>
      <c r="AG40" s="1">
        <v>911829</v>
      </c>
      <c r="AH40" s="15">
        <v>63026</v>
      </c>
      <c r="AI40" s="6">
        <f>AE40</f>
        <v>0.06912</v>
      </c>
      <c r="AJ40" s="18">
        <f>AJ30-AJ32</f>
        <v>165</v>
      </c>
      <c r="AK40" s="1">
        <v>987483</v>
      </c>
      <c r="AL40" s="15">
        <v>68255</v>
      </c>
      <c r="AM40" s="19">
        <f>AI40</f>
        <v>0.06912</v>
      </c>
      <c r="AN40" s="18">
        <f>AN30-AN32</f>
        <v>162</v>
      </c>
      <c r="AO40" s="5">
        <v>1130791</v>
      </c>
      <c r="AP40" s="15">
        <f>78164-14</f>
        <v>78150</v>
      </c>
      <c r="AQ40" s="6">
        <f>AM40</f>
        <v>0.06912</v>
      </c>
      <c r="AR40" s="18">
        <f>AR30-AR32</f>
        <v>162</v>
      </c>
      <c r="AS40" s="5">
        <v>1283524</v>
      </c>
      <c r="AT40" s="15">
        <f>88717+11</f>
        <v>88728</v>
      </c>
      <c r="AU40" s="6">
        <f>AQ40</f>
        <v>0.06912</v>
      </c>
      <c r="AV40" s="18">
        <f>AV30-AV32</f>
        <v>161</v>
      </c>
      <c r="AW40" s="1">
        <v>1289998</v>
      </c>
      <c r="AX40" s="15">
        <v>89165</v>
      </c>
      <c r="AY40" s="1">
        <f>AU40</f>
        <v>0.06912</v>
      </c>
      <c r="AZ40" s="16">
        <f>C40+G40+K40+P40+T40+X40+AB40+AF40+AJ40+AN40+AR40+AV40</f>
        <v>1863</v>
      </c>
      <c r="BA40" s="16">
        <f>D40+H40+M40+Q40+U40+Y40+AC40+AG40+AK40+AO40+AS40+AW40</f>
        <v>12626083</v>
      </c>
      <c r="BB40" s="16">
        <f>E40+I40+N40+R40+V40+Z40+AD40+AH40+AL40+AP40+AT40+AX40</f>
        <v>872729</v>
      </c>
    </row>
    <row r="41" spans="1:54" ht="12.75">
      <c r="A41" s="1" t="s">
        <v>11</v>
      </c>
      <c r="B41" s="1"/>
      <c r="C41" s="1"/>
      <c r="D41" s="1"/>
      <c r="E41" s="15">
        <v>6264</v>
      </c>
      <c r="F41" s="6"/>
      <c r="G41" s="5"/>
      <c r="H41" s="1"/>
      <c r="I41" s="21">
        <v>11401.57</v>
      </c>
      <c r="J41" s="6"/>
      <c r="K41" s="5"/>
      <c r="L41" s="5"/>
      <c r="M41" s="1"/>
      <c r="N41" s="21">
        <v>10194.9</v>
      </c>
      <c r="O41" s="6"/>
      <c r="P41" s="5"/>
      <c r="Q41" s="1"/>
      <c r="R41" s="21">
        <v>10426.96</v>
      </c>
      <c r="S41" s="6"/>
      <c r="T41" s="5"/>
      <c r="U41" s="1"/>
      <c r="V41" s="21">
        <v>4410.82</v>
      </c>
      <c r="W41" s="6"/>
      <c r="X41" s="5"/>
      <c r="Y41" s="1"/>
      <c r="Z41" s="21">
        <v>10585.03</v>
      </c>
      <c r="AA41" s="6"/>
      <c r="AB41" s="5"/>
      <c r="AC41" s="1"/>
      <c r="AD41" s="21">
        <v>8724.28</v>
      </c>
      <c r="AE41" s="6"/>
      <c r="AF41" s="5"/>
      <c r="AG41" s="1"/>
      <c r="AH41" s="21">
        <v>6819.58</v>
      </c>
      <c r="AI41" s="6"/>
      <c r="AJ41" s="5"/>
      <c r="AK41" s="1"/>
      <c r="AL41" s="21">
        <v>8357.99</v>
      </c>
      <c r="AM41" s="6"/>
      <c r="AN41" s="5"/>
      <c r="AO41" s="1"/>
      <c r="AP41" s="21">
        <v>11286.44</v>
      </c>
      <c r="AQ41" s="6"/>
      <c r="AR41" s="5"/>
      <c r="AS41" s="1"/>
      <c r="AT41" s="21">
        <v>9736.86</v>
      </c>
      <c r="AU41" s="6"/>
      <c r="AV41" s="5"/>
      <c r="AW41" s="1"/>
      <c r="AX41" s="21">
        <v>4944.59</v>
      </c>
      <c r="AY41" s="1"/>
      <c r="AZ41" s="1"/>
      <c r="BA41" s="1"/>
      <c r="BB41" s="16">
        <f>E41+I41+N41+R41+V41+Z41+AD41+AH41+AL41+AP41+AT41+AX41</f>
        <v>103153.02</v>
      </c>
    </row>
    <row r="42" spans="1:54" ht="12.75">
      <c r="A42" s="1" t="s">
        <v>61</v>
      </c>
      <c r="B42" s="1"/>
      <c r="C42" s="1"/>
      <c r="D42" s="1"/>
      <c r="E42" s="15">
        <f>(6264/(6003+6264))*16138.87</f>
        <v>8241.125106382979</v>
      </c>
      <c r="F42" s="6"/>
      <c r="G42" s="5"/>
      <c r="H42" s="1"/>
      <c r="I42" s="21">
        <v>6973.57</v>
      </c>
      <c r="J42" s="6"/>
      <c r="K42" s="5"/>
      <c r="L42" s="5"/>
      <c r="M42" s="1"/>
      <c r="N42" s="21">
        <v>6192.31</v>
      </c>
      <c r="O42" s="6"/>
      <c r="P42" s="5"/>
      <c r="Q42" s="1"/>
      <c r="R42" s="21">
        <v>8013.52</v>
      </c>
      <c r="S42" s="6"/>
      <c r="T42" s="5"/>
      <c r="U42" s="1"/>
      <c r="V42" s="21">
        <v>3640.86</v>
      </c>
      <c r="W42" s="6"/>
      <c r="X42" s="5"/>
      <c r="Y42" s="1"/>
      <c r="Z42" s="21">
        <v>5245.6</v>
      </c>
      <c r="AA42" s="6"/>
      <c r="AB42" s="5"/>
      <c r="AC42" s="1"/>
      <c r="AD42" s="21">
        <v>5719.75</v>
      </c>
      <c r="AE42" s="6"/>
      <c r="AF42" s="5"/>
      <c r="AG42" s="1"/>
      <c r="AH42" s="21">
        <v>5628.44</v>
      </c>
      <c r="AI42" s="6"/>
      <c r="AJ42" s="5"/>
      <c r="AK42" s="1"/>
      <c r="AL42" s="21">
        <v>5955.39</v>
      </c>
      <c r="AM42" s="6"/>
      <c r="AN42" s="5"/>
      <c r="AO42" s="1"/>
      <c r="AP42" s="21">
        <v>7446.72</v>
      </c>
      <c r="AQ42" s="6"/>
      <c r="AR42" s="5"/>
      <c r="AS42" s="1"/>
      <c r="AT42" s="21">
        <v>8699.83</v>
      </c>
      <c r="AU42" s="6"/>
      <c r="AV42" s="5"/>
      <c r="AW42" s="1"/>
      <c r="AX42" s="21">
        <v>10551.23</v>
      </c>
      <c r="AY42" s="1"/>
      <c r="AZ42" s="1"/>
      <c r="BA42" s="1"/>
      <c r="BB42" s="16">
        <f>E42+I42+N42+R42+V42+Z42+AD42+AH42+AL42+AP42+AT42+AX42</f>
        <v>82308.34510638297</v>
      </c>
    </row>
    <row r="43" spans="1:54" ht="12.75">
      <c r="A43" s="1" t="s">
        <v>12</v>
      </c>
      <c r="B43" s="1"/>
      <c r="C43" s="24">
        <f>126449.33+100549.03</f>
        <v>226998.36</v>
      </c>
      <c r="D43" s="24">
        <f>E35+E43</f>
        <v>226997.69</v>
      </c>
      <c r="E43" s="21">
        <f>SUM(E38:E42)</f>
        <v>108789.94510638299</v>
      </c>
      <c r="F43" s="6"/>
      <c r="G43" s="5"/>
      <c r="H43" s="21"/>
      <c r="I43" s="21">
        <f>SUM(I38:I42)</f>
        <v>100537.58000000002</v>
      </c>
      <c r="J43" s="6"/>
      <c r="K43" s="24">
        <f>129871.47+88478.06</f>
        <v>218349.53</v>
      </c>
      <c r="L43" s="24"/>
      <c r="M43" s="25">
        <f>N35+N43</f>
        <v>218338.75</v>
      </c>
      <c r="N43" s="21">
        <f>SUM(N38:N42)</f>
        <v>94659.59</v>
      </c>
      <c r="O43" s="6"/>
      <c r="P43" s="24">
        <f>140427.58+99102.84</f>
        <v>239530.41999999998</v>
      </c>
      <c r="Q43" s="25">
        <f>R35+R43</f>
        <v>239530.08000000002</v>
      </c>
      <c r="R43" s="21">
        <f>SUM(R38:R42)</f>
        <v>107116.02</v>
      </c>
      <c r="S43" s="6"/>
      <c r="T43" s="24">
        <f>118106.8+84780.57</f>
        <v>202887.37</v>
      </c>
      <c r="U43" s="25">
        <f>V35+V43</f>
        <v>202887.02000000002</v>
      </c>
      <c r="V43" s="21">
        <f>SUM(V38:V42)</f>
        <v>88421.08</v>
      </c>
      <c r="W43" s="6"/>
      <c r="X43" s="24">
        <f>126885.24+90547.42</f>
        <v>217432.66</v>
      </c>
      <c r="Y43" s="25">
        <f>Z35+Z43</f>
        <v>217432.96000000002</v>
      </c>
      <c r="Z43" s="21">
        <f>SUM(Z38:Z42)</f>
        <v>95793.32</v>
      </c>
      <c r="AA43" s="6"/>
      <c r="AB43" s="5"/>
      <c r="AC43" s="1"/>
      <c r="AD43" s="21">
        <f>SUM(AD38:AD42)</f>
        <v>95443.94</v>
      </c>
      <c r="AE43" s="6"/>
      <c r="AF43" s="5">
        <f>116975.85+85328.44</f>
        <v>202304.29</v>
      </c>
      <c r="AG43" s="21">
        <f>AH35+AH43</f>
        <v>202303.73</v>
      </c>
      <c r="AH43" s="21">
        <f>SUM(AH38:AH42)</f>
        <v>90956.32</v>
      </c>
      <c r="AI43" s="6"/>
      <c r="AJ43" s="24">
        <f>119240.86+92921.97</f>
        <v>212162.83000000002</v>
      </c>
      <c r="AK43" s="25">
        <f>AL35+AL43</f>
        <v>212162.96000000002</v>
      </c>
      <c r="AL43" s="21">
        <f>SUM(AL38:AL42)</f>
        <v>98877.49</v>
      </c>
      <c r="AM43" s="6"/>
      <c r="AN43" s="5">
        <f>134241.01+105501.54</f>
        <v>239742.55</v>
      </c>
      <c r="AO43" s="21">
        <f>AP35+AP43</f>
        <v>239743.02000000002</v>
      </c>
      <c r="AP43" s="21">
        <f>SUM(AP38:AP42)</f>
        <v>112948.73000000001</v>
      </c>
      <c r="AQ43" s="6"/>
      <c r="AR43" s="24">
        <f>156096.62+115090.39</f>
        <v>271187.01</v>
      </c>
      <c r="AS43" s="25">
        <f>AT35+AT43</f>
        <v>271187.25</v>
      </c>
      <c r="AT43" s="21">
        <f>SUM(AT38:AT42)</f>
        <v>123790.46</v>
      </c>
      <c r="AU43" s="6"/>
      <c r="AV43" s="24">
        <f>143908.65+110899.31</f>
        <v>254807.96</v>
      </c>
      <c r="AW43" s="25">
        <f>AX35+AX43</f>
        <v>254808.27999999997</v>
      </c>
      <c r="AX43" s="21">
        <f>SUM(AX38:AX42)</f>
        <v>121450.86</v>
      </c>
      <c r="AY43" s="1"/>
      <c r="AZ43" s="1"/>
      <c r="BA43" s="1"/>
      <c r="BB43" s="20">
        <f>SUM(BB39:BB42)</f>
        <v>1067873.985106383</v>
      </c>
    </row>
    <row r="44" spans="1:54" ht="12.75">
      <c r="A44" s="1"/>
      <c r="B44" s="9" t="s">
        <v>3</v>
      </c>
      <c r="C44" s="9" t="s">
        <v>6</v>
      </c>
      <c r="D44" s="9" t="s">
        <v>4</v>
      </c>
      <c r="E44" s="9" t="s">
        <v>5</v>
      </c>
      <c r="F44" s="10" t="s">
        <v>3</v>
      </c>
      <c r="G44" s="11" t="s">
        <v>6</v>
      </c>
      <c r="H44" s="9" t="s">
        <v>4</v>
      </c>
      <c r="I44" s="9" t="s">
        <v>5</v>
      </c>
      <c r="J44" s="10" t="s">
        <v>3</v>
      </c>
      <c r="K44" s="11" t="s">
        <v>6</v>
      </c>
      <c r="L44" s="11"/>
      <c r="M44" s="9" t="s">
        <v>4</v>
      </c>
      <c r="N44" s="9" t="s">
        <v>5</v>
      </c>
      <c r="O44" s="10" t="s">
        <v>3</v>
      </c>
      <c r="P44" s="11" t="s">
        <v>6</v>
      </c>
      <c r="Q44" s="9" t="s">
        <v>4</v>
      </c>
      <c r="R44" s="9" t="s">
        <v>5</v>
      </c>
      <c r="S44" s="10" t="s">
        <v>3</v>
      </c>
      <c r="T44" s="11" t="s">
        <v>6</v>
      </c>
      <c r="U44" s="9" t="s">
        <v>4</v>
      </c>
      <c r="V44" s="9" t="s">
        <v>5</v>
      </c>
      <c r="W44" s="10" t="s">
        <v>3</v>
      </c>
      <c r="X44" s="11" t="s">
        <v>6</v>
      </c>
      <c r="Y44" s="9" t="s">
        <v>4</v>
      </c>
      <c r="Z44" s="9" t="s">
        <v>5</v>
      </c>
      <c r="AA44" s="10" t="s">
        <v>3</v>
      </c>
      <c r="AB44" s="11" t="s">
        <v>6</v>
      </c>
      <c r="AC44" s="9" t="s">
        <v>4</v>
      </c>
      <c r="AD44" s="9" t="s">
        <v>5</v>
      </c>
      <c r="AE44" s="10" t="s">
        <v>3</v>
      </c>
      <c r="AF44" s="5"/>
      <c r="AG44" s="9" t="s">
        <v>4</v>
      </c>
      <c r="AH44" s="9" t="s">
        <v>5</v>
      </c>
      <c r="AI44" s="10" t="s">
        <v>3</v>
      </c>
      <c r="AJ44" s="11" t="s">
        <v>6</v>
      </c>
      <c r="AK44" s="9" t="s">
        <v>4</v>
      </c>
      <c r="AL44" s="9" t="s">
        <v>5</v>
      </c>
      <c r="AM44" s="10" t="s">
        <v>3</v>
      </c>
      <c r="AN44" s="11" t="s">
        <v>6</v>
      </c>
      <c r="AO44" s="9" t="s">
        <v>4</v>
      </c>
      <c r="AP44" s="9" t="s">
        <v>5</v>
      </c>
      <c r="AQ44" s="10" t="s">
        <v>3</v>
      </c>
      <c r="AR44" s="11" t="s">
        <v>6</v>
      </c>
      <c r="AS44" s="9" t="s">
        <v>4</v>
      </c>
      <c r="AT44" s="9" t="s">
        <v>5</v>
      </c>
      <c r="AU44" s="10" t="s">
        <v>3</v>
      </c>
      <c r="AV44" s="11" t="s">
        <v>6</v>
      </c>
      <c r="AW44" s="9" t="s">
        <v>4</v>
      </c>
      <c r="AX44" s="9" t="s">
        <v>5</v>
      </c>
      <c r="AY44" s="9" t="s">
        <v>3</v>
      </c>
      <c r="AZ44" s="9" t="s">
        <v>6</v>
      </c>
      <c r="BA44" s="9" t="s">
        <v>4</v>
      </c>
      <c r="BB44" s="9" t="s">
        <v>5</v>
      </c>
    </row>
    <row r="45" spans="1:54" ht="12.75">
      <c r="A45" s="1" t="s">
        <v>20</v>
      </c>
      <c r="B45" s="1"/>
      <c r="C45" s="1"/>
      <c r="D45" s="1"/>
      <c r="E45" s="1"/>
      <c r="F45" s="6"/>
      <c r="G45" s="5"/>
      <c r="H45" s="1"/>
      <c r="I45" s="1"/>
      <c r="J45" s="6"/>
      <c r="K45" s="5"/>
      <c r="L45" s="5"/>
      <c r="M45" s="1"/>
      <c r="N45" s="1"/>
      <c r="O45" s="6"/>
      <c r="P45" s="5"/>
      <c r="Q45" s="1"/>
      <c r="R45" s="1"/>
      <c r="S45" s="6"/>
      <c r="T45" s="5"/>
      <c r="U45" s="1"/>
      <c r="V45" s="1"/>
      <c r="W45" s="6"/>
      <c r="X45" s="5"/>
      <c r="Y45" s="1"/>
      <c r="Z45" s="1"/>
      <c r="AA45" s="6"/>
      <c r="AB45" s="5"/>
      <c r="AC45" s="1"/>
      <c r="AD45" s="1"/>
      <c r="AE45" s="6"/>
      <c r="AF45" s="5"/>
      <c r="AG45" s="1"/>
      <c r="AH45" s="1"/>
      <c r="AI45" s="6"/>
      <c r="AJ45" s="5"/>
      <c r="AK45" s="1"/>
      <c r="AL45" s="1"/>
      <c r="AM45" s="6"/>
      <c r="AN45" s="5"/>
      <c r="AO45" s="1"/>
      <c r="AP45" s="1"/>
      <c r="AQ45" s="6"/>
      <c r="AR45" s="5"/>
      <c r="AS45" s="1"/>
      <c r="AT45" s="1"/>
      <c r="AU45" s="6"/>
      <c r="AV45" s="5"/>
      <c r="AW45" s="1"/>
      <c r="AX45" s="1"/>
      <c r="AY45" s="1"/>
      <c r="AZ45" s="1"/>
      <c r="BA45" s="1"/>
      <c r="BB45" s="1"/>
    </row>
    <row r="46" spans="1:54" ht="12.75">
      <c r="A46" s="1" t="s">
        <v>8</v>
      </c>
      <c r="B46" s="1">
        <v>5.4</v>
      </c>
      <c r="C46" s="1"/>
      <c r="D46" s="1"/>
      <c r="E46" s="21">
        <v>104478.79</v>
      </c>
      <c r="F46" s="6">
        <f>B46</f>
        <v>5.4</v>
      </c>
      <c r="G46" s="5"/>
      <c r="H46" s="1"/>
      <c r="I46" s="15">
        <v>102345.4</v>
      </c>
      <c r="J46" s="6">
        <f>F46</f>
        <v>5.4</v>
      </c>
      <c r="K46" s="5"/>
      <c r="L46" s="5"/>
      <c r="M46" s="1"/>
      <c r="N46" s="15">
        <v>98013.08</v>
      </c>
      <c r="O46" s="6">
        <f>J46</f>
        <v>5.4</v>
      </c>
      <c r="P46" s="5"/>
      <c r="Q46" s="1"/>
      <c r="R46" s="15">
        <v>89081.05</v>
      </c>
      <c r="S46" s="6">
        <f>O46</f>
        <v>5.4</v>
      </c>
      <c r="T46" s="5"/>
      <c r="U46" s="1"/>
      <c r="V46" s="15">
        <v>74672.09</v>
      </c>
      <c r="W46" s="6">
        <f>S46</f>
        <v>5.4</v>
      </c>
      <c r="X46" s="5"/>
      <c r="Y46" s="1"/>
      <c r="Z46" s="15">
        <v>79077.28</v>
      </c>
      <c r="AA46" s="6">
        <f>W46</f>
        <v>5.4</v>
      </c>
      <c r="AB46" s="5"/>
      <c r="AC46" s="1"/>
      <c r="AD46" s="15">
        <v>83166.3</v>
      </c>
      <c r="AE46" s="6">
        <f>AA46</f>
        <v>5.4</v>
      </c>
      <c r="AF46" s="5"/>
      <c r="AG46" s="1"/>
      <c r="AH46" s="15">
        <v>88044.69</v>
      </c>
      <c r="AI46" s="6">
        <f>AE46</f>
        <v>5.4</v>
      </c>
      <c r="AJ46" s="5"/>
      <c r="AK46" s="1"/>
      <c r="AL46" s="15">
        <v>92638.96</v>
      </c>
      <c r="AM46" s="6">
        <f>AI46</f>
        <v>5.4</v>
      </c>
      <c r="AN46" s="5"/>
      <c r="AO46" s="1"/>
      <c r="AP46" s="15">
        <v>91303.01</v>
      </c>
      <c r="AQ46" s="6">
        <f>AM46</f>
        <v>5.4</v>
      </c>
      <c r="AR46" s="5"/>
      <c r="AS46" s="1"/>
      <c r="AT46" s="15">
        <v>96610.06</v>
      </c>
      <c r="AU46" s="6">
        <f>AQ46</f>
        <v>5.4</v>
      </c>
      <c r="AV46" s="5"/>
      <c r="AW46" s="1"/>
      <c r="AX46" s="15">
        <v>101573.01</v>
      </c>
      <c r="AY46" s="1">
        <f>AU46</f>
        <v>5.4</v>
      </c>
      <c r="AZ46" s="1"/>
      <c r="BA46" s="1"/>
      <c r="BB46" s="16">
        <f>E46+I46+N46+R46+V46+Z46+AD46+AH46+AL46+AP46+AT46+AX46</f>
        <v>1101003.7200000002</v>
      </c>
    </row>
    <row r="47" spans="1:54" ht="12.75">
      <c r="A47" s="1" t="s">
        <v>9</v>
      </c>
      <c r="B47" s="1">
        <v>0.05126</v>
      </c>
      <c r="C47" s="16">
        <v>117</v>
      </c>
      <c r="D47" s="16">
        <v>4929126</v>
      </c>
      <c r="E47" s="15">
        <v>255745</v>
      </c>
      <c r="F47" s="6">
        <f>B47</f>
        <v>0.05126</v>
      </c>
      <c r="G47" s="18">
        <v>116</v>
      </c>
      <c r="H47" s="5">
        <v>4645898</v>
      </c>
      <c r="I47" s="15">
        <v>241359</v>
      </c>
      <c r="J47" s="6">
        <f>F47</f>
        <v>0.05126</v>
      </c>
      <c r="K47" s="18">
        <v>115</v>
      </c>
      <c r="L47" s="18"/>
      <c r="M47" s="5">
        <v>4469431</v>
      </c>
      <c r="N47" s="15">
        <v>232718</v>
      </c>
      <c r="O47" s="6">
        <f>J47</f>
        <v>0.05126</v>
      </c>
      <c r="P47" s="18">
        <v>113</v>
      </c>
      <c r="Q47" s="5">
        <v>4681023</v>
      </c>
      <c r="R47" s="15">
        <v>244162</v>
      </c>
      <c r="S47" s="6">
        <f>O47</f>
        <v>0.05126</v>
      </c>
      <c r="T47" s="18">
        <v>114</v>
      </c>
      <c r="U47" s="5">
        <v>4119572</v>
      </c>
      <c r="V47" s="15">
        <v>216169</v>
      </c>
      <c r="W47" s="6">
        <f>S47</f>
        <v>0.05126</v>
      </c>
      <c r="X47" s="18">
        <v>115</v>
      </c>
      <c r="Y47" s="5">
        <v>3998184</v>
      </c>
      <c r="Z47" s="15">
        <v>210190</v>
      </c>
      <c r="AA47" s="6">
        <f>W47</f>
        <v>0.05126</v>
      </c>
      <c r="AB47" s="18">
        <v>114</v>
      </c>
      <c r="AC47" s="5">
        <v>4266819</v>
      </c>
      <c r="AD47" s="15">
        <v>223329</v>
      </c>
      <c r="AE47" s="6">
        <f>AA47</f>
        <v>0.05126</v>
      </c>
      <c r="AF47" s="18">
        <v>114</v>
      </c>
      <c r="AG47" s="5">
        <v>4154927</v>
      </c>
      <c r="AH47" s="15">
        <v>216510</v>
      </c>
      <c r="AI47" s="6">
        <f>AE47</f>
        <v>0.05126</v>
      </c>
      <c r="AJ47" s="18">
        <v>114</v>
      </c>
      <c r="AK47" s="5">
        <v>4250433</v>
      </c>
      <c r="AL47" s="15">
        <v>221869</v>
      </c>
      <c r="AM47" s="19">
        <f>AI47</f>
        <v>0.05126</v>
      </c>
      <c r="AN47" s="18">
        <v>115</v>
      </c>
      <c r="AO47" s="5">
        <v>4696695</v>
      </c>
      <c r="AP47" s="15">
        <v>245085</v>
      </c>
      <c r="AQ47" s="6">
        <f>AM47</f>
        <v>0.05126</v>
      </c>
      <c r="AR47" s="18">
        <v>115</v>
      </c>
      <c r="AS47" s="5">
        <v>4983910</v>
      </c>
      <c r="AT47" s="15">
        <v>258709</v>
      </c>
      <c r="AU47" s="6">
        <f>AQ47</f>
        <v>0.05126</v>
      </c>
      <c r="AV47" s="18">
        <v>115</v>
      </c>
      <c r="AW47" s="5">
        <v>5572904</v>
      </c>
      <c r="AX47" s="15">
        <v>288264</v>
      </c>
      <c r="AY47" s="1">
        <f>AU47</f>
        <v>0.05126</v>
      </c>
      <c r="AZ47" s="16">
        <f>C47+G47+K47+P47+T47+X47+AB47+AF47+AJ47+AN47+AR47+AV47</f>
        <v>1377</v>
      </c>
      <c r="BA47" s="16">
        <f>D47+H47+M47+Q47+U47+Y47+AC47+AG47+AK47+AO47+AS47+AW47</f>
        <v>54768922</v>
      </c>
      <c r="BB47" s="16">
        <f>E47+I47+N47+R47+V47+Z47+AD47+AH47+AL47+AP47+AT47+AX47</f>
        <v>2854109</v>
      </c>
    </row>
    <row r="48" spans="1:54" ht="12.75">
      <c r="A48" s="1" t="s">
        <v>11</v>
      </c>
      <c r="B48" s="1"/>
      <c r="C48" s="1"/>
      <c r="D48" s="1"/>
      <c r="E48" s="15">
        <v>26893</v>
      </c>
      <c r="F48" s="6"/>
      <c r="G48" s="5"/>
      <c r="H48" s="1"/>
      <c r="I48" s="15">
        <v>54830.87</v>
      </c>
      <c r="J48" s="6"/>
      <c r="K48" s="5"/>
      <c r="L48" s="5"/>
      <c r="M48" s="1"/>
      <c r="N48" s="15">
        <v>49378.28</v>
      </c>
      <c r="O48" s="6"/>
      <c r="P48" s="5"/>
      <c r="Q48" s="1"/>
      <c r="R48" s="15">
        <v>45059.56</v>
      </c>
      <c r="S48" s="6"/>
      <c r="T48" s="5"/>
      <c r="U48" s="1"/>
      <c r="V48" s="15">
        <v>18566.93</v>
      </c>
      <c r="W48" s="6"/>
      <c r="X48" s="5"/>
      <c r="Y48" s="1"/>
      <c r="Z48" s="15">
        <v>44203.91</v>
      </c>
      <c r="AA48" s="6"/>
      <c r="AB48" s="5"/>
      <c r="AC48" s="1"/>
      <c r="AD48" s="15">
        <v>38525.15</v>
      </c>
      <c r="AE48" s="6"/>
      <c r="AF48" s="5"/>
      <c r="AG48" s="1"/>
      <c r="AH48" s="15">
        <v>31074.69</v>
      </c>
      <c r="AI48" s="6"/>
      <c r="AJ48" s="5"/>
      <c r="AK48" s="1"/>
      <c r="AL48" s="15">
        <v>35968.89</v>
      </c>
      <c r="AM48" s="6"/>
      <c r="AN48" s="5"/>
      <c r="AO48" s="1"/>
      <c r="AP48" s="15">
        <v>46885.69</v>
      </c>
      <c r="AQ48" s="6"/>
      <c r="AR48" s="5"/>
      <c r="AS48" s="1"/>
      <c r="AT48" s="15">
        <v>37807.97</v>
      </c>
      <c r="AU48" s="6"/>
      <c r="AV48" s="5"/>
      <c r="AW48" s="1"/>
      <c r="AX48" s="15">
        <v>21360.93</v>
      </c>
      <c r="AY48" s="1"/>
      <c r="AZ48" s="1"/>
      <c r="BA48" s="1"/>
      <c r="BB48" s="16">
        <f>E48+I48+N48+R48+V48+Z48+AD48+AH48+AL48+AP48+AT48+AX48</f>
        <v>450555.87000000005</v>
      </c>
    </row>
    <row r="49" spans="1:54" ht="12.75">
      <c r="A49" s="1" t="s">
        <v>61</v>
      </c>
      <c r="B49" s="1"/>
      <c r="C49" s="1"/>
      <c r="D49" s="1"/>
      <c r="E49" s="15">
        <v>29166.11</v>
      </c>
      <c r="F49" s="6"/>
      <c r="G49" s="5"/>
      <c r="H49" s="1"/>
      <c r="I49" s="21">
        <v>27512.32</v>
      </c>
      <c r="J49" s="6"/>
      <c r="K49" s="5"/>
      <c r="L49" s="5"/>
      <c r="M49" s="1"/>
      <c r="N49" s="21">
        <v>24717.81</v>
      </c>
      <c r="O49" s="6"/>
      <c r="P49" s="5"/>
      <c r="Q49" s="1"/>
      <c r="R49" s="21">
        <v>26264.18</v>
      </c>
      <c r="S49" s="6"/>
      <c r="T49" s="5"/>
      <c r="U49" s="1"/>
      <c r="V49" s="21">
        <v>12111.75</v>
      </c>
      <c r="W49" s="6"/>
      <c r="X49" s="5"/>
      <c r="Y49" s="1"/>
      <c r="Z49" s="21">
        <v>17807.22</v>
      </c>
      <c r="AA49" s="6"/>
      <c r="AB49" s="5"/>
      <c r="AC49" s="1"/>
      <c r="AD49" s="21">
        <v>20186.34</v>
      </c>
      <c r="AE49" s="6"/>
      <c r="AF49" s="5"/>
      <c r="AG49" s="1"/>
      <c r="AH49" s="21">
        <v>20580.17</v>
      </c>
      <c r="AI49" s="6"/>
      <c r="AJ49" s="5"/>
      <c r="AK49" s="1"/>
      <c r="AL49" s="21">
        <v>20926.05</v>
      </c>
      <c r="AM49" s="6"/>
      <c r="AN49" s="5"/>
      <c r="AO49" s="1"/>
      <c r="AP49" s="21">
        <v>25147.38</v>
      </c>
      <c r="AQ49" s="6"/>
      <c r="AR49" s="5"/>
      <c r="AS49" s="1"/>
      <c r="AT49" s="21">
        <v>27524.78</v>
      </c>
      <c r="AU49" s="6"/>
      <c r="AV49" s="5"/>
      <c r="AW49" s="1"/>
      <c r="AX49" s="21">
        <v>35957.46</v>
      </c>
      <c r="AY49" s="1"/>
      <c r="AZ49" s="1"/>
      <c r="BA49" s="1"/>
      <c r="BB49" s="16">
        <f>E49+I49+N49+R49+V49+Z49+AD49+AH49+AL49+AP49+AT49+AX49</f>
        <v>287901.57</v>
      </c>
    </row>
    <row r="50" spans="1:54" ht="12.75">
      <c r="A50" s="1" t="s">
        <v>12</v>
      </c>
      <c r="B50" s="1"/>
      <c r="C50" s="1"/>
      <c r="D50" s="1"/>
      <c r="E50" s="21">
        <f>SUM(E46:E49)</f>
        <v>416282.89999999997</v>
      </c>
      <c r="F50" s="6"/>
      <c r="G50" s="5"/>
      <c r="H50" s="1"/>
      <c r="I50" s="21">
        <f>SUM(I46:I49)</f>
        <v>426047.59</v>
      </c>
      <c r="J50" s="6"/>
      <c r="K50" s="5"/>
      <c r="L50" s="5"/>
      <c r="M50" s="1"/>
      <c r="N50" s="21">
        <f>SUM(N46:N49)</f>
        <v>404827.17</v>
      </c>
      <c r="O50" s="6"/>
      <c r="P50" s="5"/>
      <c r="Q50" s="1"/>
      <c r="R50" s="21">
        <f>SUM(R46:R49)</f>
        <v>404566.79</v>
      </c>
      <c r="S50" s="6"/>
      <c r="T50" s="5"/>
      <c r="U50" s="1"/>
      <c r="V50" s="21">
        <f>SUM(V46:V49)</f>
        <v>321519.76999999996</v>
      </c>
      <c r="W50" s="6"/>
      <c r="X50" s="5"/>
      <c r="Y50" s="1"/>
      <c r="Z50" s="21">
        <f>SUM(Z46:Z49)</f>
        <v>351278.41000000003</v>
      </c>
      <c r="AA50" s="6"/>
      <c r="AB50" s="5"/>
      <c r="AC50" s="1"/>
      <c r="AD50" s="21">
        <f>SUM(AD46:AD49)</f>
        <v>365206.79000000004</v>
      </c>
      <c r="AE50" s="6"/>
      <c r="AF50" s="5"/>
      <c r="AG50" s="1"/>
      <c r="AH50" s="21">
        <f>SUM(AH46:AH49)</f>
        <v>356209.55</v>
      </c>
      <c r="AI50" s="6"/>
      <c r="AJ50" s="5"/>
      <c r="AK50" s="1"/>
      <c r="AL50" s="21">
        <f>SUM(AL46:AL49)</f>
        <v>371402.9</v>
      </c>
      <c r="AM50" s="6"/>
      <c r="AN50" s="5"/>
      <c r="AO50" s="1"/>
      <c r="AP50" s="21">
        <f>SUM(AP46:AP49)</f>
        <v>408421.08</v>
      </c>
      <c r="AQ50" s="6"/>
      <c r="AR50" s="5"/>
      <c r="AS50" s="1"/>
      <c r="AT50" s="21">
        <f>SUM(AT46:AT49)</f>
        <v>420651.81000000006</v>
      </c>
      <c r="AU50" s="6"/>
      <c r="AV50" s="5"/>
      <c r="AW50" s="1"/>
      <c r="AX50" s="21">
        <f>SUM(AX46:AX49)</f>
        <v>447155.4</v>
      </c>
      <c r="AY50" s="1"/>
      <c r="AZ50" s="1"/>
      <c r="BA50" s="1"/>
      <c r="BB50" s="20">
        <f>SUM(BB46:BB49)</f>
        <v>4693570.16</v>
      </c>
    </row>
    <row r="51" spans="1:54" ht="12.75">
      <c r="A51" s="1"/>
      <c r="B51" s="9" t="s">
        <v>3</v>
      </c>
      <c r="C51" s="9" t="s">
        <v>6</v>
      </c>
      <c r="D51" s="9" t="s">
        <v>4</v>
      </c>
      <c r="E51" s="9" t="s">
        <v>5</v>
      </c>
      <c r="F51" s="10" t="s">
        <v>3</v>
      </c>
      <c r="G51" s="11" t="s">
        <v>6</v>
      </c>
      <c r="H51" s="9" t="s">
        <v>4</v>
      </c>
      <c r="I51" s="9" t="s">
        <v>5</v>
      </c>
      <c r="J51" s="10" t="s">
        <v>3</v>
      </c>
      <c r="K51" s="11" t="s">
        <v>6</v>
      </c>
      <c r="L51" s="11"/>
      <c r="M51" s="9" t="s">
        <v>4</v>
      </c>
      <c r="N51" s="9" t="s">
        <v>5</v>
      </c>
      <c r="O51" s="10" t="s">
        <v>3</v>
      </c>
      <c r="P51" s="11" t="s">
        <v>6</v>
      </c>
      <c r="Q51" s="9" t="s">
        <v>4</v>
      </c>
      <c r="R51" s="9" t="s">
        <v>5</v>
      </c>
      <c r="S51" s="10" t="s">
        <v>3</v>
      </c>
      <c r="T51" s="11" t="s">
        <v>6</v>
      </c>
      <c r="U51" s="9" t="s">
        <v>4</v>
      </c>
      <c r="V51" s="9" t="s">
        <v>5</v>
      </c>
      <c r="W51" s="10" t="s">
        <v>3</v>
      </c>
      <c r="X51" s="11" t="s">
        <v>6</v>
      </c>
      <c r="Y51" s="9" t="s">
        <v>4</v>
      </c>
      <c r="Z51" s="9" t="s">
        <v>5</v>
      </c>
      <c r="AA51" s="10" t="s">
        <v>3</v>
      </c>
      <c r="AB51" s="11" t="s">
        <v>6</v>
      </c>
      <c r="AC51" s="9" t="s">
        <v>4</v>
      </c>
      <c r="AD51" s="9" t="s">
        <v>5</v>
      </c>
      <c r="AE51" s="10" t="s">
        <v>3</v>
      </c>
      <c r="AF51" s="5"/>
      <c r="AG51" s="9" t="s">
        <v>4</v>
      </c>
      <c r="AH51" s="9" t="s">
        <v>5</v>
      </c>
      <c r="AI51" s="10" t="s">
        <v>3</v>
      </c>
      <c r="AJ51" s="11" t="s">
        <v>6</v>
      </c>
      <c r="AK51" s="9" t="s">
        <v>4</v>
      </c>
      <c r="AL51" s="9" t="s">
        <v>5</v>
      </c>
      <c r="AM51" s="10" t="s">
        <v>3</v>
      </c>
      <c r="AN51" s="11" t="s">
        <v>6</v>
      </c>
      <c r="AO51" s="9" t="s">
        <v>4</v>
      </c>
      <c r="AP51" s="9" t="s">
        <v>5</v>
      </c>
      <c r="AQ51" s="10" t="s">
        <v>3</v>
      </c>
      <c r="AR51" s="11" t="s">
        <v>6</v>
      </c>
      <c r="AS51" s="9" t="s">
        <v>4</v>
      </c>
      <c r="AT51" s="9" t="s">
        <v>5</v>
      </c>
      <c r="AU51" s="10" t="s">
        <v>3</v>
      </c>
      <c r="AV51" s="11" t="s">
        <v>6</v>
      </c>
      <c r="AW51" s="9" t="s">
        <v>4</v>
      </c>
      <c r="AX51" s="9" t="s">
        <v>5</v>
      </c>
      <c r="AY51" s="9" t="s">
        <v>3</v>
      </c>
      <c r="AZ51" s="9" t="s">
        <v>6</v>
      </c>
      <c r="BA51" s="9" t="s">
        <v>4</v>
      </c>
      <c r="BB51" s="9" t="s">
        <v>5</v>
      </c>
    </row>
    <row r="52" spans="1:54" ht="12.75">
      <c r="A52" s="1" t="s">
        <v>21</v>
      </c>
      <c r="B52" s="1"/>
      <c r="C52" s="1"/>
      <c r="D52" s="1"/>
      <c r="E52" s="1"/>
      <c r="F52" s="6"/>
      <c r="G52" s="5"/>
      <c r="H52" s="1"/>
      <c r="I52" s="1"/>
      <c r="J52" s="6"/>
      <c r="K52" s="5"/>
      <c r="L52" s="5"/>
      <c r="M52" s="1"/>
      <c r="N52" s="1"/>
      <c r="O52" s="6"/>
      <c r="P52" s="5"/>
      <c r="Q52" s="1"/>
      <c r="R52" s="1"/>
      <c r="S52" s="6"/>
      <c r="T52" s="5"/>
      <c r="U52" s="1"/>
      <c r="V52" s="1"/>
      <c r="W52" s="6"/>
      <c r="X52" s="5"/>
      <c r="Y52" s="1"/>
      <c r="Z52" s="1"/>
      <c r="AA52" s="6"/>
      <c r="AB52" s="5"/>
      <c r="AC52" s="1"/>
      <c r="AD52" s="1"/>
      <c r="AE52" s="6"/>
      <c r="AF52" s="5"/>
      <c r="AG52" s="1"/>
      <c r="AH52" s="1"/>
      <c r="AI52" s="6"/>
      <c r="AJ52" s="5"/>
      <c r="AK52" s="1"/>
      <c r="AL52" s="1"/>
      <c r="AM52" s="6"/>
      <c r="AN52" s="5"/>
      <c r="AO52" s="1"/>
      <c r="AP52" s="1"/>
      <c r="AQ52" s="6"/>
      <c r="AR52" s="5"/>
      <c r="AS52" s="1"/>
      <c r="AT52" s="1"/>
      <c r="AU52" s="6"/>
      <c r="AV52" s="5"/>
      <c r="AW52" s="1"/>
      <c r="AX52" s="1"/>
      <c r="AY52" s="1"/>
      <c r="AZ52" s="1"/>
      <c r="BA52" s="1"/>
      <c r="BB52" s="1"/>
    </row>
    <row r="53" spans="1:54" ht="12.75">
      <c r="A53" s="1" t="s">
        <v>8</v>
      </c>
      <c r="B53" s="1">
        <v>5.4</v>
      </c>
      <c r="C53" s="1"/>
      <c r="D53" s="1"/>
      <c r="E53" s="21">
        <v>12530.61</v>
      </c>
      <c r="F53" s="6">
        <f>B53</f>
        <v>5.4</v>
      </c>
      <c r="G53" s="5"/>
      <c r="H53" s="1"/>
      <c r="I53" s="15">
        <v>12605.9</v>
      </c>
      <c r="J53" s="6">
        <f>F53</f>
        <v>5.4</v>
      </c>
      <c r="K53" s="5"/>
      <c r="L53" s="5"/>
      <c r="M53" s="1"/>
      <c r="N53" s="15">
        <v>15400.11</v>
      </c>
      <c r="O53" s="6">
        <f>J53</f>
        <v>5.4</v>
      </c>
      <c r="P53" s="5"/>
      <c r="Q53" s="1"/>
      <c r="R53" s="15">
        <v>9282.23</v>
      </c>
      <c r="S53" s="6">
        <f>O53</f>
        <v>5.4</v>
      </c>
      <c r="T53" s="5"/>
      <c r="U53" s="1"/>
      <c r="V53" s="15">
        <v>14013.87</v>
      </c>
      <c r="W53" s="6">
        <f>S53</f>
        <v>5.4</v>
      </c>
      <c r="X53" s="5"/>
      <c r="Y53" s="1"/>
      <c r="Z53" s="15">
        <v>15186.42</v>
      </c>
      <c r="AA53" s="6">
        <f>W53</f>
        <v>5.4</v>
      </c>
      <c r="AB53" s="5"/>
      <c r="AC53" s="1"/>
      <c r="AD53" s="15">
        <v>15502.32</v>
      </c>
      <c r="AE53" s="6">
        <f>AA53</f>
        <v>5.4</v>
      </c>
      <c r="AF53" s="5"/>
      <c r="AG53" s="1"/>
      <c r="AH53" s="15">
        <v>10027.8</v>
      </c>
      <c r="AI53" s="6">
        <f>AE53</f>
        <v>5.4</v>
      </c>
      <c r="AJ53" s="5"/>
      <c r="AK53" s="1"/>
      <c r="AL53" s="15">
        <v>10403.1</v>
      </c>
      <c r="AM53" s="6">
        <f>AI53</f>
        <v>5.4</v>
      </c>
      <c r="AN53" s="5"/>
      <c r="AO53" s="1"/>
      <c r="AP53" s="15">
        <v>14359.68</v>
      </c>
      <c r="AQ53" s="6">
        <f>AM53</f>
        <v>5.4</v>
      </c>
      <c r="AR53" s="5"/>
      <c r="AS53" s="1"/>
      <c r="AT53" s="15">
        <v>12316.33</v>
      </c>
      <c r="AU53" s="6">
        <f>AQ53</f>
        <v>5.4</v>
      </c>
      <c r="AV53" s="5"/>
      <c r="AW53" s="1"/>
      <c r="AX53" s="15">
        <v>14491.12</v>
      </c>
      <c r="AY53" s="1">
        <f>AU53</f>
        <v>5.4</v>
      </c>
      <c r="AZ53" s="1"/>
      <c r="BA53" s="1"/>
      <c r="BB53" s="16">
        <f>E53+I53+N53+R53+V53+Z53+AD53+AH53+AL53+AP53+AT53+AX53</f>
        <v>156119.49000000002</v>
      </c>
    </row>
    <row r="54" spans="1:54" ht="12.75">
      <c r="A54" s="1" t="s">
        <v>9</v>
      </c>
      <c r="B54" s="1">
        <v>0.04312</v>
      </c>
      <c r="C54" s="16">
        <v>3</v>
      </c>
      <c r="D54" s="5">
        <v>801600</v>
      </c>
      <c r="E54" s="21">
        <v>34565</v>
      </c>
      <c r="F54" s="6">
        <f>B54</f>
        <v>0.04312</v>
      </c>
      <c r="G54" s="18">
        <v>3</v>
      </c>
      <c r="H54" s="5">
        <v>774300</v>
      </c>
      <c r="I54" s="15">
        <v>33388</v>
      </c>
      <c r="J54" s="6">
        <f>F54</f>
        <v>0.04312</v>
      </c>
      <c r="K54" s="18">
        <v>4</v>
      </c>
      <c r="L54" s="18"/>
      <c r="M54" s="5">
        <v>793700</v>
      </c>
      <c r="N54" s="15">
        <v>34224</v>
      </c>
      <c r="O54" s="6">
        <f>J54</f>
        <v>0.04312</v>
      </c>
      <c r="P54" s="18">
        <v>3</v>
      </c>
      <c r="Q54" s="5">
        <v>791900</v>
      </c>
      <c r="R54" s="15">
        <v>34147</v>
      </c>
      <c r="S54" s="6">
        <f>O54</f>
        <v>0.04312</v>
      </c>
      <c r="T54" s="18">
        <v>3</v>
      </c>
      <c r="U54" s="5">
        <v>1035000</v>
      </c>
      <c r="V54" s="15">
        <v>44629</v>
      </c>
      <c r="W54" s="6">
        <f>S54</f>
        <v>0.04312</v>
      </c>
      <c r="X54" s="18">
        <v>3</v>
      </c>
      <c r="Y54" s="5">
        <v>1001000</v>
      </c>
      <c r="Z54" s="15">
        <v>43163</v>
      </c>
      <c r="AA54" s="6">
        <f>W54</f>
        <v>0.04312</v>
      </c>
      <c r="AB54" s="18">
        <v>3</v>
      </c>
      <c r="AC54" s="5">
        <v>1142400</v>
      </c>
      <c r="AD54" s="15">
        <v>49260</v>
      </c>
      <c r="AE54" s="6">
        <f>AA54</f>
        <v>0.04312</v>
      </c>
      <c r="AF54" s="18">
        <v>2</v>
      </c>
      <c r="AG54" s="5">
        <v>509500</v>
      </c>
      <c r="AH54" s="15">
        <v>21970</v>
      </c>
      <c r="AI54" s="6">
        <f>AE54</f>
        <v>0.04312</v>
      </c>
      <c r="AJ54" s="18">
        <v>2</v>
      </c>
      <c r="AK54" s="5">
        <v>504700</v>
      </c>
      <c r="AL54" s="15">
        <v>21763</v>
      </c>
      <c r="AM54" s="19">
        <f>AI54</f>
        <v>0.04312</v>
      </c>
      <c r="AN54" s="18">
        <v>4</v>
      </c>
      <c r="AO54" s="5">
        <v>498500</v>
      </c>
      <c r="AP54" s="15">
        <v>21495</v>
      </c>
      <c r="AQ54" s="6">
        <f>AM54</f>
        <v>0.04312</v>
      </c>
      <c r="AR54" s="18">
        <v>4</v>
      </c>
      <c r="AS54" s="5">
        <v>527100</v>
      </c>
      <c r="AT54" s="15">
        <v>30441</v>
      </c>
      <c r="AU54" s="6">
        <f>AQ54</f>
        <v>0.04312</v>
      </c>
      <c r="AV54" s="18">
        <v>4</v>
      </c>
      <c r="AW54" s="5">
        <v>773200</v>
      </c>
      <c r="AX54" s="15">
        <v>39594</v>
      </c>
      <c r="AY54" s="1">
        <f>AU54</f>
        <v>0.04312</v>
      </c>
      <c r="AZ54" s="16">
        <f>C54+G54+K54+P54+T54+X54+AB54+AF54+AJ54+AN54+AR54+AV54</f>
        <v>38</v>
      </c>
      <c r="BA54" s="16">
        <f>D54+H54+M54+Q54+U54+Y54+AC54+AG54+AK54+AO54+AS54+AW54</f>
        <v>9152900</v>
      </c>
      <c r="BB54" s="16">
        <f>E54+I54+N54+R54+V54+Z54+AD54+AH54+AL54+AP54+AT54+AX54</f>
        <v>408639</v>
      </c>
    </row>
    <row r="55" spans="1:54" ht="12.75">
      <c r="A55" s="1" t="s">
        <v>11</v>
      </c>
      <c r="B55" s="1"/>
      <c r="C55" s="1"/>
      <c r="D55" s="1"/>
      <c r="E55" s="21">
        <v>4374</v>
      </c>
      <c r="F55" s="6"/>
      <c r="G55" s="5"/>
      <c r="H55" s="1"/>
      <c r="I55" s="15">
        <v>9138.29</v>
      </c>
      <c r="J55" s="6"/>
      <c r="K55" s="5"/>
      <c r="L55" s="5"/>
      <c r="M55" s="1"/>
      <c r="N55" s="15">
        <v>8768.8</v>
      </c>
      <c r="O55" s="6"/>
      <c r="P55" s="5"/>
      <c r="Q55" s="1"/>
      <c r="R55" s="15">
        <v>7622.83</v>
      </c>
      <c r="S55" s="6"/>
      <c r="T55" s="5"/>
      <c r="U55" s="1"/>
      <c r="V55" s="15">
        <v>4664.74</v>
      </c>
      <c r="W55" s="6"/>
      <c r="X55" s="5"/>
      <c r="Y55" s="1"/>
      <c r="Z55" s="15">
        <v>11067.06</v>
      </c>
      <c r="AA55" s="6"/>
      <c r="AB55" s="5"/>
      <c r="AC55" s="1"/>
      <c r="AD55" s="15">
        <v>10314.73</v>
      </c>
      <c r="AE55" s="6"/>
      <c r="AF55" s="5"/>
      <c r="AG55" s="1"/>
      <c r="AH55" s="15">
        <v>3810.55</v>
      </c>
      <c r="AI55" s="6"/>
      <c r="AJ55" s="5"/>
      <c r="AK55" s="1"/>
      <c r="AL55" s="15">
        <v>4271.78</v>
      </c>
      <c r="AM55" s="6"/>
      <c r="AN55" s="5"/>
      <c r="AO55" s="1"/>
      <c r="AP55" s="15">
        <v>4975.53</v>
      </c>
      <c r="AQ55" s="6"/>
      <c r="AR55" s="5"/>
      <c r="AS55" s="1"/>
      <c r="AT55" s="15">
        <v>3998.58</v>
      </c>
      <c r="AU55" s="6"/>
      <c r="AV55" s="5"/>
      <c r="AW55" s="1"/>
      <c r="AX55" s="15">
        <v>2963.67</v>
      </c>
      <c r="AY55" s="1"/>
      <c r="AZ55" s="1"/>
      <c r="BA55" s="1"/>
      <c r="BB55" s="16">
        <f>E55+I55+N55+R55+V55+Z55+AD55+AH55+AL55+AP55+AT55+AX55</f>
        <v>75970.56</v>
      </c>
    </row>
    <row r="56" spans="1:54" ht="12.75">
      <c r="A56" s="1" t="s">
        <v>61</v>
      </c>
      <c r="B56" s="1"/>
      <c r="C56" s="1"/>
      <c r="D56" s="1"/>
      <c r="E56" s="15">
        <v>3867</v>
      </c>
      <c r="F56" s="6"/>
      <c r="G56" s="5"/>
      <c r="H56" s="1"/>
      <c r="I56" s="21">
        <v>3794.77</v>
      </c>
      <c r="J56" s="6"/>
      <c r="K56" s="5"/>
      <c r="L56" s="5"/>
      <c r="M56" s="1"/>
      <c r="N56" s="21">
        <v>3786.42</v>
      </c>
      <c r="O56" s="6"/>
      <c r="P56" s="5"/>
      <c r="Q56" s="1"/>
      <c r="R56" s="21">
        <v>5563.65</v>
      </c>
      <c r="S56" s="6"/>
      <c r="T56" s="5"/>
      <c r="U56" s="1"/>
      <c r="V56" s="21">
        <v>2431.64</v>
      </c>
      <c r="W56" s="6"/>
      <c r="X56" s="5"/>
      <c r="Y56" s="1"/>
      <c r="Z56" s="21">
        <v>3700.44</v>
      </c>
      <c r="AA56" s="6"/>
      <c r="AB56" s="5"/>
      <c r="AC56" s="1"/>
      <c r="AD56" s="21">
        <v>4385</v>
      </c>
      <c r="AE56" s="6"/>
      <c r="AF56" s="5"/>
      <c r="AG56" s="1"/>
      <c r="AH56" s="21">
        <v>2194.41</v>
      </c>
      <c r="AI56" s="6"/>
      <c r="AJ56" s="5"/>
      <c r="AK56" s="1"/>
      <c r="AL56" s="21">
        <v>2174.5</v>
      </c>
      <c r="AM56" s="6"/>
      <c r="AN56" s="5"/>
      <c r="AO56" s="1"/>
      <c r="AP56" s="21">
        <v>2678.26</v>
      </c>
      <c r="AQ56" s="6"/>
      <c r="AR56" s="5"/>
      <c r="AS56" s="1"/>
      <c r="AT56" s="21">
        <v>3271.28</v>
      </c>
      <c r="AU56" s="6"/>
      <c r="AV56" s="5"/>
      <c r="AW56" s="1"/>
      <c r="AX56" s="21">
        <v>4983.93</v>
      </c>
      <c r="AY56" s="1"/>
      <c r="AZ56" s="1"/>
      <c r="BA56" s="1"/>
      <c r="BB56" s="16">
        <f>E56+I56+N56+R56+V56+Z56+AD56+AH56+AL56+AP56+AT56+AX56</f>
        <v>42831.299999999996</v>
      </c>
    </row>
    <row r="57" spans="1:54" ht="12.75">
      <c r="A57" s="1" t="s">
        <v>12</v>
      </c>
      <c r="B57" s="1"/>
      <c r="C57" s="1"/>
      <c r="D57" s="1"/>
      <c r="E57" s="21">
        <f>SUM(E53:E56)</f>
        <v>55336.61</v>
      </c>
      <c r="F57" s="6"/>
      <c r="G57" s="5"/>
      <c r="H57" s="1"/>
      <c r="I57" s="21">
        <f>SUM(I53:I56)</f>
        <v>58926.96</v>
      </c>
      <c r="J57" s="6"/>
      <c r="K57" s="5"/>
      <c r="L57" s="5"/>
      <c r="M57" s="1"/>
      <c r="N57" s="21">
        <f>SUM(N53:N56)</f>
        <v>62179.33</v>
      </c>
      <c r="O57" s="6"/>
      <c r="P57" s="5"/>
      <c r="Q57" s="1"/>
      <c r="R57" s="21">
        <f>SUM(R53:R56)</f>
        <v>56615.71</v>
      </c>
      <c r="S57" s="6"/>
      <c r="T57" s="5"/>
      <c r="U57" s="1"/>
      <c r="V57" s="21">
        <f>SUM(V53:V56)</f>
        <v>65739.25</v>
      </c>
      <c r="W57" s="6"/>
      <c r="X57" s="5"/>
      <c r="Y57" s="1"/>
      <c r="Z57" s="21">
        <f>SUM(Z53:Z56)</f>
        <v>73116.92</v>
      </c>
      <c r="AA57" s="6"/>
      <c r="AB57" s="5"/>
      <c r="AC57" s="1"/>
      <c r="AD57" s="21">
        <f>SUM(AD53:AD56)</f>
        <v>79462.05</v>
      </c>
      <c r="AE57" s="6"/>
      <c r="AF57" s="5"/>
      <c r="AG57" s="1"/>
      <c r="AH57" s="21">
        <f>SUM(AH53:AH56)</f>
        <v>38002.759999999995</v>
      </c>
      <c r="AI57" s="6"/>
      <c r="AJ57" s="5"/>
      <c r="AK57" s="1"/>
      <c r="AL57" s="21">
        <f>SUM(AL53:AL56)</f>
        <v>38612.38</v>
      </c>
      <c r="AM57" s="6"/>
      <c r="AN57" s="5"/>
      <c r="AO57" s="1"/>
      <c r="AP57" s="21">
        <f>SUM(AP53:AP56)</f>
        <v>43508.47</v>
      </c>
      <c r="AQ57" s="6"/>
      <c r="AR57" s="5"/>
      <c r="AS57" s="1"/>
      <c r="AT57" s="21">
        <f>SUM(AT53:AT56)</f>
        <v>50027.19</v>
      </c>
      <c r="AU57" s="6"/>
      <c r="AV57" s="5"/>
      <c r="AW57" s="1"/>
      <c r="AX57" s="21">
        <f>SUM(AX53:AX56)</f>
        <v>62032.72</v>
      </c>
      <c r="AY57" s="1"/>
      <c r="AZ57" s="1"/>
      <c r="BA57" s="1"/>
      <c r="BB57" s="20">
        <f>SUM(BB53:BB56)</f>
        <v>683560.3500000001</v>
      </c>
    </row>
    <row r="58" spans="1:54" ht="12.75">
      <c r="A58" s="1"/>
      <c r="B58" s="9" t="s">
        <v>3</v>
      </c>
      <c r="C58" s="9" t="s">
        <v>6</v>
      </c>
      <c r="D58" s="9" t="s">
        <v>4</v>
      </c>
      <c r="E58" s="9" t="s">
        <v>5</v>
      </c>
      <c r="F58" s="9" t="s">
        <v>3</v>
      </c>
      <c r="G58" s="11" t="s">
        <v>6</v>
      </c>
      <c r="H58" s="9" t="s">
        <v>4</v>
      </c>
      <c r="I58" s="9" t="s">
        <v>5</v>
      </c>
      <c r="J58" s="9" t="s">
        <v>3</v>
      </c>
      <c r="K58" s="11" t="s">
        <v>6</v>
      </c>
      <c r="L58" s="11"/>
      <c r="M58" s="9" t="s">
        <v>4</v>
      </c>
      <c r="N58" s="9" t="s">
        <v>5</v>
      </c>
      <c r="O58" s="9" t="s">
        <v>3</v>
      </c>
      <c r="P58" s="11" t="s">
        <v>6</v>
      </c>
      <c r="Q58" s="9" t="s">
        <v>4</v>
      </c>
      <c r="R58" s="9" t="s">
        <v>5</v>
      </c>
      <c r="S58" s="9" t="s">
        <v>3</v>
      </c>
      <c r="T58" s="11" t="s">
        <v>6</v>
      </c>
      <c r="U58" s="9" t="s">
        <v>4</v>
      </c>
      <c r="V58" s="9" t="s">
        <v>5</v>
      </c>
      <c r="W58" s="9" t="s">
        <v>3</v>
      </c>
      <c r="X58" s="11" t="s">
        <v>6</v>
      </c>
      <c r="Y58" s="9" t="s">
        <v>4</v>
      </c>
      <c r="Z58" s="9" t="s">
        <v>5</v>
      </c>
      <c r="AA58" s="9" t="s">
        <v>3</v>
      </c>
      <c r="AB58" s="11" t="s">
        <v>6</v>
      </c>
      <c r="AC58" s="9" t="s">
        <v>4</v>
      </c>
      <c r="AD58" s="9" t="s">
        <v>5</v>
      </c>
      <c r="AE58" s="9" t="s">
        <v>3</v>
      </c>
      <c r="AF58" s="5"/>
      <c r="AG58" s="9" t="s">
        <v>4</v>
      </c>
      <c r="AH58" s="9" t="s">
        <v>5</v>
      </c>
      <c r="AI58" s="9" t="s">
        <v>3</v>
      </c>
      <c r="AJ58" s="11" t="s">
        <v>6</v>
      </c>
      <c r="AK58" s="9" t="s">
        <v>4</v>
      </c>
      <c r="AL58" s="9" t="s">
        <v>5</v>
      </c>
      <c r="AM58" s="9" t="s">
        <v>3</v>
      </c>
      <c r="AN58" s="11" t="s">
        <v>6</v>
      </c>
      <c r="AO58" s="9" t="s">
        <v>4</v>
      </c>
      <c r="AP58" s="9" t="s">
        <v>5</v>
      </c>
      <c r="AQ58" s="9" t="s">
        <v>3</v>
      </c>
      <c r="AR58" s="11" t="s">
        <v>6</v>
      </c>
      <c r="AS58" s="9" t="s">
        <v>4</v>
      </c>
      <c r="AT58" s="9" t="s">
        <v>5</v>
      </c>
      <c r="AU58" s="9" t="s">
        <v>3</v>
      </c>
      <c r="AV58" s="11" t="s">
        <v>6</v>
      </c>
      <c r="AW58" s="9" t="s">
        <v>4</v>
      </c>
      <c r="AX58" s="9" t="s">
        <v>5</v>
      </c>
      <c r="AY58" s="9" t="s">
        <v>3</v>
      </c>
      <c r="AZ58" s="9" t="s">
        <v>6</v>
      </c>
      <c r="BA58" s="1"/>
      <c r="BB58" s="1"/>
    </row>
    <row r="59" spans="1:54" ht="12.75">
      <c r="A59" s="1" t="s">
        <v>59</v>
      </c>
      <c r="B59" s="1"/>
      <c r="C59" s="1"/>
      <c r="D59" s="1"/>
      <c r="E59" s="21"/>
      <c r="F59" s="1"/>
      <c r="G59" s="5"/>
      <c r="H59" s="1"/>
      <c r="I59" s="21"/>
      <c r="J59" s="1"/>
      <c r="K59" s="5"/>
      <c r="L59" s="5"/>
      <c r="M59" s="1"/>
      <c r="N59" s="21"/>
      <c r="O59" s="1"/>
      <c r="P59" s="5"/>
      <c r="Q59" s="1"/>
      <c r="R59" s="21"/>
      <c r="S59" s="1"/>
      <c r="T59" s="5"/>
      <c r="U59" s="1"/>
      <c r="V59" s="21"/>
      <c r="W59" s="1"/>
      <c r="X59" s="5"/>
      <c r="Y59" s="1"/>
      <c r="Z59" s="21"/>
      <c r="AA59" s="1"/>
      <c r="AB59" s="5"/>
      <c r="AC59" s="1"/>
      <c r="AD59" s="21"/>
      <c r="AE59" s="1"/>
      <c r="AF59" s="5"/>
      <c r="AG59" s="1"/>
      <c r="AH59" s="21"/>
      <c r="AI59" s="1"/>
      <c r="AJ59" s="5"/>
      <c r="AK59" s="1"/>
      <c r="AL59" s="21"/>
      <c r="AM59" s="1"/>
      <c r="AN59" s="5"/>
      <c r="AO59" s="1"/>
      <c r="AP59" s="21"/>
      <c r="AQ59" s="1"/>
      <c r="AR59" s="5"/>
      <c r="AS59" s="1"/>
      <c r="AT59" s="21"/>
      <c r="AU59" s="1"/>
      <c r="AV59" s="5"/>
      <c r="AW59" s="1"/>
      <c r="AX59" s="21"/>
      <c r="AY59" s="1"/>
      <c r="AZ59" s="1"/>
      <c r="BA59" s="1"/>
      <c r="BB59" s="1"/>
    </row>
    <row r="60" spans="1:54" ht="12.75">
      <c r="A60" s="1" t="s">
        <v>8</v>
      </c>
      <c r="B60" s="1">
        <v>5.8</v>
      </c>
      <c r="C60" s="1"/>
      <c r="D60" s="1"/>
      <c r="E60" s="21">
        <v>0</v>
      </c>
      <c r="F60" s="1">
        <f>B60</f>
        <v>5.8</v>
      </c>
      <c r="G60" s="5"/>
      <c r="H60" s="1"/>
      <c r="I60" s="21">
        <v>0</v>
      </c>
      <c r="J60" s="1">
        <f>F60</f>
        <v>5.8</v>
      </c>
      <c r="K60" s="5"/>
      <c r="L60" s="5"/>
      <c r="M60" s="1"/>
      <c r="N60" s="21">
        <v>0</v>
      </c>
      <c r="O60" s="1">
        <f>J60</f>
        <v>5.8</v>
      </c>
      <c r="P60" s="5"/>
      <c r="Q60" s="1"/>
      <c r="R60" s="21">
        <v>0</v>
      </c>
      <c r="S60" s="1">
        <f>O60</f>
        <v>5.8</v>
      </c>
      <c r="T60" s="5"/>
      <c r="U60" s="1"/>
      <c r="V60" s="21">
        <v>0</v>
      </c>
      <c r="W60" s="1">
        <f>S60</f>
        <v>5.8</v>
      </c>
      <c r="X60" s="5"/>
      <c r="Y60" s="1"/>
      <c r="Z60" s="21">
        <v>0</v>
      </c>
      <c r="AA60" s="1">
        <f>W60</f>
        <v>5.8</v>
      </c>
      <c r="AB60" s="5"/>
      <c r="AC60" s="1"/>
      <c r="AD60" s="21">
        <v>0</v>
      </c>
      <c r="AE60" s="1">
        <f>AA60</f>
        <v>5.8</v>
      </c>
      <c r="AF60" s="5"/>
      <c r="AG60" s="1"/>
      <c r="AH60" s="21">
        <v>5753.6</v>
      </c>
      <c r="AI60" s="1">
        <f>AE60</f>
        <v>5.8</v>
      </c>
      <c r="AJ60" s="5"/>
      <c r="AK60" s="1"/>
      <c r="AL60" s="21">
        <v>5771.46</v>
      </c>
      <c r="AM60" s="1">
        <f>AI60</f>
        <v>5.8</v>
      </c>
      <c r="AN60" s="5"/>
      <c r="AO60" s="1"/>
      <c r="AP60" s="21">
        <v>5771.46</v>
      </c>
      <c r="AQ60" s="1">
        <f>AM60</f>
        <v>5.8</v>
      </c>
      <c r="AR60" s="5"/>
      <c r="AS60" s="1"/>
      <c r="AT60" s="21">
        <v>5771.46</v>
      </c>
      <c r="AU60" s="1">
        <f>AQ60</f>
        <v>5.8</v>
      </c>
      <c r="AV60" s="5"/>
      <c r="AW60" s="1"/>
      <c r="AX60" s="21">
        <v>5786.54</v>
      </c>
      <c r="AY60" s="1">
        <f>AU60</f>
        <v>5.8</v>
      </c>
      <c r="AZ60" s="1"/>
      <c r="BA60" s="1"/>
      <c r="BB60" s="16">
        <f>E60+I60+N60+R60+V60+Z60+AD60+AH60+AL60+AP60+AT60+AX60</f>
        <v>28854.52</v>
      </c>
    </row>
    <row r="61" spans="1:54" ht="12.75">
      <c r="A61" s="1" t="s">
        <v>9</v>
      </c>
      <c r="B61" s="1">
        <v>0.03598</v>
      </c>
      <c r="C61" s="1"/>
      <c r="D61" s="1">
        <v>0</v>
      </c>
      <c r="E61" s="21">
        <v>0</v>
      </c>
      <c r="F61" s="1">
        <f>B61</f>
        <v>0.03598</v>
      </c>
      <c r="G61" s="5"/>
      <c r="H61" s="1">
        <v>0</v>
      </c>
      <c r="I61" s="21">
        <v>0</v>
      </c>
      <c r="J61" s="1">
        <f>F61</f>
        <v>0.03598</v>
      </c>
      <c r="K61" s="5"/>
      <c r="L61" s="5"/>
      <c r="M61" s="1">
        <v>0</v>
      </c>
      <c r="N61" s="21">
        <v>0</v>
      </c>
      <c r="O61" s="1">
        <f>J61</f>
        <v>0.03598</v>
      </c>
      <c r="P61" s="5"/>
      <c r="Q61" s="1">
        <v>0</v>
      </c>
      <c r="R61" s="21">
        <v>0</v>
      </c>
      <c r="S61" s="1">
        <f>O61</f>
        <v>0.03598</v>
      </c>
      <c r="T61" s="5"/>
      <c r="U61" s="1">
        <v>0</v>
      </c>
      <c r="V61" s="21">
        <v>0</v>
      </c>
      <c r="W61" s="1">
        <f>S61</f>
        <v>0.03598</v>
      </c>
      <c r="X61" s="5"/>
      <c r="Y61" s="1">
        <v>0</v>
      </c>
      <c r="Z61" s="21">
        <v>0</v>
      </c>
      <c r="AA61" s="1">
        <f>W61</f>
        <v>0.03598</v>
      </c>
      <c r="AB61" s="5"/>
      <c r="AC61" s="1">
        <v>0</v>
      </c>
      <c r="AD61" s="21">
        <v>0</v>
      </c>
      <c r="AE61" s="1">
        <f>AA61</f>
        <v>0.03598</v>
      </c>
      <c r="AF61" s="5">
        <v>1</v>
      </c>
      <c r="AG61" s="1">
        <v>443519</v>
      </c>
      <c r="AH61" s="21">
        <v>16004</v>
      </c>
      <c r="AI61" s="1">
        <f>AE61</f>
        <v>0.03598</v>
      </c>
      <c r="AJ61" s="5">
        <v>1</v>
      </c>
      <c r="AK61" s="1">
        <v>464782</v>
      </c>
      <c r="AL61" s="21">
        <v>16751</v>
      </c>
      <c r="AM61" s="1">
        <f>AI61</f>
        <v>0.03598</v>
      </c>
      <c r="AN61" s="5">
        <v>1</v>
      </c>
      <c r="AO61" s="1">
        <v>480673</v>
      </c>
      <c r="AP61" s="21">
        <v>17323</v>
      </c>
      <c r="AQ61" s="1">
        <f>AM61</f>
        <v>0.03598</v>
      </c>
      <c r="AR61" s="5">
        <v>1</v>
      </c>
      <c r="AS61" s="1">
        <v>448730</v>
      </c>
      <c r="AT61" s="21">
        <v>16174</v>
      </c>
      <c r="AU61" s="1">
        <f>AQ61</f>
        <v>0.03598</v>
      </c>
      <c r="AV61" s="5">
        <v>1</v>
      </c>
      <c r="AW61" s="1">
        <v>451511</v>
      </c>
      <c r="AX61" s="21">
        <v>16259</v>
      </c>
      <c r="AY61" s="1">
        <f>AU61</f>
        <v>0.03598</v>
      </c>
      <c r="AZ61" s="16">
        <f>C61+G61+K61+P61+T61+X61+AB61+AF61+AJ61+AN61+AR61+AV61</f>
        <v>5</v>
      </c>
      <c r="BA61" s="16">
        <f>D61+H61+M61+Q61+U61+Y61+AC61+AG61+AK61+AO61+AS61+AW61</f>
        <v>2289215</v>
      </c>
      <c r="BB61" s="16">
        <f>E61+I61+N61+R61+V61+Z61+AD61+AH61+AL61+AP61+AT61+AX61</f>
        <v>82511</v>
      </c>
    </row>
    <row r="62" spans="1:54" ht="12.75">
      <c r="A62" s="1" t="s">
        <v>11</v>
      </c>
      <c r="B62" s="1"/>
      <c r="C62" s="1"/>
      <c r="D62" s="1"/>
      <c r="E62" s="21">
        <v>0</v>
      </c>
      <c r="F62" s="1"/>
      <c r="G62" s="5"/>
      <c r="H62" s="1"/>
      <c r="I62" s="21">
        <v>0</v>
      </c>
      <c r="J62" s="1"/>
      <c r="K62" s="5"/>
      <c r="L62" s="5"/>
      <c r="M62" s="1"/>
      <c r="N62" s="21">
        <v>0</v>
      </c>
      <c r="O62" s="1"/>
      <c r="P62" s="5"/>
      <c r="Q62" s="1"/>
      <c r="R62" s="21">
        <v>0</v>
      </c>
      <c r="S62" s="1"/>
      <c r="T62" s="5"/>
      <c r="U62" s="1"/>
      <c r="V62" s="21">
        <v>0</v>
      </c>
      <c r="W62" s="1"/>
      <c r="X62" s="5"/>
      <c r="Y62" s="1"/>
      <c r="Z62" s="21">
        <v>0</v>
      </c>
      <c r="AA62" s="1"/>
      <c r="AB62" s="5"/>
      <c r="AC62" s="1"/>
      <c r="AD62" s="21">
        <v>0</v>
      </c>
      <c r="AE62" s="1"/>
      <c r="AF62" s="5"/>
      <c r="AG62" s="1"/>
      <c r="AH62" s="21">
        <v>3317.08</v>
      </c>
      <c r="AI62" s="1"/>
      <c r="AJ62" s="5"/>
      <c r="AK62" s="1"/>
      <c r="AL62" s="21">
        <v>3933.91</v>
      </c>
      <c r="AM62" s="1"/>
      <c r="AN62" s="5"/>
      <c r="AO62" s="1"/>
      <c r="AP62" s="21">
        <v>4797.6</v>
      </c>
      <c r="AQ62" s="1"/>
      <c r="AR62" s="5"/>
      <c r="AS62" s="1"/>
      <c r="AT62" s="21">
        <v>3404.07</v>
      </c>
      <c r="AU62" s="1"/>
      <c r="AV62" s="5"/>
      <c r="AW62" s="1"/>
      <c r="AX62" s="21">
        <v>1730.64</v>
      </c>
      <c r="AY62" s="1"/>
      <c r="AZ62" s="1"/>
      <c r="BA62" s="1"/>
      <c r="BB62" s="16">
        <f>E62+I62+N62+R62+V62+Z62+AD62+AH62+AL62+AP62+AT62+AX62</f>
        <v>17183.3</v>
      </c>
    </row>
    <row r="63" spans="1:54" ht="12.75">
      <c r="A63" s="1" t="s">
        <v>61</v>
      </c>
      <c r="B63" s="1"/>
      <c r="C63" s="1"/>
      <c r="D63" s="1"/>
      <c r="E63" s="21">
        <v>0</v>
      </c>
      <c r="F63" s="1"/>
      <c r="G63" s="5"/>
      <c r="H63" s="1"/>
      <c r="I63" s="21">
        <v>0</v>
      </c>
      <c r="J63" s="1"/>
      <c r="K63" s="5"/>
      <c r="L63" s="5"/>
      <c r="M63" s="1"/>
      <c r="N63" s="21">
        <v>0</v>
      </c>
      <c r="O63" s="1"/>
      <c r="P63" s="5"/>
      <c r="Q63" s="1"/>
      <c r="R63" s="21">
        <v>0</v>
      </c>
      <c r="S63" s="1"/>
      <c r="T63" s="5"/>
      <c r="U63" s="1"/>
      <c r="V63" s="21">
        <v>0</v>
      </c>
      <c r="W63" s="1"/>
      <c r="X63" s="5"/>
      <c r="Y63" s="1"/>
      <c r="Z63" s="21">
        <v>0</v>
      </c>
      <c r="AA63" s="1"/>
      <c r="AB63" s="5"/>
      <c r="AC63" s="1"/>
      <c r="AD63" s="21">
        <v>0</v>
      </c>
      <c r="AE63" s="1"/>
      <c r="AF63" s="5"/>
      <c r="AG63" s="1"/>
      <c r="AH63" s="21">
        <v>1533.48</v>
      </c>
      <c r="AI63" s="1"/>
      <c r="AJ63" s="5"/>
      <c r="AK63" s="1"/>
      <c r="AL63" s="21">
        <v>1575.75</v>
      </c>
      <c r="AM63" s="1"/>
      <c r="AN63" s="5"/>
      <c r="AO63" s="1"/>
      <c r="AP63" s="21">
        <v>1825.62</v>
      </c>
      <c r="AQ63" s="1"/>
      <c r="AR63" s="5"/>
      <c r="AS63" s="1"/>
      <c r="AT63" s="21">
        <v>1770.6</v>
      </c>
      <c r="AU63" s="1"/>
      <c r="AV63" s="5"/>
      <c r="AW63" s="1"/>
      <c r="AX63" s="21">
        <v>2074.74</v>
      </c>
      <c r="AY63" s="1"/>
      <c r="AZ63" s="1"/>
      <c r="BA63" s="1"/>
      <c r="BB63" s="16">
        <f>E63+I63+N63+R63+V63+Z63+AD63+AH63+AL63+AP63+AT63+AX63</f>
        <v>8780.19</v>
      </c>
    </row>
    <row r="64" spans="1:54" ht="12.75">
      <c r="A64" s="1" t="s">
        <v>12</v>
      </c>
      <c r="B64" s="1"/>
      <c r="C64" s="1"/>
      <c r="D64" s="1"/>
      <c r="E64" s="21">
        <f>SUM(E60:E63)</f>
        <v>0</v>
      </c>
      <c r="F64" s="1"/>
      <c r="G64" s="5"/>
      <c r="H64" s="1"/>
      <c r="I64" s="21">
        <f>SUM(I60:I63)</f>
        <v>0</v>
      </c>
      <c r="J64" s="1"/>
      <c r="K64" s="5"/>
      <c r="L64" s="5"/>
      <c r="M64" s="1"/>
      <c r="N64" s="21">
        <f>SUM(N60:N63)</f>
        <v>0</v>
      </c>
      <c r="O64" s="1"/>
      <c r="P64" s="5"/>
      <c r="Q64" s="1"/>
      <c r="R64" s="21">
        <f>SUM(R60:R63)</f>
        <v>0</v>
      </c>
      <c r="S64" s="1"/>
      <c r="T64" s="5"/>
      <c r="U64" s="1"/>
      <c r="V64" s="21">
        <f>SUM(V60:V63)</f>
        <v>0</v>
      </c>
      <c r="W64" s="1"/>
      <c r="X64" s="5"/>
      <c r="Y64" s="1"/>
      <c r="Z64" s="21">
        <f>SUM(Z60:Z63)</f>
        <v>0</v>
      </c>
      <c r="AA64" s="1"/>
      <c r="AB64" s="5"/>
      <c r="AC64" s="1"/>
      <c r="AD64" s="21">
        <f>SUM(AD60:AD63)</f>
        <v>0</v>
      </c>
      <c r="AE64" s="1"/>
      <c r="AF64" s="5"/>
      <c r="AG64" s="1"/>
      <c r="AH64" s="21">
        <f>SUM(AH60:AH63)</f>
        <v>26608.16</v>
      </c>
      <c r="AI64" s="1"/>
      <c r="AJ64" s="5"/>
      <c r="AK64" s="1"/>
      <c r="AL64" s="21">
        <f>SUM(AL60:AL63)</f>
        <v>28032.12</v>
      </c>
      <c r="AM64" s="1"/>
      <c r="AN64" s="5"/>
      <c r="AO64" s="1"/>
      <c r="AP64" s="21">
        <f>SUM(AP60:AP63)</f>
        <v>29717.679999999997</v>
      </c>
      <c r="AQ64" s="1"/>
      <c r="AR64" s="5"/>
      <c r="AS64" s="1"/>
      <c r="AT64" s="21">
        <f>SUM(AT60:AT63)</f>
        <v>27120.129999999997</v>
      </c>
      <c r="AU64" s="1"/>
      <c r="AV64" s="5"/>
      <c r="AW64" s="1"/>
      <c r="AX64" s="21">
        <f>SUM(AX60:AX63)</f>
        <v>25850.92</v>
      </c>
      <c r="AY64" s="1"/>
      <c r="AZ64" s="1"/>
      <c r="BA64" s="1"/>
      <c r="BB64" s="20">
        <f>SUM(BB60:BB63)</f>
        <v>137329.01</v>
      </c>
    </row>
    <row r="65" spans="1:54" ht="12.75">
      <c r="A65" s="1"/>
      <c r="B65" s="9" t="s">
        <v>3</v>
      </c>
      <c r="C65" s="9" t="s">
        <v>6</v>
      </c>
      <c r="D65" s="9" t="s">
        <v>4</v>
      </c>
      <c r="E65" s="9" t="s">
        <v>5</v>
      </c>
      <c r="F65" s="10" t="s">
        <v>3</v>
      </c>
      <c r="G65" s="11" t="s">
        <v>6</v>
      </c>
      <c r="H65" s="9" t="s">
        <v>4</v>
      </c>
      <c r="I65" s="9" t="s">
        <v>5</v>
      </c>
      <c r="J65" s="10" t="s">
        <v>3</v>
      </c>
      <c r="K65" s="11" t="s">
        <v>6</v>
      </c>
      <c r="L65" s="11"/>
      <c r="M65" s="9" t="s">
        <v>4</v>
      </c>
      <c r="N65" s="9" t="s">
        <v>5</v>
      </c>
      <c r="O65" s="10" t="s">
        <v>3</v>
      </c>
      <c r="P65" s="11" t="s">
        <v>6</v>
      </c>
      <c r="Q65" s="9" t="s">
        <v>4</v>
      </c>
      <c r="R65" s="9" t="s">
        <v>5</v>
      </c>
      <c r="S65" s="10" t="s">
        <v>3</v>
      </c>
      <c r="T65" s="11" t="s">
        <v>6</v>
      </c>
      <c r="U65" s="9" t="s">
        <v>4</v>
      </c>
      <c r="V65" s="9" t="s">
        <v>5</v>
      </c>
      <c r="W65" s="10" t="s">
        <v>3</v>
      </c>
      <c r="X65" s="11" t="s">
        <v>6</v>
      </c>
      <c r="Y65" s="9" t="s">
        <v>4</v>
      </c>
      <c r="Z65" s="9" t="s">
        <v>5</v>
      </c>
      <c r="AA65" s="10" t="s">
        <v>3</v>
      </c>
      <c r="AB65" s="11" t="s">
        <v>6</v>
      </c>
      <c r="AC65" s="9" t="s">
        <v>4</v>
      </c>
      <c r="AD65" s="9" t="s">
        <v>5</v>
      </c>
      <c r="AE65" s="10" t="s">
        <v>3</v>
      </c>
      <c r="AF65" s="5"/>
      <c r="AG65" s="9" t="s">
        <v>4</v>
      </c>
      <c r="AH65" s="9" t="s">
        <v>5</v>
      </c>
      <c r="AI65" s="10" t="s">
        <v>3</v>
      </c>
      <c r="AJ65" s="11" t="s">
        <v>6</v>
      </c>
      <c r="AK65" s="9" t="s">
        <v>4</v>
      </c>
      <c r="AL65" s="9" t="s">
        <v>5</v>
      </c>
      <c r="AM65" s="10" t="s">
        <v>3</v>
      </c>
      <c r="AN65" s="11" t="s">
        <v>6</v>
      </c>
      <c r="AO65" s="9" t="s">
        <v>4</v>
      </c>
      <c r="AP65" s="9" t="s">
        <v>5</v>
      </c>
      <c r="AQ65" s="10" t="s">
        <v>3</v>
      </c>
      <c r="AR65" s="11" t="s">
        <v>6</v>
      </c>
      <c r="AS65" s="9" t="s">
        <v>4</v>
      </c>
      <c r="AT65" s="9" t="s">
        <v>5</v>
      </c>
      <c r="AU65" s="10" t="s">
        <v>3</v>
      </c>
      <c r="AV65" s="11" t="s">
        <v>6</v>
      </c>
      <c r="AW65" s="9" t="s">
        <v>4</v>
      </c>
      <c r="AX65" s="9" t="s">
        <v>5</v>
      </c>
      <c r="AY65" s="9" t="s">
        <v>3</v>
      </c>
      <c r="AZ65" s="9" t="s">
        <v>6</v>
      </c>
      <c r="BA65" s="9" t="s">
        <v>4</v>
      </c>
      <c r="BB65" s="9" t="s">
        <v>5</v>
      </c>
    </row>
    <row r="66" spans="1:54" ht="12.75">
      <c r="A66" s="1" t="s">
        <v>22</v>
      </c>
      <c r="B66" s="1"/>
      <c r="C66" s="1"/>
      <c r="D66" s="1"/>
      <c r="E66" s="1"/>
      <c r="F66" s="6"/>
      <c r="G66" s="5"/>
      <c r="H66" s="1"/>
      <c r="I66" s="1"/>
      <c r="J66" s="6"/>
      <c r="K66" s="5"/>
      <c r="L66" s="5"/>
      <c r="M66" s="1"/>
      <c r="N66" s="1"/>
      <c r="O66" s="6"/>
      <c r="P66" s="5"/>
      <c r="Q66" s="1"/>
      <c r="R66" s="1"/>
      <c r="S66" s="6"/>
      <c r="T66" s="5"/>
      <c r="U66" s="1"/>
      <c r="V66" s="1"/>
      <c r="W66" s="6"/>
      <c r="X66" s="5"/>
      <c r="Y66" s="1"/>
      <c r="Z66" s="1"/>
      <c r="AA66" s="6"/>
      <c r="AB66" s="5"/>
      <c r="AC66" s="1"/>
      <c r="AD66" s="1"/>
      <c r="AE66" s="6"/>
      <c r="AF66" s="5"/>
      <c r="AG66" s="1"/>
      <c r="AH66" s="1"/>
      <c r="AI66" s="6"/>
      <c r="AJ66" s="5"/>
      <c r="AK66" s="1"/>
      <c r="AL66" s="1"/>
      <c r="AM66" s="6"/>
      <c r="AN66" s="5"/>
      <c r="AO66" s="1"/>
      <c r="AP66" s="1"/>
      <c r="AQ66" s="6"/>
      <c r="AR66" s="5"/>
      <c r="AS66" s="1"/>
      <c r="AT66" s="1"/>
      <c r="AU66" s="6"/>
      <c r="AV66" s="5"/>
      <c r="AW66" s="1"/>
      <c r="AX66" s="1"/>
      <c r="AY66" s="1"/>
      <c r="AZ66" s="1"/>
      <c r="BA66" s="1"/>
      <c r="BB66" s="1"/>
    </row>
    <row r="67" spans="1:54" ht="12.75">
      <c r="A67" s="1" t="s">
        <v>8</v>
      </c>
      <c r="B67" s="12">
        <v>8.23</v>
      </c>
      <c r="C67" s="1"/>
      <c r="D67" s="1"/>
      <c r="E67" s="21">
        <v>12514.87</v>
      </c>
      <c r="F67" s="6">
        <f>B67</f>
        <v>8.23</v>
      </c>
      <c r="G67" s="5"/>
      <c r="H67" s="1"/>
      <c r="I67" s="15">
        <v>12230.44</v>
      </c>
      <c r="J67" s="6">
        <f>F67</f>
        <v>8.23</v>
      </c>
      <c r="K67" s="5"/>
      <c r="L67" s="5"/>
      <c r="M67" s="1"/>
      <c r="N67" s="15">
        <v>12301.55</v>
      </c>
      <c r="O67" s="6">
        <f>J67</f>
        <v>8.23</v>
      </c>
      <c r="P67" s="5"/>
      <c r="Q67" s="1"/>
      <c r="R67" s="15">
        <v>12372.65</v>
      </c>
      <c r="S67" s="6">
        <f>O67</f>
        <v>8.23</v>
      </c>
      <c r="T67" s="5"/>
      <c r="U67" s="1"/>
      <c r="V67" s="15">
        <v>12633.38</v>
      </c>
      <c r="W67" s="6">
        <f>S67</f>
        <v>8.23</v>
      </c>
      <c r="X67" s="5"/>
      <c r="Y67" s="1"/>
      <c r="Z67" s="15">
        <v>13273.34</v>
      </c>
      <c r="AA67" s="6">
        <f>W67</f>
        <v>8.23</v>
      </c>
      <c r="AB67" s="5"/>
      <c r="AC67" s="1"/>
      <c r="AD67" s="15">
        <v>12917.81</v>
      </c>
      <c r="AE67" s="6">
        <f>AA67</f>
        <v>8.23</v>
      </c>
      <c r="AF67" s="5"/>
      <c r="AG67" s="1"/>
      <c r="AH67" s="15">
        <v>12633.38</v>
      </c>
      <c r="AI67" s="6">
        <f>AE67</f>
        <v>8.23</v>
      </c>
      <c r="AJ67" s="5"/>
      <c r="AK67" s="1"/>
      <c r="AL67" s="15">
        <v>12799.3</v>
      </c>
      <c r="AM67" s="6">
        <f>AI67</f>
        <v>8.23</v>
      </c>
      <c r="AN67" s="5"/>
      <c r="AO67" s="1"/>
      <c r="AP67" s="15">
        <v>12680.78</v>
      </c>
      <c r="AQ67" s="6">
        <f>AM67</f>
        <v>8.23</v>
      </c>
      <c r="AR67" s="5"/>
      <c r="AS67" s="1"/>
      <c r="AT67" s="15">
        <v>12467.46</v>
      </c>
      <c r="AU67" s="6">
        <f>AQ67</f>
        <v>8.23</v>
      </c>
      <c r="AV67" s="5"/>
      <c r="AW67" s="1"/>
      <c r="AX67" s="15">
        <v>12514.87</v>
      </c>
      <c r="AY67" s="1">
        <f>AU67</f>
        <v>8.23</v>
      </c>
      <c r="AZ67" s="1"/>
      <c r="BA67" s="1"/>
      <c r="BB67" s="16">
        <f>E67+I67+N67+R67+V67+Z67+AD67+AH67+AL67+AP67+AT67+AX67</f>
        <v>151339.83</v>
      </c>
    </row>
    <row r="68" spans="1:54" ht="12.75">
      <c r="A68" s="1" t="s">
        <v>9</v>
      </c>
      <c r="B68" s="1">
        <v>0.04702</v>
      </c>
      <c r="C68" s="16">
        <v>1</v>
      </c>
      <c r="D68" s="5">
        <v>868515</v>
      </c>
      <c r="E68" s="21">
        <v>40838</v>
      </c>
      <c r="F68" s="6">
        <f>B68</f>
        <v>0.04702</v>
      </c>
      <c r="G68" s="18">
        <v>1</v>
      </c>
      <c r="H68" s="5">
        <v>827672</v>
      </c>
      <c r="I68" s="15">
        <v>38917</v>
      </c>
      <c r="J68" s="6">
        <f>F68</f>
        <v>0.04702</v>
      </c>
      <c r="K68" s="18">
        <v>1</v>
      </c>
      <c r="L68" s="18"/>
      <c r="M68" s="5">
        <v>858628</v>
      </c>
      <c r="N68" s="15">
        <v>40373</v>
      </c>
      <c r="O68" s="6">
        <f>J68</f>
        <v>0.04702</v>
      </c>
      <c r="P68" s="18">
        <v>1</v>
      </c>
      <c r="Q68" s="5">
        <v>955797</v>
      </c>
      <c r="R68" s="15">
        <v>44942</v>
      </c>
      <c r="S68" s="6">
        <f>O68</f>
        <v>0.04702</v>
      </c>
      <c r="T68" s="18">
        <v>1</v>
      </c>
      <c r="U68" s="5">
        <v>825499</v>
      </c>
      <c r="V68" s="15">
        <v>38815</v>
      </c>
      <c r="W68" s="6">
        <f>S68</f>
        <v>0.04702</v>
      </c>
      <c r="X68" s="18">
        <v>1</v>
      </c>
      <c r="Y68" s="5">
        <v>720146</v>
      </c>
      <c r="Z68" s="15">
        <v>33861</v>
      </c>
      <c r="AA68" s="6">
        <f>W68</f>
        <v>0.04702</v>
      </c>
      <c r="AB68" s="18">
        <v>1</v>
      </c>
      <c r="AC68" s="5">
        <v>993031</v>
      </c>
      <c r="AD68" s="15">
        <v>46692</v>
      </c>
      <c r="AE68" s="6">
        <f>AA68</f>
        <v>0.04702</v>
      </c>
      <c r="AF68" s="18">
        <v>1</v>
      </c>
      <c r="AG68" s="5">
        <v>951880</v>
      </c>
      <c r="AH68" s="15">
        <v>44757</v>
      </c>
      <c r="AI68" s="6">
        <f>AE68</f>
        <v>0.04702</v>
      </c>
      <c r="AJ68" s="18">
        <v>1</v>
      </c>
      <c r="AK68" s="5">
        <v>1009918</v>
      </c>
      <c r="AL68" s="15">
        <v>47486</v>
      </c>
      <c r="AM68" s="19">
        <f>AI68</f>
        <v>0.04702</v>
      </c>
      <c r="AN68" s="18">
        <v>1</v>
      </c>
      <c r="AO68" s="5">
        <v>790015</v>
      </c>
      <c r="AP68" s="15">
        <v>37147</v>
      </c>
      <c r="AQ68" s="6">
        <f>AM68</f>
        <v>0.04702</v>
      </c>
      <c r="AR68" s="18">
        <v>1</v>
      </c>
      <c r="AS68" s="5">
        <v>830586</v>
      </c>
      <c r="AT68" s="15">
        <v>39054</v>
      </c>
      <c r="AU68" s="6">
        <f>AQ68</f>
        <v>0.04702</v>
      </c>
      <c r="AV68" s="18">
        <v>1</v>
      </c>
      <c r="AW68" s="5">
        <v>915474</v>
      </c>
      <c r="AX68" s="15">
        <v>43046</v>
      </c>
      <c r="AY68" s="1">
        <f>AU68</f>
        <v>0.04702</v>
      </c>
      <c r="AZ68" s="16">
        <f>C68+G68+K68+P68+T68+X68+AB68+AF68+AJ68+AN68+AR68+AV68</f>
        <v>12</v>
      </c>
      <c r="BA68" s="16">
        <f>D68+H68+M68+Q68+U68+Y68+AC68+AG68+AK68+AO68+AS68+AW68</f>
        <v>10547161</v>
      </c>
      <c r="BB68" s="16">
        <f>E68+I68+N68+R68+V68+Z68+AD68+AH68+AL68+AP68+AT68+AX68</f>
        <v>495928</v>
      </c>
    </row>
    <row r="69" spans="1:54" ht="12.75">
      <c r="A69" s="1" t="s">
        <v>11</v>
      </c>
      <c r="B69" s="1"/>
      <c r="C69" s="1"/>
      <c r="D69" s="1"/>
      <c r="E69" s="15">
        <v>4738.62</v>
      </c>
      <c r="F69" s="6"/>
      <c r="G69" s="5"/>
      <c r="H69" s="1"/>
      <c r="I69" s="15">
        <v>9768.18</v>
      </c>
      <c r="J69" s="6"/>
      <c r="K69" s="5"/>
      <c r="L69" s="5"/>
      <c r="M69" s="1"/>
      <c r="N69" s="15">
        <v>9486.12</v>
      </c>
      <c r="O69" s="6"/>
      <c r="P69" s="5"/>
      <c r="Q69" s="1"/>
      <c r="R69" s="15">
        <v>9200.5</v>
      </c>
      <c r="S69" s="6"/>
      <c r="T69" s="5"/>
      <c r="U69" s="1"/>
      <c r="V69" s="15">
        <v>3720.52</v>
      </c>
      <c r="W69" s="6"/>
      <c r="X69" s="5"/>
      <c r="Y69" s="1"/>
      <c r="Z69" s="15">
        <v>7961.93</v>
      </c>
      <c r="AA69" s="6"/>
      <c r="AB69" s="5"/>
      <c r="AC69" s="1"/>
      <c r="AD69" s="15">
        <v>8966.08</v>
      </c>
      <c r="AE69" s="6"/>
      <c r="AF69" s="5"/>
      <c r="AG69" s="1"/>
      <c r="AH69" s="15">
        <v>7119.11</v>
      </c>
      <c r="AI69" s="6"/>
      <c r="AJ69" s="5"/>
      <c r="AK69" s="1"/>
      <c r="AL69" s="15">
        <v>8547.95</v>
      </c>
      <c r="AM69" s="6"/>
      <c r="AN69" s="5"/>
      <c r="AO69" s="1"/>
      <c r="AP69" s="15">
        <v>7885.14</v>
      </c>
      <c r="AQ69" s="6"/>
      <c r="AR69" s="5"/>
      <c r="AS69" s="1"/>
      <c r="AT69" s="15">
        <v>6300.83</v>
      </c>
      <c r="AU69" s="6"/>
      <c r="AV69" s="5"/>
      <c r="AW69" s="1"/>
      <c r="AX69" s="15">
        <v>3509.01</v>
      </c>
      <c r="AY69" s="1"/>
      <c r="AZ69" s="1"/>
      <c r="BA69" s="1"/>
      <c r="BB69" s="16">
        <f>E69+I69+N69+R69+V69+Z69+AD69+AH69+AL69+AP69+AT69+AX69</f>
        <v>87203.98999999999</v>
      </c>
    </row>
    <row r="70" spans="1:54" ht="12.75">
      <c r="A70" s="1" t="s">
        <v>61</v>
      </c>
      <c r="B70" s="1"/>
      <c r="C70" s="1"/>
      <c r="D70" s="1"/>
      <c r="E70" s="15">
        <v>4362.22</v>
      </c>
      <c r="F70" s="6"/>
      <c r="G70" s="5"/>
      <c r="H70" s="1"/>
      <c r="I70" s="21">
        <v>4191.14</v>
      </c>
      <c r="J70" s="6"/>
      <c r="K70" s="5"/>
      <c r="L70" s="5"/>
      <c r="M70" s="1"/>
      <c r="N70" s="21">
        <v>4027.68</v>
      </c>
      <c r="O70" s="6"/>
      <c r="P70" s="5"/>
      <c r="Q70" s="1"/>
      <c r="R70" s="21">
        <v>4915.01</v>
      </c>
      <c r="S70" s="6"/>
      <c r="T70" s="5"/>
      <c r="U70" s="1"/>
      <c r="V70" s="21">
        <v>2151.55</v>
      </c>
      <c r="W70" s="6"/>
      <c r="X70" s="5"/>
      <c r="Y70" s="1"/>
      <c r="Z70" s="21">
        <v>2931.4</v>
      </c>
      <c r="AA70" s="6"/>
      <c r="AB70" s="5"/>
      <c r="AC70" s="1"/>
      <c r="AD70" s="21">
        <v>3998.31</v>
      </c>
      <c r="AE70" s="6"/>
      <c r="AF70" s="5"/>
      <c r="AG70" s="1"/>
      <c r="AH70" s="21">
        <v>3941.95</v>
      </c>
      <c r="AI70" s="6"/>
      <c r="AJ70" s="5"/>
      <c r="AK70" s="1"/>
      <c r="AL70" s="21">
        <v>4095.94</v>
      </c>
      <c r="AM70" s="6"/>
      <c r="AN70" s="5"/>
      <c r="AO70" s="1"/>
      <c r="AP70" s="21">
        <v>3773.9</v>
      </c>
      <c r="AQ70" s="6"/>
      <c r="AR70" s="5"/>
      <c r="AS70" s="1"/>
      <c r="AT70" s="21">
        <v>4036.16</v>
      </c>
      <c r="AU70" s="6"/>
      <c r="AV70" s="5"/>
      <c r="AW70" s="1"/>
      <c r="AX70" s="21">
        <v>5150.45</v>
      </c>
      <c r="AY70" s="1"/>
      <c r="AZ70" s="1"/>
      <c r="BA70" s="1"/>
      <c r="BB70" s="16">
        <f>E70+I70+N70+R70+V70+Z70+AD70+AH70+AL70+AP70+AT70+AX70</f>
        <v>47575.71000000001</v>
      </c>
    </row>
    <row r="71" spans="1:54" ht="12.75">
      <c r="A71" s="1" t="s">
        <v>12</v>
      </c>
      <c r="B71" s="1"/>
      <c r="C71" s="1"/>
      <c r="D71" s="1"/>
      <c r="E71" s="21">
        <f>SUM(E67:E70)</f>
        <v>62453.71000000001</v>
      </c>
      <c r="F71" s="6"/>
      <c r="G71" s="5"/>
      <c r="H71" s="1"/>
      <c r="I71" s="21">
        <f>SUM(I67:I70)</f>
        <v>65106.76</v>
      </c>
      <c r="J71" s="6"/>
      <c r="K71" s="5"/>
      <c r="L71" s="5"/>
      <c r="M71" s="1"/>
      <c r="N71" s="21">
        <f>SUM(N67:N70)</f>
        <v>66188.35</v>
      </c>
      <c r="O71" s="6"/>
      <c r="P71" s="5"/>
      <c r="Q71" s="1"/>
      <c r="R71" s="21">
        <f>SUM(R67:R70)</f>
        <v>71430.15999999999</v>
      </c>
      <c r="S71" s="6"/>
      <c r="T71" s="5"/>
      <c r="U71" s="1"/>
      <c r="V71" s="21">
        <f>SUM(V67:V70)</f>
        <v>57320.45</v>
      </c>
      <c r="W71" s="6"/>
      <c r="X71" s="5"/>
      <c r="Y71" s="1"/>
      <c r="Z71" s="21">
        <f>SUM(Z67:Z70)</f>
        <v>58027.67</v>
      </c>
      <c r="AA71" s="6"/>
      <c r="AB71" s="5"/>
      <c r="AC71" s="1"/>
      <c r="AD71" s="21">
        <f>SUM(AD67:AD70)</f>
        <v>72574.2</v>
      </c>
      <c r="AE71" s="6"/>
      <c r="AF71" s="5"/>
      <c r="AG71" s="1"/>
      <c r="AH71" s="21">
        <f>SUM(AH67:AH70)</f>
        <v>68451.44</v>
      </c>
      <c r="AI71" s="6"/>
      <c r="AJ71" s="5"/>
      <c r="AK71" s="1"/>
      <c r="AL71" s="21">
        <f>SUM(AL67:AL70)</f>
        <v>72929.19</v>
      </c>
      <c r="AM71" s="6"/>
      <c r="AN71" s="5"/>
      <c r="AO71" s="1"/>
      <c r="AP71" s="21">
        <f>SUM(AP67:AP70)</f>
        <v>61486.82</v>
      </c>
      <c r="AQ71" s="6"/>
      <c r="AR71" s="5"/>
      <c r="AS71" s="1"/>
      <c r="AT71" s="21">
        <f>SUM(AT67:AT70)</f>
        <v>61858.45</v>
      </c>
      <c r="AU71" s="6"/>
      <c r="AV71" s="5"/>
      <c r="AW71" s="1"/>
      <c r="AX71" s="21">
        <f>SUM(AX67:AX70)</f>
        <v>64220.33</v>
      </c>
      <c r="AY71" s="1"/>
      <c r="AZ71" s="1"/>
      <c r="BA71" s="1"/>
      <c r="BB71" s="20">
        <f>SUM(BB67:BB70)</f>
        <v>782047.5299999999</v>
      </c>
    </row>
    <row r="72" spans="1:54" ht="12.75">
      <c r="A72" s="1"/>
      <c r="B72" s="9" t="s">
        <v>3</v>
      </c>
      <c r="C72" s="9" t="s">
        <v>6</v>
      </c>
      <c r="D72" s="9" t="s">
        <v>4</v>
      </c>
      <c r="E72" s="9" t="s">
        <v>5</v>
      </c>
      <c r="F72" s="10" t="s">
        <v>3</v>
      </c>
      <c r="G72" s="11" t="s">
        <v>6</v>
      </c>
      <c r="H72" s="9" t="s">
        <v>4</v>
      </c>
      <c r="I72" s="9" t="s">
        <v>5</v>
      </c>
      <c r="J72" s="10" t="s">
        <v>3</v>
      </c>
      <c r="K72" s="11" t="s">
        <v>6</v>
      </c>
      <c r="L72" s="11"/>
      <c r="M72" s="9" t="s">
        <v>4</v>
      </c>
      <c r="N72" s="9" t="s">
        <v>5</v>
      </c>
      <c r="O72" s="10" t="s">
        <v>3</v>
      </c>
      <c r="P72" s="11" t="s">
        <v>6</v>
      </c>
      <c r="Q72" s="9" t="s">
        <v>4</v>
      </c>
      <c r="R72" s="9" t="s">
        <v>5</v>
      </c>
      <c r="S72" s="10" t="s">
        <v>3</v>
      </c>
      <c r="T72" s="11" t="s">
        <v>6</v>
      </c>
      <c r="U72" s="9" t="s">
        <v>4</v>
      </c>
      <c r="V72" s="9" t="s">
        <v>5</v>
      </c>
      <c r="W72" s="6"/>
      <c r="X72" s="11" t="s">
        <v>6</v>
      </c>
      <c r="Y72" s="9" t="s">
        <v>4</v>
      </c>
      <c r="Z72" s="9" t="s">
        <v>5</v>
      </c>
      <c r="AA72" s="10" t="s">
        <v>3</v>
      </c>
      <c r="AB72" s="11" t="s">
        <v>6</v>
      </c>
      <c r="AC72" s="9" t="s">
        <v>4</v>
      </c>
      <c r="AD72" s="9" t="s">
        <v>5</v>
      </c>
      <c r="AE72" s="10" t="s">
        <v>3</v>
      </c>
      <c r="AF72" s="11" t="s">
        <v>6</v>
      </c>
      <c r="AG72" s="9" t="s">
        <v>4</v>
      </c>
      <c r="AH72" s="9" t="s">
        <v>5</v>
      </c>
      <c r="AI72" s="10" t="s">
        <v>3</v>
      </c>
      <c r="AJ72" s="11" t="s">
        <v>6</v>
      </c>
      <c r="AK72" s="9" t="s">
        <v>4</v>
      </c>
      <c r="AL72" s="9" t="s">
        <v>5</v>
      </c>
      <c r="AM72" s="10" t="s">
        <v>3</v>
      </c>
      <c r="AN72" s="11" t="s">
        <v>6</v>
      </c>
      <c r="AO72" s="9" t="s">
        <v>4</v>
      </c>
      <c r="AP72" s="9" t="s">
        <v>5</v>
      </c>
      <c r="AQ72" s="10" t="s">
        <v>3</v>
      </c>
      <c r="AR72" s="11" t="s">
        <v>6</v>
      </c>
      <c r="AS72" s="9" t="s">
        <v>4</v>
      </c>
      <c r="AT72" s="9" t="s">
        <v>5</v>
      </c>
      <c r="AU72" s="10" t="s">
        <v>3</v>
      </c>
      <c r="AV72" s="11" t="s">
        <v>6</v>
      </c>
      <c r="AW72" s="9" t="s">
        <v>4</v>
      </c>
      <c r="AX72" s="9" t="s">
        <v>5</v>
      </c>
      <c r="AY72" s="9" t="s">
        <v>3</v>
      </c>
      <c r="AZ72" s="9" t="s">
        <v>6</v>
      </c>
      <c r="BA72" s="9" t="s">
        <v>4</v>
      </c>
      <c r="BB72" s="9" t="s">
        <v>5</v>
      </c>
    </row>
    <row r="73" spans="1:54" ht="12.75">
      <c r="A73" s="1" t="s">
        <v>58</v>
      </c>
      <c r="B73" s="9" t="s">
        <v>24</v>
      </c>
      <c r="C73" s="1"/>
      <c r="D73" s="1"/>
      <c r="E73" s="1"/>
      <c r="F73" s="10" t="s">
        <v>24</v>
      </c>
      <c r="G73" s="5"/>
      <c r="H73" s="1"/>
      <c r="I73" s="1"/>
      <c r="J73" s="10" t="s">
        <v>24</v>
      </c>
      <c r="K73" s="5"/>
      <c r="L73" s="5"/>
      <c r="M73" s="1"/>
      <c r="N73" s="1"/>
      <c r="O73" s="10" t="s">
        <v>24</v>
      </c>
      <c r="P73" s="5"/>
      <c r="Q73" s="1"/>
      <c r="R73" s="1"/>
      <c r="S73" s="10" t="s">
        <v>24</v>
      </c>
      <c r="T73" s="5"/>
      <c r="U73" s="1"/>
      <c r="V73" s="1"/>
      <c r="W73" s="6"/>
      <c r="X73" s="5"/>
      <c r="Y73" s="1"/>
      <c r="Z73" s="1"/>
      <c r="AA73" s="10" t="s">
        <v>24</v>
      </c>
      <c r="AB73" s="5"/>
      <c r="AC73" s="1"/>
      <c r="AD73" s="1"/>
      <c r="AE73" s="10" t="s">
        <v>24</v>
      </c>
      <c r="AF73" s="5"/>
      <c r="AG73" s="1"/>
      <c r="AH73" s="1"/>
      <c r="AI73" s="10" t="s">
        <v>24</v>
      </c>
      <c r="AJ73" s="5"/>
      <c r="AK73" s="1"/>
      <c r="AL73" s="1"/>
      <c r="AM73" s="10" t="s">
        <v>24</v>
      </c>
      <c r="AN73" s="5"/>
      <c r="AO73" s="1"/>
      <c r="AP73" s="1"/>
      <c r="AQ73" s="10" t="s">
        <v>24</v>
      </c>
      <c r="AR73" s="5"/>
      <c r="AS73" s="1"/>
      <c r="AT73" s="1"/>
      <c r="AU73" s="10" t="s">
        <v>24</v>
      </c>
      <c r="AV73" s="5"/>
      <c r="AW73" s="1"/>
      <c r="AX73" s="1"/>
      <c r="AY73" s="9" t="s">
        <v>24</v>
      </c>
      <c r="AZ73" s="1"/>
      <c r="BA73" s="1"/>
      <c r="BB73" s="1"/>
    </row>
    <row r="74" spans="1:54" ht="12.75">
      <c r="A74" s="26" t="s">
        <v>47</v>
      </c>
      <c r="B74" s="12">
        <v>6</v>
      </c>
      <c r="C74" s="1"/>
      <c r="D74" s="12"/>
      <c r="E74" s="12"/>
      <c r="F74" s="14">
        <f>B74</f>
        <v>6</v>
      </c>
      <c r="G74" s="5"/>
      <c r="H74" s="1"/>
      <c r="I74" s="12"/>
      <c r="J74" s="14">
        <f>F74</f>
        <v>6</v>
      </c>
      <c r="K74" s="5"/>
      <c r="L74" s="5"/>
      <c r="M74" s="1"/>
      <c r="N74" s="12"/>
      <c r="O74" s="14">
        <f>J74</f>
        <v>6</v>
      </c>
      <c r="P74" s="5"/>
      <c r="Q74" s="1"/>
      <c r="R74" s="12"/>
      <c r="S74" s="14">
        <f>O74</f>
        <v>6</v>
      </c>
      <c r="T74" s="5"/>
      <c r="U74" s="1"/>
      <c r="V74" s="12"/>
      <c r="W74" s="14">
        <f>S74</f>
        <v>6</v>
      </c>
      <c r="X74" s="5"/>
      <c r="Y74" s="1"/>
      <c r="Z74" s="12"/>
      <c r="AA74" s="14">
        <f>W74</f>
        <v>6</v>
      </c>
      <c r="AB74" s="5"/>
      <c r="AC74" s="1"/>
      <c r="AD74" s="12"/>
      <c r="AE74" s="14">
        <f>AA74</f>
        <v>6</v>
      </c>
      <c r="AF74" s="5"/>
      <c r="AG74" s="1"/>
      <c r="AH74" s="12"/>
      <c r="AI74" s="14">
        <f>AE74</f>
        <v>6</v>
      </c>
      <c r="AJ74" s="5"/>
      <c r="AK74" s="1"/>
      <c r="AL74" s="12"/>
      <c r="AM74" s="14">
        <f>AI74</f>
        <v>6</v>
      </c>
      <c r="AN74" s="5"/>
      <c r="AO74" s="1"/>
      <c r="AP74" s="12"/>
      <c r="AQ74" s="14">
        <f>AM74</f>
        <v>6</v>
      </c>
      <c r="AR74" s="5"/>
      <c r="AS74" s="1"/>
      <c r="AT74" s="12"/>
      <c r="AU74" s="14">
        <f>AQ74</f>
        <v>6</v>
      </c>
      <c r="AV74" s="5"/>
      <c r="AW74" s="1"/>
      <c r="AX74" s="12"/>
      <c r="AY74" s="12">
        <f>AU74</f>
        <v>6</v>
      </c>
      <c r="AZ74" s="1"/>
      <c r="BA74" s="1"/>
      <c r="BB74" s="1"/>
    </row>
    <row r="75" spans="1:54" ht="12.75">
      <c r="A75" s="1" t="s">
        <v>10</v>
      </c>
      <c r="B75" s="1"/>
      <c r="C75" s="5">
        <f>D75/70</f>
        <v>8517</v>
      </c>
      <c r="D75" s="5">
        <v>596190</v>
      </c>
      <c r="E75" s="21">
        <f>51465.41-363.41</f>
        <v>51102</v>
      </c>
      <c r="F75" s="5"/>
      <c r="G75" s="5">
        <f>H75/70</f>
        <v>8508</v>
      </c>
      <c r="H75" s="5">
        <v>595560</v>
      </c>
      <c r="I75" s="21">
        <f>51459.76-618.98</f>
        <v>50840.78</v>
      </c>
      <c r="J75" s="5"/>
      <c r="K75" s="5">
        <f>M75/70</f>
        <v>8538</v>
      </c>
      <c r="L75" s="5"/>
      <c r="M75" s="5">
        <v>597660</v>
      </c>
      <c r="N75" s="21">
        <f>51651.06+103.96</f>
        <v>51755.02</v>
      </c>
      <c r="O75" s="5"/>
      <c r="P75" s="5">
        <f>Q75/70</f>
        <v>8528</v>
      </c>
      <c r="Q75" s="5">
        <v>596960</v>
      </c>
      <c r="R75" s="21">
        <f>51594.61+176.03</f>
        <v>51770.64</v>
      </c>
      <c r="S75" s="5"/>
      <c r="T75" s="5">
        <f>U75/70</f>
        <v>8548</v>
      </c>
      <c r="U75" s="5">
        <v>598360</v>
      </c>
      <c r="V75" s="21">
        <f>51690.96-482.26</f>
        <v>51208.7</v>
      </c>
      <c r="W75" s="5"/>
      <c r="X75" s="5">
        <f>Y75/70</f>
        <v>8509</v>
      </c>
      <c r="Y75" s="5">
        <v>595630</v>
      </c>
      <c r="Z75" s="21">
        <f>51485.56-74.65</f>
        <v>51410.909999999996</v>
      </c>
      <c r="AA75" s="5"/>
      <c r="AB75" s="5">
        <f>AC75/70</f>
        <v>8576</v>
      </c>
      <c r="AC75" s="5">
        <v>600320</v>
      </c>
      <c r="AD75" s="21">
        <f>51893.91+182.69</f>
        <v>52076.600000000006</v>
      </c>
      <c r="AE75" s="5"/>
      <c r="AF75" s="5">
        <f>AG75/70</f>
        <v>8602</v>
      </c>
      <c r="AG75" s="5">
        <v>602140</v>
      </c>
      <c r="AH75" s="21">
        <f>52047.81-36.22</f>
        <v>52011.59</v>
      </c>
      <c r="AI75" s="5"/>
      <c r="AJ75" s="5">
        <f>AK75/70</f>
        <v>8556.8</v>
      </c>
      <c r="AK75" s="5">
        <v>598976</v>
      </c>
      <c r="AL75" s="21">
        <f>51781.66-680.35</f>
        <v>51101.310000000005</v>
      </c>
      <c r="AM75" s="5"/>
      <c r="AN75" s="5">
        <f>AO75/70</f>
        <v>8660</v>
      </c>
      <c r="AO75" s="5">
        <v>606200</v>
      </c>
      <c r="AP75" s="21">
        <v>52389.81</v>
      </c>
      <c r="AQ75" s="5"/>
      <c r="AR75" s="5">
        <f>AS75/70</f>
        <v>8646</v>
      </c>
      <c r="AS75" s="5">
        <v>605220</v>
      </c>
      <c r="AT75" s="21">
        <f>52317.81+219.75</f>
        <v>52537.56</v>
      </c>
      <c r="AU75" s="5"/>
      <c r="AV75" s="5">
        <f>AW75/70</f>
        <v>8670</v>
      </c>
      <c r="AW75" s="5">
        <v>606900</v>
      </c>
      <c r="AX75" s="21">
        <f>52419.81-404.05</f>
        <v>52015.759999999995</v>
      </c>
      <c r="AY75" s="27"/>
      <c r="AZ75" s="16">
        <f>C75+G75+K75+P75+T75+X75+AB75+AF75+AJ75+AN75+AR75+AV75</f>
        <v>102858.8</v>
      </c>
      <c r="BA75" s="16">
        <f>D75+H75+M75+Q75+U75+Y75+AC75+AG75+AK75+AO75+AS75+AW75</f>
        <v>7200116</v>
      </c>
      <c r="BB75" s="16">
        <f>E75+I75+N75+R75+V75+Z75+AD75+AH75+AL75+AP75+AT75+AX75</f>
        <v>620220.6799999999</v>
      </c>
    </row>
    <row r="76" spans="1:54" ht="12.75">
      <c r="A76" s="1" t="s">
        <v>11</v>
      </c>
      <c r="B76" s="1"/>
      <c r="C76" s="1"/>
      <c r="D76" s="1"/>
      <c r="E76" s="21">
        <v>3232.13</v>
      </c>
      <c r="F76" s="6"/>
      <c r="G76" s="5"/>
      <c r="H76" s="1"/>
      <c r="I76" s="21">
        <v>7072.27</v>
      </c>
      <c r="J76" s="6"/>
      <c r="K76" s="5"/>
      <c r="L76" s="5"/>
      <c r="M76" s="1"/>
      <c r="N76" s="21">
        <v>6580.73</v>
      </c>
      <c r="O76" s="6"/>
      <c r="P76" s="5"/>
      <c r="Q76" s="1"/>
      <c r="R76" s="21">
        <v>5715.56</v>
      </c>
      <c r="S76" s="6"/>
      <c r="T76" s="5"/>
      <c r="U76" s="1"/>
      <c r="V76" s="21">
        <v>2730.67</v>
      </c>
      <c r="W76" s="6"/>
      <c r="X76" s="5"/>
      <c r="Y76" s="1"/>
      <c r="Z76" s="21">
        <v>6556.85</v>
      </c>
      <c r="AA76" s="6"/>
      <c r="AB76" s="5"/>
      <c r="AC76" s="1"/>
      <c r="AD76" s="21">
        <v>5405.18</v>
      </c>
      <c r="AE76" s="6"/>
      <c r="AF76" s="5"/>
      <c r="AG76" s="1"/>
      <c r="AH76" s="21">
        <v>4472.88</v>
      </c>
      <c r="AI76" s="6"/>
      <c r="AJ76" s="5"/>
      <c r="AK76" s="1"/>
      <c r="AL76" s="21">
        <v>5050.04</v>
      </c>
      <c r="AM76" s="6"/>
      <c r="AN76" s="5"/>
      <c r="AO76" s="1"/>
      <c r="AP76" s="21">
        <v>6058.85</v>
      </c>
      <c r="AQ76" s="6"/>
      <c r="AR76" s="5"/>
      <c r="AS76" s="1"/>
      <c r="AT76" s="21">
        <v>4581.68</v>
      </c>
      <c r="AU76" s="6"/>
      <c r="AV76" s="5"/>
      <c r="AW76" s="1"/>
      <c r="AX76" s="21">
        <v>2336.62</v>
      </c>
      <c r="AY76" s="1"/>
      <c r="AZ76" s="1"/>
      <c r="BA76" s="1"/>
      <c r="BB76" s="16">
        <f>E76+I76+N76+R76+V76+Z76+AD76+AH76+AL76+AP76+AT76+AX76</f>
        <v>59793.46</v>
      </c>
    </row>
    <row r="77" spans="1:54" ht="12.75">
      <c r="A77" s="1" t="s">
        <v>61</v>
      </c>
      <c r="B77" s="1"/>
      <c r="C77" s="1"/>
      <c r="D77" s="12"/>
      <c r="E77" s="21">
        <f>(3232.13/(3232.13+576.24))*680.18+15.04</f>
        <v>592.30276160142</v>
      </c>
      <c r="F77" s="6"/>
      <c r="G77" s="5"/>
      <c r="H77" s="12"/>
      <c r="I77" s="21">
        <v>841.41</v>
      </c>
      <c r="J77" s="6"/>
      <c r="K77" s="5"/>
      <c r="L77" s="5"/>
      <c r="M77" s="12"/>
      <c r="N77" s="21">
        <v>99.11537199999704</v>
      </c>
      <c r="O77" s="6"/>
      <c r="P77" s="5"/>
      <c r="Q77" s="12"/>
      <c r="R77" s="21">
        <v>37.32</v>
      </c>
      <c r="S77" s="6"/>
      <c r="T77" s="5"/>
      <c r="U77" s="12"/>
      <c r="V77" s="21">
        <v>593.62</v>
      </c>
      <c r="W77" s="6"/>
      <c r="X77" s="5"/>
      <c r="Y77" s="12"/>
      <c r="Z77" s="21">
        <v>234.99</v>
      </c>
      <c r="AA77" s="6"/>
      <c r="AB77" s="5"/>
      <c r="AC77" s="12"/>
      <c r="AD77" s="21">
        <v>0</v>
      </c>
      <c r="AE77" s="6"/>
      <c r="AF77" s="5"/>
      <c r="AG77" s="12"/>
      <c r="AH77" s="21">
        <v>227.16</v>
      </c>
      <c r="AI77" s="6"/>
      <c r="AJ77" s="5"/>
      <c r="AK77" s="12"/>
      <c r="AL77" s="21">
        <v>867.41</v>
      </c>
      <c r="AM77" s="6"/>
      <c r="AN77" s="5"/>
      <c r="AO77" s="12"/>
      <c r="AP77" s="21">
        <f>5244.37-5063.79</f>
        <v>180.57999999999993</v>
      </c>
      <c r="AQ77" s="6"/>
      <c r="AR77" s="5"/>
      <c r="AS77" s="12"/>
      <c r="AT77" s="21">
        <v>0</v>
      </c>
      <c r="AU77" s="6"/>
      <c r="AV77" s="5"/>
      <c r="AW77" s="12"/>
      <c r="AX77" s="21">
        <v>667.39</v>
      </c>
      <c r="AY77" s="1"/>
      <c r="AZ77" s="1"/>
      <c r="BA77" s="1"/>
      <c r="BB77" s="16">
        <f>E77+I77+N77+R77+V77+Z77+AD77+AH77+AL77+AP77+AT77+AX77</f>
        <v>4341.298133601417</v>
      </c>
    </row>
    <row r="78" spans="1:54" ht="12.75">
      <c r="A78" s="1" t="s">
        <v>12</v>
      </c>
      <c r="B78" s="1"/>
      <c r="C78" s="1"/>
      <c r="D78" s="12"/>
      <c r="E78" s="21">
        <f>SUM(E75:E77)</f>
        <v>54926.43276160142</v>
      </c>
      <c r="F78" s="6"/>
      <c r="G78" s="5"/>
      <c r="H78" s="12"/>
      <c r="I78" s="21">
        <f>SUM(I75:I77)</f>
        <v>58754.46000000001</v>
      </c>
      <c r="J78" s="6"/>
      <c r="K78" s="5"/>
      <c r="L78" s="5"/>
      <c r="M78" s="12"/>
      <c r="N78" s="21">
        <f>SUM(N75:N77)</f>
        <v>58434.865372</v>
      </c>
      <c r="O78" s="6"/>
      <c r="P78" s="5"/>
      <c r="Q78" s="12"/>
      <c r="R78" s="21">
        <f>SUM(R75:R77)</f>
        <v>57523.52</v>
      </c>
      <c r="S78" s="6"/>
      <c r="T78" s="5"/>
      <c r="U78" s="1"/>
      <c r="V78" s="21">
        <f>SUM(V75:V77)</f>
        <v>54532.99</v>
      </c>
      <c r="W78" s="6"/>
      <c r="X78" s="5"/>
      <c r="Y78" s="1"/>
      <c r="Z78" s="21">
        <f>SUM(Z75:Z77)</f>
        <v>58202.74999999999</v>
      </c>
      <c r="AA78" s="6"/>
      <c r="AB78" s="5"/>
      <c r="AC78" s="1"/>
      <c r="AD78" s="21">
        <f>SUM(AD75:AD77)</f>
        <v>57481.780000000006</v>
      </c>
      <c r="AE78" s="6"/>
      <c r="AF78" s="5"/>
      <c r="AG78" s="1"/>
      <c r="AH78" s="21">
        <f>SUM(AH75:AH77)</f>
        <v>56711.63</v>
      </c>
      <c r="AI78" s="6"/>
      <c r="AJ78" s="5"/>
      <c r="AK78" s="1"/>
      <c r="AL78" s="21">
        <f>SUM(AL75:AL77)</f>
        <v>57018.76000000001</v>
      </c>
      <c r="AM78" s="6"/>
      <c r="AN78" s="5"/>
      <c r="AO78" s="1"/>
      <c r="AP78" s="21">
        <f>SUM(AP75:AP77)</f>
        <v>58629.24</v>
      </c>
      <c r="AQ78" s="6"/>
      <c r="AR78" s="5"/>
      <c r="AS78" s="1"/>
      <c r="AT78" s="21">
        <f>SUM(AT75:AT77)</f>
        <v>57119.24</v>
      </c>
      <c r="AU78" s="6"/>
      <c r="AV78" s="5"/>
      <c r="AW78" s="1"/>
      <c r="AX78" s="21">
        <f>SUM(AX75:AX77)</f>
        <v>55019.77</v>
      </c>
      <c r="AY78" s="1"/>
      <c r="AZ78" s="1"/>
      <c r="BA78" s="1"/>
      <c r="BB78" s="20">
        <f>SUM(BB75:BB77)</f>
        <v>684355.4381336013</v>
      </c>
    </row>
    <row r="79" spans="1:54" ht="12.75">
      <c r="A79" s="1"/>
      <c r="B79" s="9" t="s">
        <v>3</v>
      </c>
      <c r="C79" s="9" t="s">
        <v>6</v>
      </c>
      <c r="D79" s="9" t="s">
        <v>4</v>
      </c>
      <c r="E79" s="9" t="s">
        <v>5</v>
      </c>
      <c r="F79" s="10" t="s">
        <v>3</v>
      </c>
      <c r="G79" s="11" t="s">
        <v>6</v>
      </c>
      <c r="H79" s="9" t="s">
        <v>4</v>
      </c>
      <c r="I79" s="9" t="s">
        <v>5</v>
      </c>
      <c r="J79" s="10" t="s">
        <v>3</v>
      </c>
      <c r="K79" s="11" t="s">
        <v>6</v>
      </c>
      <c r="L79" s="11"/>
      <c r="M79" s="9" t="s">
        <v>4</v>
      </c>
      <c r="N79" s="9" t="s">
        <v>5</v>
      </c>
      <c r="O79" s="10" t="s">
        <v>3</v>
      </c>
      <c r="P79" s="11" t="s">
        <v>6</v>
      </c>
      <c r="Q79" s="9" t="s">
        <v>4</v>
      </c>
      <c r="R79" s="9" t="s">
        <v>5</v>
      </c>
      <c r="S79" s="10" t="s">
        <v>3</v>
      </c>
      <c r="T79" s="11" t="s">
        <v>6</v>
      </c>
      <c r="U79" s="9" t="s">
        <v>4</v>
      </c>
      <c r="V79" s="9" t="s">
        <v>5</v>
      </c>
      <c r="W79" s="10" t="s">
        <v>3</v>
      </c>
      <c r="X79" s="11" t="s">
        <v>6</v>
      </c>
      <c r="Y79" s="9" t="s">
        <v>4</v>
      </c>
      <c r="Z79" s="9" t="s">
        <v>5</v>
      </c>
      <c r="AA79" s="10" t="s">
        <v>3</v>
      </c>
      <c r="AB79" s="11" t="s">
        <v>6</v>
      </c>
      <c r="AC79" s="9" t="s">
        <v>4</v>
      </c>
      <c r="AD79" s="9" t="s">
        <v>5</v>
      </c>
      <c r="AE79" s="10" t="s">
        <v>3</v>
      </c>
      <c r="AF79" s="11" t="s">
        <v>6</v>
      </c>
      <c r="AG79" s="9" t="s">
        <v>4</v>
      </c>
      <c r="AH79" s="9" t="s">
        <v>5</v>
      </c>
      <c r="AI79" s="10" t="s">
        <v>3</v>
      </c>
      <c r="AJ79" s="11" t="s">
        <v>6</v>
      </c>
      <c r="AK79" s="9" t="s">
        <v>4</v>
      </c>
      <c r="AL79" s="9" t="s">
        <v>5</v>
      </c>
      <c r="AM79" s="10" t="s">
        <v>3</v>
      </c>
      <c r="AN79" s="11" t="s">
        <v>6</v>
      </c>
      <c r="AO79" s="9" t="s">
        <v>4</v>
      </c>
      <c r="AP79" s="9" t="s">
        <v>5</v>
      </c>
      <c r="AQ79" s="10" t="s">
        <v>3</v>
      </c>
      <c r="AR79" s="11" t="s">
        <v>6</v>
      </c>
      <c r="AS79" s="9" t="s">
        <v>4</v>
      </c>
      <c r="AT79" s="9" t="s">
        <v>5</v>
      </c>
      <c r="AU79" s="10" t="s">
        <v>3</v>
      </c>
      <c r="AV79" s="11" t="s">
        <v>6</v>
      </c>
      <c r="AW79" s="9" t="s">
        <v>4</v>
      </c>
      <c r="AX79" s="9" t="s">
        <v>5</v>
      </c>
      <c r="AY79" s="9" t="s">
        <v>3</v>
      </c>
      <c r="AZ79" s="9" t="s">
        <v>6</v>
      </c>
      <c r="BA79" s="9" t="s">
        <v>4</v>
      </c>
      <c r="BB79" s="9" t="s">
        <v>5</v>
      </c>
    </row>
    <row r="80" spans="1:54" ht="12.75">
      <c r="A80" s="1" t="s">
        <v>23</v>
      </c>
      <c r="B80" s="9" t="s">
        <v>24</v>
      </c>
      <c r="C80" s="1"/>
      <c r="D80" s="1"/>
      <c r="E80" s="1"/>
      <c r="F80" s="10" t="s">
        <v>24</v>
      </c>
      <c r="G80" s="5"/>
      <c r="H80" s="1"/>
      <c r="I80" s="1"/>
      <c r="J80" s="10" t="s">
        <v>24</v>
      </c>
      <c r="K80" s="5"/>
      <c r="L80" s="5"/>
      <c r="M80" s="1"/>
      <c r="N80" s="1"/>
      <c r="O80" s="10" t="s">
        <v>24</v>
      </c>
      <c r="P80" s="5"/>
      <c r="Q80" s="1"/>
      <c r="R80" s="1"/>
      <c r="S80" s="10" t="s">
        <v>24</v>
      </c>
      <c r="T80" s="5"/>
      <c r="U80" s="1"/>
      <c r="V80" s="1"/>
      <c r="W80" s="10" t="s">
        <v>24</v>
      </c>
      <c r="X80" s="5"/>
      <c r="Y80" s="1"/>
      <c r="Z80" s="1"/>
      <c r="AA80" s="10" t="s">
        <v>24</v>
      </c>
      <c r="AB80" s="5"/>
      <c r="AC80" s="1"/>
      <c r="AD80" s="1"/>
      <c r="AE80" s="10" t="s">
        <v>24</v>
      </c>
      <c r="AF80" s="5"/>
      <c r="AG80" s="1"/>
      <c r="AH80" s="1"/>
      <c r="AI80" s="10" t="s">
        <v>24</v>
      </c>
      <c r="AJ80" s="5"/>
      <c r="AK80" s="1"/>
      <c r="AL80" s="1"/>
      <c r="AM80" s="10" t="s">
        <v>24</v>
      </c>
      <c r="AN80" s="5"/>
      <c r="AO80" s="1"/>
      <c r="AP80" s="1"/>
      <c r="AQ80" s="10" t="s">
        <v>24</v>
      </c>
      <c r="AR80" s="5"/>
      <c r="AS80" s="1"/>
      <c r="AT80" s="1"/>
      <c r="AU80" s="10" t="s">
        <v>24</v>
      </c>
      <c r="AV80" s="5"/>
      <c r="AW80" s="1"/>
      <c r="AX80" s="1"/>
      <c r="AY80" s="9" t="s">
        <v>24</v>
      </c>
      <c r="AZ80" s="1"/>
      <c r="BA80" s="1"/>
      <c r="BB80" s="1"/>
    </row>
    <row r="81" spans="1:54" ht="12.75">
      <c r="A81" s="1" t="s">
        <v>25</v>
      </c>
      <c r="B81" s="27">
        <f>66.12/12</f>
        <v>5.510000000000001</v>
      </c>
      <c r="C81" s="1"/>
      <c r="D81" s="1">
        <v>0</v>
      </c>
      <c r="E81" s="1"/>
      <c r="F81" s="28">
        <f>B81</f>
        <v>5.510000000000001</v>
      </c>
      <c r="G81" s="5"/>
      <c r="H81" s="1">
        <v>0</v>
      </c>
      <c r="I81" s="1"/>
      <c r="J81" s="28">
        <f>F81</f>
        <v>5.510000000000001</v>
      </c>
      <c r="K81" s="5"/>
      <c r="L81" s="5"/>
      <c r="M81" s="1">
        <v>0</v>
      </c>
      <c r="N81" s="1"/>
      <c r="O81" s="28">
        <f>J81</f>
        <v>5.510000000000001</v>
      </c>
      <c r="P81" s="5"/>
      <c r="Q81" s="1">
        <v>0</v>
      </c>
      <c r="R81" s="1"/>
      <c r="S81" s="28">
        <f>O81</f>
        <v>5.510000000000001</v>
      </c>
      <c r="T81" s="5"/>
      <c r="U81" s="1">
        <v>0</v>
      </c>
      <c r="V81" s="1"/>
      <c r="W81" s="28">
        <f>S81</f>
        <v>5.510000000000001</v>
      </c>
      <c r="X81" s="5"/>
      <c r="Y81" s="1">
        <v>0</v>
      </c>
      <c r="Z81" s="1"/>
      <c r="AA81" s="28">
        <f>W81</f>
        <v>5.510000000000001</v>
      </c>
      <c r="AB81" s="5"/>
      <c r="AC81" s="1">
        <v>0</v>
      </c>
      <c r="AD81" s="1"/>
      <c r="AE81" s="28">
        <f>AA81</f>
        <v>5.510000000000001</v>
      </c>
      <c r="AF81" s="5"/>
      <c r="AG81" s="1">
        <v>0</v>
      </c>
      <c r="AH81" s="1"/>
      <c r="AI81" s="28">
        <f>AE81</f>
        <v>5.510000000000001</v>
      </c>
      <c r="AJ81" s="5"/>
      <c r="AK81" s="1">
        <v>0</v>
      </c>
      <c r="AL81" s="1"/>
      <c r="AM81" s="28">
        <f>AI81</f>
        <v>5.510000000000001</v>
      </c>
      <c r="AN81" s="5"/>
      <c r="AO81" s="1">
        <v>0</v>
      </c>
      <c r="AP81" s="1"/>
      <c r="AQ81" s="28">
        <f>AM81</f>
        <v>5.510000000000001</v>
      </c>
      <c r="AR81" s="5"/>
      <c r="AS81" s="1">
        <v>0</v>
      </c>
      <c r="AT81" s="1"/>
      <c r="AU81" s="28">
        <f>AQ81</f>
        <v>5.510000000000001</v>
      </c>
      <c r="AV81" s="5"/>
      <c r="AW81" s="1">
        <v>0</v>
      </c>
      <c r="AX81" s="1"/>
      <c r="AY81" s="27">
        <f>AU81</f>
        <v>5.510000000000001</v>
      </c>
      <c r="AZ81" s="16">
        <f>D81+H81+M81+Q81+U81+Y81+AC81+AG81+AK81+AO81+AS81+AW81</f>
        <v>0</v>
      </c>
      <c r="BA81" s="16">
        <f>C81+G81+K81+P81+T81+X81+AB81+AF81+AJ81+AN81+AR81+AV81</f>
        <v>0</v>
      </c>
      <c r="BB81" s="16">
        <f>E81+I81+N81+R81+V81+Z81+AD81+AH81+AL81+AP81+AT81+AX81</f>
        <v>0</v>
      </c>
    </row>
    <row r="82" spans="1:54" ht="12.75">
      <c r="A82" s="1" t="s">
        <v>26</v>
      </c>
      <c r="B82" s="27">
        <f>85.15/12</f>
        <v>7.095833333333334</v>
      </c>
      <c r="C82" s="1"/>
      <c r="D82" s="1">
        <v>0</v>
      </c>
      <c r="E82" s="1"/>
      <c r="F82" s="28">
        <f>B82</f>
        <v>7.095833333333334</v>
      </c>
      <c r="G82" s="5"/>
      <c r="H82" s="1">
        <v>0</v>
      </c>
      <c r="I82" s="1"/>
      <c r="J82" s="28">
        <f>F82</f>
        <v>7.095833333333334</v>
      </c>
      <c r="K82" s="5"/>
      <c r="L82" s="5"/>
      <c r="M82" s="1">
        <v>0</v>
      </c>
      <c r="N82" s="1"/>
      <c r="O82" s="28">
        <f>J82</f>
        <v>7.095833333333334</v>
      </c>
      <c r="P82" s="5"/>
      <c r="Q82" s="1">
        <v>0</v>
      </c>
      <c r="R82" s="1"/>
      <c r="S82" s="28">
        <f>O82</f>
        <v>7.095833333333334</v>
      </c>
      <c r="T82" s="5"/>
      <c r="U82" s="1">
        <v>0</v>
      </c>
      <c r="V82" s="1"/>
      <c r="W82" s="28">
        <f>S82</f>
        <v>7.095833333333334</v>
      </c>
      <c r="X82" s="5"/>
      <c r="Y82" s="1">
        <v>0</v>
      </c>
      <c r="Z82" s="1"/>
      <c r="AA82" s="28">
        <f>W82</f>
        <v>7.095833333333334</v>
      </c>
      <c r="AB82" s="5"/>
      <c r="AC82" s="1">
        <v>0</v>
      </c>
      <c r="AD82" s="1"/>
      <c r="AE82" s="28">
        <f>AA82</f>
        <v>7.095833333333334</v>
      </c>
      <c r="AF82" s="5"/>
      <c r="AG82" s="1">
        <v>0</v>
      </c>
      <c r="AH82" s="1"/>
      <c r="AI82" s="28">
        <f>AE82</f>
        <v>7.095833333333334</v>
      </c>
      <c r="AJ82" s="5"/>
      <c r="AK82" s="1">
        <v>0</v>
      </c>
      <c r="AL82" s="1"/>
      <c r="AM82" s="28">
        <f>AI82</f>
        <v>7.095833333333334</v>
      </c>
      <c r="AN82" s="5"/>
      <c r="AO82" s="1">
        <v>0</v>
      </c>
      <c r="AP82" s="1"/>
      <c r="AQ82" s="28">
        <f>AM82</f>
        <v>7.095833333333334</v>
      </c>
      <c r="AR82" s="5"/>
      <c r="AS82" s="1">
        <v>0</v>
      </c>
      <c r="AT82" s="1"/>
      <c r="AU82" s="28">
        <f>AQ82</f>
        <v>7.095833333333334</v>
      </c>
      <c r="AV82" s="5"/>
      <c r="AW82" s="1">
        <v>0</v>
      </c>
      <c r="AX82" s="1"/>
      <c r="AY82" s="27">
        <f>AU82</f>
        <v>7.095833333333334</v>
      </c>
      <c r="AZ82" s="16">
        <f>D82+H82+M82+Q82+U82+Y82+AC82+AG82+AK82+AO82+AS82+AW82</f>
        <v>0</v>
      </c>
      <c r="BA82" s="16">
        <f>C82+G82+K82+P82+T82+X82+AB82+AF82+AJ82+AN82+AR82+AV82</f>
        <v>0</v>
      </c>
      <c r="BB82" s="16">
        <f>E82+I82+N82+R82+V82+Z82+AD82+AH82+AL82+AP82+AT82+AX82</f>
        <v>0</v>
      </c>
    </row>
    <row r="83" spans="1:54" ht="12.75">
      <c r="A83" s="1" t="s">
        <v>27</v>
      </c>
      <c r="B83" s="27">
        <f>128.19/12</f>
        <v>10.6825</v>
      </c>
      <c r="C83" s="1">
        <f>D83/154</f>
        <v>686</v>
      </c>
      <c r="D83" s="16">
        <v>105644</v>
      </c>
      <c r="E83" s="15">
        <f>7326.48+165.31</f>
        <v>7491.79</v>
      </c>
      <c r="F83" s="28">
        <f>B83</f>
        <v>10.6825</v>
      </c>
      <c r="G83" s="5">
        <f>H83/154</f>
        <v>689</v>
      </c>
      <c r="H83" s="5">
        <v>106106</v>
      </c>
      <c r="I83" s="21">
        <f>7358.52+102.41</f>
        <v>7460.93</v>
      </c>
      <c r="J83" s="28">
        <f>F83</f>
        <v>10.6825</v>
      </c>
      <c r="K83" s="5">
        <f>M83/154</f>
        <v>692</v>
      </c>
      <c r="L83" s="5"/>
      <c r="M83" s="5">
        <v>106568</v>
      </c>
      <c r="N83" s="21">
        <f>7390.56+216.92</f>
        <v>7607.4800000000005</v>
      </c>
      <c r="O83" s="28">
        <f>J83</f>
        <v>10.6825</v>
      </c>
      <c r="P83" s="5">
        <f>Q83/154</f>
        <v>684</v>
      </c>
      <c r="Q83" s="5">
        <v>105336</v>
      </c>
      <c r="R83" s="21">
        <f>7309.62+267.33-7</f>
        <v>7569.95</v>
      </c>
      <c r="S83" s="28">
        <f>O83</f>
        <v>10.6825</v>
      </c>
      <c r="T83" s="5">
        <f>U83/154</f>
        <v>696</v>
      </c>
      <c r="U83" s="5">
        <v>107184</v>
      </c>
      <c r="V83" s="21">
        <f>7433.28+26.48</f>
        <v>7459.759999999999</v>
      </c>
      <c r="W83" s="28">
        <f>S83</f>
        <v>10.6825</v>
      </c>
      <c r="X83" s="5">
        <f>Y83/154</f>
        <v>701</v>
      </c>
      <c r="Y83" s="5">
        <v>107954</v>
      </c>
      <c r="Z83" s="21">
        <f>7486.68+151.32</f>
        <v>7638</v>
      </c>
      <c r="AA83" s="28">
        <f>W83</f>
        <v>10.6825</v>
      </c>
      <c r="AB83" s="5">
        <f>AC83/154</f>
        <v>702</v>
      </c>
      <c r="AC83" s="5">
        <v>108108</v>
      </c>
      <c r="AD83" s="21">
        <f>7497.36+207.23</f>
        <v>7704.589999999999</v>
      </c>
      <c r="AE83" s="28">
        <f>AA83</f>
        <v>10.6825</v>
      </c>
      <c r="AF83" s="5">
        <f>AG83/154</f>
        <v>704</v>
      </c>
      <c r="AG83" s="5">
        <v>108416</v>
      </c>
      <c r="AH83" s="21">
        <f>7518.72+171.79</f>
        <v>7690.51</v>
      </c>
      <c r="AI83" s="28">
        <f>AE83</f>
        <v>10.6825</v>
      </c>
      <c r="AJ83" s="5">
        <f>AK83/154</f>
        <v>704</v>
      </c>
      <c r="AK83" s="5">
        <v>108416</v>
      </c>
      <c r="AL83" s="21">
        <f>7518.72+53.61</f>
        <v>7572.33</v>
      </c>
      <c r="AM83" s="28">
        <f>AI83</f>
        <v>10.6825</v>
      </c>
      <c r="AN83" s="5">
        <f>AO83/154</f>
        <v>703</v>
      </c>
      <c r="AO83" s="5">
        <v>108262</v>
      </c>
      <c r="AP83" s="21">
        <v>7508.04</v>
      </c>
      <c r="AQ83" s="28">
        <f>AM83</f>
        <v>10.6825</v>
      </c>
      <c r="AR83" s="5">
        <f>AS83/154</f>
        <v>712</v>
      </c>
      <c r="AS83" s="5">
        <v>109648</v>
      </c>
      <c r="AT83" s="21">
        <f>7604.16+243.64</f>
        <v>7847.8</v>
      </c>
      <c r="AU83" s="28">
        <f>AQ83</f>
        <v>10.6825</v>
      </c>
      <c r="AV83" s="5">
        <f>AW83/154</f>
        <v>700</v>
      </c>
      <c r="AW83" s="5">
        <v>107800</v>
      </c>
      <c r="AX83" s="21">
        <f>7476+171.69</f>
        <v>7647.69</v>
      </c>
      <c r="AY83" s="27">
        <f>AU83</f>
        <v>10.6825</v>
      </c>
      <c r="AZ83" s="16">
        <f>C83+G83+K83+P83+T83+X83+AB83+AF83+AJ83+AN83+AR83+AV83</f>
        <v>8373</v>
      </c>
      <c r="BA83" s="16">
        <f>D83+H83+M83+Q83+U83+Y83+AC83+AG83+AK83+AO83+AS83+AW83</f>
        <v>1289442</v>
      </c>
      <c r="BB83" s="16">
        <f>E83+I83+N83+R83+V83+Z83+AD83+AH83+AL83+AP83+AT83+AX83</f>
        <v>91198.87</v>
      </c>
    </row>
    <row r="84" spans="1:54" ht="12.75">
      <c r="A84" s="1" t="s">
        <v>11</v>
      </c>
      <c r="B84" s="1"/>
      <c r="C84" s="1"/>
      <c r="D84" s="16"/>
      <c r="E84" s="15">
        <v>576.24</v>
      </c>
      <c r="F84" s="5"/>
      <c r="G84" s="5"/>
      <c r="H84" s="1"/>
      <c r="I84" s="21">
        <v>1253.98</v>
      </c>
      <c r="J84" s="5"/>
      <c r="K84" s="5"/>
      <c r="L84" s="5"/>
      <c r="M84" s="1"/>
      <c r="N84" s="21">
        <v>1176.4</v>
      </c>
      <c r="O84" s="5"/>
      <c r="P84" s="5"/>
      <c r="Q84" s="12"/>
      <c r="R84" s="21">
        <v>1014.93</v>
      </c>
      <c r="S84" s="5"/>
      <c r="T84" s="5"/>
      <c r="U84" s="1"/>
      <c r="V84" s="21">
        <v>480.24</v>
      </c>
      <c r="W84" s="5"/>
      <c r="X84" s="5"/>
      <c r="Y84" s="1"/>
      <c r="Z84" s="21">
        <v>1191.7</v>
      </c>
      <c r="AA84" s="5"/>
      <c r="AB84" s="5"/>
      <c r="AC84" s="1"/>
      <c r="AD84" s="21">
        <v>975.78</v>
      </c>
      <c r="AE84" s="5"/>
      <c r="AF84" s="5"/>
      <c r="AG84" s="1"/>
      <c r="AH84" s="21">
        <v>809.6</v>
      </c>
      <c r="AI84" s="5"/>
      <c r="AJ84" s="5"/>
      <c r="AK84" s="1"/>
      <c r="AL84" s="21">
        <v>915.2</v>
      </c>
      <c r="AM84" s="5"/>
      <c r="AN84" s="5"/>
      <c r="AO84" s="1"/>
      <c r="AP84" s="21">
        <v>1082.62</v>
      </c>
      <c r="AQ84" s="5"/>
      <c r="AR84" s="5"/>
      <c r="AS84" s="1"/>
      <c r="AT84" s="21">
        <v>832.67</v>
      </c>
      <c r="AU84" s="5"/>
      <c r="AV84" s="5"/>
      <c r="AW84" s="1"/>
      <c r="AX84" s="21">
        <v>413</v>
      </c>
      <c r="AY84" s="1"/>
      <c r="AZ84" s="1"/>
      <c r="BA84" s="1"/>
      <c r="BB84" s="16">
        <f>E84+I84+N84+R84+V84+Z84+AD84+AH84+AL84+AP84+AT84+AX84</f>
        <v>10722.359999999999</v>
      </c>
    </row>
    <row r="85" spans="1:54" ht="12.75">
      <c r="A85" s="1" t="s">
        <v>61</v>
      </c>
      <c r="B85" s="1"/>
      <c r="C85" s="1"/>
      <c r="D85" s="1"/>
      <c r="E85" s="21">
        <f>(576.24/(3232.13+576.24))*680.18-15.04</f>
        <v>87.87723839857998</v>
      </c>
      <c r="F85" s="6"/>
      <c r="G85" s="5"/>
      <c r="H85" s="12"/>
      <c r="I85" s="21">
        <v>149.18</v>
      </c>
      <c r="J85" s="6"/>
      <c r="K85" s="5"/>
      <c r="L85" s="5"/>
      <c r="M85" s="12"/>
      <c r="N85" s="21">
        <v>17.7246279999963</v>
      </c>
      <c r="O85" s="6"/>
      <c r="P85" s="5"/>
      <c r="Q85" s="12"/>
      <c r="R85" s="21">
        <v>6.63</v>
      </c>
      <c r="S85" s="6"/>
      <c r="T85" s="5"/>
      <c r="U85" s="12"/>
      <c r="V85" s="21">
        <v>104.1</v>
      </c>
      <c r="W85" s="6"/>
      <c r="X85" s="5"/>
      <c r="Y85" s="12"/>
      <c r="Z85" s="21">
        <v>42.71</v>
      </c>
      <c r="AA85" s="6"/>
      <c r="AB85" s="5"/>
      <c r="AC85" s="12"/>
      <c r="AD85" s="21">
        <v>0</v>
      </c>
      <c r="AE85" s="6"/>
      <c r="AF85" s="5"/>
      <c r="AG85" s="12"/>
      <c r="AH85" s="21">
        <v>41.1</v>
      </c>
      <c r="AI85" s="6"/>
      <c r="AJ85" s="5"/>
      <c r="AK85" s="12"/>
      <c r="AL85" s="21">
        <v>156.33</v>
      </c>
      <c r="AM85" s="6"/>
      <c r="AN85" s="5"/>
      <c r="AO85" s="12"/>
      <c r="AP85" s="21">
        <f>937.84-702.42</f>
        <v>235.42000000000007</v>
      </c>
      <c r="AQ85" s="6"/>
      <c r="AR85" s="5"/>
      <c r="AS85" s="12"/>
      <c r="AT85" s="21">
        <v>0</v>
      </c>
      <c r="AU85" s="6"/>
      <c r="AV85" s="5"/>
      <c r="AW85" s="12"/>
      <c r="AX85" s="21">
        <v>117.77</v>
      </c>
      <c r="AY85" s="1"/>
      <c r="AZ85" s="1"/>
      <c r="BA85" s="1"/>
      <c r="BB85" s="16">
        <f>E85+I85+N85+R85+V85+Z85+AD85+AH85+AL85+AP85+AT85+AX85</f>
        <v>958.8418663985764</v>
      </c>
    </row>
    <row r="86" spans="1:54" ht="12.75">
      <c r="A86" s="30" t="s">
        <v>12</v>
      </c>
      <c r="B86" s="30"/>
      <c r="C86" s="30"/>
      <c r="D86" s="31"/>
      <c r="E86" s="32">
        <f>SUM(E83:E85)</f>
        <v>8155.9072383985795</v>
      </c>
      <c r="F86" s="33"/>
      <c r="G86" s="34"/>
      <c r="H86" s="31"/>
      <c r="I86" s="32">
        <f>SUM(I83:I85)</f>
        <v>8864.09</v>
      </c>
      <c r="J86" s="33"/>
      <c r="K86" s="34"/>
      <c r="L86" s="34"/>
      <c r="M86" s="31"/>
      <c r="N86" s="32">
        <f>SUM(N83:N85)</f>
        <v>8801.604627999997</v>
      </c>
      <c r="O86" s="33"/>
      <c r="P86" s="34"/>
      <c r="Q86" s="31"/>
      <c r="R86" s="32">
        <f>SUM(R83:R85)</f>
        <v>8591.509999999998</v>
      </c>
      <c r="S86" s="33"/>
      <c r="T86" s="34"/>
      <c r="U86" s="31"/>
      <c r="V86" s="32">
        <f>SUM(V83:V85)</f>
        <v>8044.099999999999</v>
      </c>
      <c r="W86" s="33"/>
      <c r="X86" s="34"/>
      <c r="Y86" s="31"/>
      <c r="Z86" s="32">
        <f>SUM(Z83:Z85)</f>
        <v>8872.41</v>
      </c>
      <c r="AA86" s="33"/>
      <c r="AB86" s="34"/>
      <c r="AC86" s="31"/>
      <c r="AD86" s="32">
        <f>SUM(AD83:AD85)</f>
        <v>8680.369999999999</v>
      </c>
      <c r="AE86" s="33"/>
      <c r="AF86" s="34"/>
      <c r="AG86" s="31">
        <f>8541.21-AH86</f>
        <v>0</v>
      </c>
      <c r="AH86" s="32">
        <f>SUM(AH83:AH85)</f>
        <v>8541.210000000001</v>
      </c>
      <c r="AI86" s="33"/>
      <c r="AJ86" s="34"/>
      <c r="AK86" s="31"/>
      <c r="AL86" s="32">
        <f>SUM(AL83:AL85)</f>
        <v>8643.86</v>
      </c>
      <c r="AM86" s="33"/>
      <c r="AN86" s="34"/>
      <c r="AO86" s="31"/>
      <c r="AP86" s="32">
        <f>SUM(AP83:AP85)</f>
        <v>8826.08</v>
      </c>
      <c r="AQ86" s="33"/>
      <c r="AR86" s="34"/>
      <c r="AS86" s="31"/>
      <c r="AT86" s="32">
        <f>SUM(AT83:AT85)</f>
        <v>8680.47</v>
      </c>
      <c r="AU86" s="33"/>
      <c r="AV86" s="34"/>
      <c r="AW86" s="31"/>
      <c r="AX86" s="32">
        <f>SUM(AX83:AX85)</f>
        <v>8178.46</v>
      </c>
      <c r="AY86" s="30">
        <f>AY8</f>
        <v>0</v>
      </c>
      <c r="AZ86" s="30"/>
      <c r="BA86" s="30"/>
      <c r="BB86" s="35">
        <f>SUM(BB81:BB85)</f>
        <v>102880.07186639858</v>
      </c>
    </row>
    <row r="87" spans="1:54" ht="12.75">
      <c r="A87" s="1"/>
      <c r="B87" s="1"/>
      <c r="C87" s="9" t="s">
        <v>6</v>
      </c>
      <c r="D87" s="9" t="s">
        <v>4</v>
      </c>
      <c r="E87" s="9" t="s">
        <v>5</v>
      </c>
      <c r="F87" s="6"/>
      <c r="G87" s="11" t="s">
        <v>6</v>
      </c>
      <c r="H87" s="9" t="s">
        <v>4</v>
      </c>
      <c r="I87" s="9" t="s">
        <v>5</v>
      </c>
      <c r="J87" s="6"/>
      <c r="K87" s="11" t="s">
        <v>6</v>
      </c>
      <c r="L87" s="11"/>
      <c r="M87" s="9" t="s">
        <v>4</v>
      </c>
      <c r="N87" s="9" t="s">
        <v>5</v>
      </c>
      <c r="O87" s="6"/>
      <c r="P87" s="11" t="s">
        <v>6</v>
      </c>
      <c r="Q87" s="9" t="s">
        <v>4</v>
      </c>
      <c r="R87" s="9" t="s">
        <v>5</v>
      </c>
      <c r="S87" s="6"/>
      <c r="T87" s="11" t="s">
        <v>6</v>
      </c>
      <c r="U87" s="9" t="s">
        <v>4</v>
      </c>
      <c r="V87" s="9" t="s">
        <v>5</v>
      </c>
      <c r="W87" s="6"/>
      <c r="X87" s="11" t="s">
        <v>6</v>
      </c>
      <c r="Y87" s="9" t="s">
        <v>4</v>
      </c>
      <c r="Z87" s="9" t="s">
        <v>5</v>
      </c>
      <c r="AA87" s="6"/>
      <c r="AB87" s="11" t="s">
        <v>6</v>
      </c>
      <c r="AC87" s="9" t="s">
        <v>4</v>
      </c>
      <c r="AD87" s="9" t="s">
        <v>5</v>
      </c>
      <c r="AE87" s="6"/>
      <c r="AF87" s="11" t="s">
        <v>6</v>
      </c>
      <c r="AG87" s="9" t="s">
        <v>4</v>
      </c>
      <c r="AH87" s="9" t="s">
        <v>5</v>
      </c>
      <c r="AI87" s="6"/>
      <c r="AJ87" s="11" t="s">
        <v>6</v>
      </c>
      <c r="AK87" s="9" t="s">
        <v>4</v>
      </c>
      <c r="AL87" s="9" t="s">
        <v>5</v>
      </c>
      <c r="AM87" s="6"/>
      <c r="AN87" s="11" t="s">
        <v>6</v>
      </c>
      <c r="AO87" s="9" t="s">
        <v>4</v>
      </c>
      <c r="AP87" s="9" t="s">
        <v>5</v>
      </c>
      <c r="AQ87" s="6"/>
      <c r="AR87" s="11" t="s">
        <v>6</v>
      </c>
      <c r="AS87" s="9" t="s">
        <v>4</v>
      </c>
      <c r="AT87" s="9" t="s">
        <v>5</v>
      </c>
      <c r="AU87" s="6"/>
      <c r="AV87" s="11" t="s">
        <v>6</v>
      </c>
      <c r="AW87" s="9" t="s">
        <v>4</v>
      </c>
      <c r="AX87" s="9" t="s">
        <v>5</v>
      </c>
      <c r="AY87" s="1"/>
      <c r="AZ87" s="9" t="s">
        <v>6</v>
      </c>
      <c r="BA87" s="9" t="s">
        <v>4</v>
      </c>
      <c r="BB87" s="9" t="s">
        <v>5</v>
      </c>
    </row>
    <row r="88" spans="1:54" ht="12.75">
      <c r="A88" s="1" t="s">
        <v>16</v>
      </c>
      <c r="B88" s="1"/>
      <c r="C88" s="1"/>
      <c r="D88" s="9"/>
      <c r="E88" s="36">
        <f>E11+E24+E31+E39</f>
        <v>134813.06999999998</v>
      </c>
      <c r="F88" s="6"/>
      <c r="G88" s="5"/>
      <c r="H88" s="9"/>
      <c r="I88" s="36">
        <f>I11+I24+I31+I39</f>
        <v>134722.1</v>
      </c>
      <c r="J88" s="6"/>
      <c r="K88" s="5"/>
      <c r="L88" s="5"/>
      <c r="M88" s="9"/>
      <c r="N88" s="36">
        <f>N11+N24+N31+N39</f>
        <v>135157.99</v>
      </c>
      <c r="O88" s="6"/>
      <c r="P88" s="5"/>
      <c r="Q88" s="9"/>
      <c r="R88" s="36">
        <f>R11+R24+R31+R39</f>
        <v>135549.37</v>
      </c>
      <c r="S88" s="6"/>
      <c r="T88" s="5"/>
      <c r="U88" s="9"/>
      <c r="V88" s="36">
        <f>V11+V24+V31+V39</f>
        <v>135475.1</v>
      </c>
      <c r="W88" s="6"/>
      <c r="X88" s="5"/>
      <c r="Y88" s="9"/>
      <c r="Z88" s="36">
        <f>Z11+Z24+Z31+Z39</f>
        <v>135378.15</v>
      </c>
      <c r="AA88" s="6"/>
      <c r="AB88" s="5"/>
      <c r="AC88" s="9"/>
      <c r="AD88" s="36">
        <f>AD11+AD24+AD31+AD39</f>
        <v>136262.03999999998</v>
      </c>
      <c r="AE88" s="6"/>
      <c r="AF88" s="5"/>
      <c r="AG88" s="9"/>
      <c r="AH88" s="36">
        <f>AH11+AH24+AH31+AH39</f>
        <v>135819.9</v>
      </c>
      <c r="AI88" s="6"/>
      <c r="AJ88" s="5"/>
      <c r="AK88" s="9"/>
      <c r="AL88" s="36">
        <f>AL11+AL24+AL31+AL39</f>
        <v>135860.19999999998</v>
      </c>
      <c r="AM88" s="6"/>
      <c r="AN88" s="5"/>
      <c r="AO88" s="9"/>
      <c r="AP88" s="36">
        <f>AP11+AP24+AP31+AP39</f>
        <v>136321.72</v>
      </c>
      <c r="AQ88" s="6"/>
      <c r="AR88" s="5"/>
      <c r="AS88" s="9"/>
      <c r="AT88" s="36">
        <f>AT11+AT24+AT31+AT39</f>
        <v>136241.65000000002</v>
      </c>
      <c r="AU88" s="6"/>
      <c r="AV88" s="5"/>
      <c r="AW88" s="9"/>
      <c r="AX88" s="36">
        <f>AX11+AX24+AX31+AX39</f>
        <v>136706.6</v>
      </c>
      <c r="AY88" s="1"/>
      <c r="AZ88" s="1"/>
      <c r="BA88" s="9"/>
      <c r="BB88" s="37">
        <f>BB11+BB24+BB31+BB39</f>
        <v>1628307.89</v>
      </c>
    </row>
    <row r="89" spans="1:54" ht="12.75">
      <c r="A89" s="1" t="s">
        <v>8</v>
      </c>
      <c r="B89" s="1"/>
      <c r="C89" s="1"/>
      <c r="D89" s="16"/>
      <c r="E89" s="16">
        <f>E38+E46+E53+E60+E67</f>
        <v>143638.82</v>
      </c>
      <c r="F89" s="6"/>
      <c r="G89" s="5"/>
      <c r="H89" s="16"/>
      <c r="I89" s="16">
        <f>I38+I46+I53+I60+I67</f>
        <v>141757.74</v>
      </c>
      <c r="J89" s="6"/>
      <c r="K89" s="5"/>
      <c r="L89" s="5"/>
      <c r="M89" s="16"/>
      <c r="N89" s="16">
        <f>N38+N46+N53+N60+N67</f>
        <v>139426.49</v>
      </c>
      <c r="O89" s="6"/>
      <c r="P89" s="5"/>
      <c r="Q89" s="16"/>
      <c r="R89" s="16">
        <f>R38+R46+R53+R60+R67</f>
        <v>123782.15999999999</v>
      </c>
      <c r="S89" s="6"/>
      <c r="T89" s="5"/>
      <c r="U89" s="16"/>
      <c r="V89" s="16">
        <f>V38+V46+V53+V60+V67</f>
        <v>113289.73999999999</v>
      </c>
      <c r="W89" s="6"/>
      <c r="X89" s="5"/>
      <c r="Y89" s="16"/>
      <c r="Z89" s="16">
        <f>Z38+Z46+Z53+Z60+Z67</f>
        <v>120565.42</v>
      </c>
      <c r="AA89" s="6"/>
      <c r="AB89" s="5"/>
      <c r="AC89" s="16"/>
      <c r="AD89" s="16">
        <f>AD38+AD46+AD53+AD60+AD67</f>
        <v>124979.29000000001</v>
      </c>
      <c r="AE89" s="6"/>
      <c r="AF89" s="5"/>
      <c r="AG89" s="16"/>
      <c r="AH89" s="16">
        <f>AH38+AH46+AH53+AH60+AH67</f>
        <v>131116.77000000002</v>
      </c>
      <c r="AI89" s="6"/>
      <c r="AJ89" s="5"/>
      <c r="AK89" s="16"/>
      <c r="AL89" s="16">
        <f>AL38+AL46+AL53+AL60+AL67</f>
        <v>137062.19</v>
      </c>
      <c r="AM89" s="6"/>
      <c r="AN89" s="5"/>
      <c r="AO89" s="16"/>
      <c r="AP89" s="16">
        <f>AP38+AP46+AP53+AP60+AP67</f>
        <v>139339.64</v>
      </c>
      <c r="AQ89" s="6"/>
      <c r="AR89" s="5"/>
      <c r="AS89" s="16"/>
      <c r="AT89" s="16">
        <f>AT38+AT46+AT53+AT60+AT67</f>
        <v>142950.66</v>
      </c>
      <c r="AU89" s="6"/>
      <c r="AV89" s="5"/>
      <c r="AW89" s="16"/>
      <c r="AX89" s="16">
        <f>AX38+AX46+AX53+AX60+AX67</f>
        <v>150319.99</v>
      </c>
      <c r="AY89" s="1"/>
      <c r="AZ89" s="1"/>
      <c r="BA89" s="16"/>
      <c r="BB89" s="16">
        <f>BB38+BB46+BB53+BB60+BB67</f>
        <v>1608228.9100000004</v>
      </c>
    </row>
    <row r="90" spans="1:54" ht="12.75">
      <c r="A90" s="1" t="s">
        <v>9</v>
      </c>
      <c r="B90" s="1"/>
      <c r="C90" s="5">
        <f>C12+C18+C25+C30+C40+C47+C54+C61+C68+C75+C83</f>
        <v>34971</v>
      </c>
      <c r="D90" s="5">
        <f>D12+D18+D25+D32+D40+D47+D54+D61+D68+D75+D83</f>
        <v>30238285</v>
      </c>
      <c r="E90" s="16">
        <f>E12+E18+E25+E32+E40+E47+E54+E61+E68+E75+E83</f>
        <v>1972001.79</v>
      </c>
      <c r="F90" s="6"/>
      <c r="G90" s="5">
        <f>G12+G18+G25+G32+G40+G47+G54+G61+G68+G75+G83</f>
        <v>34800</v>
      </c>
      <c r="H90" s="5">
        <f>H12+H18+H25+H32+H40+H47+H54+H61+H68+H75+H83</f>
        <v>28527100</v>
      </c>
      <c r="I90" s="16">
        <f>I12+I18+I25+I32+I40+I47+I54+I61+I68+I75+I83</f>
        <v>1855856.71</v>
      </c>
      <c r="J90" s="6"/>
      <c r="K90" s="5">
        <f>K12+K18+K25+K32+K40+K47+K54+K61+K68+K75+K83</f>
        <v>34899</v>
      </c>
      <c r="L90" s="5"/>
      <c r="M90" s="5">
        <f>M12+M18+M25+M32+M40+M47+M54+M61+M68+M75+M83</f>
        <v>40702191</v>
      </c>
      <c r="N90" s="16">
        <f>N12+N18+N25+N32+N40+N47+N54+N61+N68+N75+N83</f>
        <v>2682878.5</v>
      </c>
      <c r="O90" s="6"/>
      <c r="P90" s="5">
        <f>P12+P18+P25+P32+P40+P47+P54+P61+P68+P75+P83</f>
        <v>34953</v>
      </c>
      <c r="Q90" s="5">
        <f>Q12+Q18+Q25+Q32+Q40+Q47+Q54+Q61+Q68+Q75+Q83</f>
        <v>44858992</v>
      </c>
      <c r="R90" s="16">
        <f>R12+R18+R25+R32+R40+R47+R54+R61+R68+R75+R83</f>
        <v>2960978.5900000003</v>
      </c>
      <c r="S90" s="6"/>
      <c r="T90" s="5">
        <f>T12+T18+T25+T32+T40+T47+T54+T61+T68+T75+T83</f>
        <v>34979</v>
      </c>
      <c r="U90" s="5">
        <f>U12+U18+U25+U32+U40+U47+U54+U61+U68+U75+U83</f>
        <v>40110590</v>
      </c>
      <c r="V90" s="16">
        <f>V12+V18+V25+V32+V40+V47+V54+V61+V68+V75+V83</f>
        <v>2644586.46</v>
      </c>
      <c r="W90" s="6"/>
      <c r="X90" s="5">
        <f>X12+X18+X25+X32+X40+X47+X54+X61+X68+X75+X83</f>
        <v>34927</v>
      </c>
      <c r="Y90" s="5">
        <f>Y12+Y18+Y25+Y32+Y40+Y47+Y54+Y61+Y68+Y75+Y83</f>
        <v>39050571</v>
      </c>
      <c r="Z90" s="16">
        <f>Z12+Z18+Z25+Z32+Z40+Z47+Z54+Z61+Z68+Z75+Z83</f>
        <v>2577488.91</v>
      </c>
      <c r="AA90" s="6"/>
      <c r="AB90" s="5">
        <f>AB12+AB18+AB25+AB32+AB40+AB47+AB54+AB61+AB68+AB75+AB83</f>
        <v>35116</v>
      </c>
      <c r="AC90" s="5">
        <f>AC12+AC18+AC25+AC32+AC40+AC47+AC54+AC61+AC68+AC75+AC83</f>
        <v>34010157</v>
      </c>
      <c r="AD90" s="16">
        <f>AD12+AD18+AD25+AD32+AD40+AD47+AD54+AD61+AD68+AD75+AD83</f>
        <v>2222533.29</v>
      </c>
      <c r="AE90" s="6"/>
      <c r="AF90" s="5">
        <f>AF12+AF18+AF25+AF32+AF40+AF47+AF54+AF61+AF68+AF75+AF83</f>
        <v>35106</v>
      </c>
      <c r="AG90" s="5">
        <f>AG12+AG18+AG25+AG32+AG40+AG47+AG54+AG61+AG68+AG75+AG83</f>
        <v>27037414</v>
      </c>
      <c r="AH90" s="16">
        <f>AH12+AH18+AH25+AH32+AH40+AH47+AH54+AH61+AH68+AH75+AH83</f>
        <v>1755653.1</v>
      </c>
      <c r="AI90" s="6"/>
      <c r="AJ90" s="5">
        <f>AJ12+AJ18+AJ25+AJ32+AJ40+AJ47+AJ54+AJ61+AJ68+AJ75+AJ83</f>
        <v>35078.8</v>
      </c>
      <c r="AK90" s="5">
        <f>AK12+AK18+AK25+AK32+AK40+AK47+AK54+AK61+AK68+AK75+AK83</f>
        <v>28796205</v>
      </c>
      <c r="AL90" s="16">
        <f>AL12+AL18+AL25+AL32+AL40+AL47+AL54+AL61+AL68+AL75+AL83</f>
        <v>1873545.6400000001</v>
      </c>
      <c r="AM90" s="6"/>
      <c r="AN90" s="5">
        <f>AN12+AN18+AN25+AN32+AN40+AN47+AN54+AN61+AN68+AN75+AN83</f>
        <v>35259</v>
      </c>
      <c r="AO90" s="5">
        <f>AO12+AO18+AO25+AO32+AO40+AO47+AO54+AO61+AO68+AO75+AO83</f>
        <v>32730839</v>
      </c>
      <c r="AP90" s="16">
        <f>AP12+AP18+AP25+AP32+AP40+AP47+AP54+AP61+AP68+AP75+AP83</f>
        <v>2141479.56</v>
      </c>
      <c r="AQ90" s="6"/>
      <c r="AR90" s="5">
        <f>AR12+AR18+AR25+AR32+AR40+AR47+AR54+AR61+AR68+AR75+AR83</f>
        <v>35235</v>
      </c>
      <c r="AS90" s="5">
        <f>AS12+AS18+AS25+AS32+AS40+AS47+AS54+AS61+AS68+AS75+AS83</f>
        <v>40134639</v>
      </c>
      <c r="AT90" s="16">
        <f>AT12+AT18+AT25+AT32+AT40+AT47+AT54+AT61+AT68+AT75+AT83</f>
        <v>2652929.0399999996</v>
      </c>
      <c r="AU90" s="6"/>
      <c r="AV90" s="5">
        <f>AV12+AV18+AV25+AV32+AV40+AV47+AV54+AV61+AV68+AV75+AV83</f>
        <v>35343</v>
      </c>
      <c r="AW90" s="5">
        <f>AW12+AW18+AW25+AW32+AW40+AW47+AW54+AW61+AW68+AW75+AW83</f>
        <v>36204165</v>
      </c>
      <c r="AX90" s="16">
        <f>AX12+AX18+AX25+AX32+AX40+AX47+AX54+AX61+AX68+AX75+AX83</f>
        <v>2361482.8299999996</v>
      </c>
      <c r="AY90" s="1"/>
      <c r="AZ90" s="20">
        <f>AZ12+AZ18+AZ25+AZ32+AZ40+AZ47+AZ54+AZ68+AZ61+AZ75+AZ83</f>
        <v>420666.8</v>
      </c>
      <c r="BA90" s="20">
        <f>BA12+BA18+BA25+BA32+BA40+BA47+BA54+BA68+BA61+BA75+BA83</f>
        <v>422401148</v>
      </c>
      <c r="BB90" s="20">
        <f>BB12+BB18+BB25+BB32+BB40+BB47+BB54+BB68+BB61+BB75+BB83</f>
        <v>27701414.42</v>
      </c>
    </row>
    <row r="91" spans="1:54" ht="12.75">
      <c r="A91" s="1" t="s">
        <v>11</v>
      </c>
      <c r="B91" s="16"/>
      <c r="C91" s="1"/>
      <c r="D91" s="1"/>
      <c r="E91" s="20">
        <f>E13+E19+E26+E33+E41+E48+E55+E62+E69+E76+E84</f>
        <v>164986.57</v>
      </c>
      <c r="F91" s="38"/>
      <c r="G91" s="5"/>
      <c r="H91" s="1"/>
      <c r="I91" s="20">
        <f>I13+I19+I26+I33+I41+I48+I55+I62+I69+I76+I84</f>
        <v>336762.11</v>
      </c>
      <c r="J91" s="38"/>
      <c r="K91" s="5"/>
      <c r="L91" s="5"/>
      <c r="M91" s="1"/>
      <c r="N91" s="20">
        <f>N13+N19+N26+N33+N41+N48+N55+N62+N69+N76+N84</f>
        <v>449614.29</v>
      </c>
      <c r="O91" s="38"/>
      <c r="P91" s="5"/>
      <c r="Q91" s="1"/>
      <c r="R91" s="20">
        <f>R13+R19+R26+R33+R41+R48+R55+R62+R69+R76+R84</f>
        <v>431788.01000000007</v>
      </c>
      <c r="S91" s="38"/>
      <c r="T91" s="5"/>
      <c r="U91" s="1"/>
      <c r="V91" s="20">
        <f>V13+V19+V26+V33+V41+V48+V55+V62+V69+V76+V84</f>
        <v>180767.04999999996</v>
      </c>
      <c r="W91" s="38"/>
      <c r="X91" s="5"/>
      <c r="Y91" s="1"/>
      <c r="Z91" s="20">
        <f>Z13+Z19+Z26+Z33+Z41+Z48+Z55+Z62+Z69+Z76+Z84</f>
        <v>431721.38999999996</v>
      </c>
      <c r="AA91" s="38"/>
      <c r="AB91" s="5"/>
      <c r="AC91" s="1"/>
      <c r="AD91" s="20">
        <f>AD13+AD19+AD26+AD33+AD41+AD48+AD55+AD62+AD69+AD76+AD84</f>
        <v>307059.27</v>
      </c>
      <c r="AE91" s="38"/>
      <c r="AF91" s="5"/>
      <c r="AG91" s="1"/>
      <c r="AH91" s="20">
        <f>AH13+AH19+AH26+AH33+AH41+AH48+AH55+AH62+AH69+AH76+AH84</f>
        <v>202165.23999999993</v>
      </c>
      <c r="AI91" s="38"/>
      <c r="AJ91" s="5"/>
      <c r="AK91" s="1"/>
      <c r="AL91" s="20">
        <f>AL13+AL19+AL26+AL33+AL41+AL48+AL55+AL62+AL69+AL76+AL84</f>
        <v>243714.13000000003</v>
      </c>
      <c r="AM91" s="38"/>
      <c r="AN91" s="5"/>
      <c r="AO91" s="1"/>
      <c r="AP91" s="20">
        <f>AP13+AP19+AP26+AP33+AP41+AP48+AP55+AP62+AP69+AP76+AP84</f>
        <v>326691.99</v>
      </c>
      <c r="AQ91" s="38"/>
      <c r="AR91" s="5"/>
      <c r="AS91" s="1"/>
      <c r="AT91" s="20">
        <f>AT13+AT19+AT26+AT33+AT41+AT48+AT55+AT62+AT69+AT76+AT84</f>
        <v>304452.63000000006</v>
      </c>
      <c r="AU91" s="38"/>
      <c r="AV91" s="5"/>
      <c r="AW91" s="1"/>
      <c r="AX91" s="20">
        <f>AX13+AX19+AX26+AX33+AX41+AX48+AX55+AX62+AX69+AX76+AX84</f>
        <v>138772.49000000002</v>
      </c>
      <c r="AY91" s="1"/>
      <c r="AZ91" s="1"/>
      <c r="BA91" s="1"/>
      <c r="BB91" s="20">
        <f>BB13+BB19+BB26+BB33+BB41+BB48+BB55+BB69+BB62+BB76+BB84</f>
        <v>3518495.1699999995</v>
      </c>
    </row>
    <row r="92" spans="1:54" ht="12.75">
      <c r="A92" s="1" t="s">
        <v>61</v>
      </c>
      <c r="B92" s="16"/>
      <c r="C92" s="1"/>
      <c r="D92" s="1"/>
      <c r="E92" s="21">
        <f>E14+E20+E27+E34+E42+E49+E56+E63+E70+E77+E85</f>
        <v>181428.37</v>
      </c>
      <c r="F92" s="38"/>
      <c r="G92" s="5"/>
      <c r="H92" s="1"/>
      <c r="I92" s="21">
        <f>I14+I20+I27+I34+I42+I49+I56+I63+I70+I77+I85</f>
        <v>169895.45</v>
      </c>
      <c r="J92" s="38"/>
      <c r="K92" s="5"/>
      <c r="L92" s="5"/>
      <c r="M92" s="1"/>
      <c r="N92" s="21">
        <f>N14+N20+N27+N34+N42+N49+N56+N63+N70+N77+N85</f>
        <v>220791.29</v>
      </c>
      <c r="O92" s="38"/>
      <c r="P92" s="5"/>
      <c r="Q92" s="1"/>
      <c r="R92" s="21">
        <f>R14+R20+R27+R34+R42+R49+R56+R63+R70+R77+R85</f>
        <v>269918.02</v>
      </c>
      <c r="S92" s="38"/>
      <c r="T92" s="5"/>
      <c r="U92" s="1"/>
      <c r="V92" s="21">
        <f>V14+V20+V27+V34+V42+V49+V56+V63+V70+V77+V85</f>
        <v>119833.48000000003</v>
      </c>
      <c r="W92" s="38"/>
      <c r="X92" s="5"/>
      <c r="Y92" s="1"/>
      <c r="Z92" s="21">
        <f>Z14+Z20+Z27+Z34+Z42+Z49+Z56+Z63+Z70+Z77+Z85</f>
        <v>173721.69999999998</v>
      </c>
      <c r="AA92" s="38"/>
      <c r="AB92" s="5"/>
      <c r="AC92" s="1"/>
      <c r="AD92" s="21">
        <f>AD14+AD20+AD27+AD34+AD42+AD49+AD56+AD63+AD70+AD77+AD85</f>
        <v>162705.74999999997</v>
      </c>
      <c r="AE92" s="38"/>
      <c r="AF92" s="5"/>
      <c r="AG92" s="1"/>
      <c r="AH92" s="21">
        <f>AH14+AH20+AH27+AH34+AH42+AH49+AH56+AH63+AH70+AH77+AH85</f>
        <v>135944.76</v>
      </c>
      <c r="AI92" s="38"/>
      <c r="AJ92" s="5"/>
      <c r="AK92" s="1"/>
      <c r="AL92" s="21">
        <f>AL14+AL20+AL27+AL34+AL42+AL49+AL56+AL63+AL70+AL77+AL85</f>
        <v>142240.58</v>
      </c>
      <c r="AM92" s="38"/>
      <c r="AN92" s="5"/>
      <c r="AO92" s="1"/>
      <c r="AP92" s="21">
        <f>AP14+AP20+AP27+AP34+AP42+AP49+AP56+AP63+AP70+AP77+AP85</f>
        <v>179427.41000000003</v>
      </c>
      <c r="AQ92" s="38"/>
      <c r="AR92" s="5"/>
      <c r="AS92" s="12"/>
      <c r="AT92" s="21">
        <f>AT14+AT20+AT27+AT34+AT42+AT49+AT56+AT63+AT70+AT77+AT85</f>
        <v>225783.55</v>
      </c>
      <c r="AU92" s="38"/>
      <c r="AV92" s="5"/>
      <c r="AW92" s="1"/>
      <c r="AX92" s="21">
        <f>AX14+AX20+AX27+AX34+AX42+AX49+AX56+AX63+AX70+AX77+AX85</f>
        <v>243064.81999999998</v>
      </c>
      <c r="AY92" s="1"/>
      <c r="AZ92" s="1"/>
      <c r="BA92" s="1"/>
      <c r="BB92" s="20">
        <f>BB14+BB20+BB27+BB34+BB42+BB49+BB56+BB70+BB63+BB77+BB85</f>
        <v>2224755.1799999997</v>
      </c>
    </row>
    <row r="93" spans="1:54" ht="12.75">
      <c r="A93" s="1" t="s">
        <v>12</v>
      </c>
      <c r="B93" s="1"/>
      <c r="C93" s="1"/>
      <c r="D93" s="1"/>
      <c r="E93" s="29">
        <f>SUM(E88:E92)</f>
        <v>2596868.62</v>
      </c>
      <c r="F93" s="6"/>
      <c r="G93" s="5"/>
      <c r="H93" s="1"/>
      <c r="I93" s="29">
        <f>SUM(I88:I92)</f>
        <v>2638994.11</v>
      </c>
      <c r="J93" s="6"/>
      <c r="K93" s="5"/>
      <c r="L93" s="5"/>
      <c r="M93" s="1"/>
      <c r="N93" s="29">
        <f>SUM(N88:N92)</f>
        <v>3627868.56</v>
      </c>
      <c r="O93" s="6"/>
      <c r="P93" s="5"/>
      <c r="Q93" s="1"/>
      <c r="R93" s="29">
        <f>SUM(R88:R92)</f>
        <v>3922016.1500000004</v>
      </c>
      <c r="S93" s="6"/>
      <c r="T93" s="5"/>
      <c r="U93" s="1"/>
      <c r="V93" s="29">
        <f>SUM(V88:V92)</f>
        <v>3193951.8299999996</v>
      </c>
      <c r="W93" s="6"/>
      <c r="X93" s="5"/>
      <c r="Y93" s="1"/>
      <c r="Z93" s="29">
        <f>SUM(Z88:Z92)</f>
        <v>3438875.5700000003</v>
      </c>
      <c r="AA93" s="6"/>
      <c r="AB93" s="5"/>
      <c r="AC93" s="1"/>
      <c r="AD93" s="29">
        <f>SUM(AD88:AD92)</f>
        <v>2953539.64</v>
      </c>
      <c r="AE93" s="6"/>
      <c r="AF93" s="5"/>
      <c r="AG93" s="1"/>
      <c r="AH93" s="29">
        <f>SUM(AH88:AH92)</f>
        <v>2360699.7699999996</v>
      </c>
      <c r="AI93" s="6"/>
      <c r="AJ93" s="5"/>
      <c r="AK93" s="1"/>
      <c r="AL93" s="29">
        <f>SUM(AL88:AL92)</f>
        <v>2532422.74</v>
      </c>
      <c r="AM93" s="6"/>
      <c r="AN93" s="5"/>
      <c r="AO93" s="1"/>
      <c r="AP93" s="29">
        <f>SUM(AP88:AP92)</f>
        <v>2923260.3200000003</v>
      </c>
      <c r="AQ93" s="6"/>
      <c r="AR93" s="5"/>
      <c r="AS93" s="1"/>
      <c r="AT93" s="29">
        <f>SUM(AT88:AT92)</f>
        <v>3462357.5299999993</v>
      </c>
      <c r="AU93" s="6"/>
      <c r="AV93" s="5"/>
      <c r="AW93" s="1"/>
      <c r="AX93" s="29">
        <f>SUM(AX88:AX92)</f>
        <v>3030346.7299999995</v>
      </c>
      <c r="AY93" s="1"/>
      <c r="AZ93" s="1"/>
      <c r="BA93" s="1"/>
      <c r="BB93" s="20">
        <f>SUM(BB88:BB92)</f>
        <v>36681201.57</v>
      </c>
    </row>
    <row r="94" spans="1:54" ht="12.75">
      <c r="A94" s="1" t="s">
        <v>0</v>
      </c>
      <c r="B94" s="1"/>
      <c r="C94" s="1"/>
      <c r="D94" s="1"/>
      <c r="E94" s="39"/>
      <c r="F94" s="6"/>
      <c r="G94" s="5"/>
      <c r="H94" s="1"/>
      <c r="I94" s="40"/>
      <c r="J94" s="41"/>
      <c r="K94" s="5"/>
      <c r="L94" s="5"/>
      <c r="M94" s="1"/>
      <c r="N94" s="1"/>
      <c r="O94" s="6"/>
      <c r="P94" s="5"/>
      <c r="Q94" s="1"/>
      <c r="R94" s="1"/>
      <c r="S94" s="6"/>
      <c r="T94" s="5"/>
      <c r="U94" s="1"/>
      <c r="V94" s="1"/>
      <c r="W94" s="6"/>
      <c r="X94" s="5"/>
      <c r="Y94" s="1"/>
      <c r="Z94" s="1"/>
      <c r="AA94" s="6"/>
      <c r="AB94" s="5"/>
      <c r="AC94" s="1"/>
      <c r="AD94" s="1"/>
      <c r="AE94" s="6"/>
      <c r="AF94" s="5"/>
      <c r="AG94" s="1"/>
      <c r="AH94" s="1"/>
      <c r="AI94" s="6"/>
      <c r="AJ94" s="5"/>
      <c r="AK94" s="1"/>
      <c r="AL94" s="1"/>
      <c r="AM94" s="6"/>
      <c r="AN94" s="5"/>
      <c r="AO94" s="12"/>
      <c r="AP94" s="1"/>
      <c r="AQ94" s="6"/>
      <c r="AR94" s="5"/>
      <c r="AS94" s="12"/>
      <c r="AT94" s="1"/>
      <c r="AU94" s="6"/>
      <c r="AV94" s="5"/>
      <c r="AW94" s="1"/>
      <c r="AX94" s="1"/>
      <c r="AY94" s="1"/>
      <c r="AZ94" s="1"/>
      <c r="BA94" s="1"/>
      <c r="BB94" s="1"/>
    </row>
  </sheetData>
  <printOptions horizontalCentered="1"/>
  <pageMargins left="0.32" right="0.24" top="1" bottom="0.53" header="0.5" footer="0.21"/>
  <pageSetup horizontalDpi="600" verticalDpi="600" orientation="portrait" scale="51" r:id="rId1"/>
  <colBreaks count="3" manualBreakCount="3">
    <brk id="14" max="65535" man="1"/>
    <brk id="26" max="65535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98"/>
  <sheetViews>
    <sheetView view="pageBreakPreview" zoomScale="50" zoomScaleNormal="75" zoomScaleSheetLayoutView="50" workbookViewId="0" topLeftCell="H1">
      <selection activeCell="S4" sqref="S4"/>
    </sheetView>
  </sheetViews>
  <sheetFormatPr defaultColWidth="12.625" defaultRowHeight="12.75"/>
  <cols>
    <col min="1" max="1" width="4.625" style="1" customWidth="1"/>
    <col min="2" max="2" width="21.00390625" style="1" bestFit="1" customWidth="1"/>
    <col min="3" max="3" width="13.50390625" style="1" customWidth="1"/>
    <col min="4" max="4" width="17.375" style="1" bestFit="1" customWidth="1"/>
    <col min="5" max="5" width="12.375" style="1" customWidth="1"/>
    <col min="6" max="6" width="11.75390625" style="1" bestFit="1" customWidth="1"/>
    <col min="7" max="7" width="26.625" style="6" customWidth="1"/>
    <col min="8" max="8" width="11.125" style="5" customWidth="1"/>
    <col min="9" max="9" width="10.125" style="1" customWidth="1"/>
    <col min="10" max="10" width="12.625" style="1" customWidth="1"/>
    <col min="11" max="11" width="11.375" style="6" customWidth="1"/>
    <col min="12" max="12" width="12.375" style="5" bestFit="1" customWidth="1"/>
    <col min="13" max="13" width="11.125" style="5" bestFit="1" customWidth="1"/>
    <col min="14" max="14" width="10.50390625" style="1" bestFit="1" customWidth="1"/>
    <col min="15" max="15" width="14.625" style="41" customWidth="1"/>
    <col min="16" max="16" width="11.75390625" style="41" customWidth="1"/>
    <col min="17" max="17" width="10.375" style="5" bestFit="1" customWidth="1"/>
    <col min="18" max="18" width="10.375" style="1" bestFit="1" customWidth="1"/>
    <col min="19" max="19" width="10.50390625" style="1" bestFit="1" customWidth="1"/>
    <col min="20" max="16384" width="12.625" style="1" customWidth="1"/>
  </cols>
  <sheetData>
    <row r="1" spans="10:19" ht="12.75">
      <c r="J1" s="41"/>
      <c r="K1" s="41"/>
      <c r="S1" s="1" t="s">
        <v>133</v>
      </c>
    </row>
    <row r="2" spans="10:19" ht="12.75">
      <c r="J2" s="41"/>
      <c r="K2" s="41"/>
      <c r="S2" s="1" t="s">
        <v>134</v>
      </c>
    </row>
    <row r="3" spans="1:19" ht="12.75">
      <c r="A3" s="1">
        <v>1</v>
      </c>
      <c r="J3" s="41"/>
      <c r="K3" s="41"/>
      <c r="O3" s="136"/>
      <c r="S3" s="1" t="s">
        <v>137</v>
      </c>
    </row>
    <row r="4" spans="1:15" ht="12.75">
      <c r="A4" s="1">
        <v>2</v>
      </c>
      <c r="C4" s="8" t="s">
        <v>60</v>
      </c>
      <c r="J4" s="41"/>
      <c r="K4" s="41"/>
      <c r="O4" s="136"/>
    </row>
    <row r="5" spans="1:11" ht="12.75">
      <c r="A5" s="1">
        <v>3</v>
      </c>
      <c r="D5" s="1" t="s">
        <v>28</v>
      </c>
      <c r="J5" s="41"/>
      <c r="K5" s="41"/>
    </row>
    <row r="6" spans="1:11" ht="12.75">
      <c r="A6" s="1">
        <v>4</v>
      </c>
      <c r="C6" s="8" t="s">
        <v>62</v>
      </c>
      <c r="J6" s="41"/>
      <c r="K6" s="41"/>
    </row>
    <row r="7" spans="1:11" ht="12.75">
      <c r="A7" s="1">
        <v>5</v>
      </c>
      <c r="J7" s="41"/>
      <c r="K7" s="41"/>
    </row>
    <row r="8" spans="1:19" ht="12.75">
      <c r="A8" s="1">
        <v>6</v>
      </c>
      <c r="F8" s="41"/>
      <c r="G8" s="41"/>
      <c r="J8" s="41"/>
      <c r="K8" s="41"/>
      <c r="P8" s="41" t="s">
        <v>113</v>
      </c>
      <c r="Q8" s="42" t="s">
        <v>96</v>
      </c>
      <c r="R8" s="43" t="s">
        <v>95</v>
      </c>
      <c r="S8" s="44" t="s">
        <v>86</v>
      </c>
    </row>
    <row r="9" spans="1:16" ht="13.5" thickBot="1">
      <c r="A9" s="1">
        <v>7</v>
      </c>
      <c r="F9" s="41"/>
      <c r="G9" s="41"/>
      <c r="J9" s="41"/>
      <c r="K9" s="41"/>
      <c r="P9" s="41" t="s">
        <v>114</v>
      </c>
    </row>
    <row r="10" spans="1:14" ht="12.75">
      <c r="A10" s="1">
        <v>8</v>
      </c>
      <c r="C10" s="9" t="s">
        <v>29</v>
      </c>
      <c r="D10" s="9" t="s">
        <v>30</v>
      </c>
      <c r="E10" s="1" t="s">
        <v>31</v>
      </c>
      <c r="G10" s="45" t="s">
        <v>93</v>
      </c>
      <c r="H10" s="46"/>
      <c r="I10" s="46"/>
      <c r="J10" s="47"/>
      <c r="K10" s="48"/>
      <c r="L10" s="46"/>
      <c r="M10" s="46"/>
      <c r="N10" s="46"/>
    </row>
    <row r="11" spans="1:14" ht="12.75">
      <c r="A11" s="1">
        <v>9</v>
      </c>
      <c r="B11" s="1" t="s">
        <v>3</v>
      </c>
      <c r="C11" s="9" t="s">
        <v>33</v>
      </c>
      <c r="D11" s="9" t="s">
        <v>34</v>
      </c>
      <c r="E11" s="9" t="s">
        <v>3</v>
      </c>
      <c r="F11" s="9" t="s">
        <v>5</v>
      </c>
      <c r="G11" s="49" t="str">
        <f>B13</f>
        <v>Schedule "R"</v>
      </c>
      <c r="H11" s="41"/>
      <c r="I11" s="41"/>
      <c r="J11" s="50"/>
      <c r="K11" s="51"/>
      <c r="L11" s="41"/>
      <c r="M11" s="41"/>
      <c r="N11" s="41"/>
    </row>
    <row r="12" spans="1:14" ht="12.75">
      <c r="A12" s="1">
        <v>10</v>
      </c>
      <c r="B12" s="52" t="s">
        <v>35</v>
      </c>
      <c r="C12" s="52" t="s">
        <v>35</v>
      </c>
      <c r="D12" s="52" t="s">
        <v>35</v>
      </c>
      <c r="E12" s="52" t="s">
        <v>35</v>
      </c>
      <c r="F12" s="52" t="s">
        <v>35</v>
      </c>
      <c r="G12" s="51"/>
      <c r="H12" s="53" t="s">
        <v>64</v>
      </c>
      <c r="I12" s="161" t="s">
        <v>65</v>
      </c>
      <c r="J12" s="162"/>
      <c r="K12" s="163" t="s">
        <v>66</v>
      </c>
      <c r="L12" s="164"/>
      <c r="M12" s="57" t="s">
        <v>91</v>
      </c>
      <c r="N12" s="109" t="s">
        <v>67</v>
      </c>
    </row>
    <row r="13" spans="1:14" ht="12.75">
      <c r="A13" s="1">
        <v>11</v>
      </c>
      <c r="B13" s="1" t="s">
        <v>36</v>
      </c>
      <c r="G13" s="51"/>
      <c r="H13" s="58" t="s">
        <v>68</v>
      </c>
      <c r="I13" s="59" t="s">
        <v>69</v>
      </c>
      <c r="J13" s="60" t="s">
        <v>70</v>
      </c>
      <c r="K13" s="61" t="s">
        <v>69</v>
      </c>
      <c r="L13" s="62" t="s">
        <v>70</v>
      </c>
      <c r="M13" s="63" t="s">
        <v>71</v>
      </c>
      <c r="N13" s="22" t="s">
        <v>71</v>
      </c>
    </row>
    <row r="14" spans="1:14" ht="12.75">
      <c r="A14" s="1">
        <v>12</v>
      </c>
      <c r="G14" s="51"/>
      <c r="H14" s="64" t="s">
        <v>72</v>
      </c>
      <c r="I14" s="64" t="s">
        <v>73</v>
      </c>
      <c r="J14" s="65" t="s">
        <v>74</v>
      </c>
      <c r="K14" s="66" t="s">
        <v>75</v>
      </c>
      <c r="L14" s="67" t="s">
        <v>76</v>
      </c>
      <c r="M14" s="68" t="s">
        <v>77</v>
      </c>
      <c r="N14" s="68" t="s">
        <v>92</v>
      </c>
    </row>
    <row r="15" spans="1:14" ht="12.75">
      <c r="A15" s="1">
        <v>13</v>
      </c>
      <c r="B15" s="1" t="s">
        <v>37</v>
      </c>
      <c r="E15" s="12">
        <f>'Detail Sheet'!AY11</f>
        <v>5.35</v>
      </c>
      <c r="F15" s="13">
        <f>'Detail Sheet'!BB11</f>
        <v>1515221.65</v>
      </c>
      <c r="G15" s="51" t="s">
        <v>16</v>
      </c>
      <c r="H15" s="69">
        <f>C16</f>
        <v>283455</v>
      </c>
      <c r="I15" s="70">
        <f>E15</f>
        <v>5.35</v>
      </c>
      <c r="J15" s="71">
        <f>H15*I15</f>
        <v>1516484.25</v>
      </c>
      <c r="K15" s="72">
        <f>I15</f>
        <v>5.35</v>
      </c>
      <c r="L15" s="73">
        <f>K15*H15</f>
        <v>1516484.25</v>
      </c>
      <c r="M15" s="73">
        <f>L15-J15</f>
        <v>0</v>
      </c>
      <c r="N15" s="41"/>
    </row>
    <row r="16" spans="1:19" ht="12.75">
      <c r="A16" s="1">
        <v>14</v>
      </c>
      <c r="B16" s="1" t="s">
        <v>9</v>
      </c>
      <c r="C16" s="16">
        <f>'Detail Sheet'!AZ12</f>
        <v>283455</v>
      </c>
      <c r="D16" s="16">
        <f>'Detail Sheet'!BA12</f>
        <v>305564403</v>
      </c>
      <c r="E16" s="74">
        <f>'Detail Sheet'!AY12</f>
        <v>0.06783</v>
      </c>
      <c r="F16" s="13">
        <f>'Detail Sheet'!BB12</f>
        <v>20729245.57</v>
      </c>
      <c r="G16" s="51" t="s">
        <v>78</v>
      </c>
      <c r="H16" s="75">
        <f>D16</f>
        <v>305564403</v>
      </c>
      <c r="I16" s="76">
        <f>E16</f>
        <v>0.06783</v>
      </c>
      <c r="J16" s="71">
        <f>H16*I16</f>
        <v>20726433.45549</v>
      </c>
      <c r="K16" s="77">
        <f>I16+P294</f>
        <v>0.07180427561882657</v>
      </c>
      <c r="L16" s="73">
        <f>K16*H16</f>
        <v>21940830.6123142</v>
      </c>
      <c r="M16" s="78">
        <f>L16-J16</f>
        <v>1214397.1568241976</v>
      </c>
      <c r="N16" s="41"/>
      <c r="P16" s="101">
        <f>D16</f>
        <v>305564403</v>
      </c>
      <c r="S16" s="21">
        <f>M16</f>
        <v>1214397.1568241976</v>
      </c>
    </row>
    <row r="17" spans="1:14" ht="12.75">
      <c r="A17" s="1">
        <v>15</v>
      </c>
      <c r="B17" s="1" t="s">
        <v>11</v>
      </c>
      <c r="C17" s="16"/>
      <c r="D17" s="16"/>
      <c r="F17" s="13">
        <f>'Detail Sheet'!BB13</f>
        <v>2556426.1</v>
      </c>
      <c r="G17" s="51" t="s">
        <v>79</v>
      </c>
      <c r="H17" s="41"/>
      <c r="I17" s="41"/>
      <c r="J17" s="79">
        <v>0</v>
      </c>
      <c r="K17" s="51"/>
      <c r="L17" s="80">
        <f>J17</f>
        <v>0</v>
      </c>
      <c r="M17" s="73">
        <f>L17-J17</f>
        <v>0</v>
      </c>
      <c r="N17" s="41"/>
    </row>
    <row r="18" spans="1:14" ht="12.75">
      <c r="A18" s="1">
        <v>16</v>
      </c>
      <c r="B18" s="1" t="s">
        <v>61</v>
      </c>
      <c r="C18" s="16"/>
      <c r="D18" s="16"/>
      <c r="F18" s="13">
        <f>'Detail Sheet'!BB14</f>
        <v>1640520.46</v>
      </c>
      <c r="G18" s="51" t="s">
        <v>80</v>
      </c>
      <c r="H18" s="41"/>
      <c r="I18" s="41"/>
      <c r="J18" s="71">
        <f>J15+J16+J17</f>
        <v>22242917.70549</v>
      </c>
      <c r="K18" s="51"/>
      <c r="L18" s="81">
        <f>SUM(L15:L17)</f>
        <v>23457314.8623142</v>
      </c>
      <c r="M18" s="81">
        <f>SUM(M15:M17)</f>
        <v>1214397.1568241976</v>
      </c>
      <c r="N18" s="81"/>
    </row>
    <row r="19" spans="1:14" ht="12.75">
      <c r="A19" s="1">
        <v>17</v>
      </c>
      <c r="B19" s="1" t="s">
        <v>12</v>
      </c>
      <c r="C19" s="16"/>
      <c r="D19" s="16"/>
      <c r="F19" s="13">
        <f>SUM(F15:F18)</f>
        <v>26441413.78</v>
      </c>
      <c r="G19" s="51" t="s">
        <v>81</v>
      </c>
      <c r="H19" s="41"/>
      <c r="I19" s="41"/>
      <c r="J19" s="71">
        <f>F17</f>
        <v>2556426.1</v>
      </c>
      <c r="K19" s="51"/>
      <c r="L19" s="81">
        <f aca="true" t="shared" si="0" ref="L19:M21">J19</f>
        <v>2556426.1</v>
      </c>
      <c r="M19" s="81">
        <f t="shared" si="0"/>
        <v>0</v>
      </c>
      <c r="N19" s="158"/>
    </row>
    <row r="20" spans="7:14" ht="12.75">
      <c r="G20" s="51" t="s">
        <v>82</v>
      </c>
      <c r="H20" s="41"/>
      <c r="I20" s="41"/>
      <c r="J20" s="71">
        <f>F18</f>
        <v>1640520.46</v>
      </c>
      <c r="K20" s="51"/>
      <c r="L20" s="81">
        <f t="shared" si="0"/>
        <v>1640520.46</v>
      </c>
      <c r="M20" s="81">
        <f t="shared" si="0"/>
        <v>0</v>
      </c>
      <c r="N20" s="41"/>
    </row>
    <row r="21" spans="7:14" ht="12.75">
      <c r="G21" s="51" t="s">
        <v>83</v>
      </c>
      <c r="H21" s="41"/>
      <c r="I21" s="41"/>
      <c r="J21" s="83">
        <v>0</v>
      </c>
      <c r="K21" s="51"/>
      <c r="L21" s="80">
        <f t="shared" si="0"/>
        <v>0</v>
      </c>
      <c r="M21" s="80">
        <f t="shared" si="0"/>
        <v>0</v>
      </c>
      <c r="N21" s="41"/>
    </row>
    <row r="22" spans="1:14" ht="12.75">
      <c r="A22" s="1">
        <v>1</v>
      </c>
      <c r="G22" s="51" t="s">
        <v>84</v>
      </c>
      <c r="H22" s="41"/>
      <c r="I22" s="41"/>
      <c r="J22" s="82">
        <f>J18+J19+J20+J21</f>
        <v>26439864.265490003</v>
      </c>
      <c r="K22" s="51"/>
      <c r="L22" s="81">
        <f>L18+L19+L20+L21</f>
        <v>27654261.4223142</v>
      </c>
      <c r="M22" s="81">
        <f>M18+M19+M20+M21</f>
        <v>1214397.1568241976</v>
      </c>
      <c r="N22" s="81">
        <f>L22-J22</f>
        <v>1214397.1568241976</v>
      </c>
    </row>
    <row r="23" spans="1:14" ht="12.75">
      <c r="A23" s="1">
        <v>2</v>
      </c>
      <c r="C23" s="1" t="str">
        <f>$C$4</f>
        <v>        CLARK ENERGY COOPERATIVE, INC.</v>
      </c>
      <c r="G23" s="51" t="s">
        <v>89</v>
      </c>
      <c r="H23" s="41"/>
      <c r="I23" s="41"/>
      <c r="J23" s="84">
        <f>J22/H15</f>
        <v>93.27711370584397</v>
      </c>
      <c r="K23" s="51"/>
      <c r="L23" s="85">
        <f>L22/H15</f>
        <v>97.56138160312642</v>
      </c>
      <c r="M23" s="85">
        <f>L23-J23</f>
        <v>4.284267897282447</v>
      </c>
      <c r="N23" s="41"/>
    </row>
    <row r="24" spans="1:14" ht="13.5" thickBot="1">
      <c r="A24" s="1">
        <v>3</v>
      </c>
      <c r="D24" s="1" t="s">
        <v>28</v>
      </c>
      <c r="G24" s="86" t="s">
        <v>67</v>
      </c>
      <c r="H24" s="87"/>
      <c r="I24" s="88"/>
      <c r="J24" s="89"/>
      <c r="K24" s="86"/>
      <c r="L24" s="87"/>
      <c r="M24" s="87"/>
      <c r="N24" s="159">
        <f>L22/J22-1</f>
        <v>0.04593053673158454</v>
      </c>
    </row>
    <row r="25" spans="1:11" ht="12.75">
      <c r="A25" s="1">
        <v>4</v>
      </c>
      <c r="C25" s="1" t="str">
        <f>C6</f>
        <v>      TEST YEAR ENDING SEPTEMBER 30, 2006</v>
      </c>
      <c r="F25" s="41"/>
      <c r="G25" s="41"/>
      <c r="J25" s="41"/>
      <c r="K25" s="41"/>
    </row>
    <row r="26" spans="1:11" ht="12.75">
      <c r="A26" s="1">
        <v>5</v>
      </c>
      <c r="F26" s="41"/>
      <c r="G26" s="41"/>
      <c r="J26" s="41"/>
      <c r="K26" s="41"/>
    </row>
    <row r="27" spans="1:11" ht="12.75">
      <c r="A27" s="1">
        <v>6</v>
      </c>
      <c r="F27" s="41"/>
      <c r="G27" s="41"/>
      <c r="J27" s="41"/>
      <c r="K27" s="41"/>
    </row>
    <row r="28" spans="1:11" ht="13.5" thickBot="1">
      <c r="A28" s="1">
        <v>7</v>
      </c>
      <c r="F28" s="41"/>
      <c r="G28" s="41"/>
      <c r="J28" s="41"/>
      <c r="K28" s="41"/>
    </row>
    <row r="29" spans="1:14" ht="12.75">
      <c r="A29" s="1">
        <v>8</v>
      </c>
      <c r="C29" s="9" t="s">
        <v>29</v>
      </c>
      <c r="D29" s="9" t="s">
        <v>30</v>
      </c>
      <c r="E29" s="1" t="s">
        <v>31</v>
      </c>
      <c r="G29" s="45" t="s">
        <v>93</v>
      </c>
      <c r="H29" s="46"/>
      <c r="I29" s="46"/>
      <c r="J29" s="47"/>
      <c r="K29" s="46"/>
      <c r="L29" s="46"/>
      <c r="M29" s="46"/>
      <c r="N29" s="46"/>
    </row>
    <row r="30" spans="1:14" ht="12.75">
      <c r="A30" s="1">
        <v>9</v>
      </c>
      <c r="B30" s="1" t="s">
        <v>3</v>
      </c>
      <c r="C30" s="9" t="s">
        <v>33</v>
      </c>
      <c r="D30" s="9" t="s">
        <v>34</v>
      </c>
      <c r="E30" s="9" t="s">
        <v>3</v>
      </c>
      <c r="F30" s="9" t="s">
        <v>5</v>
      </c>
      <c r="G30" s="49" t="str">
        <f>B32</f>
        <v>Schedule "R-TOD"</v>
      </c>
      <c r="H30" s="41"/>
      <c r="I30" s="41"/>
      <c r="J30" s="50"/>
      <c r="K30" s="41"/>
      <c r="L30" s="41"/>
      <c r="M30" s="41"/>
      <c r="N30" s="41"/>
    </row>
    <row r="31" spans="1:14" ht="12.75">
      <c r="A31" s="1">
        <v>10</v>
      </c>
      <c r="B31" s="52" t="s">
        <v>35</v>
      </c>
      <c r="C31" s="52" t="s">
        <v>35</v>
      </c>
      <c r="D31" s="52" t="s">
        <v>35</v>
      </c>
      <c r="E31" s="52" t="s">
        <v>35</v>
      </c>
      <c r="F31" s="52" t="s">
        <v>35</v>
      </c>
      <c r="G31" s="51"/>
      <c r="H31" s="53" t="s">
        <v>64</v>
      </c>
      <c r="I31" s="161" t="s">
        <v>65</v>
      </c>
      <c r="J31" s="162"/>
      <c r="K31" s="165" t="s">
        <v>66</v>
      </c>
      <c r="L31" s="164"/>
      <c r="M31" s="57" t="s">
        <v>91</v>
      </c>
      <c r="N31" s="109" t="s">
        <v>67</v>
      </c>
    </row>
    <row r="32" spans="1:14" ht="12.75">
      <c r="A32" s="1">
        <v>11</v>
      </c>
      <c r="B32" s="1" t="s">
        <v>38</v>
      </c>
      <c r="G32" s="51"/>
      <c r="H32" s="58" t="s">
        <v>68</v>
      </c>
      <c r="I32" s="59" t="s">
        <v>69</v>
      </c>
      <c r="J32" s="60" t="s">
        <v>70</v>
      </c>
      <c r="K32" s="91" t="s">
        <v>69</v>
      </c>
      <c r="L32" s="62" t="s">
        <v>70</v>
      </c>
      <c r="M32" s="63" t="s">
        <v>71</v>
      </c>
      <c r="N32" s="22" t="s">
        <v>71</v>
      </c>
    </row>
    <row r="33" spans="1:14" ht="12.75">
      <c r="A33" s="1">
        <v>12</v>
      </c>
      <c r="G33" s="51"/>
      <c r="H33" s="64" t="s">
        <v>72</v>
      </c>
      <c r="I33" s="64" t="s">
        <v>73</v>
      </c>
      <c r="J33" s="65" t="s">
        <v>74</v>
      </c>
      <c r="K33" s="92" t="s">
        <v>75</v>
      </c>
      <c r="L33" s="67" t="s">
        <v>76</v>
      </c>
      <c r="M33" s="68" t="s">
        <v>77</v>
      </c>
      <c r="N33" s="68" t="s">
        <v>92</v>
      </c>
    </row>
    <row r="34" spans="1:14" ht="12.75">
      <c r="A34" s="1">
        <v>13</v>
      </c>
      <c r="B34" s="1" t="s">
        <v>39</v>
      </c>
      <c r="G34" s="51" t="str">
        <f>B34</f>
        <v>ON-PEAK</v>
      </c>
      <c r="H34" s="69">
        <f>C35</f>
        <v>0</v>
      </c>
      <c r="I34" s="70">
        <f>E34</f>
        <v>0</v>
      </c>
      <c r="J34" s="71">
        <f aca="true" t="shared" si="1" ref="J34:J40">H34*I34</f>
        <v>0</v>
      </c>
      <c r="K34" s="70">
        <f aca="true" t="shared" si="2" ref="K34:K40">I34</f>
        <v>0</v>
      </c>
      <c r="L34" s="73">
        <f>K34*H34</f>
        <v>0</v>
      </c>
      <c r="M34" s="73">
        <f>L34-J34</f>
        <v>0</v>
      </c>
      <c r="N34" s="41"/>
    </row>
    <row r="35" spans="1:14" ht="12.75">
      <c r="A35" s="1">
        <v>14</v>
      </c>
      <c r="B35" s="1" t="s">
        <v>40</v>
      </c>
      <c r="E35" s="12">
        <v>3.13</v>
      </c>
      <c r="F35" s="12">
        <v>0</v>
      </c>
      <c r="G35" s="51" t="str">
        <f aca="true" t="shared" si="3" ref="G35:G41">B35</f>
        <v>   SERVICE CHARGE</v>
      </c>
      <c r="H35" s="75">
        <f>D35</f>
        <v>0</v>
      </c>
      <c r="I35" s="70">
        <f aca="true" t="shared" si="4" ref="I35:I40">E35</f>
        <v>3.13</v>
      </c>
      <c r="J35" s="71">
        <f t="shared" si="1"/>
        <v>0</v>
      </c>
      <c r="K35" s="76">
        <f t="shared" si="2"/>
        <v>3.13</v>
      </c>
      <c r="L35" s="73">
        <f aca="true" t="shared" si="5" ref="L35:L40">K35*H35</f>
        <v>0</v>
      </c>
      <c r="M35" s="73">
        <f aca="true" t="shared" si="6" ref="M35:M40">L35-J35</f>
        <v>0</v>
      </c>
      <c r="N35" s="41"/>
    </row>
    <row r="36" spans="1:14" ht="12.75">
      <c r="A36" s="1">
        <v>15</v>
      </c>
      <c r="B36" s="1" t="s">
        <v>63</v>
      </c>
      <c r="C36" s="1">
        <v>0</v>
      </c>
      <c r="E36" s="74">
        <v>0.07012</v>
      </c>
      <c r="F36" s="12">
        <v>0</v>
      </c>
      <c r="G36" s="51" t="str">
        <f t="shared" si="3"/>
        <v>   ALL KWH</v>
      </c>
      <c r="H36" s="93">
        <v>0</v>
      </c>
      <c r="I36" s="94">
        <f t="shared" si="4"/>
        <v>0.07012</v>
      </c>
      <c r="J36" s="71">
        <f t="shared" si="1"/>
        <v>0</v>
      </c>
      <c r="K36" s="76">
        <f>I36+P294</f>
        <v>0.07409427561882657</v>
      </c>
      <c r="L36" s="73">
        <f t="shared" si="5"/>
        <v>0</v>
      </c>
      <c r="M36" s="73">
        <f t="shared" si="6"/>
        <v>0</v>
      </c>
      <c r="N36" s="41"/>
    </row>
    <row r="37" spans="1:14" ht="12.75">
      <c r="A37" s="1">
        <v>16</v>
      </c>
      <c r="B37" s="1" t="s">
        <v>41</v>
      </c>
      <c r="E37" s="74"/>
      <c r="F37" s="12"/>
      <c r="G37" s="51" t="str">
        <f t="shared" si="3"/>
        <v>OFF-PEAK</v>
      </c>
      <c r="H37" s="41"/>
      <c r="I37" s="70">
        <f t="shared" si="4"/>
        <v>0</v>
      </c>
      <c r="J37" s="71">
        <f t="shared" si="1"/>
        <v>0</v>
      </c>
      <c r="K37" s="76">
        <f t="shared" si="2"/>
        <v>0</v>
      </c>
      <c r="L37" s="73">
        <f t="shared" si="5"/>
        <v>0</v>
      </c>
      <c r="M37" s="73">
        <f t="shared" si="6"/>
        <v>0</v>
      </c>
      <c r="N37" s="81"/>
    </row>
    <row r="38" spans="1:14" ht="12.75">
      <c r="A38" s="1">
        <v>17</v>
      </c>
      <c r="B38" s="1" t="s">
        <v>63</v>
      </c>
      <c r="C38" s="1">
        <v>0</v>
      </c>
      <c r="D38" s="1">
        <v>0</v>
      </c>
      <c r="E38" s="95">
        <v>0.04062</v>
      </c>
      <c r="F38" s="12">
        <v>0</v>
      </c>
      <c r="G38" s="51" t="str">
        <f t="shared" si="3"/>
        <v>   ALL KWH</v>
      </c>
      <c r="H38" s="93">
        <v>0</v>
      </c>
      <c r="I38" s="94">
        <f t="shared" si="4"/>
        <v>0.04062</v>
      </c>
      <c r="J38" s="71">
        <f t="shared" si="1"/>
        <v>0</v>
      </c>
      <c r="K38" s="76">
        <f>I38+P294</f>
        <v>0.04459427561882657</v>
      </c>
      <c r="L38" s="73">
        <f t="shared" si="5"/>
        <v>0</v>
      </c>
      <c r="M38" s="73">
        <f t="shared" si="6"/>
        <v>0</v>
      </c>
      <c r="N38" s="158"/>
    </row>
    <row r="39" spans="1:14" ht="12.75">
      <c r="A39" s="1">
        <v>18</v>
      </c>
      <c r="B39" s="1" t="s">
        <v>11</v>
      </c>
      <c r="E39" s="17"/>
      <c r="F39" s="12">
        <v>0</v>
      </c>
      <c r="G39" s="51" t="str">
        <f t="shared" si="3"/>
        <v>FUEL</v>
      </c>
      <c r="H39" s="41"/>
      <c r="I39" s="70">
        <f t="shared" si="4"/>
        <v>0</v>
      </c>
      <c r="J39" s="71">
        <f t="shared" si="1"/>
        <v>0</v>
      </c>
      <c r="K39" s="76">
        <f t="shared" si="2"/>
        <v>0</v>
      </c>
      <c r="L39" s="73">
        <f t="shared" si="5"/>
        <v>0</v>
      </c>
      <c r="M39" s="73">
        <f t="shared" si="6"/>
        <v>0</v>
      </c>
      <c r="N39" s="41"/>
    </row>
    <row r="40" spans="1:14" ht="12.75">
      <c r="A40" s="1">
        <v>19</v>
      </c>
      <c r="B40" s="1" t="s">
        <v>61</v>
      </c>
      <c r="E40" s="96"/>
      <c r="F40" s="12">
        <v>0</v>
      </c>
      <c r="G40" s="51" t="str">
        <f t="shared" si="3"/>
        <v>ESC</v>
      </c>
      <c r="H40" s="41"/>
      <c r="I40" s="70">
        <f t="shared" si="4"/>
        <v>0</v>
      </c>
      <c r="J40" s="71">
        <f t="shared" si="1"/>
        <v>0</v>
      </c>
      <c r="K40" s="76">
        <f t="shared" si="2"/>
        <v>0</v>
      </c>
      <c r="L40" s="73">
        <f t="shared" si="5"/>
        <v>0</v>
      </c>
      <c r="M40" s="73">
        <f t="shared" si="6"/>
        <v>0</v>
      </c>
      <c r="N40" s="41"/>
    </row>
    <row r="41" spans="1:14" ht="12.75">
      <c r="A41" s="1">
        <v>20</v>
      </c>
      <c r="B41" s="1" t="s">
        <v>12</v>
      </c>
      <c r="F41" s="12">
        <f>SUM(F35:F40)</f>
        <v>0</v>
      </c>
      <c r="G41" s="51" t="str">
        <f t="shared" si="3"/>
        <v>TOTAL REVENUE</v>
      </c>
      <c r="H41" s="41"/>
      <c r="I41" s="41"/>
      <c r="J41" s="82">
        <f>SUM(J34:J40)</f>
        <v>0</v>
      </c>
      <c r="K41" s="41"/>
      <c r="L41" s="81">
        <f>SUM(L34:L40)</f>
        <v>0</v>
      </c>
      <c r="M41" s="81">
        <f>L41-J41</f>
        <v>0</v>
      </c>
      <c r="N41" s="41"/>
    </row>
    <row r="42" spans="7:14" ht="12.75">
      <c r="G42" s="51" t="s">
        <v>89</v>
      </c>
      <c r="H42" s="75"/>
      <c r="I42" s="41"/>
      <c r="J42" s="50"/>
      <c r="K42" s="41"/>
      <c r="L42" s="75"/>
      <c r="M42" s="75"/>
      <c r="N42" s="41"/>
    </row>
    <row r="43" spans="7:14" ht="13.5" thickBot="1">
      <c r="G43" s="86" t="s">
        <v>67</v>
      </c>
      <c r="H43" s="87"/>
      <c r="I43" s="88"/>
      <c r="J43" s="89"/>
      <c r="K43" s="88"/>
      <c r="L43" s="87"/>
      <c r="M43" s="87"/>
      <c r="N43" s="88" t="e">
        <f>M41/J41-1</f>
        <v>#DIV/0!</v>
      </c>
    </row>
    <row r="44" spans="1:11" ht="12.75">
      <c r="A44" s="1">
        <v>1</v>
      </c>
      <c r="F44" s="41"/>
      <c r="G44" s="41"/>
      <c r="J44" s="41"/>
      <c r="K44" s="41"/>
    </row>
    <row r="45" spans="1:11" ht="12.75">
      <c r="A45" s="1">
        <v>2</v>
      </c>
      <c r="C45" s="1" t="str">
        <f>$C$4</f>
        <v>        CLARK ENERGY COOPERATIVE, INC.</v>
      </c>
      <c r="F45" s="41"/>
      <c r="G45" s="41"/>
      <c r="J45" s="41"/>
      <c r="K45" s="41"/>
    </row>
    <row r="46" spans="1:11" ht="12.75">
      <c r="A46" s="1">
        <v>3</v>
      </c>
      <c r="D46" s="1" t="s">
        <v>28</v>
      </c>
      <c r="F46" s="41"/>
      <c r="G46" s="41"/>
      <c r="J46" s="41"/>
      <c r="K46" s="41"/>
    </row>
    <row r="47" spans="1:11" ht="12.75">
      <c r="A47" s="1">
        <v>4</v>
      </c>
      <c r="C47" s="1" t="str">
        <f>C6</f>
        <v>      TEST YEAR ENDING SEPTEMBER 30, 2006</v>
      </c>
      <c r="F47" s="41"/>
      <c r="G47" s="41"/>
      <c r="J47" s="41"/>
      <c r="K47" s="41"/>
    </row>
    <row r="48" spans="1:11" ht="13.5" thickBot="1">
      <c r="A48" s="1">
        <v>5</v>
      </c>
      <c r="F48" s="41"/>
      <c r="G48" s="41"/>
      <c r="J48" s="41"/>
      <c r="K48" s="41"/>
    </row>
    <row r="49" spans="1:14" ht="12.75">
      <c r="A49" s="1">
        <v>6</v>
      </c>
      <c r="G49" s="45" t="s">
        <v>93</v>
      </c>
      <c r="H49" s="46"/>
      <c r="I49" s="46"/>
      <c r="J49" s="47"/>
      <c r="K49" s="46"/>
      <c r="L49" s="46"/>
      <c r="M49" s="46"/>
      <c r="N49" s="46"/>
    </row>
    <row r="50" spans="1:14" ht="12.75">
      <c r="A50" s="1">
        <v>7</v>
      </c>
      <c r="G50" s="49" t="str">
        <f>B54</f>
        <v>Schedule "D"</v>
      </c>
      <c r="H50" s="41"/>
      <c r="I50" s="41"/>
      <c r="J50" s="50"/>
      <c r="K50" s="41"/>
      <c r="L50" s="41"/>
      <c r="M50" s="41"/>
      <c r="N50" s="41"/>
    </row>
    <row r="51" spans="1:14" ht="12.75">
      <c r="A51" s="1">
        <v>8</v>
      </c>
      <c r="C51" s="9" t="s">
        <v>29</v>
      </c>
      <c r="D51" s="9" t="s">
        <v>30</v>
      </c>
      <c r="E51" s="1" t="s">
        <v>31</v>
      </c>
      <c r="G51" s="51"/>
      <c r="H51" s="53" t="s">
        <v>64</v>
      </c>
      <c r="I51" s="54" t="s">
        <v>65</v>
      </c>
      <c r="J51" s="55"/>
      <c r="K51" s="90" t="s">
        <v>66</v>
      </c>
      <c r="L51" s="56"/>
      <c r="M51" s="57" t="s">
        <v>91</v>
      </c>
      <c r="N51" s="109" t="s">
        <v>67</v>
      </c>
    </row>
    <row r="52" spans="1:14" ht="12.75">
      <c r="A52" s="1">
        <v>9</v>
      </c>
      <c r="B52" s="1" t="s">
        <v>3</v>
      </c>
      <c r="C52" s="9" t="s">
        <v>33</v>
      </c>
      <c r="D52" s="9" t="s">
        <v>34</v>
      </c>
      <c r="E52" s="9" t="s">
        <v>3</v>
      </c>
      <c r="F52" s="9" t="s">
        <v>5</v>
      </c>
      <c r="G52" s="51"/>
      <c r="H52" s="58" t="s">
        <v>68</v>
      </c>
      <c r="I52" s="59" t="s">
        <v>69</v>
      </c>
      <c r="J52" s="60" t="s">
        <v>70</v>
      </c>
      <c r="K52" s="91" t="s">
        <v>69</v>
      </c>
      <c r="L52" s="62" t="s">
        <v>70</v>
      </c>
      <c r="M52" s="63" t="s">
        <v>71</v>
      </c>
      <c r="N52" s="22" t="s">
        <v>71</v>
      </c>
    </row>
    <row r="53" spans="1:14" ht="13.5" thickBot="1">
      <c r="A53" s="1">
        <v>10</v>
      </c>
      <c r="B53" s="52" t="s">
        <v>35</v>
      </c>
      <c r="C53" s="52" t="s">
        <v>35</v>
      </c>
      <c r="D53" s="52" t="s">
        <v>35</v>
      </c>
      <c r="E53" s="52" t="s">
        <v>35</v>
      </c>
      <c r="F53" s="52" t="s">
        <v>35</v>
      </c>
      <c r="G53" s="51"/>
      <c r="H53" s="64" t="s">
        <v>72</v>
      </c>
      <c r="I53" s="64" t="s">
        <v>73</v>
      </c>
      <c r="J53" s="65" t="s">
        <v>74</v>
      </c>
      <c r="K53" s="97" t="s">
        <v>75</v>
      </c>
      <c r="L53" s="98" t="s">
        <v>76</v>
      </c>
      <c r="M53" s="68" t="s">
        <v>77</v>
      </c>
      <c r="N53" s="68" t="s">
        <v>92</v>
      </c>
    </row>
    <row r="54" spans="1:14" ht="12.75">
      <c r="A54" s="1">
        <v>11</v>
      </c>
      <c r="B54" s="1" t="s">
        <v>42</v>
      </c>
      <c r="G54" s="51"/>
      <c r="H54" s="69"/>
      <c r="I54" s="70"/>
      <c r="J54" s="71"/>
      <c r="K54" s="99"/>
      <c r="L54" s="100"/>
      <c r="M54" s="100"/>
      <c r="N54" s="46"/>
    </row>
    <row r="55" spans="1:14" ht="12.75">
      <c r="A55" s="1">
        <v>12</v>
      </c>
      <c r="G55" s="51" t="s">
        <v>85</v>
      </c>
      <c r="H55" s="75">
        <f>C56</f>
        <v>2819</v>
      </c>
      <c r="I55" s="70"/>
      <c r="J55" s="71"/>
      <c r="K55" s="76">
        <f>I55</f>
        <v>0</v>
      </c>
      <c r="L55" s="73">
        <f>K55*H55</f>
        <v>0</v>
      </c>
      <c r="M55" s="73">
        <f>L55-J55</f>
        <v>0</v>
      </c>
      <c r="N55" s="41"/>
    </row>
    <row r="56" spans="1:19" ht="12.75">
      <c r="A56" s="1">
        <v>13</v>
      </c>
      <c r="B56" s="1" t="s">
        <v>14</v>
      </c>
      <c r="C56" s="20">
        <f>'Detail Sheet'!AZ18</f>
        <v>2819</v>
      </c>
      <c r="D56" s="20">
        <f>'Detail Sheet'!BA18</f>
        <v>1845795</v>
      </c>
      <c r="E56" s="74">
        <f>'Detail Sheet'!AY18</f>
        <v>0.04389</v>
      </c>
      <c r="F56" s="29">
        <f>'Detail Sheet'!BB18</f>
        <v>80998.3</v>
      </c>
      <c r="G56" s="51" t="s">
        <v>86</v>
      </c>
      <c r="H56" s="101">
        <f>D56</f>
        <v>1845795</v>
      </c>
      <c r="I56" s="94">
        <f>E56</f>
        <v>0.04389</v>
      </c>
      <c r="J56" s="102">
        <f>H56*I56</f>
        <v>81011.94254999999</v>
      </c>
      <c r="K56" s="103">
        <f>I56+P294</f>
        <v>0.047864275618826564</v>
      </c>
      <c r="L56" s="73">
        <f>K56*H56</f>
        <v>88347.64061585198</v>
      </c>
      <c r="M56" s="78">
        <f>L56-J56</f>
        <v>7335.69806585199</v>
      </c>
      <c r="N56" s="41"/>
      <c r="P56" s="101">
        <f>D56</f>
        <v>1845795</v>
      </c>
      <c r="R56" s="21"/>
      <c r="S56" s="21">
        <f>M56</f>
        <v>7335.69806585199</v>
      </c>
    </row>
    <row r="57" spans="1:14" ht="15">
      <c r="A57" s="1">
        <v>14</v>
      </c>
      <c r="B57" s="1" t="s">
        <v>11</v>
      </c>
      <c r="D57" s="16"/>
      <c r="E57" s="96"/>
      <c r="F57" s="29">
        <f>'Detail Sheet'!BB19</f>
        <v>16821.780000000002</v>
      </c>
      <c r="G57" s="51" t="s">
        <v>79</v>
      </c>
      <c r="H57" s="41"/>
      <c r="I57" s="70"/>
      <c r="J57" s="104">
        <v>0</v>
      </c>
      <c r="K57" s="41"/>
      <c r="L57" s="105">
        <f>J57</f>
        <v>0</v>
      </c>
      <c r="M57" s="73">
        <f>L57-J57</f>
        <v>0</v>
      </c>
      <c r="N57" s="41"/>
    </row>
    <row r="58" spans="1:14" ht="12.75">
      <c r="A58" s="1">
        <v>15</v>
      </c>
      <c r="B58" s="1" t="s">
        <v>61</v>
      </c>
      <c r="D58" s="16"/>
      <c r="E58" s="96"/>
      <c r="F58" s="29">
        <f>'Detail Sheet'!BB20</f>
        <v>35.99999999999999</v>
      </c>
      <c r="G58" s="51" t="s">
        <v>87</v>
      </c>
      <c r="H58" s="41"/>
      <c r="I58" s="94"/>
      <c r="J58" s="71">
        <f>J56+J57</f>
        <v>81011.94254999999</v>
      </c>
      <c r="K58" s="41"/>
      <c r="L58" s="81">
        <f>SUM(L55:L57)</f>
        <v>88347.64061585198</v>
      </c>
      <c r="M58" s="81">
        <f>SUM(M55:M57)</f>
        <v>7335.69806585199</v>
      </c>
      <c r="N58" s="81"/>
    </row>
    <row r="59" spans="1:14" ht="12.75">
      <c r="A59" s="1">
        <v>16</v>
      </c>
      <c r="B59" s="1" t="s">
        <v>12</v>
      </c>
      <c r="D59" s="16"/>
      <c r="E59" s="96"/>
      <c r="F59" s="13">
        <f>SUM(F56:F58)</f>
        <v>97856.08</v>
      </c>
      <c r="G59" s="51" t="str">
        <f>B57</f>
        <v>FUEL</v>
      </c>
      <c r="H59" s="41"/>
      <c r="I59" s="70"/>
      <c r="J59" s="71">
        <f>F57</f>
        <v>16821.780000000002</v>
      </c>
      <c r="K59" s="41"/>
      <c r="L59" s="81">
        <f>J59</f>
        <v>16821.780000000002</v>
      </c>
      <c r="M59" s="81">
        <f>K59</f>
        <v>0</v>
      </c>
      <c r="N59" s="158"/>
    </row>
    <row r="60" spans="7:14" ht="15">
      <c r="G60" s="51" t="str">
        <f>B58</f>
        <v>ESC</v>
      </c>
      <c r="H60" s="41"/>
      <c r="I60" s="70"/>
      <c r="J60" s="104">
        <f>F58</f>
        <v>35.99999999999999</v>
      </c>
      <c r="K60" s="41"/>
      <c r="L60" s="105">
        <f>J60</f>
        <v>35.99999999999999</v>
      </c>
      <c r="M60" s="105">
        <f>K60</f>
        <v>0</v>
      </c>
      <c r="N60" s="41"/>
    </row>
    <row r="61" spans="7:14" ht="12.75">
      <c r="G61" s="51" t="str">
        <f>B59</f>
        <v>TOTAL REVENUE</v>
      </c>
      <c r="H61" s="41"/>
      <c r="I61" s="41"/>
      <c r="J61" s="82">
        <f>J58+J59+J60</f>
        <v>97869.72254999999</v>
      </c>
      <c r="K61" s="41"/>
      <c r="L61" s="81">
        <f>L58+L59+L60</f>
        <v>105205.42061585198</v>
      </c>
      <c r="M61" s="81">
        <f>M58+M59+M60</f>
        <v>7335.69806585199</v>
      </c>
      <c r="N61" s="81">
        <f>L61-J61</f>
        <v>7335.69806585199</v>
      </c>
    </row>
    <row r="62" spans="1:14" ht="12.75">
      <c r="A62" s="1">
        <v>1</v>
      </c>
      <c r="G62" s="51" t="s">
        <v>89</v>
      </c>
      <c r="H62" s="75"/>
      <c r="I62" s="41"/>
      <c r="J62" s="84">
        <f>J61/H55</f>
        <v>34.71788667967364</v>
      </c>
      <c r="K62" s="41"/>
      <c r="L62" s="75">
        <f>L61/H55</f>
        <v>37.320120828610136</v>
      </c>
      <c r="M62" s="110">
        <f>L62-J62</f>
        <v>2.602234148936496</v>
      </c>
      <c r="N62" s="41"/>
    </row>
    <row r="63" spans="1:14" ht="13.5" thickBot="1">
      <c r="A63" s="1">
        <v>2</v>
      </c>
      <c r="C63" s="1" t="str">
        <f>$C$4</f>
        <v>        CLARK ENERGY COOPERATIVE, INC.</v>
      </c>
      <c r="G63" s="86" t="s">
        <v>67</v>
      </c>
      <c r="H63" s="87"/>
      <c r="I63" s="88"/>
      <c r="J63" s="89"/>
      <c r="K63" s="88"/>
      <c r="L63" s="87"/>
      <c r="M63" s="87"/>
      <c r="N63" s="159">
        <f>L61/J61-1</f>
        <v>0.0749537024803999</v>
      </c>
    </row>
    <row r="64" spans="1:11" ht="12.75">
      <c r="A64" s="1">
        <v>3</v>
      </c>
      <c r="D64" s="1" t="s">
        <v>28</v>
      </c>
      <c r="F64" s="41"/>
      <c r="G64" s="41"/>
      <c r="J64" s="41"/>
      <c r="K64" s="41"/>
    </row>
    <row r="65" spans="1:11" ht="12.75">
      <c r="A65" s="1">
        <v>4</v>
      </c>
      <c r="C65" s="1" t="str">
        <f>C6</f>
        <v>      TEST YEAR ENDING SEPTEMBER 30, 2006</v>
      </c>
      <c r="F65" s="41"/>
      <c r="G65" s="41"/>
      <c r="J65" s="41"/>
      <c r="K65" s="41"/>
    </row>
    <row r="66" spans="1:11" ht="12.75">
      <c r="A66" s="1">
        <v>5</v>
      </c>
      <c r="F66" s="41"/>
      <c r="G66" s="41"/>
      <c r="J66" s="41"/>
      <c r="K66" s="41"/>
    </row>
    <row r="67" spans="1:11" ht="13.5" thickBot="1">
      <c r="A67" s="1">
        <v>6</v>
      </c>
      <c r="F67" s="41"/>
      <c r="G67" s="41"/>
      <c r="J67" s="41"/>
      <c r="K67" s="41"/>
    </row>
    <row r="68" spans="1:14" ht="12.75">
      <c r="A68" s="1">
        <v>7</v>
      </c>
      <c r="G68" s="45" t="s">
        <v>93</v>
      </c>
      <c r="H68" s="46"/>
      <c r="I68" s="46"/>
      <c r="J68" s="47"/>
      <c r="K68" s="46"/>
      <c r="L68" s="46"/>
      <c r="M68" s="46"/>
      <c r="N68" s="46"/>
    </row>
    <row r="69" spans="1:14" ht="12.75">
      <c r="A69" s="1">
        <v>8</v>
      </c>
      <c r="C69" s="9" t="s">
        <v>29</v>
      </c>
      <c r="D69" s="9" t="s">
        <v>30</v>
      </c>
      <c r="F69" s="9"/>
      <c r="G69" s="49" t="s">
        <v>90</v>
      </c>
      <c r="H69" s="41"/>
      <c r="I69" s="41"/>
      <c r="J69" s="50"/>
      <c r="K69" s="41"/>
      <c r="L69" s="41"/>
      <c r="M69" s="41"/>
      <c r="N69" s="41"/>
    </row>
    <row r="70" spans="1:14" ht="12.75">
      <c r="A70" s="1">
        <v>9</v>
      </c>
      <c r="B70" s="1" t="s">
        <v>32</v>
      </c>
      <c r="C70" s="9" t="s">
        <v>33</v>
      </c>
      <c r="D70" s="9" t="s">
        <v>34</v>
      </c>
      <c r="E70" s="9" t="s">
        <v>44</v>
      </c>
      <c r="F70" s="9" t="s">
        <v>5</v>
      </c>
      <c r="G70" s="51"/>
      <c r="H70" s="53" t="s">
        <v>64</v>
      </c>
      <c r="I70" s="168" t="s">
        <v>123</v>
      </c>
      <c r="J70" s="169"/>
      <c r="K70" s="90" t="s">
        <v>66</v>
      </c>
      <c r="L70" s="56"/>
      <c r="M70" s="57" t="s">
        <v>91</v>
      </c>
      <c r="N70" s="109" t="s">
        <v>67</v>
      </c>
    </row>
    <row r="71" spans="1:14" ht="12.75">
      <c r="A71" s="1">
        <v>10</v>
      </c>
      <c r="B71" s="52" t="s">
        <v>35</v>
      </c>
      <c r="C71" s="52" t="s">
        <v>35</v>
      </c>
      <c r="D71" s="52" t="s">
        <v>35</v>
      </c>
      <c r="E71" s="52" t="s">
        <v>35</v>
      </c>
      <c r="F71" s="52" t="s">
        <v>35</v>
      </c>
      <c r="G71" s="51"/>
      <c r="H71" s="58" t="s">
        <v>68</v>
      </c>
      <c r="I71" s="59" t="s">
        <v>69</v>
      </c>
      <c r="J71" s="60" t="s">
        <v>70</v>
      </c>
      <c r="K71" s="91" t="s">
        <v>69</v>
      </c>
      <c r="L71" s="62" t="s">
        <v>70</v>
      </c>
      <c r="M71" s="63" t="s">
        <v>71</v>
      </c>
      <c r="N71" s="22" t="s">
        <v>71</v>
      </c>
    </row>
    <row r="72" spans="1:14" ht="13.5" thickBot="1">
      <c r="A72" s="1">
        <v>11</v>
      </c>
      <c r="B72" s="1" t="s">
        <v>45</v>
      </c>
      <c r="G72" s="51"/>
      <c r="H72" s="64" t="s">
        <v>72</v>
      </c>
      <c r="I72" s="64" t="s">
        <v>73</v>
      </c>
      <c r="J72" s="65" t="s">
        <v>74</v>
      </c>
      <c r="K72" s="97" t="s">
        <v>75</v>
      </c>
      <c r="L72" s="98" t="s">
        <v>76</v>
      </c>
      <c r="M72" s="68" t="s">
        <v>77</v>
      </c>
      <c r="N72" s="68" t="s">
        <v>92</v>
      </c>
    </row>
    <row r="73" spans="1:14" ht="12.75">
      <c r="A73" s="1">
        <v>12</v>
      </c>
      <c r="G73" s="51"/>
      <c r="H73" s="69"/>
      <c r="I73" s="70"/>
      <c r="J73" s="71"/>
      <c r="K73" s="99"/>
      <c r="L73" s="100"/>
      <c r="M73" s="100"/>
      <c r="N73" s="46"/>
    </row>
    <row r="74" spans="1:14" ht="12.75">
      <c r="A74" s="1">
        <v>13</v>
      </c>
      <c r="B74" s="1" t="s">
        <v>25</v>
      </c>
      <c r="C74" s="1">
        <v>0</v>
      </c>
      <c r="D74" s="1">
        <v>0</v>
      </c>
      <c r="E74" s="12">
        <f>+'Detail Sheet'!W81*12</f>
        <v>66.12</v>
      </c>
      <c r="F74" s="21">
        <v>0</v>
      </c>
      <c r="G74" s="51" t="str">
        <f aca="true" t="shared" si="7" ref="G74:H76">B74</f>
        <v>200 WATT</v>
      </c>
      <c r="H74" s="75">
        <f t="shared" si="7"/>
        <v>0</v>
      </c>
      <c r="I74" s="70">
        <f>E74</f>
        <v>66.12</v>
      </c>
      <c r="J74" s="71">
        <f>H74*I74</f>
        <v>0</v>
      </c>
      <c r="K74" s="111">
        <f>I74+(67*12*P294)</f>
        <v>69.31531759753656</v>
      </c>
      <c r="L74" s="112">
        <f>K74*H74</f>
        <v>0</v>
      </c>
      <c r="M74" s="112">
        <f>L74-J74</f>
        <v>0</v>
      </c>
      <c r="N74" s="41"/>
    </row>
    <row r="75" spans="1:14" ht="12.75">
      <c r="A75" s="1">
        <v>14</v>
      </c>
      <c r="B75" s="1" t="s">
        <v>26</v>
      </c>
      <c r="C75" s="1">
        <v>0</v>
      </c>
      <c r="D75" s="1">
        <v>0</v>
      </c>
      <c r="E75" s="12">
        <f>+'Detail Sheet'!W82*12</f>
        <v>85.15</v>
      </c>
      <c r="F75" s="15">
        <v>0</v>
      </c>
      <c r="G75" s="51" t="str">
        <f t="shared" si="7"/>
        <v>300 WATT</v>
      </c>
      <c r="H75" s="75">
        <f t="shared" si="7"/>
        <v>0</v>
      </c>
      <c r="I75" s="70">
        <f>E75</f>
        <v>85.15</v>
      </c>
      <c r="J75" s="71">
        <f>H75*I75</f>
        <v>0</v>
      </c>
      <c r="K75" s="113">
        <f>I75+(100*12*P294)</f>
        <v>89.91913074259189</v>
      </c>
      <c r="L75" s="112">
        <f>K75*H75</f>
        <v>0</v>
      </c>
      <c r="M75" s="112">
        <f>L75-J75</f>
        <v>0</v>
      </c>
      <c r="N75" s="41"/>
    </row>
    <row r="76" spans="1:19" ht="12.75">
      <c r="A76" s="1">
        <v>15</v>
      </c>
      <c r="B76" s="1" t="s">
        <v>27</v>
      </c>
      <c r="C76" s="20">
        <f>'Detail Sheet'!AZ83</f>
        <v>8373</v>
      </c>
      <c r="D76" s="20">
        <f>'Detail Sheet'!BA83</f>
        <v>1289442</v>
      </c>
      <c r="E76" s="12">
        <f>'Detail Sheet'!W83*12</f>
        <v>128.19</v>
      </c>
      <c r="F76" s="21">
        <f>'Detail Sheet'!BB83</f>
        <v>91198.87</v>
      </c>
      <c r="G76" s="51" t="str">
        <f t="shared" si="7"/>
        <v>400 WATT</v>
      </c>
      <c r="H76" s="75">
        <f t="shared" si="7"/>
        <v>8373</v>
      </c>
      <c r="I76" s="70">
        <f>E76</f>
        <v>128.19</v>
      </c>
      <c r="J76" s="71">
        <f>H76*I76/12</f>
        <v>89444.5725</v>
      </c>
      <c r="K76" s="113">
        <f>I76+(154*12*P294)</f>
        <v>135.5344613435915</v>
      </c>
      <c r="L76" s="114">
        <f>K76*H76/12</f>
        <v>94569.17040249096</v>
      </c>
      <c r="M76" s="73">
        <f>L76-J76</f>
        <v>5124.597902490961</v>
      </c>
      <c r="N76" s="41"/>
      <c r="P76" s="101">
        <f>D76</f>
        <v>1289442</v>
      </c>
      <c r="S76" s="21">
        <f>M76</f>
        <v>5124.597902490961</v>
      </c>
    </row>
    <row r="77" spans="1:14" ht="12.75">
      <c r="A77" s="1">
        <v>16</v>
      </c>
      <c r="B77" s="1" t="s">
        <v>11</v>
      </c>
      <c r="F77" s="21">
        <f>'Detail Sheet'!BB84</f>
        <v>10722.359999999999</v>
      </c>
      <c r="G77" s="51" t="s">
        <v>79</v>
      </c>
      <c r="H77" s="41"/>
      <c r="I77" s="94"/>
      <c r="J77" s="83">
        <f>1754-1754</f>
        <v>0</v>
      </c>
      <c r="K77" s="41"/>
      <c r="L77" s="80">
        <f>J77</f>
        <v>0</v>
      </c>
      <c r="M77" s="115">
        <f>L77-J77</f>
        <v>0</v>
      </c>
      <c r="N77" s="41"/>
    </row>
    <row r="78" spans="1:14" ht="12.75">
      <c r="A78" s="1">
        <v>17</v>
      </c>
      <c r="B78" s="1" t="s">
        <v>61</v>
      </c>
      <c r="F78" s="21">
        <f>'Detail Sheet'!BB85</f>
        <v>958.8418663985764</v>
      </c>
      <c r="G78" s="51" t="s">
        <v>87</v>
      </c>
      <c r="H78" s="41"/>
      <c r="I78" s="70"/>
      <c r="J78" s="71">
        <f>J76+J77</f>
        <v>89444.5725</v>
      </c>
      <c r="K78" s="41"/>
      <c r="L78" s="81">
        <f>SUM(L74:L77)</f>
        <v>94569.17040249096</v>
      </c>
      <c r="M78" s="81">
        <f>SUM(M74:M77)</f>
        <v>5124.597902490961</v>
      </c>
      <c r="N78" s="81"/>
    </row>
    <row r="79" spans="1:14" ht="12.75">
      <c r="A79" s="1">
        <v>18</v>
      </c>
      <c r="B79" s="1" t="s">
        <v>12</v>
      </c>
      <c r="C79" s="1">
        <v>0</v>
      </c>
      <c r="D79" s="1">
        <v>0</v>
      </c>
      <c r="F79" s="15">
        <f>SUM(F74:F78)</f>
        <v>102880.07186639858</v>
      </c>
      <c r="G79" s="51" t="str">
        <f>B77</f>
        <v>FUEL</v>
      </c>
      <c r="H79" s="41"/>
      <c r="I79" s="70"/>
      <c r="J79" s="71">
        <f>F77</f>
        <v>10722.359999999999</v>
      </c>
      <c r="K79" s="41"/>
      <c r="L79" s="81">
        <f>J79</f>
        <v>10722.359999999999</v>
      </c>
      <c r="M79" s="81">
        <f>K79</f>
        <v>0</v>
      </c>
      <c r="N79" s="158"/>
    </row>
    <row r="80" spans="7:14" ht="12.75">
      <c r="G80" s="116" t="str">
        <f>B78</f>
        <v>ESC</v>
      </c>
      <c r="H80" s="41"/>
      <c r="I80" s="41"/>
      <c r="J80" s="117">
        <f>F78</f>
        <v>958.8418663985764</v>
      </c>
      <c r="K80" s="41"/>
      <c r="L80" s="81">
        <f>J80</f>
        <v>958.8418663985764</v>
      </c>
      <c r="M80" s="81">
        <f>K80</f>
        <v>0</v>
      </c>
      <c r="N80" s="41"/>
    </row>
    <row r="81" spans="7:14" ht="12.75">
      <c r="G81" s="51" t="s">
        <v>12</v>
      </c>
      <c r="H81" s="75"/>
      <c r="I81" s="41"/>
      <c r="J81" s="82">
        <f>J78+J79+J80</f>
        <v>101125.77436639857</v>
      </c>
      <c r="K81" s="41"/>
      <c r="L81" s="75">
        <f>L78+L79+L80</f>
        <v>106250.37226888954</v>
      </c>
      <c r="M81" s="75">
        <f>M78+M79+M80</f>
        <v>5124.597902490961</v>
      </c>
      <c r="N81" s="81"/>
    </row>
    <row r="82" spans="1:14" ht="12.75">
      <c r="A82" s="1">
        <v>1</v>
      </c>
      <c r="G82" s="51" t="s">
        <v>89</v>
      </c>
      <c r="H82" s="75"/>
      <c r="I82" s="41"/>
      <c r="J82" s="118">
        <f>J81/H76</f>
        <v>12.07760353115951</v>
      </c>
      <c r="K82" s="119"/>
      <c r="L82" s="119">
        <f>L81/H76</f>
        <v>12.6896419764588</v>
      </c>
      <c r="M82" s="119">
        <f>L82-J82</f>
        <v>0.6120384452992909</v>
      </c>
      <c r="N82" s="125"/>
    </row>
    <row r="83" spans="1:14" ht="13.5" thickBot="1">
      <c r="A83" s="1">
        <v>2</v>
      </c>
      <c r="C83" s="1" t="str">
        <f>$C$4</f>
        <v>        CLARK ENERGY COOPERATIVE, INC.</v>
      </c>
      <c r="G83" s="86" t="s">
        <v>67</v>
      </c>
      <c r="H83" s="87"/>
      <c r="I83" s="88"/>
      <c r="J83" s="89"/>
      <c r="K83" s="88"/>
      <c r="L83" s="87"/>
      <c r="M83" s="87"/>
      <c r="N83" s="159">
        <f>L81/J81-1</f>
        <v>0.050675487377960904</v>
      </c>
    </row>
    <row r="84" spans="1:11" ht="12.75">
      <c r="A84" s="1">
        <v>3</v>
      </c>
      <c r="D84" s="1" t="s">
        <v>28</v>
      </c>
      <c r="F84" s="41"/>
      <c r="G84" s="41"/>
      <c r="J84" s="41"/>
      <c r="K84" s="41"/>
    </row>
    <row r="85" spans="1:11" ht="12.75">
      <c r="A85" s="1">
        <v>4</v>
      </c>
      <c r="C85" s="1" t="str">
        <f>C6</f>
        <v>      TEST YEAR ENDING SEPTEMBER 30, 2006</v>
      </c>
      <c r="F85" s="41"/>
      <c r="G85" s="41"/>
      <c r="J85" s="41"/>
      <c r="K85" s="41"/>
    </row>
    <row r="86" spans="1:11" ht="12.75">
      <c r="A86" s="1">
        <v>5</v>
      </c>
      <c r="F86" s="41"/>
      <c r="G86" s="41"/>
      <c r="J86" s="41"/>
      <c r="K86" s="41"/>
    </row>
    <row r="87" spans="1:14" ht="12.75">
      <c r="A87" s="1">
        <v>6</v>
      </c>
      <c r="F87" s="41"/>
      <c r="G87" s="120"/>
      <c r="H87" s="41"/>
      <c r="I87" s="41"/>
      <c r="J87" s="41"/>
      <c r="K87" s="41"/>
      <c r="L87" s="41"/>
      <c r="M87" s="41"/>
      <c r="N87" s="41"/>
    </row>
    <row r="88" spans="1:14" ht="13.5" thickBot="1">
      <c r="A88" s="1">
        <v>7</v>
      </c>
      <c r="F88" s="41"/>
      <c r="G88" s="41"/>
      <c r="H88" s="41"/>
      <c r="I88" s="166"/>
      <c r="J88" s="166"/>
      <c r="K88" s="167"/>
      <c r="L88" s="167"/>
      <c r="M88" s="122"/>
      <c r="N88" s="122"/>
    </row>
    <row r="89" spans="1:14" ht="12.75">
      <c r="A89" s="1">
        <v>8</v>
      </c>
      <c r="C89" s="9" t="s">
        <v>29</v>
      </c>
      <c r="D89" s="9" t="s">
        <v>30</v>
      </c>
      <c r="E89" s="9" t="s">
        <v>43</v>
      </c>
      <c r="G89" s="45" t="s">
        <v>93</v>
      </c>
      <c r="H89" s="46"/>
      <c r="I89" s="46"/>
      <c r="J89" s="47"/>
      <c r="K89" s="48"/>
      <c r="L89" s="46"/>
      <c r="M89" s="46"/>
      <c r="N89" s="46"/>
    </row>
    <row r="90" spans="1:14" ht="12.75">
      <c r="A90" s="1">
        <v>9</v>
      </c>
      <c r="B90" s="1" t="s">
        <v>32</v>
      </c>
      <c r="C90" s="9" t="s">
        <v>33</v>
      </c>
      <c r="D90" s="9" t="s">
        <v>34</v>
      </c>
      <c r="E90" s="9" t="s">
        <v>3</v>
      </c>
      <c r="F90" s="9" t="s">
        <v>5</v>
      </c>
      <c r="G90" s="49" t="str">
        <f>B92</f>
        <v>Schedule "S"</v>
      </c>
      <c r="H90" s="41"/>
      <c r="I90" s="41"/>
      <c r="J90" s="50"/>
      <c r="K90" s="51"/>
      <c r="L90" s="41"/>
      <c r="M90" s="41"/>
      <c r="N90" s="41"/>
    </row>
    <row r="91" spans="1:14" ht="12.75">
      <c r="A91" s="1">
        <v>10</v>
      </c>
      <c r="B91" s="52" t="s">
        <v>35</v>
      </c>
      <c r="C91" s="52" t="s">
        <v>35</v>
      </c>
      <c r="D91" s="52" t="s">
        <v>35</v>
      </c>
      <c r="E91" s="52" t="s">
        <v>35</v>
      </c>
      <c r="F91" s="52" t="s">
        <v>35</v>
      </c>
      <c r="G91" s="51"/>
      <c r="H91" s="53" t="s">
        <v>64</v>
      </c>
      <c r="I91" s="161" t="s">
        <v>123</v>
      </c>
      <c r="J91" s="162"/>
      <c r="K91" s="163" t="s">
        <v>66</v>
      </c>
      <c r="L91" s="164"/>
      <c r="M91" s="57" t="s">
        <v>91</v>
      </c>
      <c r="N91" s="109" t="s">
        <v>67</v>
      </c>
    </row>
    <row r="92" spans="1:14" ht="12.75">
      <c r="A92" s="1">
        <v>11</v>
      </c>
      <c r="B92" s="1" t="s">
        <v>46</v>
      </c>
      <c r="G92" s="51"/>
      <c r="H92" s="58" t="s">
        <v>68</v>
      </c>
      <c r="I92" s="59" t="s">
        <v>69</v>
      </c>
      <c r="J92" s="60" t="s">
        <v>70</v>
      </c>
      <c r="K92" s="61" t="s">
        <v>69</v>
      </c>
      <c r="L92" s="62" t="s">
        <v>70</v>
      </c>
      <c r="M92" s="63" t="s">
        <v>71</v>
      </c>
      <c r="N92" s="22" t="s">
        <v>71</v>
      </c>
    </row>
    <row r="93" spans="1:14" ht="12.75">
      <c r="A93" s="1">
        <v>12</v>
      </c>
      <c r="G93" s="51"/>
      <c r="H93" s="64" t="s">
        <v>72</v>
      </c>
      <c r="I93" s="64" t="s">
        <v>73</v>
      </c>
      <c r="J93" s="65" t="s">
        <v>74</v>
      </c>
      <c r="K93" s="66" t="s">
        <v>75</v>
      </c>
      <c r="L93" s="67" t="s">
        <v>76</v>
      </c>
      <c r="M93" s="68" t="s">
        <v>77</v>
      </c>
      <c r="N93" s="68" t="s">
        <v>92</v>
      </c>
    </row>
    <row r="94" spans="1:19" ht="12.75">
      <c r="A94" s="1">
        <v>13</v>
      </c>
      <c r="B94" s="1" t="s">
        <v>47</v>
      </c>
      <c r="C94" s="20">
        <f>'Detail Sheet'!AZ75</f>
        <v>102858.8</v>
      </c>
      <c r="D94" s="20">
        <f>'Detail Sheet'!BA75</f>
        <v>7200116</v>
      </c>
      <c r="E94" s="39">
        <f>'Detail Sheet'!AY74</f>
        <v>6</v>
      </c>
      <c r="F94" s="29">
        <f>'Detail Sheet'!BB75</f>
        <v>620220.6799999999</v>
      </c>
      <c r="G94" s="51" t="s">
        <v>122</v>
      </c>
      <c r="H94" s="69">
        <f>C94</f>
        <v>102858.8</v>
      </c>
      <c r="I94" s="70">
        <f>E94</f>
        <v>6</v>
      </c>
      <c r="J94" s="71">
        <f>H94*I94</f>
        <v>617152.8</v>
      </c>
      <c r="K94" s="123">
        <f>I94+70*P294</f>
        <v>6.27819929331786</v>
      </c>
      <c r="L94" s="73">
        <f>K94*H94</f>
        <v>645768.0454715231</v>
      </c>
      <c r="M94" s="73">
        <f>L94-J94</f>
        <v>28615.245471523027</v>
      </c>
      <c r="N94" s="41"/>
      <c r="P94" s="101">
        <f>D94</f>
        <v>7200116</v>
      </c>
      <c r="S94" s="21">
        <f>M94</f>
        <v>28615.245471523027</v>
      </c>
    </row>
    <row r="95" spans="1:14" ht="12.75">
      <c r="A95" s="1">
        <v>14</v>
      </c>
      <c r="B95" s="1" t="s">
        <v>11</v>
      </c>
      <c r="C95" s="16"/>
      <c r="D95" s="16"/>
      <c r="F95" s="29">
        <f>'Detail Sheet'!BB76</f>
        <v>59793.46</v>
      </c>
      <c r="G95" s="51" t="s">
        <v>78</v>
      </c>
      <c r="H95" s="75">
        <f>D94</f>
        <v>7200116</v>
      </c>
      <c r="I95" s="76">
        <f>E95</f>
        <v>0</v>
      </c>
      <c r="J95" s="71">
        <f>H95*I95</f>
        <v>0</v>
      </c>
      <c r="K95" s="77">
        <f>I95</f>
        <v>0</v>
      </c>
      <c r="L95" s="73">
        <f>K95*H95</f>
        <v>0</v>
      </c>
      <c r="M95" s="73">
        <f>L95-J95</f>
        <v>0</v>
      </c>
      <c r="N95" s="41"/>
    </row>
    <row r="96" spans="1:14" ht="12.75">
      <c r="A96" s="1">
        <v>15</v>
      </c>
      <c r="B96" s="1" t="s">
        <v>61</v>
      </c>
      <c r="C96" s="16"/>
      <c r="D96" s="16"/>
      <c r="F96" s="29">
        <f>'Detail Sheet'!BB77</f>
        <v>4341.298133601417</v>
      </c>
      <c r="G96" s="51" t="s">
        <v>79</v>
      </c>
      <c r="H96" s="41"/>
      <c r="I96" s="41"/>
      <c r="J96" s="79">
        <v>0</v>
      </c>
      <c r="K96" s="51"/>
      <c r="L96" s="80">
        <f>J96</f>
        <v>0</v>
      </c>
      <c r="M96" s="124">
        <f>L96-J96</f>
        <v>0</v>
      </c>
      <c r="N96" s="41"/>
    </row>
    <row r="97" spans="1:14" ht="12.75">
      <c r="A97" s="1">
        <v>16</v>
      </c>
      <c r="B97" s="1" t="s">
        <v>12</v>
      </c>
      <c r="C97" s="16"/>
      <c r="D97" s="16"/>
      <c r="F97" s="13">
        <f>SUM(F94:F96)</f>
        <v>684355.4381336013</v>
      </c>
      <c r="G97" s="51" t="s">
        <v>80</v>
      </c>
      <c r="H97" s="41"/>
      <c r="I97" s="41"/>
      <c r="J97" s="71">
        <f>J94+J95+J96</f>
        <v>617152.8</v>
      </c>
      <c r="K97" s="51"/>
      <c r="L97" s="81">
        <f>SUM(L94:L96)</f>
        <v>645768.0454715231</v>
      </c>
      <c r="M97" s="81">
        <f>SUM(M94:M96)</f>
        <v>28615.245471523027</v>
      </c>
      <c r="N97" s="81"/>
    </row>
    <row r="98" spans="7:14" ht="12.75">
      <c r="G98" s="51" t="s">
        <v>81</v>
      </c>
      <c r="H98" s="41"/>
      <c r="I98" s="41"/>
      <c r="J98" s="71">
        <f>F95</f>
        <v>59793.46</v>
      </c>
      <c r="K98" s="51"/>
      <c r="L98" s="81">
        <f>J98</f>
        <v>59793.46</v>
      </c>
      <c r="M98" s="81">
        <f>K98</f>
        <v>0</v>
      </c>
      <c r="N98" s="158"/>
    </row>
    <row r="99" spans="7:14" ht="15">
      <c r="G99" s="51" t="s">
        <v>82</v>
      </c>
      <c r="H99" s="41"/>
      <c r="I99" s="41"/>
      <c r="J99" s="104">
        <f>F96</f>
        <v>4341.298133601417</v>
      </c>
      <c r="K99" s="51"/>
      <c r="L99" s="80">
        <f>J99</f>
        <v>4341.298133601417</v>
      </c>
      <c r="M99" s="80">
        <f>K99</f>
        <v>0</v>
      </c>
      <c r="N99" s="41"/>
    </row>
    <row r="100" spans="1:14" ht="12.75">
      <c r="A100" s="1">
        <v>1</v>
      </c>
      <c r="G100" s="51" t="s">
        <v>84</v>
      </c>
      <c r="H100" s="41"/>
      <c r="I100" s="41"/>
      <c r="J100" s="82">
        <f>J97+J98+J99</f>
        <v>681287.5581336014</v>
      </c>
      <c r="K100" s="51"/>
      <c r="L100" s="81">
        <f>L97+L98+L99</f>
        <v>709902.8036051245</v>
      </c>
      <c r="M100" s="81">
        <f>M97+M98+M99</f>
        <v>28615.245471523027</v>
      </c>
      <c r="N100" s="81"/>
    </row>
    <row r="101" spans="1:14" ht="12.75">
      <c r="A101" s="1">
        <v>2</v>
      </c>
      <c r="G101" s="51" t="s">
        <v>89</v>
      </c>
      <c r="H101" s="75"/>
      <c r="I101" s="41"/>
      <c r="J101" s="84">
        <f>J100/H94</f>
        <v>6.6235223251058875</v>
      </c>
      <c r="K101" s="51"/>
      <c r="L101" s="125">
        <f>L100/H94</f>
        <v>6.901721618423746</v>
      </c>
      <c r="M101" s="125">
        <f>L101-J101</f>
        <v>0.27819929331785875</v>
      </c>
      <c r="N101" s="125"/>
    </row>
    <row r="102" spans="1:14" ht="13.5" thickBot="1">
      <c r="A102" s="1">
        <v>3</v>
      </c>
      <c r="G102" s="86" t="s">
        <v>67</v>
      </c>
      <c r="H102" s="87"/>
      <c r="I102" s="88"/>
      <c r="J102" s="89"/>
      <c r="K102" s="86"/>
      <c r="L102" s="87"/>
      <c r="M102" s="87"/>
      <c r="N102" s="159">
        <f>L100/J100-1</f>
        <v>0.04200171444480061</v>
      </c>
    </row>
    <row r="103" spans="1:11" ht="12.75">
      <c r="A103" s="1">
        <v>4</v>
      </c>
      <c r="G103" s="41"/>
      <c r="J103" s="41"/>
      <c r="K103" s="41"/>
    </row>
    <row r="104" spans="1:19" ht="12.75">
      <c r="A104" s="1">
        <v>5</v>
      </c>
      <c r="C104" s="1" t="str">
        <f>$C$4</f>
        <v>        CLARK ENERGY COOPERATIVE, INC.</v>
      </c>
      <c r="G104" s="41"/>
      <c r="J104" s="41"/>
      <c r="K104" s="41"/>
      <c r="S104" s="1" t="s">
        <v>133</v>
      </c>
    </row>
    <row r="105" spans="1:19" ht="12.75">
      <c r="A105" s="1">
        <v>6</v>
      </c>
      <c r="D105" s="1" t="s">
        <v>28</v>
      </c>
      <c r="G105" s="41"/>
      <c r="J105" s="41"/>
      <c r="K105" s="41"/>
      <c r="S105" s="1" t="s">
        <v>134</v>
      </c>
    </row>
    <row r="106" spans="1:19" ht="13.5" thickBot="1">
      <c r="A106" s="1">
        <v>7</v>
      </c>
      <c r="C106" s="1" t="str">
        <f>C6</f>
        <v>      TEST YEAR ENDING SEPTEMBER 30, 2006</v>
      </c>
      <c r="F106" s="41"/>
      <c r="G106" s="41"/>
      <c r="J106" s="41"/>
      <c r="K106" s="41"/>
      <c r="S106" s="1" t="s">
        <v>136</v>
      </c>
    </row>
    <row r="107" spans="1:14" ht="12.75">
      <c r="A107" s="1">
        <v>8</v>
      </c>
      <c r="F107" s="41"/>
      <c r="G107" s="45" t="s">
        <v>93</v>
      </c>
      <c r="H107" s="46"/>
      <c r="I107" s="46"/>
      <c r="J107" s="47"/>
      <c r="K107" s="48"/>
      <c r="L107" s="46"/>
      <c r="M107" s="46"/>
      <c r="N107" s="46"/>
    </row>
    <row r="108" spans="1:14" ht="12.75">
      <c r="A108" s="1">
        <v>9</v>
      </c>
      <c r="B108" s="1" t="s">
        <v>32</v>
      </c>
      <c r="F108" s="41"/>
      <c r="G108" s="49" t="str">
        <f>B110</f>
        <v>Schedule "E"</v>
      </c>
      <c r="H108" s="41"/>
      <c r="I108" s="41"/>
      <c r="J108" s="50"/>
      <c r="K108" s="51"/>
      <c r="L108" s="41"/>
      <c r="M108" s="41"/>
      <c r="N108" s="41"/>
    </row>
    <row r="109" spans="1:14" ht="12.75">
      <c r="A109" s="1">
        <v>10</v>
      </c>
      <c r="B109" s="52" t="s">
        <v>35</v>
      </c>
      <c r="F109" s="41"/>
      <c r="G109" s="51"/>
      <c r="H109" s="53" t="s">
        <v>64</v>
      </c>
      <c r="I109" s="161" t="s">
        <v>65</v>
      </c>
      <c r="J109" s="162"/>
      <c r="K109" s="163" t="s">
        <v>66</v>
      </c>
      <c r="L109" s="164"/>
      <c r="M109" s="57" t="s">
        <v>91</v>
      </c>
      <c r="N109" s="109" t="s">
        <v>67</v>
      </c>
    </row>
    <row r="110" spans="1:14" ht="12.75">
      <c r="A110" s="1">
        <v>11</v>
      </c>
      <c r="B110" s="1" t="s">
        <v>48</v>
      </c>
      <c r="C110" s="9" t="s">
        <v>29</v>
      </c>
      <c r="D110" s="9" t="s">
        <v>30</v>
      </c>
      <c r="E110" s="1" t="s">
        <v>31</v>
      </c>
      <c r="G110" s="51"/>
      <c r="H110" s="58" t="s">
        <v>68</v>
      </c>
      <c r="I110" s="59" t="s">
        <v>69</v>
      </c>
      <c r="J110" s="60" t="s">
        <v>70</v>
      </c>
      <c r="K110" s="61" t="s">
        <v>69</v>
      </c>
      <c r="L110" s="62" t="s">
        <v>70</v>
      </c>
      <c r="M110" s="63" t="s">
        <v>71</v>
      </c>
      <c r="N110" s="22" t="s">
        <v>71</v>
      </c>
    </row>
    <row r="111" spans="1:14" ht="12.75">
      <c r="A111" s="1">
        <v>12</v>
      </c>
      <c r="C111" s="9" t="s">
        <v>33</v>
      </c>
      <c r="D111" s="9" t="s">
        <v>34</v>
      </c>
      <c r="E111" s="9" t="s">
        <v>3</v>
      </c>
      <c r="F111" s="9" t="s">
        <v>5</v>
      </c>
      <c r="G111" s="51"/>
      <c r="H111" s="64" t="s">
        <v>72</v>
      </c>
      <c r="I111" s="64" t="s">
        <v>73</v>
      </c>
      <c r="J111" s="65" t="s">
        <v>74</v>
      </c>
      <c r="K111" s="66" t="s">
        <v>75</v>
      </c>
      <c r="L111" s="67" t="s">
        <v>76</v>
      </c>
      <c r="M111" s="68" t="s">
        <v>77</v>
      </c>
      <c r="N111" s="68" t="s">
        <v>92</v>
      </c>
    </row>
    <row r="112" spans="1:14" ht="12.75">
      <c r="A112" s="1">
        <v>13</v>
      </c>
      <c r="B112" s="1" t="s">
        <v>16</v>
      </c>
      <c r="C112" s="52" t="s">
        <v>35</v>
      </c>
      <c r="D112" s="52" t="s">
        <v>35</v>
      </c>
      <c r="E112" s="52" t="s">
        <v>35</v>
      </c>
      <c r="F112" s="52" t="s">
        <v>35</v>
      </c>
      <c r="G112" s="51" t="s">
        <v>16</v>
      </c>
      <c r="H112" s="69">
        <f>C116</f>
        <v>3516</v>
      </c>
      <c r="I112" s="70">
        <f>E115</f>
        <v>5.4</v>
      </c>
      <c r="J112" s="71">
        <f>H112*I112</f>
        <v>18986.4</v>
      </c>
      <c r="K112" s="72">
        <f>I112</f>
        <v>5.4</v>
      </c>
      <c r="L112" s="73">
        <f>K112*H112</f>
        <v>18986.4</v>
      </c>
      <c r="M112" s="73">
        <f>L112-J112</f>
        <v>0</v>
      </c>
      <c r="N112" s="41"/>
    </row>
    <row r="113" spans="1:19" ht="12.75">
      <c r="A113" s="1">
        <v>14</v>
      </c>
      <c r="B113" s="8" t="str">
        <f>$B$16</f>
        <v>All KWH</v>
      </c>
      <c r="G113" s="51" t="s">
        <v>78</v>
      </c>
      <c r="H113" s="75">
        <f>D116</f>
        <v>3742702</v>
      </c>
      <c r="I113" s="76">
        <f>E116</f>
        <v>0.07522</v>
      </c>
      <c r="J113" s="71">
        <f>H113*I113</f>
        <v>281526.04443999997</v>
      </c>
      <c r="K113" s="128">
        <f>I113+P294</f>
        <v>0.07919427561882657</v>
      </c>
      <c r="L113" s="73">
        <f>K113*H113</f>
        <v>296400.5737471334</v>
      </c>
      <c r="M113" s="73">
        <f>L113-J113</f>
        <v>14874.52930713346</v>
      </c>
      <c r="N113" s="41"/>
      <c r="P113" s="101">
        <f>D116</f>
        <v>3742702</v>
      </c>
      <c r="S113" s="21">
        <f>M113</f>
        <v>14874.52930713346</v>
      </c>
    </row>
    <row r="114" spans="1:14" ht="12.75">
      <c r="A114" s="1">
        <v>15</v>
      </c>
      <c r="B114" s="1" t="s">
        <v>11</v>
      </c>
      <c r="G114" s="51" t="s">
        <v>79</v>
      </c>
      <c r="H114" s="41"/>
      <c r="I114" s="41"/>
      <c r="J114" s="79">
        <v>0</v>
      </c>
      <c r="K114" s="51"/>
      <c r="L114" s="80">
        <f>J114</f>
        <v>0</v>
      </c>
      <c r="M114" s="73">
        <f>L114-J114</f>
        <v>0</v>
      </c>
      <c r="N114" s="41"/>
    </row>
    <row r="115" spans="1:14" ht="12.75">
      <c r="A115" s="1">
        <v>16</v>
      </c>
      <c r="B115" s="1" t="s">
        <v>61</v>
      </c>
      <c r="C115" s="16"/>
      <c r="D115" s="16"/>
      <c r="E115" s="126">
        <f>'Detail Sheet'!AY24</f>
        <v>5.4</v>
      </c>
      <c r="F115" s="29">
        <f>'Detail Sheet'!BB24</f>
        <v>18835.199999999997</v>
      </c>
      <c r="G115" s="51" t="s">
        <v>80</v>
      </c>
      <c r="H115" s="41"/>
      <c r="I115" s="41"/>
      <c r="J115" s="71">
        <f>J112+J113+J114</f>
        <v>300512.44444</v>
      </c>
      <c r="K115" s="51"/>
      <c r="L115" s="81">
        <f>SUM(L112:L114)</f>
        <v>315386.97374713345</v>
      </c>
      <c r="M115" s="81">
        <f>SUM(M112:M114)</f>
        <v>14874.52930713346</v>
      </c>
      <c r="N115" s="41"/>
    </row>
    <row r="116" spans="1:14" ht="12.75">
      <c r="A116" s="1">
        <v>17</v>
      </c>
      <c r="B116" s="1" t="s">
        <v>12</v>
      </c>
      <c r="C116" s="16">
        <f>'Detail Sheet'!AZ25</f>
        <v>3516</v>
      </c>
      <c r="D116" s="16">
        <f>'Detail Sheet'!BA25</f>
        <v>3742702</v>
      </c>
      <c r="E116" s="127">
        <f>'Detail Sheet'!W25</f>
        <v>0.07522</v>
      </c>
      <c r="F116" s="29">
        <f>'Detail Sheet'!BB25</f>
        <v>281699</v>
      </c>
      <c r="G116" s="51" t="s">
        <v>81</v>
      </c>
      <c r="H116" s="41"/>
      <c r="I116" s="41"/>
      <c r="J116" s="71">
        <f>F117</f>
        <v>30714.27</v>
      </c>
      <c r="K116" s="51"/>
      <c r="L116" s="81">
        <f>J116</f>
        <v>30714.27</v>
      </c>
      <c r="M116" s="81">
        <f>K116</f>
        <v>0</v>
      </c>
      <c r="N116" s="158"/>
    </row>
    <row r="117" spans="3:14" ht="15">
      <c r="C117" s="16"/>
      <c r="D117" s="16"/>
      <c r="F117" s="29">
        <f>'Detail Sheet'!BB26</f>
        <v>30714.27</v>
      </c>
      <c r="G117" s="51" t="s">
        <v>82</v>
      </c>
      <c r="H117" s="41"/>
      <c r="I117" s="41"/>
      <c r="J117" s="104">
        <f>F118</f>
        <v>22895.37</v>
      </c>
      <c r="K117" s="51"/>
      <c r="L117" s="80">
        <f>J117</f>
        <v>22895.37</v>
      </c>
      <c r="M117" s="80">
        <f>K117</f>
        <v>0</v>
      </c>
      <c r="N117" s="41"/>
    </row>
    <row r="118" spans="3:14" ht="12.75">
      <c r="C118" s="16"/>
      <c r="D118" s="16"/>
      <c r="F118" s="29">
        <f>'Detail Sheet'!BB27</f>
        <v>22895.37</v>
      </c>
      <c r="G118" s="51" t="s">
        <v>84</v>
      </c>
      <c r="H118" s="41"/>
      <c r="I118" s="41"/>
      <c r="J118" s="82">
        <f>J115+J116+J117</f>
        <v>354122.08444</v>
      </c>
      <c r="K118" s="51"/>
      <c r="L118" s="81">
        <f>L115+L116+L117</f>
        <v>368996.61374713347</v>
      </c>
      <c r="M118" s="81">
        <f>M115+M116+M117</f>
        <v>14874.52930713346</v>
      </c>
      <c r="N118" s="81">
        <f>L118-J118</f>
        <v>14874.52930713346</v>
      </c>
    </row>
    <row r="119" spans="1:14" ht="12.75">
      <c r="A119" s="1">
        <v>1</v>
      </c>
      <c r="C119" s="16"/>
      <c r="D119" s="16"/>
      <c r="F119" s="13">
        <f>SUM(F115:F118)</f>
        <v>354143.84</v>
      </c>
      <c r="G119" s="51" t="s">
        <v>89</v>
      </c>
      <c r="H119" s="75"/>
      <c r="I119" s="41"/>
      <c r="J119" s="84">
        <f>J118/H112</f>
        <v>100.71731639362912</v>
      </c>
      <c r="K119" s="51"/>
      <c r="L119" s="129">
        <f>L118/H112</f>
        <v>104.94784236266595</v>
      </c>
      <c r="M119" s="129">
        <f>L119-J119</f>
        <v>4.230525969036833</v>
      </c>
      <c r="N119" s="41"/>
    </row>
    <row r="120" spans="1:14" ht="13.5" thickBot="1">
      <c r="A120" s="1">
        <v>2</v>
      </c>
      <c r="G120" s="86" t="s">
        <v>67</v>
      </c>
      <c r="H120" s="87"/>
      <c r="I120" s="88"/>
      <c r="J120" s="89"/>
      <c r="K120" s="86"/>
      <c r="L120" s="87"/>
      <c r="M120" s="87"/>
      <c r="N120" s="159">
        <f>L118/J118-1</f>
        <v>0.042003958410715025</v>
      </c>
    </row>
    <row r="121" spans="1:11" ht="12.75">
      <c r="A121" s="1">
        <v>3</v>
      </c>
      <c r="G121" s="41"/>
      <c r="J121" s="41"/>
      <c r="K121" s="41"/>
    </row>
    <row r="122" spans="1:11" ht="12.75">
      <c r="A122" s="1">
        <v>4</v>
      </c>
      <c r="G122" s="41"/>
      <c r="J122" s="41"/>
      <c r="K122" s="41"/>
    </row>
    <row r="123" spans="1:11" ht="12.75">
      <c r="A123" s="1">
        <v>5</v>
      </c>
      <c r="C123" s="1" t="str">
        <f>$C$4</f>
        <v>        CLARK ENERGY COOPERATIVE, INC.</v>
      </c>
      <c r="G123" s="41"/>
      <c r="J123" s="41"/>
      <c r="K123" s="41"/>
    </row>
    <row r="124" spans="1:11" ht="12.75">
      <c r="A124" s="1">
        <v>6</v>
      </c>
      <c r="D124" s="1" t="s">
        <v>28</v>
      </c>
      <c r="F124" s="41"/>
      <c r="G124" s="41"/>
      <c r="J124" s="41"/>
      <c r="K124" s="41"/>
    </row>
    <row r="125" spans="1:11" ht="13.5" thickBot="1">
      <c r="A125" s="1">
        <v>7</v>
      </c>
      <c r="C125" s="1" t="str">
        <f>C6</f>
        <v>      TEST YEAR ENDING SEPTEMBER 30, 2006</v>
      </c>
      <c r="F125" s="41"/>
      <c r="G125" s="41"/>
      <c r="J125" s="41"/>
      <c r="K125" s="41"/>
    </row>
    <row r="126" spans="1:14" ht="12.75">
      <c r="A126" s="1">
        <v>8</v>
      </c>
      <c r="F126" s="41"/>
      <c r="G126" s="45" t="s">
        <v>93</v>
      </c>
      <c r="H126" s="46"/>
      <c r="I126" s="46"/>
      <c r="J126" s="47"/>
      <c r="K126" s="48"/>
      <c r="L126" s="46"/>
      <c r="M126" s="46"/>
      <c r="N126" s="46"/>
    </row>
    <row r="127" spans="1:14" ht="12.75">
      <c r="A127" s="1">
        <v>9</v>
      </c>
      <c r="B127" s="1" t="s">
        <v>32</v>
      </c>
      <c r="F127" s="41"/>
      <c r="G127" s="49" t="str">
        <f>B129</f>
        <v>Schedule "A"</v>
      </c>
      <c r="H127" s="41"/>
      <c r="I127" s="41"/>
      <c r="J127" s="50"/>
      <c r="K127" s="51"/>
      <c r="L127" s="41"/>
      <c r="M127" s="41"/>
      <c r="N127" s="41"/>
    </row>
    <row r="128" spans="1:14" ht="12.75">
      <c r="A128" s="1">
        <v>10</v>
      </c>
      <c r="B128" s="52" t="s">
        <v>35</v>
      </c>
      <c r="F128" s="41"/>
      <c r="G128" s="51"/>
      <c r="H128" s="53" t="s">
        <v>64</v>
      </c>
      <c r="I128" s="161" t="s">
        <v>65</v>
      </c>
      <c r="J128" s="162"/>
      <c r="K128" s="163" t="s">
        <v>66</v>
      </c>
      <c r="L128" s="164"/>
      <c r="M128" s="57" t="s">
        <v>91</v>
      </c>
      <c r="N128" s="109" t="s">
        <v>67</v>
      </c>
    </row>
    <row r="129" spans="1:14" ht="12.75">
      <c r="A129" s="1">
        <v>11</v>
      </c>
      <c r="B129" s="1" t="s">
        <v>50</v>
      </c>
      <c r="C129" s="9" t="s">
        <v>29</v>
      </c>
      <c r="D129" s="9" t="s">
        <v>30</v>
      </c>
      <c r="E129" s="1" t="s">
        <v>31</v>
      </c>
      <c r="G129" s="51"/>
      <c r="H129" s="58" t="s">
        <v>68</v>
      </c>
      <c r="I129" s="59" t="s">
        <v>69</v>
      </c>
      <c r="J129" s="60" t="s">
        <v>70</v>
      </c>
      <c r="K129" s="61" t="s">
        <v>69</v>
      </c>
      <c r="L129" s="62" t="s">
        <v>70</v>
      </c>
      <c r="M129" s="63" t="s">
        <v>71</v>
      </c>
      <c r="N129" s="22" t="s">
        <v>71</v>
      </c>
    </row>
    <row r="130" spans="1:14" ht="12.75">
      <c r="A130" s="1">
        <v>12</v>
      </c>
      <c r="C130" s="9" t="s">
        <v>33</v>
      </c>
      <c r="D130" s="9" t="s">
        <v>34</v>
      </c>
      <c r="E130" s="9" t="s">
        <v>3</v>
      </c>
      <c r="F130" s="9" t="s">
        <v>5</v>
      </c>
      <c r="G130" s="51"/>
      <c r="H130" s="64" t="s">
        <v>72</v>
      </c>
      <c r="I130" s="64" t="s">
        <v>73</v>
      </c>
      <c r="J130" s="65" t="s">
        <v>74</v>
      </c>
      <c r="K130" s="66" t="s">
        <v>75</v>
      </c>
      <c r="L130" s="67" t="s">
        <v>76</v>
      </c>
      <c r="M130" s="68" t="s">
        <v>77</v>
      </c>
      <c r="N130" s="68" t="s">
        <v>92</v>
      </c>
    </row>
    <row r="131" spans="1:14" ht="12.75">
      <c r="A131" s="1">
        <v>13</v>
      </c>
      <c r="B131" s="1" t="s">
        <v>16</v>
      </c>
      <c r="C131" s="52" t="s">
        <v>35</v>
      </c>
      <c r="D131" s="52" t="s">
        <v>35</v>
      </c>
      <c r="E131" s="52" t="s">
        <v>35</v>
      </c>
      <c r="F131" s="52" t="s">
        <v>35</v>
      </c>
      <c r="G131" s="51" t="s">
        <v>16</v>
      </c>
      <c r="H131" s="69">
        <f>C135</f>
        <v>16350</v>
      </c>
      <c r="I131" s="70">
        <f>E134</f>
        <v>5.27</v>
      </c>
      <c r="J131" s="71">
        <f>H131*I131</f>
        <v>86164.5</v>
      </c>
      <c r="K131" s="72">
        <f>I131</f>
        <v>5.27</v>
      </c>
      <c r="L131" s="73">
        <f>K131*H131</f>
        <v>86164.5</v>
      </c>
      <c r="M131" s="73">
        <f>L131-J131</f>
        <v>0</v>
      </c>
      <c r="N131" s="41"/>
    </row>
    <row r="132" spans="1:19" ht="12.75">
      <c r="A132" s="1">
        <v>14</v>
      </c>
      <c r="B132" s="8" t="str">
        <f>$B$16</f>
        <v>All KWH</v>
      </c>
      <c r="G132" s="51" t="s">
        <v>78</v>
      </c>
      <c r="H132" s="75">
        <f>D135</f>
        <v>13374409</v>
      </c>
      <c r="I132" s="76">
        <f>E135</f>
        <v>0.08793</v>
      </c>
      <c r="J132" s="71">
        <f>H132*I132</f>
        <v>1176011.7833699998</v>
      </c>
      <c r="K132" s="128">
        <f>I132+P294</f>
        <v>0.09190427561882657</v>
      </c>
      <c r="L132" s="73">
        <f>K132*H132</f>
        <v>1229165.3709749146</v>
      </c>
      <c r="M132" s="73">
        <f>L132-J132</f>
        <v>53153.58760491479</v>
      </c>
      <c r="N132" s="41"/>
      <c r="P132" s="101">
        <f>D135</f>
        <v>13374409</v>
      </c>
      <c r="S132" s="21">
        <f>M132</f>
        <v>53153.58760491479</v>
      </c>
    </row>
    <row r="133" spans="1:14" ht="12.75">
      <c r="A133" s="1">
        <v>15</v>
      </c>
      <c r="B133" s="1" t="s">
        <v>11</v>
      </c>
      <c r="G133" s="51" t="s">
        <v>79</v>
      </c>
      <c r="H133" s="41"/>
      <c r="I133" s="41"/>
      <c r="J133" s="79">
        <v>0</v>
      </c>
      <c r="K133" s="51"/>
      <c r="L133" s="80">
        <f>J133</f>
        <v>0</v>
      </c>
      <c r="M133" s="124">
        <f>L133-J133</f>
        <v>0</v>
      </c>
      <c r="N133" s="41"/>
    </row>
    <row r="134" spans="1:14" ht="12.75">
      <c r="A134" s="1">
        <v>16</v>
      </c>
      <c r="B134" s="1" t="s">
        <v>61</v>
      </c>
      <c r="E134" s="126">
        <f>'Detail Sheet'!AY31</f>
        <v>5.27</v>
      </c>
      <c r="F134" s="29">
        <f>'Detail Sheet'!BB31</f>
        <v>84567.42000000001</v>
      </c>
      <c r="G134" s="51" t="s">
        <v>80</v>
      </c>
      <c r="H134" s="41"/>
      <c r="I134" s="41"/>
      <c r="J134" s="71">
        <f>J131+J132+J133</f>
        <v>1262176.2833699998</v>
      </c>
      <c r="K134" s="51"/>
      <c r="L134" s="130">
        <f>SUM(L131:L133)</f>
        <v>1315329.8709749146</v>
      </c>
      <c r="M134" s="130">
        <f>SUM(M131:M133)</f>
        <v>53153.58760491479</v>
      </c>
      <c r="N134" s="81"/>
    </row>
    <row r="135" spans="1:14" ht="12.75">
      <c r="A135" s="1">
        <v>17</v>
      </c>
      <c r="B135" s="1" t="s">
        <v>12</v>
      </c>
      <c r="C135" s="20">
        <f>'Detail Sheet'!AZ32</f>
        <v>16350</v>
      </c>
      <c r="D135" s="20">
        <f>'Detail Sheet'!BA32</f>
        <v>13374409</v>
      </c>
      <c r="E135" s="127">
        <f>'Detail Sheet'!AY32</f>
        <v>0.08793</v>
      </c>
      <c r="F135" s="29">
        <f>'Detail Sheet'!BB32</f>
        <v>1184136</v>
      </c>
      <c r="G135" s="51" t="s">
        <v>81</v>
      </c>
      <c r="H135" s="41"/>
      <c r="I135" s="41"/>
      <c r="J135" s="71">
        <f>F136</f>
        <v>109950.45999999999</v>
      </c>
      <c r="K135" s="51"/>
      <c r="L135" s="81">
        <f>J135</f>
        <v>109950.45999999999</v>
      </c>
      <c r="M135" s="81">
        <f>K135</f>
        <v>0</v>
      </c>
      <c r="N135" s="158"/>
    </row>
    <row r="136" spans="6:14" ht="15">
      <c r="F136" s="29">
        <f>'Detail Sheet'!BB33</f>
        <v>109950.45999999999</v>
      </c>
      <c r="G136" s="51" t="s">
        <v>82</v>
      </c>
      <c r="H136" s="41"/>
      <c r="I136" s="41"/>
      <c r="J136" s="104">
        <f>F137</f>
        <v>86606.09489361702</v>
      </c>
      <c r="K136" s="51"/>
      <c r="L136" s="80">
        <f>J136</f>
        <v>86606.09489361702</v>
      </c>
      <c r="M136" s="80">
        <f>K136</f>
        <v>0</v>
      </c>
      <c r="N136" s="41"/>
    </row>
    <row r="137" spans="6:14" ht="12.75">
      <c r="F137" s="29">
        <f>'Detail Sheet'!BB34</f>
        <v>86606.09489361702</v>
      </c>
      <c r="G137" s="51" t="s">
        <v>84</v>
      </c>
      <c r="H137" s="41"/>
      <c r="I137" s="41"/>
      <c r="J137" s="82">
        <f>J134+J135+J136</f>
        <v>1458732.838263617</v>
      </c>
      <c r="K137" s="51"/>
      <c r="L137" s="81">
        <f>L136+L135+L134</f>
        <v>1511886.4258685317</v>
      </c>
      <c r="M137" s="81">
        <f>M136+M135+M134</f>
        <v>53153.58760491479</v>
      </c>
      <c r="N137" s="81"/>
    </row>
    <row r="138" spans="1:14" ht="12.75">
      <c r="A138" s="1">
        <v>1</v>
      </c>
      <c r="C138" s="20"/>
      <c r="D138" s="16"/>
      <c r="F138" s="13">
        <f>SUM(F134:F137)</f>
        <v>1465259.974893617</v>
      </c>
      <c r="G138" s="51" t="s">
        <v>89</v>
      </c>
      <c r="H138" s="75"/>
      <c r="I138" s="41"/>
      <c r="J138" s="118">
        <f>J137/H131</f>
        <v>89.21913383875332</v>
      </c>
      <c r="K138" s="51"/>
      <c r="L138" s="110">
        <f>L137/H131</f>
        <v>92.47011779012426</v>
      </c>
      <c r="M138" s="110">
        <f>L138-J138</f>
        <v>3.250983951370941</v>
      </c>
      <c r="N138" s="125"/>
    </row>
    <row r="139" spans="1:14" ht="13.5" thickBot="1">
      <c r="A139" s="1">
        <v>2</v>
      </c>
      <c r="G139" s="86" t="s">
        <v>67</v>
      </c>
      <c r="H139" s="87"/>
      <c r="I139" s="88"/>
      <c r="J139" s="89"/>
      <c r="K139" s="86"/>
      <c r="L139" s="87"/>
      <c r="M139" s="87"/>
      <c r="N139" s="159">
        <f>L137/J137-1</f>
        <v>0.03643819225197231</v>
      </c>
    </row>
    <row r="140" spans="1:11" ht="12.75">
      <c r="A140" s="1">
        <v>3</v>
      </c>
      <c r="G140" s="41"/>
      <c r="J140" s="41"/>
      <c r="K140" s="41"/>
    </row>
    <row r="141" spans="1:11" ht="12.75">
      <c r="A141" s="1">
        <v>4</v>
      </c>
      <c r="G141" s="41"/>
      <c r="J141" s="41"/>
      <c r="K141" s="41"/>
    </row>
    <row r="142" spans="1:11" ht="12.75">
      <c r="A142" s="1">
        <v>5</v>
      </c>
      <c r="C142" s="1" t="str">
        <f>$C$4</f>
        <v>        CLARK ENERGY COOPERATIVE, INC.</v>
      </c>
      <c r="G142" s="41"/>
      <c r="J142" s="41"/>
      <c r="K142" s="41"/>
    </row>
    <row r="143" spans="1:11" ht="12.75">
      <c r="A143" s="1">
        <v>6</v>
      </c>
      <c r="D143" s="1" t="s">
        <v>28</v>
      </c>
      <c r="F143" s="41"/>
      <c r="G143" s="41"/>
      <c r="J143" s="41"/>
      <c r="K143" s="41"/>
    </row>
    <row r="144" spans="1:11" ht="13.5" thickBot="1">
      <c r="A144" s="1">
        <v>7</v>
      </c>
      <c r="C144" s="1" t="str">
        <f>C6</f>
        <v>      TEST YEAR ENDING SEPTEMBER 30, 2006</v>
      </c>
      <c r="F144" s="41"/>
      <c r="G144" s="41"/>
      <c r="J144" s="41"/>
      <c r="K144" s="41"/>
    </row>
    <row r="145" spans="1:14" ht="12.75">
      <c r="A145" s="1">
        <v>8</v>
      </c>
      <c r="F145" s="41"/>
      <c r="G145" s="45" t="s">
        <v>93</v>
      </c>
      <c r="H145" s="46"/>
      <c r="I145" s="46"/>
      <c r="J145" s="47"/>
      <c r="K145" s="48"/>
      <c r="L145" s="46"/>
      <c r="M145" s="46"/>
      <c r="N145" s="46"/>
    </row>
    <row r="146" spans="1:14" ht="12.75">
      <c r="A146" s="1">
        <v>9</v>
      </c>
      <c r="B146" s="1" t="s">
        <v>32</v>
      </c>
      <c r="F146" s="41"/>
      <c r="G146" s="49" t="str">
        <f>B148</f>
        <v>Schedule "B"</v>
      </c>
      <c r="H146" s="41"/>
      <c r="I146" s="41"/>
      <c r="J146" s="50"/>
      <c r="K146" s="51"/>
      <c r="L146" s="41"/>
      <c r="M146" s="41"/>
      <c r="N146" s="41"/>
    </row>
    <row r="147" spans="1:14" ht="12.75">
      <c r="A147" s="1">
        <v>10</v>
      </c>
      <c r="B147" s="52" t="s">
        <v>35</v>
      </c>
      <c r="F147" s="41"/>
      <c r="G147" s="51"/>
      <c r="H147" s="53" t="s">
        <v>64</v>
      </c>
      <c r="I147" s="161" t="s">
        <v>65</v>
      </c>
      <c r="J147" s="162"/>
      <c r="K147" s="163" t="s">
        <v>66</v>
      </c>
      <c r="L147" s="164"/>
      <c r="M147" s="57" t="s">
        <v>91</v>
      </c>
      <c r="N147" s="109" t="s">
        <v>67</v>
      </c>
    </row>
    <row r="148" spans="1:14" ht="12.75">
      <c r="A148" s="1">
        <v>11</v>
      </c>
      <c r="B148" s="1" t="s">
        <v>51</v>
      </c>
      <c r="C148" s="9" t="s">
        <v>29</v>
      </c>
      <c r="D148" s="9" t="s">
        <v>30</v>
      </c>
      <c r="E148" s="1" t="s">
        <v>31</v>
      </c>
      <c r="G148" s="51"/>
      <c r="H148" s="58" t="s">
        <v>68</v>
      </c>
      <c r="I148" s="59" t="s">
        <v>69</v>
      </c>
      <c r="J148" s="60" t="s">
        <v>70</v>
      </c>
      <c r="K148" s="61" t="s">
        <v>69</v>
      </c>
      <c r="L148" s="62" t="s">
        <v>70</v>
      </c>
      <c r="M148" s="63" t="s">
        <v>71</v>
      </c>
      <c r="N148" s="22" t="s">
        <v>71</v>
      </c>
    </row>
    <row r="149" spans="1:14" ht="12.75">
      <c r="A149" s="1">
        <v>12</v>
      </c>
      <c r="C149" s="9" t="s">
        <v>33</v>
      </c>
      <c r="D149" s="9" t="s">
        <v>34</v>
      </c>
      <c r="E149" s="9" t="s">
        <v>3</v>
      </c>
      <c r="F149" s="9" t="s">
        <v>5</v>
      </c>
      <c r="G149" s="51"/>
      <c r="H149" s="64" t="s">
        <v>72</v>
      </c>
      <c r="I149" s="64" t="s">
        <v>73</v>
      </c>
      <c r="J149" s="65" t="s">
        <v>74</v>
      </c>
      <c r="K149" s="66" t="s">
        <v>75</v>
      </c>
      <c r="L149" s="67" t="s">
        <v>76</v>
      </c>
      <c r="M149" s="68" t="s">
        <v>77</v>
      </c>
      <c r="N149" s="68" t="s">
        <v>92</v>
      </c>
    </row>
    <row r="150" spans="1:18" ht="12.75">
      <c r="A150" s="1">
        <v>13</v>
      </c>
      <c r="B150" s="1" t="s">
        <v>19</v>
      </c>
      <c r="C150" s="52" t="s">
        <v>35</v>
      </c>
      <c r="D150" s="52" t="s">
        <v>35</v>
      </c>
      <c r="E150" s="52" t="s">
        <v>35</v>
      </c>
      <c r="F150" s="52" t="s">
        <v>35</v>
      </c>
      <c r="G150" s="51" t="s">
        <v>16</v>
      </c>
      <c r="H150" s="69">
        <f>C155</f>
        <v>1863</v>
      </c>
      <c r="I150" s="70">
        <f>E154</f>
        <v>4.83</v>
      </c>
      <c r="J150" s="71">
        <f>H150*I150</f>
        <v>8998.29</v>
      </c>
      <c r="K150" s="133">
        <f>I150</f>
        <v>4.83</v>
      </c>
      <c r="L150" s="73">
        <f>K150*H150</f>
        <v>8998.29</v>
      </c>
      <c r="M150" s="73">
        <f>L150-J150</f>
        <v>0</v>
      </c>
      <c r="N150" s="41"/>
      <c r="R150" s="21">
        <f>M150</f>
        <v>0</v>
      </c>
    </row>
    <row r="151" spans="1:19" ht="12.75">
      <c r="A151" s="1">
        <v>14</v>
      </c>
      <c r="B151" s="1" t="s">
        <v>16</v>
      </c>
      <c r="G151" s="51" t="s">
        <v>78</v>
      </c>
      <c r="H151" s="75">
        <f>D155</f>
        <v>12626083</v>
      </c>
      <c r="I151" s="134">
        <f>E155</f>
        <v>0.06912</v>
      </c>
      <c r="J151" s="71">
        <f>H151*I151</f>
        <v>872714.85696</v>
      </c>
      <c r="K151" s="77">
        <f>I151+P294</f>
        <v>0.07309427561882657</v>
      </c>
      <c r="L151" s="73">
        <f>K151*H151</f>
        <v>922894.3907881806</v>
      </c>
      <c r="M151" s="73">
        <f>L151-J151</f>
        <v>50179.53382818063</v>
      </c>
      <c r="N151" s="41"/>
      <c r="P151" s="75">
        <f>H151</f>
        <v>12626083</v>
      </c>
      <c r="S151" s="21">
        <f>M151</f>
        <v>50179.53382818063</v>
      </c>
    </row>
    <row r="152" spans="1:17" ht="12.75">
      <c r="A152" s="1">
        <v>15</v>
      </c>
      <c r="B152" s="1" t="s">
        <v>9</v>
      </c>
      <c r="G152" s="135" t="s">
        <v>88</v>
      </c>
      <c r="H152" s="110">
        <v>31650.1852</v>
      </c>
      <c r="I152" s="136">
        <f>E153</f>
        <v>5.4</v>
      </c>
      <c r="J152" s="71">
        <f>H152*I152</f>
        <v>170911.00008</v>
      </c>
      <c r="K152" s="138">
        <f>I152</f>
        <v>5.4</v>
      </c>
      <c r="L152" s="73">
        <f>K152*H152</f>
        <v>170911.00008</v>
      </c>
      <c r="M152" s="73">
        <f>L152-J152</f>
        <v>0</v>
      </c>
      <c r="N152" s="41"/>
      <c r="Q152" s="5">
        <f>M152</f>
        <v>0</v>
      </c>
    </row>
    <row r="153" spans="1:14" ht="12.75">
      <c r="A153" s="1">
        <v>16</v>
      </c>
      <c r="B153" s="1" t="s">
        <v>11</v>
      </c>
      <c r="D153" s="131"/>
      <c r="E153" s="132">
        <f>'Detail Sheet'!AY38</f>
        <v>5.4</v>
      </c>
      <c r="F153" s="29">
        <f>'Detail Sheet'!BB38</f>
        <v>170911.35</v>
      </c>
      <c r="G153" s="51" t="s">
        <v>79</v>
      </c>
      <c r="H153" s="41"/>
      <c r="I153" s="41"/>
      <c r="J153" s="139">
        <v>0</v>
      </c>
      <c r="K153" s="51"/>
      <c r="L153" s="80">
        <f>J153</f>
        <v>0</v>
      </c>
      <c r="M153" s="124">
        <f>L153-J153</f>
        <v>0</v>
      </c>
      <c r="N153" s="41"/>
    </row>
    <row r="154" spans="1:14" ht="12.75">
      <c r="A154" s="1">
        <v>17</v>
      </c>
      <c r="B154" s="1" t="s">
        <v>61</v>
      </c>
      <c r="D154" s="131"/>
      <c r="E154" s="132">
        <f>'Detail Sheet'!AY39</f>
        <v>4.83</v>
      </c>
      <c r="F154" s="29">
        <f>'Detail Sheet'!BB39</f>
        <v>9683.619999999999</v>
      </c>
      <c r="G154" s="51" t="s">
        <v>80</v>
      </c>
      <c r="H154" s="41"/>
      <c r="I154" s="41"/>
      <c r="J154" s="71">
        <f>SUM(J150:J153)</f>
        <v>1052624.14704</v>
      </c>
      <c r="K154" s="51"/>
      <c r="L154" s="81">
        <f>SUM(L150:L153)</f>
        <v>1102803.6808681807</v>
      </c>
      <c r="M154" s="81">
        <f>SUM(M150:M153)</f>
        <v>50179.53382818063</v>
      </c>
      <c r="N154" s="81"/>
    </row>
    <row r="155" spans="1:14" ht="12.75">
      <c r="A155" s="1">
        <v>18</v>
      </c>
      <c r="B155" s="1" t="s">
        <v>12</v>
      </c>
      <c r="C155" s="20">
        <f>'Detail Sheet'!AZ40</f>
        <v>1863</v>
      </c>
      <c r="D155" s="20">
        <f>'Detail Sheet'!BA40</f>
        <v>12626083</v>
      </c>
      <c r="E155" s="74">
        <f>'Detail Sheet'!AY40</f>
        <v>0.06912</v>
      </c>
      <c r="F155" s="29">
        <f>'Detail Sheet'!BB40</f>
        <v>872729</v>
      </c>
      <c r="G155" s="51" t="s">
        <v>81</v>
      </c>
      <c r="H155" s="41"/>
      <c r="I155" s="41"/>
      <c r="J155" s="71">
        <f>F156</f>
        <v>103153.02</v>
      </c>
      <c r="K155" s="51"/>
      <c r="L155" s="81">
        <f>J155</f>
        <v>103153.02</v>
      </c>
      <c r="M155" s="81">
        <f>K155</f>
        <v>0</v>
      </c>
      <c r="N155" s="158"/>
    </row>
    <row r="156" spans="6:14" ht="12.75">
      <c r="F156" s="29">
        <f>'Detail Sheet'!BB41</f>
        <v>103153.02</v>
      </c>
      <c r="G156" s="51" t="s">
        <v>82</v>
      </c>
      <c r="H156" s="41"/>
      <c r="I156" s="41"/>
      <c r="J156" s="83">
        <f>F157</f>
        <v>82308.34510638297</v>
      </c>
      <c r="K156" s="51"/>
      <c r="L156" s="80">
        <f>J156</f>
        <v>82308.34510638297</v>
      </c>
      <c r="M156" s="80">
        <f>K156</f>
        <v>0</v>
      </c>
      <c r="N156" s="41"/>
    </row>
    <row r="157" spans="6:14" ht="12.75">
      <c r="F157" s="29">
        <f>'Detail Sheet'!BB42</f>
        <v>82308.34510638297</v>
      </c>
      <c r="G157" s="51" t="s">
        <v>84</v>
      </c>
      <c r="H157" s="41"/>
      <c r="I157" s="41"/>
      <c r="J157" s="82">
        <f>J154+J155+J156</f>
        <v>1238085.512146383</v>
      </c>
      <c r="K157" s="51"/>
      <c r="L157" s="81">
        <f>L154+L155+L156</f>
        <v>1288265.0459745638</v>
      </c>
      <c r="M157" s="81">
        <f>M154+M155+M156</f>
        <v>50179.53382818063</v>
      </c>
      <c r="N157" s="81"/>
    </row>
    <row r="158" spans="3:14" ht="12.75">
      <c r="C158" s="16"/>
      <c r="D158" s="16"/>
      <c r="F158" s="13">
        <f>SUM(F153:F157)</f>
        <v>1238785.335106383</v>
      </c>
      <c r="G158" s="51" t="s">
        <v>89</v>
      </c>
      <c r="H158" s="75"/>
      <c r="I158" s="41"/>
      <c r="J158" s="84">
        <f>J157/H150</f>
        <v>664.5654922954284</v>
      </c>
      <c r="K158" s="51"/>
      <c r="L158" s="119">
        <f>L157/H150</f>
        <v>691.500293062031</v>
      </c>
      <c r="M158" s="119">
        <f>L158-J158</f>
        <v>26.93480076660262</v>
      </c>
      <c r="N158" s="81"/>
    </row>
    <row r="159" spans="1:14" ht="13.5" thickBot="1">
      <c r="A159" s="1">
        <v>1</v>
      </c>
      <c r="G159" s="86" t="s">
        <v>67</v>
      </c>
      <c r="H159" s="87"/>
      <c r="I159" s="88"/>
      <c r="J159" s="89"/>
      <c r="K159" s="86"/>
      <c r="L159" s="87"/>
      <c r="M159" s="87"/>
      <c r="N159" s="159">
        <f>L157/J157-1</f>
        <v>0.0405299418625682</v>
      </c>
    </row>
    <row r="160" spans="1:11" ht="12.75">
      <c r="A160" s="1">
        <v>2</v>
      </c>
      <c r="G160" s="41"/>
      <c r="J160" s="41"/>
      <c r="K160" s="41"/>
    </row>
    <row r="161" spans="1:11" ht="12.75">
      <c r="A161" s="1">
        <v>3</v>
      </c>
      <c r="G161" s="41"/>
      <c r="J161" s="41"/>
      <c r="K161" s="41"/>
    </row>
    <row r="162" spans="1:11" ht="12.75">
      <c r="A162" s="1">
        <v>4</v>
      </c>
      <c r="G162" s="41"/>
      <c r="J162" s="41"/>
      <c r="K162" s="41"/>
    </row>
    <row r="163" spans="1:11" ht="12.75">
      <c r="A163" s="1">
        <v>5</v>
      </c>
      <c r="C163" s="1" t="str">
        <f>$C$4</f>
        <v>        CLARK ENERGY COOPERATIVE, INC.</v>
      </c>
      <c r="F163" s="41"/>
      <c r="G163" s="41"/>
      <c r="J163" s="41"/>
      <c r="K163" s="41"/>
    </row>
    <row r="164" spans="1:11" ht="12.75">
      <c r="A164" s="1">
        <v>6</v>
      </c>
      <c r="D164" s="1" t="s">
        <v>28</v>
      </c>
      <c r="F164" s="41"/>
      <c r="G164" s="41"/>
      <c r="J164" s="41"/>
      <c r="K164" s="41"/>
    </row>
    <row r="165" spans="1:11" ht="13.5" thickBot="1">
      <c r="A165" s="1">
        <v>7</v>
      </c>
      <c r="C165" s="1" t="str">
        <f>C6</f>
        <v>      TEST YEAR ENDING SEPTEMBER 30, 2006</v>
      </c>
      <c r="F165" s="41"/>
      <c r="G165" s="41"/>
      <c r="J165" s="41"/>
      <c r="K165" s="41"/>
    </row>
    <row r="166" spans="1:14" ht="12.75">
      <c r="A166" s="1">
        <v>8</v>
      </c>
      <c r="F166" s="41"/>
      <c r="G166" s="45" t="s">
        <v>93</v>
      </c>
      <c r="H166" s="46"/>
      <c r="I166" s="46"/>
      <c r="J166" s="47"/>
      <c r="K166" s="48"/>
      <c r="L166" s="46"/>
      <c r="M166" s="46"/>
      <c r="N166" s="46"/>
    </row>
    <row r="167" spans="1:14" ht="12.75">
      <c r="A167" s="1">
        <v>9</v>
      </c>
      <c r="B167" s="1" t="s">
        <v>32</v>
      </c>
      <c r="F167" s="41"/>
      <c r="G167" s="49" t="str">
        <f>B169</f>
        <v>Schedule "L"</v>
      </c>
      <c r="H167" s="41"/>
      <c r="I167" s="41"/>
      <c r="J167" s="50"/>
      <c r="K167" s="51"/>
      <c r="L167" s="41"/>
      <c r="M167" s="41"/>
      <c r="N167" s="41"/>
    </row>
    <row r="168" spans="1:14" ht="12.75">
      <c r="A168" s="1">
        <v>10</v>
      </c>
      <c r="B168" s="52" t="s">
        <v>35</v>
      </c>
      <c r="F168" s="41"/>
      <c r="G168" s="51"/>
      <c r="H168" s="53" t="s">
        <v>64</v>
      </c>
      <c r="I168" s="161" t="s">
        <v>65</v>
      </c>
      <c r="J168" s="162"/>
      <c r="K168" s="163" t="s">
        <v>66</v>
      </c>
      <c r="L168" s="164"/>
      <c r="M168" s="57" t="s">
        <v>91</v>
      </c>
      <c r="N168" s="109" t="s">
        <v>67</v>
      </c>
    </row>
    <row r="169" spans="1:14" ht="12.75">
      <c r="A169" s="1">
        <v>11</v>
      </c>
      <c r="B169" s="1" t="s">
        <v>52</v>
      </c>
      <c r="C169" s="9" t="s">
        <v>29</v>
      </c>
      <c r="D169" s="9" t="s">
        <v>30</v>
      </c>
      <c r="E169" s="1" t="s">
        <v>31</v>
      </c>
      <c r="G169" s="51"/>
      <c r="H169" s="58" t="s">
        <v>68</v>
      </c>
      <c r="I169" s="59" t="s">
        <v>69</v>
      </c>
      <c r="J169" s="60" t="s">
        <v>70</v>
      </c>
      <c r="K169" s="61" t="s">
        <v>69</v>
      </c>
      <c r="L169" s="62" t="s">
        <v>70</v>
      </c>
      <c r="M169" s="63" t="s">
        <v>71</v>
      </c>
      <c r="N169" s="22" t="s">
        <v>71</v>
      </c>
    </row>
    <row r="170" spans="1:14" ht="12.75">
      <c r="A170" s="1">
        <v>12</v>
      </c>
      <c r="C170" s="9" t="s">
        <v>33</v>
      </c>
      <c r="D170" s="9" t="s">
        <v>34</v>
      </c>
      <c r="E170" s="9" t="s">
        <v>3</v>
      </c>
      <c r="F170" s="9" t="s">
        <v>5</v>
      </c>
      <c r="G170" s="51"/>
      <c r="H170" s="64" t="s">
        <v>72</v>
      </c>
      <c r="I170" s="64" t="s">
        <v>73</v>
      </c>
      <c r="J170" s="65" t="s">
        <v>74</v>
      </c>
      <c r="K170" s="66" t="s">
        <v>75</v>
      </c>
      <c r="L170" s="67" t="s">
        <v>76</v>
      </c>
      <c r="M170" s="68" t="s">
        <v>77</v>
      </c>
      <c r="N170" s="68" t="s">
        <v>92</v>
      </c>
    </row>
    <row r="171" spans="1:14" ht="12.75">
      <c r="A171" s="1">
        <v>13</v>
      </c>
      <c r="B171" s="1" t="s">
        <v>8</v>
      </c>
      <c r="C171" s="52" t="s">
        <v>35</v>
      </c>
      <c r="D171" s="52" t="s">
        <v>35</v>
      </c>
      <c r="E171" s="52" t="s">
        <v>35</v>
      </c>
      <c r="F171" s="52" t="s">
        <v>35</v>
      </c>
      <c r="G171" s="51" t="s">
        <v>16</v>
      </c>
      <c r="H171" s="69">
        <f>C175</f>
        <v>1377</v>
      </c>
      <c r="I171" s="70">
        <v>0</v>
      </c>
      <c r="J171" s="71">
        <f>H171*I171</f>
        <v>0</v>
      </c>
      <c r="K171" s="72">
        <f>I171</f>
        <v>0</v>
      </c>
      <c r="L171" s="73">
        <f>K171*H171</f>
        <v>0</v>
      </c>
      <c r="M171" s="73">
        <f>L171-J171</f>
        <v>0</v>
      </c>
      <c r="N171" s="41"/>
    </row>
    <row r="172" spans="1:19" ht="12.75">
      <c r="A172" s="1">
        <v>15</v>
      </c>
      <c r="B172" s="1" t="s">
        <v>9</v>
      </c>
      <c r="G172" s="51" t="s">
        <v>78</v>
      </c>
      <c r="H172" s="75">
        <f>D175</f>
        <v>54768922</v>
      </c>
      <c r="I172" s="134">
        <f>E175</f>
        <v>0.05126</v>
      </c>
      <c r="J172" s="71">
        <f>H172*I172</f>
        <v>2807454.94172</v>
      </c>
      <c r="K172" s="77">
        <f>I172+P294</f>
        <v>0.055234275618826566</v>
      </c>
      <c r="L172" s="73">
        <f>K172*H172</f>
        <v>3025121.7330940138</v>
      </c>
      <c r="M172" s="73">
        <f>L172-J172</f>
        <v>217666.79137401376</v>
      </c>
      <c r="N172" s="41"/>
      <c r="P172" s="75">
        <f>H172</f>
        <v>54768922</v>
      </c>
      <c r="S172" s="21">
        <f>M172</f>
        <v>217666.79137401376</v>
      </c>
    </row>
    <row r="173" spans="1:17" ht="12.75">
      <c r="A173" s="1">
        <v>16</v>
      </c>
      <c r="B173" s="1" t="s">
        <v>11</v>
      </c>
      <c r="G173" s="135" t="s">
        <v>88</v>
      </c>
      <c r="H173" s="110">
        <v>203889.6296</v>
      </c>
      <c r="I173" s="136">
        <f>E174</f>
        <v>5.4</v>
      </c>
      <c r="J173" s="71">
        <f>H173*I173</f>
        <v>1101003.99984</v>
      </c>
      <c r="K173" s="138">
        <f>I173</f>
        <v>5.4</v>
      </c>
      <c r="L173" s="73">
        <f>K173*H173</f>
        <v>1101003.99984</v>
      </c>
      <c r="M173" s="73">
        <f>L173-J173</f>
        <v>0</v>
      </c>
      <c r="N173" s="41"/>
      <c r="Q173" s="5">
        <f>M173</f>
        <v>0</v>
      </c>
    </row>
    <row r="174" spans="1:14" ht="12.75">
      <c r="A174" s="1">
        <v>17</v>
      </c>
      <c r="B174" s="1" t="s">
        <v>61</v>
      </c>
      <c r="D174" s="131"/>
      <c r="E174" s="126">
        <f>'Detail Sheet'!AY46</f>
        <v>5.4</v>
      </c>
      <c r="F174" s="13">
        <f>'Detail Sheet'!BB46</f>
        <v>1101003.7200000002</v>
      </c>
      <c r="G174" s="51" t="s">
        <v>79</v>
      </c>
      <c r="H174" s="41"/>
      <c r="I174" s="41"/>
      <c r="J174" s="139">
        <v>0</v>
      </c>
      <c r="K174" s="51"/>
      <c r="L174" s="80">
        <f>J174</f>
        <v>0</v>
      </c>
      <c r="M174" s="124">
        <f>L174-J174</f>
        <v>0</v>
      </c>
      <c r="N174" s="41"/>
    </row>
    <row r="175" spans="1:14" ht="12.75">
      <c r="A175" s="1">
        <v>18</v>
      </c>
      <c r="B175" s="1" t="s">
        <v>12</v>
      </c>
      <c r="C175" s="16">
        <f>'Detail Sheet'!AZ47</f>
        <v>1377</v>
      </c>
      <c r="D175" s="16">
        <f>'Detail Sheet'!BA47</f>
        <v>54768922</v>
      </c>
      <c r="E175" s="127">
        <f>'Detail Sheet'!AY47</f>
        <v>0.05126</v>
      </c>
      <c r="F175" s="13">
        <f>'Detail Sheet'!BB47</f>
        <v>2854109</v>
      </c>
      <c r="G175" s="51" t="s">
        <v>80</v>
      </c>
      <c r="H175" s="41"/>
      <c r="I175" s="41"/>
      <c r="J175" s="71">
        <f>SUM(J171:J174)</f>
        <v>3908458.94156</v>
      </c>
      <c r="K175" s="51"/>
      <c r="L175" s="81">
        <f>SUM(L171:L174)</f>
        <v>4126125.732934014</v>
      </c>
      <c r="M175" s="81">
        <f>SUM(M171:M174)</f>
        <v>217666.79137401376</v>
      </c>
      <c r="N175" s="81"/>
    </row>
    <row r="176" spans="4:14" ht="12.75">
      <c r="D176" s="16"/>
      <c r="F176" s="13">
        <f>'Detail Sheet'!BB48</f>
        <v>450555.87000000005</v>
      </c>
      <c r="G176" s="51" t="s">
        <v>81</v>
      </c>
      <c r="H176" s="41"/>
      <c r="I176" s="41"/>
      <c r="J176" s="71">
        <f>F176</f>
        <v>450555.87000000005</v>
      </c>
      <c r="K176" s="51"/>
      <c r="L176" s="81">
        <f>J176</f>
        <v>450555.87000000005</v>
      </c>
      <c r="M176" s="81">
        <f>K176</f>
        <v>0</v>
      </c>
      <c r="N176" s="158"/>
    </row>
    <row r="177" spans="4:14" ht="12.75">
      <c r="D177" s="16"/>
      <c r="F177" s="13">
        <f>'Detail Sheet'!BB49</f>
        <v>287901.57</v>
      </c>
      <c r="G177" s="51" t="s">
        <v>82</v>
      </c>
      <c r="H177" s="41"/>
      <c r="I177" s="41"/>
      <c r="J177" s="83">
        <f>F177</f>
        <v>287901.57</v>
      </c>
      <c r="K177" s="51"/>
      <c r="L177" s="80">
        <f>J177</f>
        <v>287901.57</v>
      </c>
      <c r="M177" s="80">
        <f>K177</f>
        <v>0</v>
      </c>
      <c r="N177" s="41"/>
    </row>
    <row r="178" spans="1:14" ht="12.75">
      <c r="A178" s="1">
        <v>1</v>
      </c>
      <c r="D178" s="16"/>
      <c r="F178" s="13">
        <f>SUM(F174:F177)</f>
        <v>4693570.16</v>
      </c>
      <c r="G178" s="51" t="s">
        <v>84</v>
      </c>
      <c r="H178" s="41"/>
      <c r="I178" s="41"/>
      <c r="J178" s="82">
        <f>J175+J176+J177</f>
        <v>4646916.381560001</v>
      </c>
      <c r="K178" s="51"/>
      <c r="L178" s="81">
        <f>L175+L176+L177</f>
        <v>4864583.172934014</v>
      </c>
      <c r="M178" s="81">
        <f>M175+M176+M177</f>
        <v>217666.79137401376</v>
      </c>
      <c r="N178" s="81"/>
    </row>
    <row r="179" spans="1:14" ht="12.75">
      <c r="A179" s="1">
        <v>2</v>
      </c>
      <c r="G179" s="51" t="s">
        <v>89</v>
      </c>
      <c r="H179" s="75"/>
      <c r="I179" s="41"/>
      <c r="J179" s="71">
        <f>J178/H171</f>
        <v>3374.6669437618016</v>
      </c>
      <c r="K179" s="51"/>
      <c r="L179" s="114">
        <f>L178/H171</f>
        <v>3532.7401401118477</v>
      </c>
      <c r="M179" s="114">
        <f>L179-J179</f>
        <v>158.07319635004615</v>
      </c>
      <c r="N179" s="81"/>
    </row>
    <row r="180" spans="1:14" ht="13.5" thickBot="1">
      <c r="A180" s="1">
        <v>3</v>
      </c>
      <c r="G180" s="86" t="s">
        <v>67</v>
      </c>
      <c r="H180" s="87"/>
      <c r="I180" s="88"/>
      <c r="J180" s="89"/>
      <c r="K180" s="86"/>
      <c r="L180" s="87"/>
      <c r="M180" s="87"/>
      <c r="N180" s="159">
        <f>L178/J178-1</f>
        <v>0.046841125060430144</v>
      </c>
    </row>
    <row r="181" spans="1:11" ht="12.75">
      <c r="A181" s="1">
        <v>4</v>
      </c>
      <c r="G181" s="41"/>
      <c r="J181" s="41"/>
      <c r="K181" s="41"/>
    </row>
    <row r="182" spans="1:11" ht="12.75">
      <c r="A182" s="1">
        <v>5</v>
      </c>
      <c r="C182" s="1" t="str">
        <f>$C$4</f>
        <v>        CLARK ENERGY COOPERATIVE, INC.</v>
      </c>
      <c r="G182" s="41"/>
      <c r="J182" s="41"/>
      <c r="K182" s="41"/>
    </row>
    <row r="183" spans="1:11" ht="12.75">
      <c r="A183" s="1">
        <v>6</v>
      </c>
      <c r="D183" s="1" t="s">
        <v>28</v>
      </c>
      <c r="G183" s="41"/>
      <c r="J183" s="41"/>
      <c r="K183" s="41"/>
    </row>
    <row r="184" spans="1:11" ht="13.5" thickBot="1">
      <c r="A184" s="1">
        <v>7</v>
      </c>
      <c r="C184" s="1" t="str">
        <f>C6</f>
        <v>      TEST YEAR ENDING SEPTEMBER 30, 2006</v>
      </c>
      <c r="F184" s="41"/>
      <c r="G184" s="41"/>
      <c r="J184" s="41"/>
      <c r="K184" s="41"/>
    </row>
    <row r="185" spans="1:14" ht="12.75">
      <c r="A185" s="1">
        <v>8</v>
      </c>
      <c r="F185" s="41"/>
      <c r="G185" s="45" t="s">
        <v>93</v>
      </c>
      <c r="H185" s="46"/>
      <c r="I185" s="46"/>
      <c r="J185" s="47"/>
      <c r="K185" s="48"/>
      <c r="L185" s="46"/>
      <c r="M185" s="46"/>
      <c r="N185" s="46"/>
    </row>
    <row r="186" spans="1:14" ht="12.75">
      <c r="A186" s="1">
        <v>9</v>
      </c>
      <c r="B186" s="1" t="s">
        <v>32</v>
      </c>
      <c r="F186" s="41"/>
      <c r="G186" s="49" t="str">
        <f>B188</f>
        <v>Schedule "P"</v>
      </c>
      <c r="H186" s="41"/>
      <c r="I186" s="41"/>
      <c r="J186" s="50"/>
      <c r="K186" s="51"/>
      <c r="L186" s="41"/>
      <c r="M186" s="41"/>
      <c r="N186" s="41"/>
    </row>
    <row r="187" spans="1:14" ht="12.75">
      <c r="A187" s="1">
        <v>10</v>
      </c>
      <c r="B187" s="52" t="s">
        <v>35</v>
      </c>
      <c r="F187" s="41"/>
      <c r="G187" s="51"/>
      <c r="H187" s="53" t="s">
        <v>64</v>
      </c>
      <c r="I187" s="161" t="s">
        <v>65</v>
      </c>
      <c r="J187" s="162"/>
      <c r="K187" s="163" t="s">
        <v>66</v>
      </c>
      <c r="L187" s="164"/>
      <c r="M187" s="57" t="s">
        <v>91</v>
      </c>
      <c r="N187" s="109" t="s">
        <v>67</v>
      </c>
    </row>
    <row r="188" spans="1:14" ht="12.75">
      <c r="A188" s="1">
        <v>11</v>
      </c>
      <c r="B188" s="1" t="s">
        <v>53</v>
      </c>
      <c r="C188" s="9" t="s">
        <v>29</v>
      </c>
      <c r="D188" s="9" t="s">
        <v>30</v>
      </c>
      <c r="E188" s="1" t="s">
        <v>31</v>
      </c>
      <c r="G188" s="51"/>
      <c r="H188" s="58" t="s">
        <v>68</v>
      </c>
      <c r="I188" s="59" t="s">
        <v>69</v>
      </c>
      <c r="J188" s="60" t="s">
        <v>70</v>
      </c>
      <c r="K188" s="61" t="s">
        <v>69</v>
      </c>
      <c r="L188" s="62" t="s">
        <v>70</v>
      </c>
      <c r="M188" s="63" t="s">
        <v>71</v>
      </c>
      <c r="N188" s="22" t="s">
        <v>71</v>
      </c>
    </row>
    <row r="189" spans="1:14" ht="12.75">
      <c r="A189" s="1">
        <v>12</v>
      </c>
      <c r="C189" s="9" t="s">
        <v>33</v>
      </c>
      <c r="D189" s="9" t="s">
        <v>34</v>
      </c>
      <c r="E189" s="9" t="s">
        <v>3</v>
      </c>
      <c r="F189" s="9" t="s">
        <v>5</v>
      </c>
      <c r="G189" s="51"/>
      <c r="H189" s="64" t="s">
        <v>72</v>
      </c>
      <c r="I189" s="64" t="s">
        <v>73</v>
      </c>
      <c r="J189" s="65" t="s">
        <v>74</v>
      </c>
      <c r="K189" s="66" t="s">
        <v>75</v>
      </c>
      <c r="L189" s="67" t="s">
        <v>76</v>
      </c>
      <c r="M189" s="68" t="s">
        <v>77</v>
      </c>
      <c r="N189" s="68" t="s">
        <v>92</v>
      </c>
    </row>
    <row r="190" spans="1:14" ht="12.75">
      <c r="A190" s="1">
        <v>13</v>
      </c>
      <c r="B190" s="1" t="s">
        <v>8</v>
      </c>
      <c r="C190" s="52" t="s">
        <v>35</v>
      </c>
      <c r="D190" s="52" t="s">
        <v>35</v>
      </c>
      <c r="E190" s="52" t="s">
        <v>35</v>
      </c>
      <c r="F190" s="52" t="s">
        <v>35</v>
      </c>
      <c r="G190" s="51" t="s">
        <v>16</v>
      </c>
      <c r="H190" s="69">
        <f>C194</f>
        <v>38</v>
      </c>
      <c r="I190" s="70">
        <v>0</v>
      </c>
      <c r="J190" s="71">
        <f>H190*I190</f>
        <v>0</v>
      </c>
      <c r="K190" s="72">
        <f>I190</f>
        <v>0</v>
      </c>
      <c r="L190" s="73">
        <f>K190*H190</f>
        <v>0</v>
      </c>
      <c r="M190" s="73">
        <f>L190-J190</f>
        <v>0</v>
      </c>
      <c r="N190" s="41"/>
    </row>
    <row r="191" spans="1:19" ht="12.75">
      <c r="A191" s="1">
        <v>14</v>
      </c>
      <c r="B191" s="1" t="s">
        <v>9</v>
      </c>
      <c r="G191" s="51" t="s">
        <v>78</v>
      </c>
      <c r="H191" s="75">
        <f>D194</f>
        <v>9152900</v>
      </c>
      <c r="I191" s="134">
        <f>E194</f>
        <v>0.04312</v>
      </c>
      <c r="J191" s="71">
        <f>H191*I191</f>
        <v>394673.048</v>
      </c>
      <c r="K191" s="77">
        <f>I191+P294</f>
        <v>0.047094275618826564</v>
      </c>
      <c r="L191" s="73">
        <f>K191*H191</f>
        <v>431049.1953115577</v>
      </c>
      <c r="M191" s="73">
        <f>L191-J191</f>
        <v>36376.14731155767</v>
      </c>
      <c r="N191" s="41"/>
      <c r="P191" s="75">
        <f>H191</f>
        <v>9152900</v>
      </c>
      <c r="S191" s="21">
        <f>M191</f>
        <v>36376.14731155767</v>
      </c>
    </row>
    <row r="192" spans="1:17" ht="12.75">
      <c r="A192" s="1">
        <v>15</v>
      </c>
      <c r="B192" s="1" t="s">
        <v>11</v>
      </c>
      <c r="G192" s="135" t="s">
        <v>88</v>
      </c>
      <c r="H192" s="110">
        <v>28910.9259</v>
      </c>
      <c r="I192" s="136">
        <f>E193</f>
        <v>5.4</v>
      </c>
      <c r="J192" s="71">
        <f>H192*I192</f>
        <v>156118.99986</v>
      </c>
      <c r="K192" s="138">
        <f>I192</f>
        <v>5.4</v>
      </c>
      <c r="L192" s="73">
        <f>K192*H192</f>
        <v>156118.99986</v>
      </c>
      <c r="M192" s="73">
        <f>L192-J192</f>
        <v>0</v>
      </c>
      <c r="N192" s="41"/>
      <c r="Q192" s="5">
        <f>M192</f>
        <v>0</v>
      </c>
    </row>
    <row r="193" spans="1:14" ht="12.75">
      <c r="A193" s="1">
        <v>16</v>
      </c>
      <c r="B193" s="1" t="s">
        <v>61</v>
      </c>
      <c r="D193" s="16"/>
      <c r="E193" s="126">
        <f>'Detail Sheet'!AY53</f>
        <v>5.4</v>
      </c>
      <c r="F193" s="29">
        <f>'Detail Sheet'!BB53</f>
        <v>156119.49000000002</v>
      </c>
      <c r="G193" s="51" t="s">
        <v>79</v>
      </c>
      <c r="H193" s="41"/>
      <c r="I193" s="41"/>
      <c r="J193" s="139">
        <v>0</v>
      </c>
      <c r="K193" s="51"/>
      <c r="L193" s="80">
        <f>J193</f>
        <v>0</v>
      </c>
      <c r="M193" s="124">
        <f>L193-J193</f>
        <v>0</v>
      </c>
      <c r="N193" s="41"/>
    </row>
    <row r="194" spans="1:14" ht="12.75">
      <c r="A194" s="1">
        <v>17</v>
      </c>
      <c r="B194" s="1" t="s">
        <v>12</v>
      </c>
      <c r="C194" s="20">
        <f>'Detail Sheet'!AZ54</f>
        <v>38</v>
      </c>
      <c r="D194" s="20">
        <f>'Detail Sheet'!BA54</f>
        <v>9152900</v>
      </c>
      <c r="E194" s="127">
        <f>'Detail Sheet'!AY54</f>
        <v>0.04312</v>
      </c>
      <c r="F194" s="29">
        <f>'Detail Sheet'!BB54</f>
        <v>408639</v>
      </c>
      <c r="G194" s="51" t="s">
        <v>80</v>
      </c>
      <c r="H194" s="41"/>
      <c r="I194" s="41"/>
      <c r="J194" s="71">
        <f>SUM(J190:J193)</f>
        <v>550792.04786</v>
      </c>
      <c r="K194" s="51"/>
      <c r="L194" s="81">
        <f>SUM(L190:L193)</f>
        <v>587168.1951715577</v>
      </c>
      <c r="M194" s="81">
        <f>SUM(M190:M193)</f>
        <v>36376.14731155767</v>
      </c>
      <c r="N194" s="81"/>
    </row>
    <row r="195" spans="4:14" ht="12.75">
      <c r="D195" s="16"/>
      <c r="F195" s="29">
        <f>'Detail Sheet'!BB55</f>
        <v>75970.56</v>
      </c>
      <c r="G195" s="51" t="s">
        <v>81</v>
      </c>
      <c r="H195" s="41"/>
      <c r="I195" s="41"/>
      <c r="J195" s="71">
        <f>F195</f>
        <v>75970.56</v>
      </c>
      <c r="K195" s="51"/>
      <c r="L195" s="81">
        <f>J195</f>
        <v>75970.56</v>
      </c>
      <c r="M195" s="81">
        <f>K195</f>
        <v>0</v>
      </c>
      <c r="N195" s="158"/>
    </row>
    <row r="196" spans="4:14" ht="12.75">
      <c r="D196" s="16"/>
      <c r="E196" s="96"/>
      <c r="F196" s="29">
        <f>'Detail Sheet'!BB56</f>
        <v>42831.299999999996</v>
      </c>
      <c r="G196" s="51" t="s">
        <v>82</v>
      </c>
      <c r="H196" s="41"/>
      <c r="I196" s="41"/>
      <c r="J196" s="83">
        <f>F196</f>
        <v>42831.299999999996</v>
      </c>
      <c r="K196" s="51"/>
      <c r="L196" s="80">
        <f>J196</f>
        <v>42831.299999999996</v>
      </c>
      <c r="M196" s="80">
        <f>K196</f>
        <v>0</v>
      </c>
      <c r="N196" s="41"/>
    </row>
    <row r="197" spans="1:14" ht="12.75">
      <c r="A197" s="1">
        <v>1</v>
      </c>
      <c r="D197" s="16"/>
      <c r="E197" s="96"/>
      <c r="F197" s="13">
        <f>SUM(F193:F196)</f>
        <v>683560.3500000001</v>
      </c>
      <c r="G197" s="51" t="s">
        <v>84</v>
      </c>
      <c r="H197" s="41"/>
      <c r="I197" s="41"/>
      <c r="J197" s="82">
        <f>J194+J195+J196</f>
        <v>669593.9078600002</v>
      </c>
      <c r="K197" s="51"/>
      <c r="L197" s="81">
        <f>L194+L195+L196</f>
        <v>705970.0551715577</v>
      </c>
      <c r="M197" s="81">
        <f>M194+M195+M196</f>
        <v>36376.14731155767</v>
      </c>
      <c r="N197" s="81"/>
    </row>
    <row r="198" spans="1:14" ht="12.75">
      <c r="A198" s="1">
        <v>2</v>
      </c>
      <c r="G198" s="51" t="s">
        <v>89</v>
      </c>
      <c r="H198" s="75"/>
      <c r="I198" s="41"/>
      <c r="J198" s="140">
        <f>J197/H190</f>
        <v>17620.89231210527</v>
      </c>
      <c r="K198" s="51"/>
      <c r="L198" s="75">
        <f>L197/H190</f>
        <v>18578.15934661994</v>
      </c>
      <c r="M198" s="75">
        <f>L198-J198</f>
        <v>957.2670345146726</v>
      </c>
      <c r="N198" s="81"/>
    </row>
    <row r="199" spans="1:14" ht="13.5" thickBot="1">
      <c r="A199" s="1">
        <v>3</v>
      </c>
      <c r="G199" s="86" t="s">
        <v>67</v>
      </c>
      <c r="H199" s="87"/>
      <c r="I199" s="88"/>
      <c r="J199" s="89"/>
      <c r="K199" s="86"/>
      <c r="L199" s="87"/>
      <c r="M199" s="87"/>
      <c r="N199" s="159">
        <f>L197/J197-1</f>
        <v>0.054325684395508445</v>
      </c>
    </row>
    <row r="200" spans="1:11" ht="12.75">
      <c r="A200" s="1">
        <v>4</v>
      </c>
      <c r="G200" s="41"/>
      <c r="J200" s="41"/>
      <c r="K200" s="41"/>
    </row>
    <row r="201" spans="1:11" ht="12.75">
      <c r="A201" s="1">
        <v>5</v>
      </c>
      <c r="C201" s="1" t="str">
        <f>$C$4</f>
        <v>        CLARK ENERGY COOPERATIVE, INC.</v>
      </c>
      <c r="G201" s="41"/>
      <c r="J201" s="41"/>
      <c r="K201" s="41"/>
    </row>
    <row r="202" spans="1:11" ht="12.75">
      <c r="A202" s="1">
        <v>6</v>
      </c>
      <c r="D202" s="1" t="s">
        <v>28</v>
      </c>
      <c r="G202" s="41"/>
      <c r="J202" s="41"/>
      <c r="K202" s="41"/>
    </row>
    <row r="203" spans="1:11" ht="13.5" thickBot="1">
      <c r="A203" s="1">
        <v>7</v>
      </c>
      <c r="C203" s="1" t="str">
        <f>C6</f>
        <v>      TEST YEAR ENDING SEPTEMBER 30, 2006</v>
      </c>
      <c r="F203" s="41"/>
      <c r="G203" s="41"/>
      <c r="J203" s="41"/>
      <c r="K203" s="41"/>
    </row>
    <row r="204" spans="1:14" ht="12.75">
      <c r="A204" s="1">
        <v>8</v>
      </c>
      <c r="F204" s="41"/>
      <c r="G204" s="45" t="s">
        <v>93</v>
      </c>
      <c r="H204" s="46"/>
      <c r="I204" s="46"/>
      <c r="J204" s="47"/>
      <c r="K204" s="48"/>
      <c r="L204" s="46"/>
      <c r="M204" s="46"/>
      <c r="N204" s="46"/>
    </row>
    <row r="205" spans="1:14" ht="12.75">
      <c r="A205" s="1">
        <v>9</v>
      </c>
      <c r="B205" s="1" t="s">
        <v>32</v>
      </c>
      <c r="F205" s="41"/>
      <c r="G205" s="49" t="str">
        <f>B207</f>
        <v>Schedule "H"</v>
      </c>
      <c r="H205" s="41"/>
      <c r="I205" s="41"/>
      <c r="J205" s="50"/>
      <c r="K205" s="51"/>
      <c r="L205" s="41"/>
      <c r="M205" s="41"/>
      <c r="N205" s="41"/>
    </row>
    <row r="206" spans="1:14" ht="12.75">
      <c r="A206" s="1">
        <v>10</v>
      </c>
      <c r="B206" s="52" t="s">
        <v>35</v>
      </c>
      <c r="F206" s="41"/>
      <c r="G206" s="51"/>
      <c r="H206" s="53" t="s">
        <v>64</v>
      </c>
      <c r="I206" s="161" t="s">
        <v>65</v>
      </c>
      <c r="J206" s="162"/>
      <c r="K206" s="163" t="s">
        <v>66</v>
      </c>
      <c r="L206" s="164"/>
      <c r="M206" s="57" t="s">
        <v>91</v>
      </c>
      <c r="N206" s="109" t="s">
        <v>67</v>
      </c>
    </row>
    <row r="207" spans="1:14" ht="12.75">
      <c r="A207" s="1">
        <v>11</v>
      </c>
      <c r="B207" s="1" t="s">
        <v>54</v>
      </c>
      <c r="C207" s="9" t="s">
        <v>29</v>
      </c>
      <c r="D207" s="9" t="s">
        <v>49</v>
      </c>
      <c r="E207" s="1" t="s">
        <v>31</v>
      </c>
      <c r="G207" s="51"/>
      <c r="H207" s="58" t="s">
        <v>68</v>
      </c>
      <c r="I207" s="59" t="s">
        <v>69</v>
      </c>
      <c r="J207" s="60" t="s">
        <v>70</v>
      </c>
      <c r="K207" s="61" t="s">
        <v>69</v>
      </c>
      <c r="L207" s="62" t="s">
        <v>70</v>
      </c>
      <c r="M207" s="63" t="s">
        <v>71</v>
      </c>
      <c r="N207" s="22" t="s">
        <v>71</v>
      </c>
    </row>
    <row r="208" spans="1:14" ht="12.75">
      <c r="A208" s="1">
        <v>12</v>
      </c>
      <c r="C208" s="9" t="s">
        <v>33</v>
      </c>
      <c r="D208" s="9" t="s">
        <v>34</v>
      </c>
      <c r="E208" s="9" t="s">
        <v>3</v>
      </c>
      <c r="F208" s="9" t="s">
        <v>5</v>
      </c>
      <c r="G208" s="51"/>
      <c r="H208" s="64" t="s">
        <v>72</v>
      </c>
      <c r="I208" s="64" t="s">
        <v>73</v>
      </c>
      <c r="J208" s="65" t="s">
        <v>74</v>
      </c>
      <c r="K208" s="66" t="s">
        <v>75</v>
      </c>
      <c r="L208" s="67" t="s">
        <v>76</v>
      </c>
      <c r="M208" s="68" t="s">
        <v>77</v>
      </c>
      <c r="N208" s="68" t="s">
        <v>92</v>
      </c>
    </row>
    <row r="209" spans="1:14" ht="12.75">
      <c r="A209" s="1">
        <v>13</v>
      </c>
      <c r="B209" s="1" t="s">
        <v>8</v>
      </c>
      <c r="C209" s="52" t="s">
        <v>35</v>
      </c>
      <c r="D209" s="52" t="s">
        <v>35</v>
      </c>
      <c r="E209" s="52" t="s">
        <v>35</v>
      </c>
      <c r="F209" s="52" t="s">
        <v>35</v>
      </c>
      <c r="G209" s="51" t="s">
        <v>16</v>
      </c>
      <c r="H209" s="69">
        <f>C213</f>
        <v>0</v>
      </c>
      <c r="I209" s="70">
        <v>0</v>
      </c>
      <c r="J209" s="71">
        <f>H209*I209</f>
        <v>0</v>
      </c>
      <c r="K209" s="72">
        <f>I209</f>
        <v>0</v>
      </c>
      <c r="L209" s="73">
        <f>K209*H209</f>
        <v>0</v>
      </c>
      <c r="M209" s="73"/>
      <c r="N209" s="41"/>
    </row>
    <row r="210" spans="1:19" ht="12.75">
      <c r="A210" s="1">
        <v>14</v>
      </c>
      <c r="B210" s="1" t="s">
        <v>9</v>
      </c>
      <c r="G210" s="51" t="s">
        <v>78</v>
      </c>
      <c r="H210" s="75">
        <f>D213</f>
        <v>0</v>
      </c>
      <c r="I210" s="134">
        <f>E213</f>
        <v>0.04405</v>
      </c>
      <c r="J210" s="71">
        <f>H210*I210</f>
        <v>0</v>
      </c>
      <c r="K210" s="128">
        <f>I210+P294</f>
        <v>0.048024275618826565</v>
      </c>
      <c r="L210" s="73">
        <f>K210*H210</f>
        <v>0</v>
      </c>
      <c r="M210" s="73"/>
      <c r="N210" s="41"/>
      <c r="P210" s="75">
        <f>H210</f>
        <v>0</v>
      </c>
      <c r="S210" s="21">
        <f>L210</f>
        <v>0</v>
      </c>
    </row>
    <row r="211" spans="1:14" ht="12.75">
      <c r="A211" s="1">
        <v>15</v>
      </c>
      <c r="B211" s="1" t="s">
        <v>11</v>
      </c>
      <c r="G211" s="135" t="s">
        <v>88</v>
      </c>
      <c r="H211" s="110">
        <v>0</v>
      </c>
      <c r="I211" s="136">
        <f>E212</f>
        <v>7.82</v>
      </c>
      <c r="J211" s="71">
        <f>H211*I211</f>
        <v>0</v>
      </c>
      <c r="K211" s="141">
        <f>I211</f>
        <v>7.82</v>
      </c>
      <c r="L211" s="73">
        <f>K211*H211</f>
        <v>0</v>
      </c>
      <c r="M211" s="73"/>
      <c r="N211" s="41"/>
    </row>
    <row r="212" spans="1:14" ht="15">
      <c r="A212" s="1">
        <v>16</v>
      </c>
      <c r="B212" s="1" t="s">
        <v>61</v>
      </c>
      <c r="E212" s="12">
        <v>7.82</v>
      </c>
      <c r="F212" s="12">
        <v>0</v>
      </c>
      <c r="G212" s="51" t="s">
        <v>79</v>
      </c>
      <c r="H212" s="41"/>
      <c r="I212" s="41"/>
      <c r="J212" s="139">
        <f>F213+F212-J210-J211</f>
        <v>0</v>
      </c>
      <c r="K212" s="51"/>
      <c r="L212" s="142"/>
      <c r="M212" s="105"/>
      <c r="N212" s="41"/>
    </row>
    <row r="213" spans="1:14" ht="12.75">
      <c r="A213" s="1">
        <v>17</v>
      </c>
      <c r="B213" s="1" t="s">
        <v>12</v>
      </c>
      <c r="C213" s="1">
        <v>0</v>
      </c>
      <c r="D213" s="1">
        <v>0</v>
      </c>
      <c r="E213" s="74">
        <v>0.04405</v>
      </c>
      <c r="F213" s="12">
        <v>0</v>
      </c>
      <c r="G213" s="51" t="s">
        <v>80</v>
      </c>
      <c r="H213" s="41"/>
      <c r="I213" s="41"/>
      <c r="J213" s="71">
        <f>SUM(J209:J212)</f>
        <v>0</v>
      </c>
      <c r="K213" s="51"/>
      <c r="L213" s="81">
        <f>SUM(L209:L211)</f>
        <v>0</v>
      </c>
      <c r="M213" s="81"/>
      <c r="N213" s="158" t="e">
        <f>(J210+J211)/(L210+L211)-1</f>
        <v>#DIV/0!</v>
      </c>
    </row>
    <row r="214" spans="6:14" ht="12.75">
      <c r="F214" s="12">
        <v>0</v>
      </c>
      <c r="G214" s="51" t="s">
        <v>81</v>
      </c>
      <c r="H214" s="41"/>
      <c r="I214" s="41"/>
      <c r="J214" s="71">
        <f>F214</f>
        <v>0</v>
      </c>
      <c r="K214" s="51"/>
      <c r="L214" s="81"/>
      <c r="M214" s="81"/>
      <c r="N214" s="41"/>
    </row>
    <row r="215" spans="6:14" ht="12.75">
      <c r="F215" s="12">
        <v>0</v>
      </c>
      <c r="G215" s="51" t="s">
        <v>82</v>
      </c>
      <c r="H215" s="41"/>
      <c r="I215" s="41"/>
      <c r="J215" s="83">
        <f>F215</f>
        <v>0</v>
      </c>
      <c r="K215" s="51"/>
      <c r="L215" s="81"/>
      <c r="M215" s="81"/>
      <c r="N215" s="41"/>
    </row>
    <row r="216" spans="1:14" ht="15">
      <c r="A216" s="1">
        <v>1</v>
      </c>
      <c r="F216" s="12">
        <f>SUM(F212:F215)</f>
        <v>0</v>
      </c>
      <c r="G216" s="51" t="s">
        <v>84</v>
      </c>
      <c r="H216" s="41"/>
      <c r="I216" s="41"/>
      <c r="J216" s="82">
        <f>J213+J214+J215</f>
        <v>0</v>
      </c>
      <c r="K216" s="51"/>
      <c r="L216" s="105"/>
      <c r="M216" s="105"/>
      <c r="N216" s="41"/>
    </row>
    <row r="217" spans="1:14" ht="12.75">
      <c r="A217" s="1">
        <v>2</v>
      </c>
      <c r="G217" s="51"/>
      <c r="H217" s="75"/>
      <c r="I217" s="41"/>
      <c r="J217" s="50"/>
      <c r="K217" s="51"/>
      <c r="L217" s="75"/>
      <c r="M217" s="75"/>
      <c r="N217" s="41"/>
    </row>
    <row r="218" spans="1:14" ht="13.5" thickBot="1">
      <c r="A218" s="1">
        <v>3</v>
      </c>
      <c r="G218" s="86"/>
      <c r="H218" s="87"/>
      <c r="I218" s="88"/>
      <c r="J218" s="89"/>
      <c r="K218" s="86"/>
      <c r="L218" s="87"/>
      <c r="M218" s="87"/>
      <c r="N218" s="88"/>
    </row>
    <row r="219" spans="1:19" ht="12.75">
      <c r="A219" s="1">
        <v>4</v>
      </c>
      <c r="G219" s="41"/>
      <c r="J219" s="41"/>
      <c r="K219" s="41"/>
      <c r="S219" s="1" t="s">
        <v>133</v>
      </c>
    </row>
    <row r="220" spans="1:19" ht="12.75">
      <c r="A220" s="1">
        <v>5</v>
      </c>
      <c r="C220" s="1" t="str">
        <f>$C$4</f>
        <v>        CLARK ENERGY COOPERATIVE, INC.</v>
      </c>
      <c r="G220" s="41"/>
      <c r="J220" s="41"/>
      <c r="K220" s="41"/>
      <c r="S220" s="1" t="s">
        <v>134</v>
      </c>
    </row>
    <row r="221" spans="1:19" ht="12.75">
      <c r="A221" s="1">
        <v>6</v>
      </c>
      <c r="D221" s="1" t="s">
        <v>28</v>
      </c>
      <c r="G221" s="41"/>
      <c r="J221" s="41"/>
      <c r="K221" s="41"/>
      <c r="S221" s="1" t="s">
        <v>135</v>
      </c>
    </row>
    <row r="222" spans="1:11" ht="13.5" thickBot="1">
      <c r="A222" s="1">
        <v>7</v>
      </c>
      <c r="C222" s="1" t="str">
        <f>C6</f>
        <v>      TEST YEAR ENDING SEPTEMBER 30, 2006</v>
      </c>
      <c r="F222" s="41"/>
      <c r="G222" s="41"/>
      <c r="J222" s="41"/>
      <c r="K222" s="41"/>
    </row>
    <row r="223" spans="1:14" ht="12.75">
      <c r="A223" s="1">
        <v>8</v>
      </c>
      <c r="F223" s="41"/>
      <c r="G223" s="45" t="s">
        <v>93</v>
      </c>
      <c r="H223" s="46"/>
      <c r="I223" s="46"/>
      <c r="J223" s="47"/>
      <c r="K223" s="48"/>
      <c r="L223" s="46"/>
      <c r="M223" s="46"/>
      <c r="N223" s="46"/>
    </row>
    <row r="224" spans="1:14" ht="12.75">
      <c r="A224" s="1">
        <v>9</v>
      </c>
      <c r="B224" s="1" t="s">
        <v>32</v>
      </c>
      <c r="F224" s="41"/>
      <c r="G224" s="49" t="str">
        <f>B226</f>
        <v>Schedule "G"</v>
      </c>
      <c r="H224" s="41"/>
      <c r="I224" s="41"/>
      <c r="J224" s="50"/>
      <c r="K224" s="51"/>
      <c r="L224" s="41"/>
      <c r="M224" s="41"/>
      <c r="N224" s="41"/>
    </row>
    <row r="225" spans="1:14" ht="12.75">
      <c r="A225" s="1">
        <v>10</v>
      </c>
      <c r="B225" s="52" t="s">
        <v>35</v>
      </c>
      <c r="F225" s="41"/>
      <c r="G225" s="51"/>
      <c r="H225" s="53" t="s">
        <v>64</v>
      </c>
      <c r="I225" s="161" t="s">
        <v>65</v>
      </c>
      <c r="J225" s="162"/>
      <c r="K225" s="163" t="s">
        <v>66</v>
      </c>
      <c r="L225" s="164"/>
      <c r="M225" s="57" t="s">
        <v>91</v>
      </c>
      <c r="N225" s="109" t="s">
        <v>67</v>
      </c>
    </row>
    <row r="226" spans="1:14" ht="12.75">
      <c r="A226" s="1">
        <v>11</v>
      </c>
      <c r="B226" s="1" t="s">
        <v>55</v>
      </c>
      <c r="C226" s="9" t="s">
        <v>29</v>
      </c>
      <c r="D226" s="9" t="s">
        <v>49</v>
      </c>
      <c r="E226" s="1" t="s">
        <v>31</v>
      </c>
      <c r="G226" s="51"/>
      <c r="H226" s="58" t="s">
        <v>68</v>
      </c>
      <c r="I226" s="59" t="s">
        <v>69</v>
      </c>
      <c r="J226" s="60" t="s">
        <v>70</v>
      </c>
      <c r="K226" s="61" t="s">
        <v>69</v>
      </c>
      <c r="L226" s="62" t="s">
        <v>70</v>
      </c>
      <c r="M226" s="63" t="s">
        <v>71</v>
      </c>
      <c r="N226" s="22" t="s">
        <v>71</v>
      </c>
    </row>
    <row r="227" spans="1:14" ht="12.75">
      <c r="A227" s="1">
        <v>12</v>
      </c>
      <c r="C227" s="9" t="s">
        <v>33</v>
      </c>
      <c r="D227" s="9" t="s">
        <v>34</v>
      </c>
      <c r="E227" s="9" t="s">
        <v>3</v>
      </c>
      <c r="F227" s="9" t="s">
        <v>5</v>
      </c>
      <c r="G227" s="51"/>
      <c r="H227" s="64" t="s">
        <v>72</v>
      </c>
      <c r="I227" s="64" t="s">
        <v>73</v>
      </c>
      <c r="J227" s="65" t="s">
        <v>74</v>
      </c>
      <c r="K227" s="66" t="s">
        <v>75</v>
      </c>
      <c r="L227" s="67" t="s">
        <v>76</v>
      </c>
      <c r="M227" s="68" t="s">
        <v>77</v>
      </c>
      <c r="N227" s="68" t="s">
        <v>92</v>
      </c>
    </row>
    <row r="228" spans="1:14" ht="12.75">
      <c r="A228" s="1">
        <v>13</v>
      </c>
      <c r="B228" s="1" t="s">
        <v>8</v>
      </c>
      <c r="C228" s="52" t="s">
        <v>35</v>
      </c>
      <c r="D228" s="52" t="s">
        <v>35</v>
      </c>
      <c r="E228" s="52" t="s">
        <v>35</v>
      </c>
      <c r="F228" s="52" t="s">
        <v>35</v>
      </c>
      <c r="G228" s="51" t="s">
        <v>16</v>
      </c>
      <c r="H228" s="69">
        <f>C232</f>
        <v>0</v>
      </c>
      <c r="I228" s="70">
        <v>0</v>
      </c>
      <c r="J228" s="71">
        <f>H228*I228</f>
        <v>0</v>
      </c>
      <c r="K228" s="72">
        <f>I228</f>
        <v>0</v>
      </c>
      <c r="L228" s="73">
        <f>K228*H228</f>
        <v>0</v>
      </c>
      <c r="M228" s="73"/>
      <c r="N228" s="41"/>
    </row>
    <row r="229" spans="1:19" ht="12.75">
      <c r="A229" s="1">
        <v>14</v>
      </c>
      <c r="B229" s="1" t="s">
        <v>9</v>
      </c>
      <c r="G229" s="51" t="s">
        <v>78</v>
      </c>
      <c r="H229" s="75">
        <f>D232</f>
        <v>0</v>
      </c>
      <c r="I229" s="134">
        <f>E232</f>
        <v>0.04702</v>
      </c>
      <c r="J229" s="71">
        <f>H229*I229</f>
        <v>0</v>
      </c>
      <c r="K229" s="143">
        <f>I229+P294</f>
        <v>0.050994275618826565</v>
      </c>
      <c r="L229" s="73">
        <f>K229*H229</f>
        <v>0</v>
      </c>
      <c r="M229" s="73"/>
      <c r="N229" s="41"/>
      <c r="P229" s="75">
        <f>H229</f>
        <v>0</v>
      </c>
      <c r="S229" s="21">
        <f>L229</f>
        <v>0</v>
      </c>
    </row>
    <row r="230" spans="1:14" ht="12.75">
      <c r="A230" s="1">
        <v>15</v>
      </c>
      <c r="B230" s="1" t="s">
        <v>11</v>
      </c>
      <c r="G230" s="135" t="s">
        <v>88</v>
      </c>
      <c r="H230" s="110">
        <v>0</v>
      </c>
      <c r="I230" s="136">
        <f>E231</f>
        <v>7.82</v>
      </c>
      <c r="J230" s="71">
        <f>H230*I230</f>
        <v>0</v>
      </c>
      <c r="K230" s="138">
        <f>I230</f>
        <v>7.82</v>
      </c>
      <c r="L230" s="73">
        <f>K230*H230</f>
        <v>0</v>
      </c>
      <c r="M230" s="73"/>
      <c r="N230" s="41"/>
    </row>
    <row r="231" spans="1:14" ht="15">
      <c r="A231" s="1">
        <v>16</v>
      </c>
      <c r="B231" s="1" t="s">
        <v>61</v>
      </c>
      <c r="E231" s="12">
        <v>7.82</v>
      </c>
      <c r="F231" s="12">
        <v>0</v>
      </c>
      <c r="G231" s="51" t="s">
        <v>79</v>
      </c>
      <c r="H231" s="41"/>
      <c r="I231" s="41"/>
      <c r="J231" s="139">
        <f>F232+F231-J229-J230</f>
        <v>0</v>
      </c>
      <c r="K231" s="51"/>
      <c r="L231" s="142"/>
      <c r="M231" s="105"/>
      <c r="N231" s="41"/>
    </row>
    <row r="232" spans="1:14" ht="12.75">
      <c r="A232" s="1">
        <v>17</v>
      </c>
      <c r="B232" s="1" t="s">
        <v>12</v>
      </c>
      <c r="C232" s="1">
        <v>0</v>
      </c>
      <c r="D232" s="1">
        <v>0</v>
      </c>
      <c r="E232" s="74">
        <v>0.04702</v>
      </c>
      <c r="F232" s="12">
        <v>0</v>
      </c>
      <c r="G232" s="51" t="s">
        <v>80</v>
      </c>
      <c r="H232" s="41"/>
      <c r="I232" s="41"/>
      <c r="J232" s="71">
        <f>SUM(J228:J231)</f>
        <v>0</v>
      </c>
      <c r="K232" s="51"/>
      <c r="L232" s="81">
        <f>SUM(L228:L230)</f>
        <v>0</v>
      </c>
      <c r="M232" s="81"/>
      <c r="N232" s="158" t="e">
        <f>(J229+J230)/(L229+L230)-1</f>
        <v>#DIV/0!</v>
      </c>
    </row>
    <row r="233" spans="6:14" ht="12.75">
      <c r="F233" s="12">
        <v>0</v>
      </c>
      <c r="G233" s="51" t="s">
        <v>81</v>
      </c>
      <c r="H233" s="41"/>
      <c r="I233" s="41"/>
      <c r="J233" s="71">
        <f>F233</f>
        <v>0</v>
      </c>
      <c r="K233" s="51"/>
      <c r="L233" s="81"/>
      <c r="M233" s="81"/>
      <c r="N233" s="41"/>
    </row>
    <row r="234" spans="6:14" ht="12.75">
      <c r="F234" s="12">
        <v>0</v>
      </c>
      <c r="G234" s="51" t="s">
        <v>82</v>
      </c>
      <c r="H234" s="41"/>
      <c r="I234" s="41"/>
      <c r="J234" s="83">
        <f>F234</f>
        <v>0</v>
      </c>
      <c r="K234" s="51"/>
      <c r="L234" s="81"/>
      <c r="M234" s="81"/>
      <c r="N234" s="41"/>
    </row>
    <row r="235" spans="1:14" ht="15">
      <c r="A235" s="1">
        <v>1</v>
      </c>
      <c r="F235" s="12">
        <f>SUM(F231:F234)</f>
        <v>0</v>
      </c>
      <c r="G235" s="51" t="s">
        <v>84</v>
      </c>
      <c r="H235" s="41"/>
      <c r="I235" s="41"/>
      <c r="J235" s="82">
        <f>J232+J233+J234</f>
        <v>0</v>
      </c>
      <c r="K235" s="51"/>
      <c r="L235" s="105"/>
      <c r="M235" s="105"/>
      <c r="N235" s="41"/>
    </row>
    <row r="236" spans="1:14" ht="12.75">
      <c r="A236" s="1">
        <v>2</v>
      </c>
      <c r="G236" s="51"/>
      <c r="H236" s="75"/>
      <c r="I236" s="41"/>
      <c r="J236" s="50"/>
      <c r="K236" s="51"/>
      <c r="L236" s="75"/>
      <c r="M236" s="75"/>
      <c r="N236" s="41"/>
    </row>
    <row r="237" spans="1:14" ht="13.5" thickBot="1">
      <c r="A237" s="1">
        <v>3</v>
      </c>
      <c r="G237" s="86"/>
      <c r="H237" s="87"/>
      <c r="I237" s="88"/>
      <c r="J237" s="89"/>
      <c r="K237" s="86"/>
      <c r="L237" s="87"/>
      <c r="M237" s="87"/>
      <c r="N237" s="88"/>
    </row>
    <row r="238" spans="1:11" ht="12.75">
      <c r="A238" s="1">
        <v>4</v>
      </c>
      <c r="G238" s="41"/>
      <c r="J238" s="41"/>
      <c r="K238" s="41"/>
    </row>
    <row r="239" spans="1:11" ht="12.75">
      <c r="A239" s="1">
        <v>5</v>
      </c>
      <c r="C239" s="1" t="str">
        <f>$C$4</f>
        <v>        CLARK ENERGY COOPERATIVE, INC.</v>
      </c>
      <c r="G239" s="41"/>
      <c r="J239" s="41"/>
      <c r="K239" s="41"/>
    </row>
    <row r="240" spans="1:11" ht="12.75">
      <c r="A240" s="1">
        <v>6</v>
      </c>
      <c r="D240" s="1" t="s">
        <v>28</v>
      </c>
      <c r="G240" s="41"/>
      <c r="J240" s="41"/>
      <c r="K240" s="41"/>
    </row>
    <row r="241" spans="1:11" ht="13.5" thickBot="1">
      <c r="A241" s="1">
        <v>7</v>
      </c>
      <c r="C241" s="1" t="str">
        <f>C6</f>
        <v>      TEST YEAR ENDING SEPTEMBER 30, 2006</v>
      </c>
      <c r="F241" s="41"/>
      <c r="G241" s="41"/>
      <c r="J241" s="41"/>
      <c r="K241" s="41"/>
    </row>
    <row r="242" spans="1:14" ht="12.75">
      <c r="A242" s="1">
        <v>8</v>
      </c>
      <c r="F242" s="41"/>
      <c r="G242" s="45" t="s">
        <v>93</v>
      </c>
      <c r="H242" s="46"/>
      <c r="I242" s="46"/>
      <c r="J242" s="47"/>
      <c r="K242" s="48"/>
      <c r="L242" s="46"/>
      <c r="M242" s="46"/>
      <c r="N242" s="46"/>
    </row>
    <row r="243" spans="1:14" ht="12.75">
      <c r="A243" s="1">
        <v>9</v>
      </c>
      <c r="B243" s="1" t="s">
        <v>32</v>
      </c>
      <c r="F243" s="41"/>
      <c r="G243" s="49" t="str">
        <f>B245</f>
        <v>Schedule "M"</v>
      </c>
      <c r="H243" s="41"/>
      <c r="I243" s="41"/>
      <c r="J243" s="50"/>
      <c r="K243" s="51"/>
      <c r="L243" s="41"/>
      <c r="M243" s="41"/>
      <c r="N243" s="41"/>
    </row>
    <row r="244" spans="1:14" ht="12.75">
      <c r="A244" s="1">
        <v>10</v>
      </c>
      <c r="B244" s="52" t="s">
        <v>35</v>
      </c>
      <c r="F244" s="41"/>
      <c r="G244" s="51"/>
      <c r="H244" s="53" t="s">
        <v>64</v>
      </c>
      <c r="I244" s="161" t="s">
        <v>65</v>
      </c>
      <c r="J244" s="162"/>
      <c r="K244" s="163" t="s">
        <v>66</v>
      </c>
      <c r="L244" s="164"/>
      <c r="M244" s="57" t="s">
        <v>91</v>
      </c>
      <c r="N244" s="109" t="s">
        <v>67</v>
      </c>
    </row>
    <row r="245" spans="1:14" ht="12.75">
      <c r="A245" s="1">
        <v>11</v>
      </c>
      <c r="B245" s="1" t="s">
        <v>56</v>
      </c>
      <c r="C245" s="9" t="s">
        <v>29</v>
      </c>
      <c r="D245" s="9" t="s">
        <v>30</v>
      </c>
      <c r="E245" s="9" t="s">
        <v>43</v>
      </c>
      <c r="F245" s="9"/>
      <c r="G245" s="51"/>
      <c r="H245" s="58" t="s">
        <v>68</v>
      </c>
      <c r="I245" s="59" t="s">
        <v>69</v>
      </c>
      <c r="J245" s="60" t="s">
        <v>70</v>
      </c>
      <c r="K245" s="61" t="s">
        <v>69</v>
      </c>
      <c r="L245" s="62" t="s">
        <v>70</v>
      </c>
      <c r="M245" s="63" t="s">
        <v>71</v>
      </c>
      <c r="N245" s="22" t="s">
        <v>71</v>
      </c>
    </row>
    <row r="246" spans="1:14" ht="12.75">
      <c r="A246" s="1">
        <v>12</v>
      </c>
      <c r="C246" s="9" t="s">
        <v>33</v>
      </c>
      <c r="D246" s="9" t="s">
        <v>34</v>
      </c>
      <c r="E246" s="9" t="s">
        <v>3</v>
      </c>
      <c r="F246" s="9" t="s">
        <v>5</v>
      </c>
      <c r="G246" s="51"/>
      <c r="H246" s="64" t="s">
        <v>72</v>
      </c>
      <c r="I246" s="64" t="s">
        <v>73</v>
      </c>
      <c r="J246" s="65" t="s">
        <v>74</v>
      </c>
      <c r="K246" s="66" t="s">
        <v>75</v>
      </c>
      <c r="L246" s="67" t="s">
        <v>76</v>
      </c>
      <c r="M246" s="68" t="s">
        <v>77</v>
      </c>
      <c r="N246" s="68" t="s">
        <v>92</v>
      </c>
    </row>
    <row r="247" spans="1:14" ht="12.75">
      <c r="A247" s="1">
        <v>13</v>
      </c>
      <c r="B247" s="1" t="s">
        <v>8</v>
      </c>
      <c r="C247" s="52" t="s">
        <v>35</v>
      </c>
      <c r="D247" s="52" t="s">
        <v>35</v>
      </c>
      <c r="E247" s="52" t="s">
        <v>35</v>
      </c>
      <c r="F247" s="52" t="s">
        <v>35</v>
      </c>
      <c r="G247" s="51" t="s">
        <v>16</v>
      </c>
      <c r="H247" s="69">
        <f>C251</f>
        <v>12</v>
      </c>
      <c r="I247" s="70">
        <v>0</v>
      </c>
      <c r="J247" s="71">
        <f>H247*I247</f>
        <v>0</v>
      </c>
      <c r="K247" s="72">
        <f>I247</f>
        <v>0</v>
      </c>
      <c r="L247" s="73">
        <f>K247*H247</f>
        <v>0</v>
      </c>
      <c r="M247" s="73">
        <f>L247-J247</f>
        <v>0</v>
      </c>
      <c r="N247" s="41"/>
    </row>
    <row r="248" spans="1:19" ht="12.75">
      <c r="A248" s="1">
        <v>14</v>
      </c>
      <c r="B248" s="1" t="s">
        <v>9</v>
      </c>
      <c r="G248" s="51" t="s">
        <v>78</v>
      </c>
      <c r="H248" s="75">
        <f>D251</f>
        <v>10547161</v>
      </c>
      <c r="I248" s="134">
        <f>E251</f>
        <v>0.04702</v>
      </c>
      <c r="J248" s="71">
        <f>H248*I248</f>
        <v>495927.51022</v>
      </c>
      <c r="K248" s="143">
        <f>I248+P294</f>
        <v>0.050994275618826565</v>
      </c>
      <c r="L248" s="73">
        <f>K248*H248</f>
        <v>537844.8350301384</v>
      </c>
      <c r="M248" s="73">
        <f>L248-J248</f>
        <v>41917.32481013838</v>
      </c>
      <c r="N248" s="41"/>
      <c r="P248" s="75">
        <f>H248</f>
        <v>10547161</v>
      </c>
      <c r="S248" s="21">
        <f>M248</f>
        <v>41917.32481013838</v>
      </c>
    </row>
    <row r="249" spans="1:17" ht="12.75">
      <c r="A249" s="1">
        <v>15</v>
      </c>
      <c r="B249" s="1" t="s">
        <v>11</v>
      </c>
      <c r="G249" s="135" t="s">
        <v>88</v>
      </c>
      <c r="H249" s="110">
        <v>18388.8214</v>
      </c>
      <c r="I249" s="136">
        <f>E250</f>
        <v>8.23</v>
      </c>
      <c r="J249" s="71">
        <f>H249*I249</f>
        <v>151340.00012200003</v>
      </c>
      <c r="K249" s="138">
        <f>I249</f>
        <v>8.23</v>
      </c>
      <c r="L249" s="73">
        <f>K249*H249</f>
        <v>151340.00012200003</v>
      </c>
      <c r="M249" s="73">
        <f>L249-J249</f>
        <v>0</v>
      </c>
      <c r="N249" s="41"/>
      <c r="Q249" s="5">
        <f>M249</f>
        <v>0</v>
      </c>
    </row>
    <row r="250" spans="1:14" ht="12.75">
      <c r="A250" s="1">
        <v>16</v>
      </c>
      <c r="B250" s="1" t="s">
        <v>61</v>
      </c>
      <c r="D250" s="131"/>
      <c r="E250" s="12">
        <f>'Detail Sheet'!AY67</f>
        <v>8.23</v>
      </c>
      <c r="F250" s="29">
        <f>'Detail Sheet'!BB67</f>
        <v>151339.83</v>
      </c>
      <c r="G250" s="51" t="s">
        <v>79</v>
      </c>
      <c r="H250" s="41"/>
      <c r="I250" s="41"/>
      <c r="J250" s="139">
        <f>F251+F250-J249-J248</f>
        <v>0.31965799996396527</v>
      </c>
      <c r="K250" s="51"/>
      <c r="L250" s="80">
        <f>J250</f>
        <v>0.31965799996396527</v>
      </c>
      <c r="M250" s="124">
        <f>L250-J250</f>
        <v>0</v>
      </c>
      <c r="N250" s="41"/>
    </row>
    <row r="251" spans="1:14" ht="12.75">
      <c r="A251" s="1">
        <v>17</v>
      </c>
      <c r="B251" s="1" t="s">
        <v>12</v>
      </c>
      <c r="C251" s="20">
        <f>'Detail Sheet'!AZ68</f>
        <v>12</v>
      </c>
      <c r="D251" s="20">
        <f>'Detail Sheet'!BA68</f>
        <v>10547161</v>
      </c>
      <c r="E251" s="74">
        <f>'Detail Sheet'!AY68</f>
        <v>0.04702</v>
      </c>
      <c r="F251" s="29">
        <f>'Detail Sheet'!BB68</f>
        <v>495928</v>
      </c>
      <c r="G251" s="51" t="s">
        <v>80</v>
      </c>
      <c r="H251" s="41"/>
      <c r="I251" s="41"/>
      <c r="J251" s="71">
        <f>SUM(J247:J250)</f>
        <v>647267.8300000001</v>
      </c>
      <c r="K251" s="51"/>
      <c r="L251" s="81">
        <f>SUM(L247:L249)</f>
        <v>689184.8351521384</v>
      </c>
      <c r="M251" s="81">
        <f>SUM(M247:M249)</f>
        <v>41917.32481013838</v>
      </c>
      <c r="N251" s="81"/>
    </row>
    <row r="252" spans="6:14" ht="12.75">
      <c r="F252" s="29">
        <f>'Detail Sheet'!BB69</f>
        <v>87203.98999999999</v>
      </c>
      <c r="G252" s="51" t="s">
        <v>81</v>
      </c>
      <c r="H252" s="41"/>
      <c r="I252" s="41"/>
      <c r="J252" s="71">
        <f>F252</f>
        <v>87203.98999999999</v>
      </c>
      <c r="K252" s="51"/>
      <c r="L252" s="81">
        <f>J252</f>
        <v>87203.98999999999</v>
      </c>
      <c r="M252" s="81">
        <f>K252</f>
        <v>0</v>
      </c>
      <c r="N252" s="158"/>
    </row>
    <row r="253" spans="4:14" ht="12.75">
      <c r="D253" s="16"/>
      <c r="E253" s="96"/>
      <c r="F253" s="29">
        <f>'Detail Sheet'!BB70</f>
        <v>47575.71000000001</v>
      </c>
      <c r="G253" s="51" t="s">
        <v>82</v>
      </c>
      <c r="H253" s="41"/>
      <c r="I253" s="41"/>
      <c r="J253" s="83">
        <f>F253</f>
        <v>47575.71000000001</v>
      </c>
      <c r="K253" s="51"/>
      <c r="L253" s="80">
        <f>J253</f>
        <v>47575.71000000001</v>
      </c>
      <c r="M253" s="80">
        <f>K253</f>
        <v>0</v>
      </c>
      <c r="N253" s="41"/>
    </row>
    <row r="254" spans="1:14" ht="12.75">
      <c r="A254" s="1">
        <v>1</v>
      </c>
      <c r="D254" s="16"/>
      <c r="E254" s="96"/>
      <c r="F254" s="13">
        <f>SUM(F250:F253)</f>
        <v>782047.5299999999</v>
      </c>
      <c r="G254" s="51" t="s">
        <v>84</v>
      </c>
      <c r="H254" s="41"/>
      <c r="I254" s="41"/>
      <c r="J254" s="82">
        <f>J251+J252+J253</f>
        <v>782047.53</v>
      </c>
      <c r="K254" s="51"/>
      <c r="L254" s="81">
        <f>L251+L252+L253</f>
        <v>823964.5351521383</v>
      </c>
      <c r="M254" s="81">
        <f>M251+M252+M253</f>
        <v>41917.32481013838</v>
      </c>
      <c r="N254" s="81"/>
    </row>
    <row r="255" spans="1:14" ht="12.75">
      <c r="A255" s="1">
        <v>2</v>
      </c>
      <c r="G255" s="51" t="s">
        <v>89</v>
      </c>
      <c r="H255" s="75"/>
      <c r="I255" s="41"/>
      <c r="J255" s="71">
        <f>J254/H247</f>
        <v>65170.6275</v>
      </c>
      <c r="K255" s="144"/>
      <c r="L255" s="114">
        <f>L254/H247</f>
        <v>68663.71126267819</v>
      </c>
      <c r="M255" s="114">
        <f>L255-J255</f>
        <v>3493.0837626781868</v>
      </c>
      <c r="N255" s="81"/>
    </row>
    <row r="256" spans="1:14" ht="13.5" thickBot="1">
      <c r="A256" s="1">
        <v>3</v>
      </c>
      <c r="G256" s="86" t="s">
        <v>67</v>
      </c>
      <c r="H256" s="87"/>
      <c r="I256" s="88"/>
      <c r="J256" s="89"/>
      <c r="K256" s="86"/>
      <c r="L256" s="87"/>
      <c r="M256" s="87"/>
      <c r="N256" s="159">
        <f>L254/J254-1</f>
        <v>0.05359905062565473</v>
      </c>
    </row>
    <row r="257" spans="1:11" ht="12.75">
      <c r="A257" s="1">
        <v>4</v>
      </c>
      <c r="G257" s="41"/>
      <c r="J257" s="41"/>
      <c r="K257" s="41"/>
    </row>
    <row r="258" spans="1:11" ht="12.75">
      <c r="A258" s="1">
        <v>5</v>
      </c>
      <c r="C258" s="1" t="str">
        <f>$C$4</f>
        <v>        CLARK ENERGY COOPERATIVE, INC.</v>
      </c>
      <c r="G258" s="41"/>
      <c r="J258" s="41"/>
      <c r="K258" s="41"/>
    </row>
    <row r="259" spans="1:11" ht="12.75">
      <c r="A259" s="1">
        <v>6</v>
      </c>
      <c r="D259" s="1" t="s">
        <v>28</v>
      </c>
      <c r="G259" s="41"/>
      <c r="J259" s="41"/>
      <c r="K259" s="41"/>
    </row>
    <row r="260" spans="1:11" ht="13.5" thickBot="1">
      <c r="A260" s="1">
        <v>7</v>
      </c>
      <c r="C260" s="1" t="str">
        <f>C6</f>
        <v>      TEST YEAR ENDING SEPTEMBER 30, 2006</v>
      </c>
      <c r="F260" s="41"/>
      <c r="G260" s="41"/>
      <c r="J260" s="41"/>
      <c r="K260" s="41"/>
    </row>
    <row r="261" spans="1:14" ht="12.75">
      <c r="A261" s="1">
        <v>8</v>
      </c>
      <c r="F261" s="41"/>
      <c r="G261" s="45" t="s">
        <v>93</v>
      </c>
      <c r="H261" s="46"/>
      <c r="I261" s="46"/>
      <c r="J261" s="47"/>
      <c r="K261" s="48"/>
      <c r="L261" s="46"/>
      <c r="M261" s="46"/>
      <c r="N261" s="46"/>
    </row>
    <row r="262" spans="1:14" ht="12.75">
      <c r="A262" s="1">
        <v>9</v>
      </c>
      <c r="B262" s="1" t="s">
        <v>32</v>
      </c>
      <c r="F262" s="41"/>
      <c r="G262" s="49" t="str">
        <f>B264</f>
        <v>Schedule "J"</v>
      </c>
      <c r="H262" s="41"/>
      <c r="I262" s="41"/>
      <c r="J262" s="50"/>
      <c r="K262" s="51"/>
      <c r="L262" s="41"/>
      <c r="M262" s="41"/>
      <c r="N262" s="41"/>
    </row>
    <row r="263" spans="1:14" ht="12.75">
      <c r="A263" s="1">
        <v>10</v>
      </c>
      <c r="B263" s="52" t="s">
        <v>35</v>
      </c>
      <c r="F263" s="41"/>
      <c r="G263" s="51"/>
      <c r="H263" s="53" t="s">
        <v>64</v>
      </c>
      <c r="I263" s="161" t="s">
        <v>65</v>
      </c>
      <c r="J263" s="162"/>
      <c r="K263" s="163" t="s">
        <v>66</v>
      </c>
      <c r="L263" s="164"/>
      <c r="M263" s="57" t="s">
        <v>91</v>
      </c>
      <c r="N263" s="109" t="s">
        <v>67</v>
      </c>
    </row>
    <row r="264" spans="1:14" ht="12.75">
      <c r="A264" s="1">
        <v>11</v>
      </c>
      <c r="B264" s="1" t="s">
        <v>57</v>
      </c>
      <c r="C264" s="9" t="s">
        <v>29</v>
      </c>
      <c r="D264" s="9" t="s">
        <v>30</v>
      </c>
      <c r="E264" s="9" t="s">
        <v>43</v>
      </c>
      <c r="G264" s="51"/>
      <c r="H264" s="58" t="s">
        <v>68</v>
      </c>
      <c r="I264" s="59" t="s">
        <v>69</v>
      </c>
      <c r="J264" s="60" t="s">
        <v>70</v>
      </c>
      <c r="K264" s="61" t="s">
        <v>69</v>
      </c>
      <c r="L264" s="62" t="s">
        <v>70</v>
      </c>
      <c r="M264" s="63" t="s">
        <v>71</v>
      </c>
      <c r="N264" s="22" t="s">
        <v>71</v>
      </c>
    </row>
    <row r="265" spans="1:14" ht="12.75">
      <c r="A265" s="1">
        <v>12</v>
      </c>
      <c r="C265" s="9" t="s">
        <v>33</v>
      </c>
      <c r="D265" s="9" t="s">
        <v>34</v>
      </c>
      <c r="E265" s="9" t="s">
        <v>3</v>
      </c>
      <c r="F265" s="9" t="s">
        <v>5</v>
      </c>
      <c r="G265" s="51"/>
      <c r="H265" s="64" t="s">
        <v>72</v>
      </c>
      <c r="I265" s="64" t="s">
        <v>73</v>
      </c>
      <c r="J265" s="65" t="s">
        <v>74</v>
      </c>
      <c r="K265" s="66" t="s">
        <v>75</v>
      </c>
      <c r="L265" s="67" t="s">
        <v>76</v>
      </c>
      <c r="M265" s="68" t="s">
        <v>77</v>
      </c>
      <c r="N265" s="68" t="s">
        <v>92</v>
      </c>
    </row>
    <row r="266" spans="1:14" ht="12.75">
      <c r="A266" s="1">
        <v>13</v>
      </c>
      <c r="B266" s="1" t="s">
        <v>8</v>
      </c>
      <c r="C266" s="52" t="s">
        <v>35</v>
      </c>
      <c r="D266" s="52" t="s">
        <v>35</v>
      </c>
      <c r="E266" s="52" t="s">
        <v>35</v>
      </c>
      <c r="F266" s="52" t="s">
        <v>35</v>
      </c>
      <c r="G266" s="51" t="s">
        <v>16</v>
      </c>
      <c r="H266" s="69">
        <f>C270</f>
        <v>5</v>
      </c>
      <c r="I266" s="70">
        <v>0</v>
      </c>
      <c r="J266" s="71">
        <f>H266*I266</f>
        <v>0</v>
      </c>
      <c r="K266" s="72">
        <f>I266</f>
        <v>0</v>
      </c>
      <c r="L266" s="73">
        <f>K266*H266</f>
        <v>0</v>
      </c>
      <c r="M266" s="73">
        <f>L266-J266</f>
        <v>0</v>
      </c>
      <c r="N266" s="41"/>
    </row>
    <row r="267" spans="1:14" ht="12.75">
      <c r="A267" s="1">
        <v>14</v>
      </c>
      <c r="B267" s="1" t="s">
        <v>9</v>
      </c>
      <c r="G267" s="51" t="s">
        <v>78</v>
      </c>
      <c r="H267" s="75">
        <f>D270</f>
        <v>2289215</v>
      </c>
      <c r="I267" s="134">
        <f>E270</f>
        <v>0.03598</v>
      </c>
      <c r="J267" s="71">
        <f>H267*I267</f>
        <v>82365.95569999999</v>
      </c>
      <c r="K267" s="77">
        <f>I267</f>
        <v>0.03598</v>
      </c>
      <c r="L267" s="73">
        <f>K267*H267</f>
        <v>82365.95569999999</v>
      </c>
      <c r="M267" s="73">
        <f>L267-J267</f>
        <v>0</v>
      </c>
      <c r="N267" s="41"/>
    </row>
    <row r="268" spans="1:17" ht="12.75">
      <c r="A268" s="1">
        <v>15</v>
      </c>
      <c r="B268" s="1" t="s">
        <v>11</v>
      </c>
      <c r="G268" s="135" t="s">
        <v>88</v>
      </c>
      <c r="H268" s="110">
        <v>4975</v>
      </c>
      <c r="I268" s="136">
        <f>E269</f>
        <v>5.8</v>
      </c>
      <c r="J268" s="71">
        <f>H268*I268</f>
        <v>28855</v>
      </c>
      <c r="K268" s="145">
        <f>I268*1.3525</f>
        <v>7.8445</v>
      </c>
      <c r="L268" s="73">
        <f>K268*H268</f>
        <v>39026.3875</v>
      </c>
      <c r="M268" s="73">
        <f>L268-J268</f>
        <v>10171.387499999997</v>
      </c>
      <c r="N268" s="41"/>
      <c r="Q268" s="5">
        <f>M268</f>
        <v>10171.387499999997</v>
      </c>
    </row>
    <row r="269" spans="1:14" ht="12.75">
      <c r="A269" s="1">
        <v>16</v>
      </c>
      <c r="B269" s="1" t="s">
        <v>61</v>
      </c>
      <c r="E269" s="132">
        <f>'Detail Sheet'!AY60</f>
        <v>5.8</v>
      </c>
      <c r="F269" s="29">
        <f>'Detail Sheet'!BB60</f>
        <v>28854.52</v>
      </c>
      <c r="G269" s="51" t="s">
        <v>79</v>
      </c>
      <c r="H269" s="41"/>
      <c r="I269" s="41"/>
      <c r="J269" s="139">
        <v>0</v>
      </c>
      <c r="K269" s="51"/>
      <c r="L269" s="80">
        <f>J269</f>
        <v>0</v>
      </c>
      <c r="M269" s="124">
        <f>L269-J269</f>
        <v>0</v>
      </c>
      <c r="N269" s="41"/>
    </row>
    <row r="270" spans="1:14" ht="12.75">
      <c r="A270" s="1">
        <v>17</v>
      </c>
      <c r="B270" s="1" t="s">
        <v>12</v>
      </c>
      <c r="C270" s="20">
        <f>'Detail Sheet'!AZ61</f>
        <v>5</v>
      </c>
      <c r="D270" s="20">
        <f>'Detail Sheet'!BA61</f>
        <v>2289215</v>
      </c>
      <c r="E270" s="95">
        <f>'Detail Sheet'!AY61</f>
        <v>0.03598</v>
      </c>
      <c r="F270" s="29">
        <f>'Detail Sheet'!BB61</f>
        <v>82511</v>
      </c>
      <c r="G270" s="51" t="s">
        <v>80</v>
      </c>
      <c r="H270" s="41"/>
      <c r="I270" s="41"/>
      <c r="J270" s="71">
        <f>SUM(J266:J269)</f>
        <v>111220.95569999999</v>
      </c>
      <c r="K270" s="51"/>
      <c r="L270" s="81">
        <f>SUM(L266:L269)</f>
        <v>121392.34319999999</v>
      </c>
      <c r="M270" s="81">
        <f>SUM(M266:M269)</f>
        <v>10171.387499999997</v>
      </c>
      <c r="N270" s="81"/>
    </row>
    <row r="271" spans="6:14" ht="12.75">
      <c r="F271" s="29">
        <f>'Detail Sheet'!BB62</f>
        <v>17183.3</v>
      </c>
      <c r="G271" s="51" t="s">
        <v>81</v>
      </c>
      <c r="H271" s="41"/>
      <c r="I271" s="41"/>
      <c r="J271" s="71">
        <f>F271</f>
        <v>17183.3</v>
      </c>
      <c r="K271" s="51"/>
      <c r="L271" s="81">
        <f>J271</f>
        <v>17183.3</v>
      </c>
      <c r="M271" s="81">
        <f>K271</f>
        <v>0</v>
      </c>
      <c r="N271" s="158"/>
    </row>
    <row r="272" spans="5:14" ht="12.75">
      <c r="E272" s="96"/>
      <c r="F272" s="29">
        <f>'Detail Sheet'!BB63</f>
        <v>8780.19</v>
      </c>
      <c r="G272" s="51" t="s">
        <v>82</v>
      </c>
      <c r="H272" s="41"/>
      <c r="I272" s="41"/>
      <c r="J272" s="83">
        <f>F272</f>
        <v>8780.19</v>
      </c>
      <c r="K272" s="51"/>
      <c r="L272" s="80">
        <f>J272</f>
        <v>8780.19</v>
      </c>
      <c r="M272" s="80">
        <f>K272</f>
        <v>0</v>
      </c>
      <c r="N272" s="41"/>
    </row>
    <row r="273" spans="6:14" ht="12.75">
      <c r="F273" s="29">
        <f>SUM(F269:F272)</f>
        <v>137329.01</v>
      </c>
      <c r="G273" s="51" t="s">
        <v>84</v>
      </c>
      <c r="H273" s="41"/>
      <c r="I273" s="41"/>
      <c r="J273" s="82">
        <f>J270+J271+J272</f>
        <v>137184.44569999998</v>
      </c>
      <c r="K273" s="51"/>
      <c r="L273" s="81">
        <f>L270+L271+L272</f>
        <v>147355.8332</v>
      </c>
      <c r="M273" s="81">
        <f>M270+M271+M272</f>
        <v>10171.387499999997</v>
      </c>
      <c r="N273" s="41"/>
    </row>
    <row r="274" spans="7:14" ht="12.75">
      <c r="G274" s="51" t="s">
        <v>89</v>
      </c>
      <c r="H274" s="75"/>
      <c r="I274" s="41"/>
      <c r="J274" s="84">
        <f>J273/H266</f>
        <v>27436.889139999996</v>
      </c>
      <c r="K274" s="51"/>
      <c r="L274" s="75">
        <f>L273/H266</f>
        <v>29471.16664</v>
      </c>
      <c r="M274" s="75">
        <f>L274-J274</f>
        <v>2034.2775000000038</v>
      </c>
      <c r="N274" s="41"/>
    </row>
    <row r="275" spans="7:14" ht="13.5" thickBot="1">
      <c r="G275" s="86" t="s">
        <v>67</v>
      </c>
      <c r="H275" s="87"/>
      <c r="I275" s="88"/>
      <c r="J275" s="89"/>
      <c r="K275" s="86"/>
      <c r="L275" s="87"/>
      <c r="M275" s="87"/>
      <c r="N275" s="159">
        <f>L273/J273-1</f>
        <v>0.0741438830626846</v>
      </c>
    </row>
    <row r="276" spans="7:11" ht="12.75">
      <c r="G276" s="41"/>
      <c r="J276" s="41"/>
      <c r="K276" s="41"/>
    </row>
    <row r="277" spans="7:11" ht="12.75">
      <c r="G277" s="41"/>
      <c r="J277" s="41"/>
      <c r="K277" s="41"/>
    </row>
    <row r="278" spans="7:13" ht="12.75">
      <c r="G278" s="41" t="s">
        <v>121</v>
      </c>
      <c r="J278" s="41"/>
      <c r="K278" s="41"/>
      <c r="M278" s="5">
        <f>M22+M40+M61+M81+M100+M118+M137+M157+M178+M197+M216+M235+M254+M273</f>
        <v>1679812.0000000026</v>
      </c>
    </row>
    <row r="279" spans="6:13" ht="12.75">
      <c r="F279" s="41"/>
      <c r="G279" s="41" t="s">
        <v>124</v>
      </c>
      <c r="J279" s="41"/>
      <c r="K279" s="41"/>
      <c r="M279" s="5">
        <f>P288</f>
        <v>1679812</v>
      </c>
    </row>
    <row r="280" spans="6:19" ht="12.75">
      <c r="F280" s="41"/>
      <c r="G280" s="41" t="s">
        <v>125</v>
      </c>
      <c r="J280" s="41"/>
      <c r="K280" s="41"/>
      <c r="M280" s="5">
        <f>M278-M279</f>
        <v>2.561137080192566E-09</v>
      </c>
      <c r="O280" s="41" t="s">
        <v>132</v>
      </c>
      <c r="P280" s="101">
        <f>SUM(P16:P276)</f>
        <v>420111933</v>
      </c>
      <c r="S280" s="41"/>
    </row>
    <row r="281" spans="6:19" ht="12.75">
      <c r="F281" s="41"/>
      <c r="J281" s="41"/>
      <c r="K281" s="41"/>
      <c r="S281" s="41"/>
    </row>
    <row r="282" spans="6:19" ht="12.75">
      <c r="F282" s="41"/>
      <c r="J282" s="41"/>
      <c r="K282" s="41"/>
      <c r="O282" s="41" t="s">
        <v>119</v>
      </c>
      <c r="P282" s="146"/>
      <c r="Q282" s="21">
        <f>SUM(Q16:Q275)</f>
        <v>10171.387499999997</v>
      </c>
      <c r="R282" s="21"/>
      <c r="S282" s="41"/>
    </row>
    <row r="283" spans="2:19" ht="12.75">
      <c r="B283" s="52"/>
      <c r="F283" s="41"/>
      <c r="H283" s="5">
        <v>0.00506617</v>
      </c>
      <c r="I283" s="16" t="e">
        <f>#REF!</f>
        <v>#REF!</v>
      </c>
      <c r="P283" s="146"/>
      <c r="Q283" s="21"/>
      <c r="R283" s="21"/>
      <c r="S283" s="41"/>
    </row>
    <row r="284" spans="5:19" ht="12.75">
      <c r="E284" s="9"/>
      <c r="O284" s="41" t="s">
        <v>120</v>
      </c>
      <c r="P284" s="146"/>
      <c r="Q284" s="21"/>
      <c r="R284" s="21">
        <f>SUM(R15:R275)</f>
        <v>0</v>
      </c>
      <c r="S284" s="41"/>
    </row>
    <row r="285" spans="4:19" ht="12.75">
      <c r="D285" s="9"/>
      <c r="E285" s="9"/>
      <c r="P285" s="146"/>
      <c r="Q285" s="21"/>
      <c r="R285" s="21"/>
      <c r="S285" s="41"/>
    </row>
    <row r="286" spans="3:19" ht="12.75">
      <c r="C286" s="52"/>
      <c r="D286" s="52"/>
      <c r="E286" s="52"/>
      <c r="F286" s="52"/>
      <c r="G286" s="38"/>
      <c r="O286" s="41" t="s">
        <v>86</v>
      </c>
      <c r="Q286" s="146"/>
      <c r="R286" s="146"/>
      <c r="S286" s="21">
        <f>SUM(S16:S276)</f>
        <v>1669640.6125000026</v>
      </c>
    </row>
    <row r="287" spans="7:18" ht="12.75">
      <c r="G287" s="38"/>
      <c r="Q287" s="21"/>
      <c r="R287" s="21"/>
    </row>
    <row r="288" spans="4:18" ht="12.75">
      <c r="D288" s="16"/>
      <c r="E288" s="16"/>
      <c r="F288" s="16"/>
      <c r="G288" s="38"/>
      <c r="O288" s="41" t="s">
        <v>115</v>
      </c>
      <c r="P288" s="146">
        <v>1679812</v>
      </c>
      <c r="Q288" s="21"/>
      <c r="R288" s="21"/>
    </row>
    <row r="289" spans="4:19" ht="12.75">
      <c r="D289" s="16"/>
      <c r="E289" s="16"/>
      <c r="F289" s="16"/>
      <c r="G289" s="38"/>
      <c r="P289" s="146"/>
      <c r="Q289" s="21"/>
      <c r="R289" s="21"/>
      <c r="S289" s="108">
        <f>S286+R284+Q282</f>
        <v>1679812.0000000026</v>
      </c>
    </row>
    <row r="290" spans="4:18" ht="12.75">
      <c r="D290" s="16"/>
      <c r="E290" s="16"/>
      <c r="F290" s="16"/>
      <c r="G290" s="38"/>
      <c r="O290" s="41" t="s">
        <v>116</v>
      </c>
      <c r="P290" s="146">
        <f>P288-Q282</f>
        <v>1669640.6125</v>
      </c>
      <c r="Q290" s="21"/>
      <c r="R290" s="21"/>
    </row>
    <row r="291" spans="4:18" ht="12.75">
      <c r="D291" s="16"/>
      <c r="E291" s="16"/>
      <c r="F291" s="16"/>
      <c r="G291" s="38"/>
      <c r="P291" s="146"/>
      <c r="Q291" s="1"/>
      <c r="R291" s="41"/>
    </row>
    <row r="292" spans="4:18" ht="12.75">
      <c r="D292" s="16"/>
      <c r="E292" s="16"/>
      <c r="F292" s="16"/>
      <c r="G292" s="38"/>
      <c r="O292" s="41" t="s">
        <v>117</v>
      </c>
      <c r="P292" s="146">
        <f>P290-R284</f>
        <v>1669640.6125</v>
      </c>
      <c r="Q292" s="41"/>
      <c r="R292" s="41"/>
    </row>
    <row r="293" spans="4:18" ht="12.75">
      <c r="D293" s="16"/>
      <c r="E293" s="16"/>
      <c r="F293" s="16"/>
      <c r="G293" s="38"/>
      <c r="P293" s="146"/>
      <c r="Q293" s="21"/>
      <c r="R293" s="41"/>
    </row>
    <row r="294" spans="4:18" ht="12.75">
      <c r="D294" s="16"/>
      <c r="E294" s="16"/>
      <c r="F294" s="16"/>
      <c r="G294" s="38"/>
      <c r="O294" s="41" t="s">
        <v>118</v>
      </c>
      <c r="P294" s="147">
        <f>P292/P280</f>
        <v>0.003974275618826567</v>
      </c>
      <c r="Q294" s="121"/>
      <c r="R294" s="121"/>
    </row>
    <row r="295" spans="4:18" ht="12.75">
      <c r="D295" s="16"/>
      <c r="E295" s="16"/>
      <c r="F295" s="16"/>
      <c r="G295" s="38"/>
      <c r="P295" s="121"/>
      <c r="Q295" s="121"/>
      <c r="R295" s="121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</sheetData>
  <mergeCells count="27">
    <mergeCell ref="I70:J70"/>
    <mergeCell ref="I263:J263"/>
    <mergeCell ref="K263:L263"/>
    <mergeCell ref="I225:J225"/>
    <mergeCell ref="K225:L225"/>
    <mergeCell ref="I244:J244"/>
    <mergeCell ref="K244:L244"/>
    <mergeCell ref="I187:J187"/>
    <mergeCell ref="K187:L187"/>
    <mergeCell ref="I206:J206"/>
    <mergeCell ref="K206:L206"/>
    <mergeCell ref="I147:J147"/>
    <mergeCell ref="K147:L147"/>
    <mergeCell ref="I168:J168"/>
    <mergeCell ref="K168:L168"/>
    <mergeCell ref="I109:J109"/>
    <mergeCell ref="K109:L109"/>
    <mergeCell ref="I128:J128"/>
    <mergeCell ref="K128:L128"/>
    <mergeCell ref="I88:J88"/>
    <mergeCell ref="K88:L88"/>
    <mergeCell ref="I91:J91"/>
    <mergeCell ref="K91:L91"/>
    <mergeCell ref="I12:J12"/>
    <mergeCell ref="K12:L12"/>
    <mergeCell ref="I31:J31"/>
    <mergeCell ref="K31:L31"/>
  </mergeCells>
  <printOptions horizontalCentered="1"/>
  <pageMargins left="0.23" right="0.25" top="0.7" bottom="0.73" header="1.25" footer="0.46"/>
  <pageSetup fitToHeight="0" horizontalDpi="600" verticalDpi="600" orientation="portrait" scale="42" r:id="rId1"/>
  <headerFooter alignWithMargins="0">
    <oddFooter>&amp;CPAGE &amp;P</oddFooter>
  </headerFooter>
  <rowBreaks count="2" manualBreakCount="2">
    <brk id="103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Rural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Rural Electric Corp</dc:creator>
  <cp:keywords/>
  <dc:description/>
  <cp:lastModifiedBy>peggy</cp:lastModifiedBy>
  <cp:lastPrinted>2007-03-19T20:38:57Z</cp:lastPrinted>
  <dcterms:created xsi:type="dcterms:W3CDTF">1998-04-23T12:22:44Z</dcterms:created>
  <dcterms:modified xsi:type="dcterms:W3CDTF">2007-03-20T15:42:09Z</dcterms:modified>
  <cp:category/>
  <cp:version/>
  <cp:contentType/>
  <cp:contentStatus/>
</cp:coreProperties>
</file>