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Request 3a(1)" sheetId="1" r:id="rId1"/>
    <sheet name="Request3a(2)" sheetId="2" r:id="rId2"/>
    <sheet name="Request 3a (2)" sheetId="3" r:id="rId3"/>
    <sheet name="Summary" sheetId="4" r:id="rId4"/>
    <sheet name="Detailed Summary" sheetId="5" r:id="rId5"/>
  </sheets>
  <definedNames>
    <definedName name="_xlnm.Print_Area" localSheetId="4">'Detailed Summary'!$F$9:$Z$66</definedName>
    <definedName name="_xlnm.Print_Area" localSheetId="2">'Request 3a (2)'!$Q$4:$AD$38</definedName>
    <definedName name="_xlnm.Print_Area" localSheetId="0">'Request 3a(1)'!$F$1:$P$63</definedName>
    <definedName name="_xlnm.Print_Area" localSheetId="1">'Request3a(2)'!$R$1:$AA$476</definedName>
    <definedName name="_xlnm.Print_Area" localSheetId="3">'Summary'!$F$1:$N$61</definedName>
  </definedNames>
  <calcPr fullCalcOnLoad="1"/>
</workbook>
</file>

<file path=xl/sharedStrings.xml><?xml version="1.0" encoding="utf-8"?>
<sst xmlns="http://schemas.openxmlformats.org/spreadsheetml/2006/main" count="1502" uniqueCount="261">
  <si>
    <t>EKPC RATE INCREASE PASS THROUGH</t>
  </si>
  <si>
    <t>TEST YEAR ENDING SEPTEMBER 30, 2006</t>
  </si>
  <si>
    <t>RESIDENTIAL:</t>
  </si>
  <si>
    <t>RATE</t>
  </si>
  <si>
    <t>KWH CHG.</t>
  </si>
  <si>
    <t>NO OF BILLS</t>
  </si>
  <si>
    <t>REVENUE</t>
  </si>
  <si>
    <t>SMALL COMMERCIALS:</t>
  </si>
  <si>
    <t>CUST. CHG</t>
  </si>
  <si>
    <t>KWH</t>
  </si>
  <si>
    <t>KWH-LIGHTS</t>
  </si>
  <si>
    <t>FAC REV.</t>
  </si>
  <si>
    <t>ES REV.</t>
  </si>
  <si>
    <t>REV. - LIGHTS</t>
  </si>
  <si>
    <t>TOTAL</t>
  </si>
  <si>
    <t>YARD LIGHT ONLY</t>
  </si>
  <si>
    <t>NICHOLASVILLE &amp; MADISON DISTRICTS</t>
  </si>
  <si>
    <t>ETS:</t>
  </si>
  <si>
    <t>FOX CREEK DISTRICT</t>
  </si>
  <si>
    <t>HARRISON DISTRICT</t>
  </si>
  <si>
    <t>BILLED</t>
  </si>
  <si>
    <t>KW</t>
  </si>
  <si>
    <t>OVER 3000 KWH CHG.</t>
  </si>
  <si>
    <t>CHARGE</t>
  </si>
  <si>
    <t>LARGE POWER:</t>
  </si>
  <si>
    <t>NICHOLASVILLE &amp; MADISON DISTRICTS &lt; 50 KW</t>
  </si>
  <si>
    <t>FOX CREEK DISTRICT &lt; 50 KW</t>
  </si>
  <si>
    <t>HARRISON DISTRICT &lt; 50 KW</t>
  </si>
  <si>
    <t>NICHOLASVILLE &amp; MADISON DISTRICTS 51 - 500 KW</t>
  </si>
  <si>
    <t>FIRST 10,000 KWH</t>
  </si>
  <si>
    <t>NEXT 15,000 KWH</t>
  </si>
  <si>
    <t>NEXT 50,000 KWH</t>
  </si>
  <si>
    <t>NEXT 75,000 KWH</t>
  </si>
  <si>
    <t>OVER 150,000 KWH</t>
  </si>
  <si>
    <t>FIRST 3,500 KWH</t>
  </si>
  <si>
    <t>NEXT 6,500 KWH</t>
  </si>
  <si>
    <t>NEXT 140,000 KWH</t>
  </si>
  <si>
    <t>NEXT 200,000 KWH</t>
  </si>
  <si>
    <t>NEXT 400,000 KWH</t>
  </si>
  <si>
    <t>NEXT 550,000 KWH</t>
  </si>
  <si>
    <t>OVER 1,300,000 KWH</t>
  </si>
  <si>
    <t>FOX CREEK DISTRICT 50 - 200</t>
  </si>
  <si>
    <t>FOX CREEK DISTRICT 201 - 500</t>
  </si>
  <si>
    <t>FIRST 50 KWH PER BILLING KW</t>
  </si>
  <si>
    <t>NEXT 100 KWH PER BILLING KW</t>
  </si>
  <si>
    <t>OVER 150 KWH PER BILLING KW</t>
  </si>
  <si>
    <t>FIRST 425 KWH OF BILLING KW</t>
  </si>
  <si>
    <t>OVER 425 KWH OF BILLING KW</t>
  </si>
  <si>
    <t>HARRISON DISTRICT 50 - 500 KW</t>
  </si>
  <si>
    <t>HARRISON DISTRICT &gt; 500 KW</t>
  </si>
  <si>
    <t>NICHOLASVILLE &amp; MADISON DISTRICTS &gt; 3,999 KW</t>
  </si>
  <si>
    <t>KW CHAGE OF CONRACT KW</t>
  </si>
  <si>
    <t>KW CHARGE IN EXCESS OF CONTRACT KW</t>
  </si>
  <si>
    <t>FOX CREEK DISTRICT 1,000- 4,999 KW</t>
  </si>
  <si>
    <t>HARRISON DISTRICT 5,000 - 9,999 KW</t>
  </si>
  <si>
    <t>ALL REMAINING KWH</t>
  </si>
  <si>
    <t>STREET LIGHTS</t>
  </si>
  <si>
    <t>LIGHTS:</t>
  </si>
  <si>
    <t>TYPE</t>
  </si>
  <si>
    <t>DESCRIPTION</t>
  </si>
  <si>
    <t>175 WATT MERCURY VAPOR</t>
  </si>
  <si>
    <t>400 WATT MERCURY VAPOR</t>
  </si>
  <si>
    <t>175 WATT MERCURY VAPOR -SEPARATE TRANSFORMER</t>
  </si>
  <si>
    <t>100 WATT HIGH PRESSURE SODIUM</t>
  </si>
  <si>
    <t>400 WATT MERCURY VAPOR -SEPARATE TRANSFORMER</t>
  </si>
  <si>
    <t>250 WATT HIGH PRESSURE SODIUM</t>
  </si>
  <si>
    <t>400 WATT HIGH PRESSURE SODIUM</t>
  </si>
  <si>
    <t>400 WATT METAL HALIDE DIRECTIONAL FLOOD</t>
  </si>
  <si>
    <t>400 WATT HIGH PRESSURE SODIUM DIRECTIONAL FLOOD</t>
  </si>
  <si>
    <t>100 WATT HIGH PRESSURE SODIUM - SHOEBOX FIXTURE</t>
  </si>
  <si>
    <t>100 WATT HIGH PRESSURE SODIUM - ACORN FIXTURE</t>
  </si>
  <si>
    <t>100 WATT HIGH PRESSURE SODIUM - COLONIAL FIXTURE</t>
  </si>
  <si>
    <t>400 WATT HIFH PRESSURE SODIUM - COBRA HEAD</t>
  </si>
  <si>
    <t>70 WATT HIGH PRESSURE SODIUM - COLONIAL</t>
  </si>
  <si>
    <t>100 WATT HIGH PRESSURE SODIUM - ORNAMENTAL</t>
  </si>
  <si>
    <t>70 WATT HIGH PRESSURE SODIUM - ORNAMENTAL</t>
  </si>
  <si>
    <t>250 WATT HIGH PRESSURE SODIUM - ORNAMENTAL</t>
  </si>
  <si>
    <t>200 WATT HIGH PRESSURE SODIUM - COBRA HEAD</t>
  </si>
  <si>
    <t>100 WATT HIGH PRESSURE SODIUM - COBRA HEAD</t>
  </si>
  <si>
    <t>HARRISON ONLY</t>
  </si>
  <si>
    <t>NICHOLASVILLE &amp; MADISON ONLY</t>
  </si>
  <si>
    <t>Blue Grass Energy</t>
  </si>
  <si>
    <t>Revenue</t>
  </si>
  <si>
    <t>Proposed</t>
  </si>
  <si>
    <t>kWh</t>
  </si>
  <si>
    <t>Percentage</t>
  </si>
  <si>
    <t>Increase</t>
  </si>
  <si>
    <t>Annual</t>
  </si>
  <si>
    <t>Rate</t>
  </si>
  <si>
    <t>Assigned</t>
  </si>
  <si>
    <t>Total kWh</t>
  </si>
  <si>
    <t>Billing</t>
  </si>
  <si>
    <t>per</t>
  </si>
  <si>
    <t>assigned</t>
  </si>
  <si>
    <t>Rate per</t>
  </si>
  <si>
    <t>Light</t>
  </si>
  <si>
    <t>Units</t>
  </si>
  <si>
    <t>Lamp</t>
  </si>
  <si>
    <t>per Light</t>
  </si>
  <si>
    <t>to Lights</t>
  </si>
  <si>
    <t>Revenues</t>
  </si>
  <si>
    <t>Change</t>
  </si>
  <si>
    <t>Description</t>
  </si>
  <si>
    <t>(1)</t>
  </si>
  <si>
    <t>(2)</t>
  </si>
  <si>
    <t>(3)=(1)*(2)</t>
  </si>
  <si>
    <t>(4)</t>
  </si>
  <si>
    <t>(5)=(1)*(4)</t>
  </si>
  <si>
    <t>(6)</t>
  </si>
  <si>
    <t>Actual Revenues</t>
  </si>
  <si>
    <t>Normalized</t>
  </si>
  <si>
    <t>Blue Grass Energy: Test Year Ending September 30, 2006</t>
  </si>
  <si>
    <t>Actual</t>
  </si>
  <si>
    <t>Determinants</t>
  </si>
  <si>
    <t>Customer Charge</t>
  </si>
  <si>
    <t>Energy Charge per kWh</t>
  </si>
  <si>
    <t>Billing Adjustments</t>
  </si>
  <si>
    <t>Total from Base Rates</t>
  </si>
  <si>
    <t>Plus Fuel Adjustment</t>
  </si>
  <si>
    <t>Plus Environmental Surcharge</t>
  </si>
  <si>
    <t>Green Power</t>
  </si>
  <si>
    <t>Total Revenues</t>
  </si>
  <si>
    <t>Percent</t>
  </si>
  <si>
    <t>Residential Summary</t>
  </si>
  <si>
    <t>Average # kWh per Customer</t>
  </si>
  <si>
    <t>Average Revenue - Current</t>
  </si>
  <si>
    <t>Average Revenue - Proposed</t>
  </si>
  <si>
    <t>Percent Increase</t>
  </si>
  <si>
    <t>Customer Billing Units</t>
  </si>
  <si>
    <t>(7)=(6)*(1)</t>
  </si>
  <si>
    <t>ETS Summary</t>
  </si>
  <si>
    <t>Demand Charge</t>
  </si>
  <si>
    <t>Small Commercial Summary</t>
  </si>
  <si>
    <t>kW</t>
  </si>
  <si>
    <t># Customer Billing Units</t>
  </si>
  <si>
    <t>Avg. Bill per Customer</t>
  </si>
  <si>
    <t>Energy Charge per kWh (&gt;3,000)</t>
  </si>
  <si>
    <t>Energy Charge per kWh (1st 10,000)</t>
  </si>
  <si>
    <t xml:space="preserve"> Next 15,000</t>
  </si>
  <si>
    <t xml:space="preserve"> Next 50,000</t>
  </si>
  <si>
    <t xml:space="preserve"> Next 75,000</t>
  </si>
  <si>
    <t xml:space="preserve"> Over 150,000</t>
  </si>
  <si>
    <t xml:space="preserve"> Next 6,500</t>
  </si>
  <si>
    <t xml:space="preserve"> Next 140,000</t>
  </si>
  <si>
    <t xml:space="preserve"> Next 200,000</t>
  </si>
  <si>
    <t xml:space="preserve"> Next 400,000</t>
  </si>
  <si>
    <t xml:space="preserve"> Next 550,000</t>
  </si>
  <si>
    <t xml:space="preserve"> Over 1,300,000</t>
  </si>
  <si>
    <t xml:space="preserve"> Over 150 kWh/kW</t>
  </si>
  <si>
    <t xml:space="preserve"> Next 100 kWh/kW</t>
  </si>
  <si>
    <t>Energy Charge: First 50 kWh/kw</t>
  </si>
  <si>
    <t>Energy Charge: First 425 kWh/kw</t>
  </si>
  <si>
    <t xml:space="preserve"> Over 425 kWh/kW</t>
  </si>
  <si>
    <t>Energy Charge</t>
  </si>
  <si>
    <t>Demand Charge - Contract</t>
  </si>
  <si>
    <t>Demand Charge - Excess of Contract</t>
  </si>
  <si>
    <t>Energy Charge-First 425 kWh/kw</t>
  </si>
  <si>
    <t>Energy Charge-All remaining kWh</t>
  </si>
  <si>
    <t>Demand</t>
  </si>
  <si>
    <t>Dollar Increase</t>
  </si>
  <si>
    <t>Average Customer</t>
  </si>
  <si>
    <t>Average</t>
  </si>
  <si>
    <t>Dollar</t>
  </si>
  <si>
    <t>(7)</t>
  </si>
  <si>
    <t>Non-demand</t>
  </si>
  <si>
    <t>Customer</t>
  </si>
  <si>
    <t>Energy</t>
  </si>
  <si>
    <t>Total $</t>
  </si>
  <si>
    <t>Customer $</t>
  </si>
  <si>
    <t>Total $ less</t>
  </si>
  <si>
    <t xml:space="preserve"> Dem &amp; Customer</t>
  </si>
  <si>
    <t>Residual $ /</t>
  </si>
  <si>
    <t>Non-light kWh</t>
  </si>
  <si>
    <t>Light kWh</t>
  </si>
  <si>
    <t>Increase per EKPC</t>
  </si>
  <si>
    <t>Total</t>
  </si>
  <si>
    <t>(9)=(7)/(3)-1x100</t>
  </si>
  <si>
    <t>(8)=(7)-(3)</t>
  </si>
  <si>
    <t>Increase per Billing Analysis (excl lights)</t>
  </si>
  <si>
    <t>Increase per Billing Analysis (incl lights)</t>
  </si>
  <si>
    <t>Difference</t>
  </si>
  <si>
    <t>Billing Analysis</t>
  </si>
  <si>
    <t>for the 12 months ended September 30, 2006</t>
  </si>
  <si>
    <t>Present</t>
  </si>
  <si>
    <t>Total Base $</t>
  </si>
  <si>
    <t>FAC</t>
  </si>
  <si>
    <t>ES</t>
  </si>
  <si>
    <t>GP</t>
  </si>
  <si>
    <t>$ Increase</t>
  </si>
  <si>
    <t>% Increase</t>
  </si>
  <si>
    <t xml:space="preserve"> (first 10 kW charge = 0)</t>
  </si>
  <si>
    <t xml:space="preserve"> 5% Discount for 3M</t>
  </si>
  <si>
    <t>400 WATT HIGH PRESSURE SODIUM - COBRA HEAD</t>
  </si>
  <si>
    <t>Total - Lights</t>
  </si>
  <si>
    <t>Lights:</t>
  </si>
  <si>
    <t>Total - Excluding Lights</t>
  </si>
  <si>
    <t>Grand Total</t>
  </si>
  <si>
    <t/>
  </si>
  <si>
    <t>Total Present</t>
  </si>
  <si>
    <t>Annualized</t>
  </si>
  <si>
    <t>for the 12 months ending September 30, 2006</t>
  </si>
  <si>
    <t>Rate 11: GS-1</t>
  </si>
  <si>
    <t>Rate 12: Schedule R</t>
  </si>
  <si>
    <t>Rate 13: Schedule A - Rate 1</t>
  </si>
  <si>
    <t>Rate 16: GS-2</t>
  </si>
  <si>
    <t>Rate 17: Schedule R-2</t>
  </si>
  <si>
    <t>Rate 18: Rate 1 ETS</t>
  </si>
  <si>
    <t>Rate 21: C1</t>
  </si>
  <si>
    <t>Rate 22: C-1</t>
  </si>
  <si>
    <t>Rate 23: Schedule C</t>
  </si>
  <si>
    <t>Rate 24: Schedule C</t>
  </si>
  <si>
    <t>Rate 25: Comm &amp; Sm Pwr - Rate 2</t>
  </si>
  <si>
    <t>Rate 26: Comm &amp; Sm Pwr - Rate 2</t>
  </si>
  <si>
    <t>Rate 31: LP1</t>
  </si>
  <si>
    <t>Rate 32: LP2</t>
  </si>
  <si>
    <t>Rate 33: Schedule L</t>
  </si>
  <si>
    <t>Rate 35: Schedule N</t>
  </si>
  <si>
    <t>Rate 39: Lrg Pwr Srvc - Rate 8</t>
  </si>
  <si>
    <t>Rate 40: Large Ind  - Rate 8</t>
  </si>
  <si>
    <t>Rate 44: Large Ind - Rate B-2</t>
  </si>
  <si>
    <t>Rate 45: Large Ind - Rate B-2</t>
  </si>
  <si>
    <t>Rate 47: Large Ind B-2</t>
  </si>
  <si>
    <t>Rate 46: B-1</t>
  </si>
  <si>
    <t>Rate 48: Large Ind Rate B-2</t>
  </si>
  <si>
    <t>Rate 49: Large Ind Rate B-2</t>
  </si>
  <si>
    <t>Rate 50: Large Pwr Srvc, LPR 2 - Rate 8</t>
  </si>
  <si>
    <t>Rate &amp; Schedule</t>
  </si>
  <si>
    <t>Non Sch B/C</t>
  </si>
  <si>
    <t xml:space="preserve"> Non B/C kWh</t>
  </si>
  <si>
    <t>Sch B/C Dmd</t>
  </si>
  <si>
    <t>Sch B/C Dem $</t>
  </si>
  <si>
    <t>Total $ less B/C Dem</t>
  </si>
  <si>
    <t>Non-B/C Dem</t>
  </si>
  <si>
    <t>Non B/C kWh</t>
  </si>
  <si>
    <t>Rate 21 +  22: C-1  Nicholasville, Madison</t>
  </si>
  <si>
    <t>Rate 25 +  26: Harrison Comm &amp; Sm Pwr</t>
  </si>
  <si>
    <t>Rate 23 +  24: Fox Creek Sch C</t>
  </si>
  <si>
    <t xml:space="preserve">Energy Charge per kWh </t>
  </si>
  <si>
    <t>Large Ind Rate B-2 Combined</t>
  </si>
  <si>
    <t>Rates 44, 45, 47, 48, &amp; 49.</t>
  </si>
  <si>
    <t>Billing Analysis - Test Year Ending September 30, 2006</t>
  </si>
  <si>
    <t>TYPE/</t>
  </si>
  <si>
    <t>Percent of</t>
  </si>
  <si>
    <t>Page 1 of 7</t>
  </si>
  <si>
    <t>Page 7 of 7</t>
  </si>
  <si>
    <t>Page 6 of 7</t>
  </si>
  <si>
    <t>Page 2 of 7</t>
  </si>
  <si>
    <t>Page 3 of 7</t>
  </si>
  <si>
    <t>Page 4 of 7</t>
  </si>
  <si>
    <t>Page 5 of 7</t>
  </si>
  <si>
    <t xml:space="preserve">Actual </t>
  </si>
  <si>
    <t>Component %</t>
  </si>
  <si>
    <t xml:space="preserve">Proposed </t>
  </si>
  <si>
    <t xml:space="preserve">Component % </t>
  </si>
  <si>
    <t>of Base Rates</t>
  </si>
  <si>
    <t>Base</t>
  </si>
  <si>
    <t xml:space="preserve">Attachment </t>
  </si>
  <si>
    <t>Page 1 of 1</t>
  </si>
  <si>
    <t xml:space="preserve">Request 3 a (1)  </t>
  </si>
  <si>
    <t>Request 3 a (2)</t>
  </si>
  <si>
    <t>Attachment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</si>
</sst>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0000"/>
    <numFmt numFmtId="167" formatCode="#,##0.00000"/>
    <numFmt numFmtId="168" formatCode="#,##0.000"/>
    <numFmt numFmtId="169" formatCode="&quot;$&quot;#,##0"/>
    <numFmt numFmtId="170" formatCode="&quot;$&quot;#,##0.000"/>
    <numFmt numFmtId="171" formatCode="_(&quot;$&quot;* #,##0_);_(&quot;$&quot;* \(#,##0\);_(&quot;$&quot;* &quot;-&quot;??_);_(@_)"/>
    <numFmt numFmtId="172" formatCode="_(&quot;$&quot;* #,##0.00000_);_(&quot;$&quot;* \(#,##0.00000\);_(&quot;$&quot;* &quot;-&quot;??_);_(@_)"/>
    <numFmt numFmtId="173" formatCode="0.0%"/>
    <numFmt numFmtId="174" formatCode="_(* #,##0.0_);_(* \(#,##0.0\);_(* &quot;-&quot;?_);_(@_)"/>
    <numFmt numFmtId="175" formatCode="_(* #,##0.0_);_(* \(#,##0.0\);_(* &quot;-&quot;??_);_(@_)"/>
    <numFmt numFmtId="176" formatCode="_(* #,##0_);_(* \(#,##0\);_(* &quot;-&quot;??_);_(@_)"/>
    <numFmt numFmtId="177" formatCode="&quot;$&quot;#,##0.0000"/>
    <numFmt numFmtId="178" formatCode="_(&quot;$&quot;* #,##0.0_);_(&quot;$&quot;* \(#,##0.0\);_(&quot;$&quot;* &quot;-&quot;??_);_(@_)"/>
    <numFmt numFmtId="179" formatCode="#,##0.0"/>
    <numFmt numFmtId="180" formatCode="&quot;$&quot;#,##0.0"/>
    <numFmt numFmtId="181" formatCode="&quot;$&quot;#,##0.0_);\(&quot;$&quot;#,##0.0\)"/>
    <numFmt numFmtId="182" formatCode="_(* #,##0.000000_);_(* \(#,##0.000000\);_(* &quot;-&quot;??????_);_(@_)"/>
    <numFmt numFmtId="183" formatCode="_(* #,##0.00000_);_(* \(#,##0.00000\);_(* &quot;-&quot;?????_);_(@_)"/>
    <numFmt numFmtId="184" formatCode="&quot;$&quot;#,##0.000_);\(&quot;$&quot;#,##0.000\)"/>
    <numFmt numFmtId="185" formatCode="&quot;$&quot;#,##0.0000_);\(&quot;$&quot;#,##0.0000\)"/>
    <numFmt numFmtId="186" formatCode="&quot;$&quot;#,##0.00000_);\(&quot;$&quot;#,##0.00000\)"/>
    <numFmt numFmtId="187" formatCode="&quot;$&quot;#,##0.000000_);\(&quot;$&quot;#,##0.000000\)"/>
    <numFmt numFmtId="188" formatCode="_(* #,##0.000_);_(* \(#,##0.000\);_(* &quot;-&quot;??_);_(@_)"/>
    <numFmt numFmtId="189" formatCode="_(* #,##0.0000_);_(* \(#,##0.0000\);_(* &quot;-&quot;??_);_(@_)"/>
    <numFmt numFmtId="190" formatCode="0.000%"/>
    <numFmt numFmtId="191" formatCode="0.0000%"/>
  </numFmts>
  <fonts count="16">
    <font>
      <sz val="10"/>
      <name val="Arial"/>
      <family val="0"/>
    </font>
    <font>
      <u val="single"/>
      <sz val="10"/>
      <name val="Arial"/>
      <family val="0"/>
    </font>
    <font>
      <u val="doub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Accounting"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5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1" fontId="0" fillId="0" borderId="1" xfId="0" applyNumberFormat="1" applyFont="1" applyBorder="1" applyAlignment="1">
      <alignment horizontal="right"/>
    </xf>
    <xf numFmtId="171" fontId="0" fillId="0" borderId="1" xfId="17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5" xfId="0" applyFont="1" applyBorder="1" applyAlignment="1">
      <alignment/>
    </xf>
    <xf numFmtId="10" fontId="8" fillId="0" borderId="11" xfId="21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Font="1" applyFill="1" applyBorder="1" applyAlignment="1">
      <alignment/>
    </xf>
    <xf numFmtId="7" fontId="0" fillId="0" borderId="0" xfId="17" applyNumberFormat="1" applyBorder="1" applyAlignment="1">
      <alignment/>
    </xf>
    <xf numFmtId="171" fontId="0" fillId="0" borderId="0" xfId="17" applyNumberFormat="1" applyBorder="1" applyAlignment="1">
      <alignment/>
    </xf>
    <xf numFmtId="169" fontId="0" fillId="0" borderId="0" xfId="17" applyNumberFormat="1" applyBorder="1" applyAlignment="1">
      <alignment/>
    </xf>
    <xf numFmtId="172" fontId="0" fillId="0" borderId="0" xfId="17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5" xfId="0" applyFill="1" applyBorder="1" applyAlignment="1">
      <alignment/>
    </xf>
    <xf numFmtId="166" fontId="0" fillId="0" borderId="0" xfId="17" applyNumberForma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9" fillId="0" borderId="15" xfId="0" applyFont="1" applyBorder="1" applyAlignment="1">
      <alignment/>
    </xf>
    <xf numFmtId="164" fontId="0" fillId="0" borderId="0" xfId="17" applyNumberFormat="1" applyBorder="1" applyAlignment="1">
      <alignment/>
    </xf>
    <xf numFmtId="0" fontId="0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7" fontId="5" fillId="0" borderId="0" xfId="17" applyNumberFormat="1" applyFont="1" applyBorder="1" applyAlignment="1">
      <alignment/>
    </xf>
    <xf numFmtId="171" fontId="5" fillId="0" borderId="0" xfId="17" applyNumberFormat="1" applyFont="1" applyBorder="1" applyAlignment="1">
      <alignment/>
    </xf>
    <xf numFmtId="169" fontId="5" fillId="0" borderId="0" xfId="17" applyNumberFormat="1" applyFont="1" applyBorder="1" applyAlignment="1">
      <alignment/>
    </xf>
    <xf numFmtId="166" fontId="5" fillId="0" borderId="0" xfId="17" applyNumberFormat="1" applyFont="1" applyBorder="1" applyAlignment="1">
      <alignment/>
    </xf>
    <xf numFmtId="172" fontId="5" fillId="0" borderId="0" xfId="17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5" fillId="0" borderId="0" xfId="17" applyNumberFormat="1" applyFont="1" applyBorder="1" applyAlignment="1">
      <alignment/>
    </xf>
    <xf numFmtId="43" fontId="5" fillId="0" borderId="1" xfId="0" applyNumberFormat="1" applyFont="1" applyBorder="1" applyAlignment="1">
      <alignment/>
    </xf>
    <xf numFmtId="171" fontId="10" fillId="0" borderId="1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0" fontId="8" fillId="0" borderId="16" xfId="21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0" xfId="17" applyNumberFormat="1" applyFont="1" applyBorder="1" applyAlignment="1">
      <alignment/>
    </xf>
    <xf numFmtId="7" fontId="5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1" fillId="4" borderId="0" xfId="0" applyFont="1" applyFill="1" applyAlignment="1">
      <alignment/>
    </xf>
    <xf numFmtId="172" fontId="0" fillId="0" borderId="0" xfId="17" applyNumberFormat="1" applyFont="1" applyFill="1" applyBorder="1" applyAlignment="1">
      <alignment/>
    </xf>
    <xf numFmtId="165" fontId="0" fillId="0" borderId="0" xfId="17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5" fillId="0" borderId="9" xfId="0" applyFont="1" applyFill="1" applyBorder="1" applyAlignment="1">
      <alignment/>
    </xf>
    <xf numFmtId="44" fontId="0" fillId="0" borderId="18" xfId="17" applyBorder="1" applyAlignment="1">
      <alignment/>
    </xf>
    <xf numFmtId="43" fontId="0" fillId="0" borderId="18" xfId="0" applyNumberFormat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1" xfId="0" applyNumberFormat="1" applyBorder="1" applyAlignment="1">
      <alignment/>
    </xf>
    <xf numFmtId="44" fontId="0" fillId="0" borderId="0" xfId="17" applyBorder="1" applyAlignment="1">
      <alignment/>
    </xf>
    <xf numFmtId="43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10" fontId="0" fillId="0" borderId="19" xfId="21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5" xfId="0" applyFont="1" applyBorder="1" applyAlignment="1" quotePrefix="1">
      <alignment horizontal="center"/>
    </xf>
    <xf numFmtId="171" fontId="0" fillId="0" borderId="1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5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10" fontId="0" fillId="0" borderId="18" xfId="21" applyNumberForma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10" fontId="11" fillId="0" borderId="18" xfId="21" applyNumberFormat="1" applyFont="1" applyFill="1" applyBorder="1" applyAlignment="1">
      <alignment/>
    </xf>
    <xf numFmtId="9" fontId="11" fillId="0" borderId="18" xfId="21" applyFont="1" applyFill="1" applyBorder="1" applyAlignment="1">
      <alignment/>
    </xf>
    <xf numFmtId="0" fontId="11" fillId="0" borderId="16" xfId="0" applyFont="1" applyFill="1" applyBorder="1" applyAlignment="1">
      <alignment/>
    </xf>
    <xf numFmtId="3" fontId="0" fillId="0" borderId="16" xfId="0" applyNumberFormat="1" applyBorder="1" applyAlignment="1">
      <alignment/>
    </xf>
    <xf numFmtId="9" fontId="0" fillId="0" borderId="18" xfId="2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14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0" fontId="0" fillId="0" borderId="19" xfId="21" applyNumberForma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71" fontId="0" fillId="0" borderId="1" xfId="17" applyNumberFormat="1" applyBorder="1" applyAlignment="1">
      <alignment/>
    </xf>
    <xf numFmtId="171" fontId="6" fillId="0" borderId="0" xfId="21" applyNumberFormat="1" applyFont="1" applyBorder="1" applyAlignment="1">
      <alignment/>
    </xf>
    <xf numFmtId="43" fontId="0" fillId="0" borderId="1" xfId="0" applyNumberFormat="1" applyBorder="1" applyAlignment="1">
      <alignment/>
    </xf>
    <xf numFmtId="171" fontId="6" fillId="0" borderId="1" xfId="21" applyNumberFormat="1" applyFont="1" applyBorder="1" applyAlignment="1">
      <alignment/>
    </xf>
    <xf numFmtId="5" fontId="0" fillId="0" borderId="1" xfId="0" applyNumberFormat="1" applyBorder="1" applyAlignment="1">
      <alignment/>
    </xf>
    <xf numFmtId="171" fontId="7" fillId="0" borderId="1" xfId="0" applyNumberFormat="1" applyFont="1" applyBorder="1" applyAlignment="1">
      <alignment/>
    </xf>
    <xf numFmtId="5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5" fontId="0" fillId="0" borderId="0" xfId="17" applyNumberFormat="1" applyBorder="1" applyAlignment="1">
      <alignment/>
    </xf>
    <xf numFmtId="171" fontId="0" fillId="0" borderId="0" xfId="17" applyNumberFormat="1" applyAlignment="1">
      <alignment/>
    </xf>
    <xf numFmtId="42" fontId="0" fillId="0" borderId="0" xfId="0" applyNumberFormat="1" applyAlignment="1">
      <alignment/>
    </xf>
    <xf numFmtId="0" fontId="12" fillId="0" borderId="0" xfId="0" applyFont="1" applyAlignment="1">
      <alignment/>
    </xf>
    <xf numFmtId="172" fontId="0" fillId="0" borderId="0" xfId="17" applyNumberFormat="1" applyFont="1" applyBorder="1" applyAlignment="1">
      <alignment/>
    </xf>
    <xf numFmtId="171" fontId="0" fillId="0" borderId="1" xfId="17" applyNumberFormat="1" applyFont="1" applyFill="1" applyBorder="1" applyAlignment="1">
      <alignment/>
    </xf>
    <xf numFmtId="0" fontId="13" fillId="0" borderId="0" xfId="0" applyFont="1" applyAlignment="1" applyProtection="1">
      <alignment horizontal="center"/>
      <protection/>
    </xf>
    <xf numFmtId="0" fontId="13" fillId="7" borderId="2" xfId="0" applyFont="1" applyFill="1" applyBorder="1" applyAlignment="1" applyProtection="1">
      <alignment horizontal="center"/>
      <protection/>
    </xf>
    <xf numFmtId="0" fontId="13" fillId="0" borderId="2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/>
    </xf>
    <xf numFmtId="0" fontId="0" fillId="0" borderId="15" xfId="0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4" fontId="0" fillId="0" borderId="0" xfId="17" applyNumberFormat="1" applyBorder="1" applyAlignment="1">
      <alignment/>
    </xf>
    <xf numFmtId="171" fontId="0" fillId="0" borderId="0" xfId="21" applyNumberFormat="1" applyFont="1" applyBorder="1" applyAlignment="1">
      <alignment/>
    </xf>
    <xf numFmtId="171" fontId="0" fillId="0" borderId="1" xfId="17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0" fillId="0" borderId="4" xfId="0" applyBorder="1" applyAlignment="1">
      <alignment horizontal="left"/>
    </xf>
    <xf numFmtId="169" fontId="0" fillId="0" borderId="6" xfId="0" applyNumberFormat="1" applyBorder="1" applyAlignment="1">
      <alignment/>
    </xf>
    <xf numFmtId="0" fontId="0" fillId="0" borderId="2" xfId="0" applyBorder="1" applyAlignment="1" quotePrefix="1">
      <alignment/>
    </xf>
    <xf numFmtId="10" fontId="0" fillId="0" borderId="3" xfId="21" applyNumberFormat="1" applyBorder="1" applyAlignment="1">
      <alignment horizontal="center"/>
    </xf>
    <xf numFmtId="10" fontId="0" fillId="0" borderId="4" xfId="21" applyNumberFormat="1" applyBorder="1" applyAlignment="1">
      <alignment horizontal="center"/>
    </xf>
    <xf numFmtId="10" fontId="0" fillId="0" borderId="4" xfId="2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right"/>
    </xf>
    <xf numFmtId="10" fontId="0" fillId="0" borderId="6" xfId="21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169" fontId="0" fillId="0" borderId="25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4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0" fillId="0" borderId="5" xfId="0" applyNumberFormat="1" applyBorder="1" applyAlignment="1">
      <alignment/>
    </xf>
    <xf numFmtId="10" fontId="0" fillId="0" borderId="2" xfId="21" applyNumberFormat="1" applyBorder="1" applyAlignment="1">
      <alignment/>
    </xf>
    <xf numFmtId="10" fontId="0" fillId="0" borderId="3" xfId="21" applyNumberFormat="1" applyBorder="1" applyAlignment="1">
      <alignment/>
    </xf>
    <xf numFmtId="10" fontId="0" fillId="0" borderId="4" xfId="21" applyNumberFormat="1" applyBorder="1" applyAlignment="1">
      <alignment/>
    </xf>
    <xf numFmtId="10" fontId="0" fillId="0" borderId="4" xfId="21" applyNumberFormat="1" applyFont="1" applyFill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13" fillId="0" borderId="4" xfId="0" applyFont="1" applyFill="1" applyBorder="1" applyAlignment="1" applyProtection="1">
      <alignment horizontal="left"/>
      <protection/>
    </xf>
    <xf numFmtId="0" fontId="0" fillId="0" borderId="23" xfId="0" applyBorder="1" applyAlignment="1">
      <alignment horizontal="right"/>
    </xf>
    <xf numFmtId="165" fontId="6" fillId="0" borderId="0" xfId="0" applyNumberFormat="1" applyFont="1" applyAlignment="1">
      <alignment/>
    </xf>
    <xf numFmtId="186" fontId="0" fillId="0" borderId="0" xfId="17" applyNumberFormat="1" applyBorder="1" applyAlignment="1">
      <alignment/>
    </xf>
    <xf numFmtId="10" fontId="0" fillId="0" borderId="16" xfId="21" applyNumberFormat="1" applyBorder="1" applyAlignment="1">
      <alignment/>
    </xf>
    <xf numFmtId="164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8" borderId="7" xfId="0" applyFont="1" applyFill="1" applyBorder="1" applyAlignment="1">
      <alignment/>
    </xf>
    <xf numFmtId="0" fontId="0" fillId="8" borderId="9" xfId="0" applyFont="1" applyFill="1" applyBorder="1" applyAlignment="1">
      <alignment/>
    </xf>
    <xf numFmtId="0" fontId="0" fillId="8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169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0" fontId="0" fillId="0" borderId="1" xfId="21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7" borderId="4" xfId="0" applyFill="1" applyBorder="1" applyAlignment="1">
      <alignment/>
    </xf>
    <xf numFmtId="10" fontId="0" fillId="0" borderId="6" xfId="0" applyNumberFormat="1" applyBorder="1" applyAlignment="1">
      <alignment/>
    </xf>
    <xf numFmtId="10" fontId="0" fillId="0" borderId="6" xfId="21" applyNumberFormat="1" applyBorder="1" applyAlignment="1">
      <alignment/>
    </xf>
    <xf numFmtId="10" fontId="0" fillId="0" borderId="4" xfId="0" applyNumberFormat="1" applyBorder="1" applyAlignment="1">
      <alignment/>
    </xf>
    <xf numFmtId="169" fontId="0" fillId="7" borderId="3" xfId="0" applyNumberFormat="1" applyFill="1" applyBorder="1" applyAlignment="1">
      <alignment/>
    </xf>
    <xf numFmtId="169" fontId="0" fillId="7" borderId="4" xfId="0" applyNumberFormat="1" applyFill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10" fontId="0" fillId="0" borderId="32" xfId="21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0" fillId="0" borderId="32" xfId="21" applyNumberFormat="1" applyBorder="1" applyAlignment="1">
      <alignment/>
    </xf>
    <xf numFmtId="171" fontId="0" fillId="0" borderId="29" xfId="0" applyNumberFormat="1" applyBorder="1" applyAlignment="1">
      <alignment/>
    </xf>
    <xf numFmtId="171" fontId="0" fillId="0" borderId="28" xfId="0" applyNumberForma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0" fontId="0" fillId="0" borderId="29" xfId="21" applyNumberFormat="1" applyBorder="1" applyAlignment="1">
      <alignment/>
    </xf>
    <xf numFmtId="0" fontId="0" fillId="0" borderId="1" xfId="0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0" fontId="14" fillId="0" borderId="28" xfId="21" applyNumberFormat="1" applyFont="1" applyBorder="1" applyAlignment="1">
      <alignment/>
    </xf>
    <xf numFmtId="10" fontId="14" fillId="0" borderId="29" xfId="21" applyNumberFormat="1" applyFont="1" applyBorder="1" applyAlignment="1">
      <alignment/>
    </xf>
    <xf numFmtId="10" fontId="14" fillId="0" borderId="32" xfId="21" applyNumberFormat="1" applyFont="1" applyBorder="1" applyAlignment="1">
      <alignment/>
    </xf>
    <xf numFmtId="10" fontId="14" fillId="0" borderId="32" xfId="21" applyNumberFormat="1" applyFont="1" applyBorder="1" applyAlignment="1">
      <alignment horizontal="right"/>
    </xf>
    <xf numFmtId="10" fontId="14" fillId="0" borderId="28" xfId="21" applyNumberFormat="1" applyFont="1" applyFill="1" applyBorder="1" applyAlignment="1">
      <alignment/>
    </xf>
    <xf numFmtId="10" fontId="14" fillId="0" borderId="29" xfId="21" applyNumberFormat="1" applyFont="1" applyFill="1" applyBorder="1" applyAlignment="1">
      <alignment/>
    </xf>
    <xf numFmtId="10" fontId="14" fillId="0" borderId="32" xfId="21" applyNumberFormat="1" applyFont="1" applyFill="1" applyBorder="1" applyAlignment="1">
      <alignment/>
    </xf>
    <xf numFmtId="10" fontId="14" fillId="0" borderId="33" xfId="21" applyNumberFormat="1" applyFont="1" applyFill="1" applyBorder="1" applyAlignment="1">
      <alignment/>
    </xf>
    <xf numFmtId="10" fontId="14" fillId="0" borderId="30" xfId="21" applyNumberFormat="1" applyFont="1" applyBorder="1" applyAlignment="1">
      <alignment/>
    </xf>
    <xf numFmtId="171" fontId="0" fillId="0" borderId="29" xfId="17" applyNumberFormat="1" applyBorder="1" applyAlignment="1">
      <alignment/>
    </xf>
    <xf numFmtId="171" fontId="0" fillId="0" borderId="29" xfId="17" applyNumberFormat="1" applyFont="1" applyBorder="1" applyAlignment="1">
      <alignment/>
    </xf>
    <xf numFmtId="44" fontId="0" fillId="0" borderId="29" xfId="17" applyBorder="1" applyAlignment="1">
      <alignment/>
    </xf>
    <xf numFmtId="44" fontId="0" fillId="0" borderId="32" xfId="17" applyBorder="1" applyAlignment="1">
      <alignment/>
    </xf>
    <xf numFmtId="171" fontId="14" fillId="0" borderId="29" xfId="0" applyNumberFormat="1" applyFont="1" applyBorder="1" applyAlignment="1">
      <alignment horizontal="right"/>
    </xf>
    <xf numFmtId="10" fontId="14" fillId="0" borderId="33" xfId="21" applyNumberFormat="1" applyFont="1" applyBorder="1" applyAlignment="1">
      <alignment/>
    </xf>
    <xf numFmtId="171" fontId="0" fillId="0" borderId="28" xfId="17" applyNumberFormat="1" applyBorder="1" applyAlignment="1">
      <alignment/>
    </xf>
    <xf numFmtId="0" fontId="0" fillId="0" borderId="32" xfId="0" applyBorder="1" applyAlignment="1">
      <alignment/>
    </xf>
    <xf numFmtId="171" fontId="14" fillId="0" borderId="28" xfId="17" applyNumberFormat="1" applyFont="1" applyBorder="1" applyAlignment="1">
      <alignment/>
    </xf>
    <xf numFmtId="0" fontId="14" fillId="0" borderId="29" xfId="0" applyFont="1" applyBorder="1" applyAlignment="1">
      <alignment/>
    </xf>
    <xf numFmtId="0" fontId="11" fillId="0" borderId="32" xfId="0" applyFont="1" applyFill="1" applyBorder="1" applyAlignment="1">
      <alignment/>
    </xf>
    <xf numFmtId="171" fontId="14" fillId="0" borderId="32" xfId="17" applyNumberFormat="1" applyFont="1" applyFill="1" applyBorder="1" applyAlignment="1">
      <alignment/>
    </xf>
    <xf numFmtId="171" fontId="14" fillId="0" borderId="29" xfId="17" applyNumberFormat="1" applyFont="1" applyBorder="1" applyAlignment="1">
      <alignment/>
    </xf>
    <xf numFmtId="176" fontId="14" fillId="0" borderId="29" xfId="0" applyNumberFormat="1" applyFont="1" applyBorder="1" applyAlignment="1">
      <alignment/>
    </xf>
    <xf numFmtId="176" fontId="0" fillId="0" borderId="29" xfId="0" applyNumberFormat="1" applyBorder="1" applyAlignment="1">
      <alignment/>
    </xf>
    <xf numFmtId="0" fontId="14" fillId="0" borderId="32" xfId="0" applyFont="1" applyBorder="1" applyAlignment="1">
      <alignment/>
    </xf>
    <xf numFmtId="43" fontId="14" fillId="0" borderId="32" xfId="0" applyNumberFormat="1" applyFont="1" applyBorder="1" applyAlignment="1">
      <alignment/>
    </xf>
    <xf numFmtId="176" fontId="14" fillId="0" borderId="32" xfId="0" applyNumberFormat="1" applyFont="1" applyBorder="1" applyAlignment="1">
      <alignment/>
    </xf>
    <xf numFmtId="44" fontId="0" fillId="0" borderId="29" xfId="17" applyNumberFormat="1" applyBorder="1" applyAlignment="1">
      <alignment/>
    </xf>
    <xf numFmtId="171" fontId="14" fillId="0" borderId="32" xfId="17" applyNumberFormat="1" applyFont="1" applyBorder="1" applyAlignment="1">
      <alignment/>
    </xf>
    <xf numFmtId="5" fontId="14" fillId="0" borderId="32" xfId="0" applyNumberFormat="1" applyFont="1" applyBorder="1" applyAlignment="1">
      <alignment/>
    </xf>
    <xf numFmtId="10" fontId="0" fillId="0" borderId="0" xfId="0" applyNumberFormat="1" applyAlignment="1">
      <alignment/>
    </xf>
    <xf numFmtId="10" fontId="14" fillId="0" borderId="33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3" fontId="14" fillId="0" borderId="29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P63"/>
  <sheetViews>
    <sheetView workbookViewId="0" topLeftCell="H1">
      <selection activeCell="Q6" sqref="Q6"/>
    </sheetView>
  </sheetViews>
  <sheetFormatPr defaultColWidth="9.140625" defaultRowHeight="12.75"/>
  <cols>
    <col min="6" max="6" width="53.7109375" style="0" customWidth="1"/>
    <col min="7" max="7" width="1.7109375" style="0" customWidth="1"/>
    <col min="8" max="8" width="11.7109375" style="0" customWidth="1"/>
    <col min="9" max="9" width="12.8515625" style="0" customWidth="1"/>
    <col min="10" max="11" width="11.140625" style="0" customWidth="1"/>
    <col min="12" max="12" width="1.7109375" style="0" customWidth="1"/>
    <col min="13" max="13" width="10.57421875" style="0" customWidth="1"/>
    <col min="14" max="14" width="1.7109375" style="0" customWidth="1"/>
    <col min="15" max="15" width="10.57421875" style="0" customWidth="1"/>
    <col min="16" max="16" width="17.140625" style="0" customWidth="1"/>
  </cols>
  <sheetData>
    <row r="1" ht="16.5" customHeight="1">
      <c r="P1" s="328" t="s">
        <v>258</v>
      </c>
    </row>
    <row r="2" ht="15.75">
      <c r="P2" s="328" t="s">
        <v>256</v>
      </c>
    </row>
    <row r="3" spans="6:16" ht="13.5" customHeight="1">
      <c r="F3" s="332" t="s">
        <v>81</v>
      </c>
      <c r="G3" s="332"/>
      <c r="H3" s="332"/>
      <c r="I3" s="332"/>
      <c r="J3" s="332"/>
      <c r="K3" s="332"/>
      <c r="L3" s="332"/>
      <c r="M3" s="332"/>
      <c r="N3" s="332"/>
      <c r="O3" s="332"/>
      <c r="P3" s="328" t="s">
        <v>257</v>
      </c>
    </row>
    <row r="5" spans="6:15" ht="12.75">
      <c r="F5" s="332" t="s">
        <v>181</v>
      </c>
      <c r="G5" s="332"/>
      <c r="H5" s="332"/>
      <c r="I5" s="332"/>
      <c r="J5" s="332"/>
      <c r="K5" s="332"/>
      <c r="L5" s="332"/>
      <c r="M5" s="332"/>
      <c r="N5" s="332"/>
      <c r="O5" s="332"/>
    </row>
    <row r="7" spans="6:15" ht="12.75">
      <c r="F7" s="332" t="s">
        <v>200</v>
      </c>
      <c r="G7" s="332"/>
      <c r="H7" s="332"/>
      <c r="I7" s="332"/>
      <c r="J7" s="332"/>
      <c r="K7" s="332"/>
      <c r="L7" s="332"/>
      <c r="M7" s="332"/>
      <c r="N7" s="332"/>
      <c r="O7" s="332"/>
    </row>
    <row r="9" spans="6:15" ht="12.75">
      <c r="F9" s="233"/>
      <c r="H9" s="26" t="s">
        <v>198</v>
      </c>
      <c r="I9" s="26" t="s">
        <v>242</v>
      </c>
      <c r="J9" s="26" t="s">
        <v>175</v>
      </c>
      <c r="K9" s="26" t="s">
        <v>242</v>
      </c>
      <c r="M9" s="196"/>
      <c r="O9" s="196"/>
    </row>
    <row r="10" spans="6:15" ht="12.75">
      <c r="F10" s="234"/>
      <c r="H10" s="27" t="s">
        <v>199</v>
      </c>
      <c r="I10" s="27" t="s">
        <v>175</v>
      </c>
      <c r="J10" s="27" t="s">
        <v>83</v>
      </c>
      <c r="K10" s="27" t="s">
        <v>175</v>
      </c>
      <c r="M10" s="197"/>
      <c r="O10" s="197"/>
    </row>
    <row r="11" spans="6:15" ht="12.75">
      <c r="F11" s="202" t="s">
        <v>226</v>
      </c>
      <c r="H11" s="28" t="s">
        <v>100</v>
      </c>
      <c r="I11" s="28" t="s">
        <v>82</v>
      </c>
      <c r="J11" s="28" t="s">
        <v>100</v>
      </c>
      <c r="K11" s="28" t="s">
        <v>82</v>
      </c>
      <c r="M11" s="29" t="s">
        <v>188</v>
      </c>
      <c r="O11" s="28" t="s">
        <v>189</v>
      </c>
    </row>
    <row r="12" spans="6:15" ht="12.75">
      <c r="F12" s="196"/>
      <c r="H12" s="26"/>
      <c r="I12" s="196"/>
      <c r="J12" s="26"/>
      <c r="K12" s="26"/>
      <c r="M12" s="209"/>
      <c r="O12" s="196"/>
    </row>
    <row r="13" spans="6:15" ht="12.75">
      <c r="F13" s="203" t="str">
        <f>'Detailed Summary'!F16</f>
        <v>Rate 11: GS-1</v>
      </c>
      <c r="H13" s="205">
        <f>'Detailed Summary'!N16</f>
        <v>31326257.15596</v>
      </c>
      <c r="I13" s="226">
        <f>H13/$H$63</f>
        <v>0.3537591819128642</v>
      </c>
      <c r="J13" s="205">
        <f>'Detailed Summary'!W16</f>
        <v>32879817.00974173</v>
      </c>
      <c r="K13" s="226">
        <f>J13/$J$63</f>
        <v>0.3536038842213565</v>
      </c>
      <c r="M13" s="205">
        <f>J13-H13</f>
        <v>1553559.85378173</v>
      </c>
      <c r="O13" s="210">
        <f>J13/H13-1</f>
        <v>0.049592897295301475</v>
      </c>
    </row>
    <row r="14" spans="6:15" ht="12.75">
      <c r="F14" s="203" t="str">
        <f>'Detailed Summary'!F17</f>
        <v>Rate 12: Schedule R</v>
      </c>
      <c r="H14" s="205">
        <f>'Detailed Summary'!N17</f>
        <v>14018608.15461</v>
      </c>
      <c r="I14" s="226">
        <f aca="true" t="shared" si="0" ref="I14:I37">H14/$H$63</f>
        <v>0.1583084543947288</v>
      </c>
      <c r="J14" s="205">
        <f>'Detailed Summary'!W17</f>
        <v>14669641.856386416</v>
      </c>
      <c r="K14" s="226">
        <f aca="true" t="shared" si="1" ref="K14:K37">J14/$J$63</f>
        <v>0.15776372292514695</v>
      </c>
      <c r="M14" s="205">
        <f aca="true" t="shared" si="2" ref="M14:M37">J14-H14</f>
        <v>651033.7017764151</v>
      </c>
      <c r="O14" s="210">
        <f aca="true" t="shared" si="3" ref="O14:O37">J14/H14-1</f>
        <v>0.04644068045816119</v>
      </c>
    </row>
    <row r="15" spans="6:15" ht="12.75">
      <c r="F15" s="203" t="str">
        <f>'Detailed Summary'!F18</f>
        <v>Rate 13: Schedule A - Rate 1</v>
      </c>
      <c r="H15" s="205">
        <f>'Detailed Summary'!N18</f>
        <v>16223639.492800003</v>
      </c>
      <c r="I15" s="226">
        <f t="shared" si="0"/>
        <v>0.1832092932790803</v>
      </c>
      <c r="J15" s="205">
        <f>'Detailed Summary'!W18</f>
        <v>16928384.820821285</v>
      </c>
      <c r="K15" s="226">
        <f t="shared" si="1"/>
        <v>0.18205522933606128</v>
      </c>
      <c r="M15" s="205">
        <f t="shared" si="2"/>
        <v>704745.3280212823</v>
      </c>
      <c r="O15" s="210">
        <f t="shared" si="3"/>
        <v>0.04343941002473861</v>
      </c>
    </row>
    <row r="16" spans="6:15" ht="12.75">
      <c r="F16" s="203" t="str">
        <f>'Detailed Summary'!F19</f>
        <v>Rate 16: GS-2</v>
      </c>
      <c r="H16" s="205">
        <f>'Detailed Summary'!N19</f>
        <v>34727.10172</v>
      </c>
      <c r="I16" s="226">
        <f t="shared" si="0"/>
        <v>0.0003921640250065661</v>
      </c>
      <c r="J16" s="205">
        <f>'Detailed Summary'!W19</f>
        <v>36396.0799047427</v>
      </c>
      <c r="K16" s="226">
        <f t="shared" si="1"/>
        <v>0.00039141930811034556</v>
      </c>
      <c r="M16" s="205">
        <f t="shared" si="2"/>
        <v>1668.9781847427003</v>
      </c>
      <c r="O16" s="210">
        <f t="shared" si="3"/>
        <v>0.04805981789668046</v>
      </c>
    </row>
    <row r="17" spans="6:15" ht="12.75">
      <c r="F17" s="203" t="str">
        <f>'Detailed Summary'!F20</f>
        <v>Rate 17: Schedule R-2</v>
      </c>
      <c r="H17" s="205">
        <f>'Detailed Summary'!N20</f>
        <v>8617.7216</v>
      </c>
      <c r="I17" s="226">
        <f t="shared" si="0"/>
        <v>9.731766319835647E-05</v>
      </c>
      <c r="J17" s="205">
        <f>'Detailed Summary'!W20</f>
        <v>9015.626799708125</v>
      </c>
      <c r="K17" s="226">
        <f t="shared" si="1"/>
        <v>9.695798045720304E-05</v>
      </c>
      <c r="M17" s="205">
        <f t="shared" si="2"/>
        <v>397.9051997081242</v>
      </c>
      <c r="O17" s="210">
        <f t="shared" si="3"/>
        <v>0.046172900237125836</v>
      </c>
    </row>
    <row r="18" spans="6:15" ht="12.75">
      <c r="F18" s="203" t="str">
        <f>'Detailed Summary'!F21</f>
        <v>Rate 18: Rate 1 ETS</v>
      </c>
      <c r="H18" s="205">
        <f>'Detailed Summary'!N21</f>
        <v>110057.03873999999</v>
      </c>
      <c r="I18" s="226">
        <f t="shared" si="0"/>
        <v>0.0012428451887686633</v>
      </c>
      <c r="J18" s="205">
        <f>'Detailed Summary'!W21</f>
        <v>114967.82771447994</v>
      </c>
      <c r="K18" s="226">
        <f t="shared" si="1"/>
        <v>0.0012364141329706006</v>
      </c>
      <c r="M18" s="205">
        <f t="shared" si="2"/>
        <v>4910.788974479947</v>
      </c>
      <c r="O18" s="210">
        <f t="shared" si="3"/>
        <v>0.044620398937693206</v>
      </c>
    </row>
    <row r="19" spans="6:15" ht="12.75">
      <c r="F19" s="203" t="str">
        <f>'Detailed Summary'!F22</f>
        <v>Rate 21: C1</v>
      </c>
      <c r="H19" s="205">
        <f>'Detailed Summary'!N22</f>
        <v>2434233.84787</v>
      </c>
      <c r="I19" s="226">
        <f t="shared" si="0"/>
        <v>0.027489162536075886</v>
      </c>
      <c r="J19" s="205">
        <f>'Detailed Summary'!W22</f>
        <v>2523852.304536909</v>
      </c>
      <c r="K19" s="226">
        <f t="shared" si="1"/>
        <v>0.02714260781381043</v>
      </c>
      <c r="M19" s="205">
        <f t="shared" si="2"/>
        <v>89618.45666690869</v>
      </c>
      <c r="O19" s="210">
        <f t="shared" si="3"/>
        <v>0.03681587812334741</v>
      </c>
    </row>
    <row r="20" spans="6:15" ht="12.75">
      <c r="F20" s="203" t="str">
        <f>'Detailed Summary'!F23</f>
        <v>Rate 22: C-1</v>
      </c>
      <c r="H20" s="205">
        <f>'Detailed Summary'!N23</f>
        <v>769428.1330300001</v>
      </c>
      <c r="I20" s="226">
        <f t="shared" si="0"/>
        <v>0.008688949513703687</v>
      </c>
      <c r="J20" s="205">
        <f>'Detailed Summary'!W23</f>
        <v>804031.0506323685</v>
      </c>
      <c r="K20" s="226">
        <f t="shared" si="1"/>
        <v>0.008646900390411173</v>
      </c>
      <c r="M20" s="205">
        <f t="shared" si="2"/>
        <v>34602.9176023684</v>
      </c>
      <c r="O20" s="210">
        <f t="shared" si="3"/>
        <v>0.04497225421964024</v>
      </c>
    </row>
    <row r="21" spans="6:15" ht="12.75">
      <c r="F21" s="203" t="str">
        <f>'Detailed Summary'!F24</f>
        <v>Rate 23: Schedule C</v>
      </c>
      <c r="H21" s="205">
        <f>'Detailed Summary'!N24</f>
        <v>528468.02348</v>
      </c>
      <c r="I21" s="226">
        <f t="shared" si="0"/>
        <v>0.005967850379400486</v>
      </c>
      <c r="J21" s="205">
        <f>'Detailed Summary'!W24</f>
        <v>549786.128622481</v>
      </c>
      <c r="K21" s="226">
        <f t="shared" si="1"/>
        <v>0.0059126396754073255</v>
      </c>
      <c r="M21" s="205">
        <f t="shared" si="2"/>
        <v>21318.105142481043</v>
      </c>
      <c r="O21" s="210">
        <f t="shared" si="3"/>
        <v>0.04033944192517036</v>
      </c>
    </row>
    <row r="22" spans="6:15" ht="12.75">
      <c r="F22" s="203" t="str">
        <f>'Detailed Summary'!F25</f>
        <v>Rate 24: Schedule C</v>
      </c>
      <c r="H22" s="205">
        <f>'Detailed Summary'!N25</f>
        <v>285980.83167</v>
      </c>
      <c r="I22" s="226">
        <f t="shared" si="0"/>
        <v>0.0032295063068232474</v>
      </c>
      <c r="J22" s="205">
        <f>'Detailed Summary'!W25</f>
        <v>298258.4749101302</v>
      </c>
      <c r="K22" s="226">
        <f t="shared" si="1"/>
        <v>0.0032076016481147832</v>
      </c>
      <c r="M22" s="205">
        <f t="shared" si="2"/>
        <v>12277.643240130215</v>
      </c>
      <c r="O22" s="210">
        <f t="shared" si="3"/>
        <v>0.04293169989203216</v>
      </c>
    </row>
    <row r="23" spans="6:15" ht="12.75">
      <c r="F23" s="203" t="str">
        <f>'Detailed Summary'!F26</f>
        <v>Rate 25: Comm &amp; Sm Pwr - Rate 2</v>
      </c>
      <c r="H23" s="205">
        <f>'Detailed Summary'!N26</f>
        <v>298364.06427000003</v>
      </c>
      <c r="I23" s="226">
        <f t="shared" si="0"/>
        <v>0.0033693468952536876</v>
      </c>
      <c r="J23" s="205">
        <f>'Detailed Summary'!W26</f>
        <v>311124.12531986175</v>
      </c>
      <c r="K23" s="226">
        <f t="shared" si="1"/>
        <v>0.0033459644606744538</v>
      </c>
      <c r="M23" s="205">
        <f t="shared" si="2"/>
        <v>12760.061049861717</v>
      </c>
      <c r="O23" s="210">
        <f t="shared" si="3"/>
        <v>0.04276674900873689</v>
      </c>
    </row>
    <row r="24" spans="6:15" ht="12.75">
      <c r="F24" s="203" t="str">
        <f>'Detailed Summary'!F27</f>
        <v>Rate 26: Comm &amp; Sm Pwr - Rate 2</v>
      </c>
      <c r="H24" s="205">
        <f>'Detailed Summary'!N27</f>
        <v>287237.52184000006</v>
      </c>
      <c r="I24" s="226">
        <f t="shared" si="0"/>
        <v>0.003243697778349637</v>
      </c>
      <c r="J24" s="205">
        <f>'Detailed Summary'!W27</f>
        <v>297414.00995822623</v>
      </c>
      <c r="K24" s="226">
        <f t="shared" si="1"/>
        <v>0.0031985199039252224</v>
      </c>
      <c r="M24" s="205">
        <f t="shared" si="2"/>
        <v>10176.488118226174</v>
      </c>
      <c r="O24" s="210">
        <f t="shared" si="3"/>
        <v>0.035428825778182294</v>
      </c>
    </row>
    <row r="25" spans="6:15" ht="12.75">
      <c r="F25" s="203" t="str">
        <f>'Detailed Summary'!F28</f>
        <v>Rate 31: LP1</v>
      </c>
      <c r="H25" s="205">
        <f>'Detailed Summary'!N28</f>
        <v>3012827.06624</v>
      </c>
      <c r="I25" s="226">
        <f t="shared" si="0"/>
        <v>0.03402306355629273</v>
      </c>
      <c r="J25" s="205">
        <f>'Detailed Summary'!W28</f>
        <v>3174371.1935251756</v>
      </c>
      <c r="K25" s="226">
        <f t="shared" si="1"/>
        <v>0.034138571502947135</v>
      </c>
      <c r="M25" s="205">
        <f t="shared" si="2"/>
        <v>161544.1272851755</v>
      </c>
      <c r="O25" s="210">
        <f t="shared" si="3"/>
        <v>0.053618785191936746</v>
      </c>
    </row>
    <row r="26" spans="6:15" ht="12.75">
      <c r="F26" s="203" t="str">
        <f>'Detailed Summary'!F29</f>
        <v>Rate 32: LP2</v>
      </c>
      <c r="H26" s="205">
        <f>'Detailed Summary'!N29</f>
        <v>3919596.7104400005</v>
      </c>
      <c r="I26" s="226">
        <f t="shared" si="0"/>
        <v>0.04426297462893044</v>
      </c>
      <c r="J26" s="205">
        <f>'Detailed Summary'!W29</f>
        <v>4159152.5441702874</v>
      </c>
      <c r="K26" s="226">
        <f t="shared" si="1"/>
        <v>0.04472933940757668</v>
      </c>
      <c r="M26" s="205">
        <f t="shared" si="2"/>
        <v>239555.83373028692</v>
      </c>
      <c r="O26" s="210">
        <f t="shared" si="3"/>
        <v>0.061117469838726235</v>
      </c>
    </row>
    <row r="27" spans="6:15" ht="12.75">
      <c r="F27" s="203" t="str">
        <f>'Detailed Summary'!F30</f>
        <v>Rate 33: Schedule L</v>
      </c>
      <c r="H27" s="205">
        <f>'Detailed Summary'!N30</f>
        <v>209815.45758</v>
      </c>
      <c r="I27" s="226">
        <f t="shared" si="0"/>
        <v>0.0023693907719854264</v>
      </c>
      <c r="J27" s="205">
        <f>'Detailed Summary'!W30</f>
        <v>218987.69004895427</v>
      </c>
      <c r="K27" s="226">
        <f t="shared" si="1"/>
        <v>0.0023550890740976476</v>
      </c>
      <c r="M27" s="205">
        <f t="shared" si="2"/>
        <v>9172.232468954287</v>
      </c>
      <c r="O27" s="210">
        <f t="shared" si="3"/>
        <v>0.04371571367880289</v>
      </c>
    </row>
    <row r="28" spans="6:15" ht="12.75">
      <c r="F28" s="203" t="str">
        <f>'Detailed Summary'!F31</f>
        <v>Rate 35: Schedule N</v>
      </c>
      <c r="H28" s="205">
        <f>'Detailed Summary'!N31</f>
        <v>169451.90944000002</v>
      </c>
      <c r="I28" s="226">
        <f t="shared" si="0"/>
        <v>0.001913575840184988</v>
      </c>
      <c r="J28" s="205">
        <f>'Detailed Summary'!W31</f>
        <v>178460.87776787506</v>
      </c>
      <c r="K28" s="226">
        <f t="shared" si="1"/>
        <v>0.0019192460694527763</v>
      </c>
      <c r="M28" s="205">
        <f t="shared" si="2"/>
        <v>9008.968327875045</v>
      </c>
      <c r="O28" s="210">
        <f t="shared" si="3"/>
        <v>0.05316533969813397</v>
      </c>
    </row>
    <row r="29" spans="6:15" ht="12.75">
      <c r="F29" s="203" t="str">
        <f>'Detailed Summary'!F32</f>
        <v>Rate 39: Lrg Pwr Srvc - Rate 8</v>
      </c>
      <c r="H29" s="205">
        <f>'Detailed Summary'!N32</f>
        <v>576645.5850800001</v>
      </c>
      <c r="I29" s="226">
        <f t="shared" si="0"/>
        <v>0.0065119069097839795</v>
      </c>
      <c r="J29" s="205">
        <f>'Detailed Summary'!W32</f>
        <v>604073.482261123</v>
      </c>
      <c r="K29" s="226">
        <f t="shared" si="1"/>
        <v>0.006496469539941994</v>
      </c>
      <c r="M29" s="205">
        <f t="shared" si="2"/>
        <v>27427.897181122913</v>
      </c>
      <c r="O29" s="210">
        <f t="shared" si="3"/>
        <v>0.04756456633118544</v>
      </c>
    </row>
    <row r="30" spans="6:15" ht="12.75">
      <c r="F30" s="203" t="str">
        <f>'Detailed Summary'!F33</f>
        <v>Rate 40: Large Ind  - Rate 8</v>
      </c>
      <c r="H30" s="205">
        <f>'Detailed Summary'!N33</f>
        <v>325858.4416</v>
      </c>
      <c r="I30" s="226">
        <f t="shared" si="0"/>
        <v>0.0036798336662407505</v>
      </c>
      <c r="J30" s="205">
        <f>'Detailed Summary'!W33</f>
        <v>343136.10752856685</v>
      </c>
      <c r="K30" s="226">
        <f t="shared" si="1"/>
        <v>0.003690235271161911</v>
      </c>
      <c r="M30" s="205">
        <f t="shared" si="2"/>
        <v>17277.66592856683</v>
      </c>
      <c r="O30" s="210">
        <f t="shared" si="3"/>
        <v>0.053021998889246635</v>
      </c>
    </row>
    <row r="31" spans="6:15" ht="12.75">
      <c r="F31" s="203" t="str">
        <f>'Detailed Summary'!F34</f>
        <v>Rate 44: Large Ind - Rate B-2</v>
      </c>
      <c r="H31" s="205">
        <f>'Detailed Summary'!N34</f>
        <v>1127710.9139999999</v>
      </c>
      <c r="I31" s="226">
        <f t="shared" si="0"/>
        <v>0.012734942715457727</v>
      </c>
      <c r="J31" s="205">
        <f>'Detailed Summary'!W34</f>
        <v>1218910.914</v>
      </c>
      <c r="K31" s="226">
        <f t="shared" si="1"/>
        <v>0.013108699284503393</v>
      </c>
      <c r="M31" s="205">
        <f t="shared" si="2"/>
        <v>91200.00000000023</v>
      </c>
      <c r="O31" s="210">
        <f t="shared" si="3"/>
        <v>0.08087178980693999</v>
      </c>
    </row>
    <row r="32" spans="6:15" ht="12.75">
      <c r="F32" s="203" t="str">
        <f>'Detailed Summary'!F35</f>
        <v>Rate 45: Large Ind - Rate B-2</v>
      </c>
      <c r="H32" s="205">
        <f>'Detailed Summary'!N35</f>
        <v>1991254.442</v>
      </c>
      <c r="I32" s="226">
        <f t="shared" si="0"/>
        <v>0.022486712628171604</v>
      </c>
      <c r="J32" s="205">
        <f>'Detailed Summary'!W35</f>
        <v>2109435.202</v>
      </c>
      <c r="K32" s="226">
        <f t="shared" si="1"/>
        <v>0.02268578565140624</v>
      </c>
      <c r="M32" s="205">
        <f t="shared" si="2"/>
        <v>118180.76000000001</v>
      </c>
      <c r="O32" s="210">
        <f t="shared" si="3"/>
        <v>0.05934990401392404</v>
      </c>
    </row>
    <row r="33" spans="6:15" ht="12.75">
      <c r="F33" s="203" t="str">
        <f>'Detailed Summary'!F36</f>
        <v>Rate 46: B-1</v>
      </c>
      <c r="H33" s="205">
        <f>'Detailed Summary'!N36</f>
        <v>1217390.12816</v>
      </c>
      <c r="I33" s="226">
        <f t="shared" si="0"/>
        <v>0.013747666491486437</v>
      </c>
      <c r="J33" s="205">
        <f>'Detailed Summary'!W36</f>
        <v>1284529.26536</v>
      </c>
      <c r="K33" s="226">
        <f t="shared" si="1"/>
        <v>0.013814387637641827</v>
      </c>
      <c r="M33" s="205">
        <f t="shared" si="2"/>
        <v>67139.1372</v>
      </c>
      <c r="O33" s="210">
        <f t="shared" si="3"/>
        <v>0.05515005884060864</v>
      </c>
    </row>
    <row r="34" spans="6:15" ht="12.75">
      <c r="F34" s="203" t="str">
        <f>'Detailed Summary'!F37</f>
        <v>Rate 47: Large Ind B-2</v>
      </c>
      <c r="H34" s="205">
        <f>'Detailed Summary'!N37</f>
        <v>1162922.9799999997</v>
      </c>
      <c r="I34" s="226">
        <f t="shared" si="0"/>
        <v>0.013132583314511923</v>
      </c>
      <c r="J34" s="205">
        <f>'Detailed Summary'!W37</f>
        <v>1256402.9799999997</v>
      </c>
      <c r="K34" s="226">
        <f t="shared" si="1"/>
        <v>0.01351190530481535</v>
      </c>
      <c r="M34" s="205">
        <f t="shared" si="2"/>
        <v>93480</v>
      </c>
      <c r="O34" s="210">
        <f t="shared" si="3"/>
        <v>0.08038365533029546</v>
      </c>
    </row>
    <row r="35" spans="6:15" ht="12.75">
      <c r="F35" s="203" t="str">
        <f>'Detailed Summary'!F38</f>
        <v>Rate 48: Large Ind Rate B-2</v>
      </c>
      <c r="H35" s="205">
        <f>'Detailed Summary'!N38</f>
        <v>1922356.1720000003</v>
      </c>
      <c r="I35" s="226">
        <f t="shared" si="0"/>
        <v>0.021708662588262054</v>
      </c>
      <c r="J35" s="205">
        <f>'Detailed Summary'!W38</f>
        <v>2058785.6720000003</v>
      </c>
      <c r="K35" s="226">
        <f t="shared" si="1"/>
        <v>0.02214107852798522</v>
      </c>
      <c r="M35" s="205">
        <f t="shared" si="2"/>
        <v>136429.5</v>
      </c>
      <c r="O35" s="210">
        <f t="shared" si="3"/>
        <v>0.07096993886312974</v>
      </c>
    </row>
    <row r="36" spans="6:15" ht="12.75">
      <c r="F36" s="203" t="str">
        <f>'Detailed Summary'!F39</f>
        <v>Rate 49: Large Ind Rate B-2</v>
      </c>
      <c r="H36" s="205">
        <f>'Detailed Summary'!N39</f>
        <v>2236000.29488</v>
      </c>
      <c r="I36" s="226">
        <f t="shared" si="0"/>
        <v>0.025250563166087606</v>
      </c>
      <c r="J36" s="205">
        <f>'Detailed Summary'!W39</f>
        <v>2378971.46448</v>
      </c>
      <c r="K36" s="226">
        <f t="shared" si="1"/>
        <v>0.025584496107221633</v>
      </c>
      <c r="M36" s="205">
        <f t="shared" si="2"/>
        <v>142971.16960000014</v>
      </c>
      <c r="O36" s="210">
        <f t="shared" si="3"/>
        <v>0.0639405862008946</v>
      </c>
    </row>
    <row r="37" spans="6:15" ht="12.75">
      <c r="F37" s="207" t="str">
        <f>'Detailed Summary'!F40</f>
        <v>Rate 50: Large Pwr Srvc, LPR 2 - Rate 8</v>
      </c>
      <c r="H37" s="206">
        <f>'Detailed Summary'!N40</f>
        <v>3112227.55493</v>
      </c>
      <c r="I37" s="226">
        <f t="shared" si="0"/>
        <v>0.03514556712847653</v>
      </c>
      <c r="J37" s="206">
        <f>'Detailed Summary'!W40</f>
        <v>3296588.70263</v>
      </c>
      <c r="K37" s="226">
        <f t="shared" si="1"/>
        <v>0.03545295186967851</v>
      </c>
      <c r="M37" s="206">
        <f t="shared" si="2"/>
        <v>184361.1477000001</v>
      </c>
      <c r="O37" s="211">
        <f t="shared" si="3"/>
        <v>0.059237682478570086</v>
      </c>
    </row>
    <row r="38" spans="6:15" ht="12.75">
      <c r="F38" s="204" t="str">
        <f>'Detailed Summary'!F41</f>
        <v>Total - Excluding Lights</v>
      </c>
      <c r="H38" s="206">
        <f>SUM(H13:H37)</f>
        <v>87309676.74394001</v>
      </c>
      <c r="I38" s="267">
        <f>SUM(I13:I37)</f>
        <v>0.9859652132791259</v>
      </c>
      <c r="J38" s="208">
        <f>SUM(J13:J37)</f>
        <v>91704495.41112036</v>
      </c>
      <c r="K38" s="268">
        <f>SUM(K13:K37)</f>
        <v>0.9862301170448765</v>
      </c>
      <c r="M38" s="206">
        <f>SUM(M13:M37)</f>
        <v>4394818.6671803165</v>
      </c>
      <c r="O38" s="212">
        <f>J38/H38-1</f>
        <v>0.05033598601068445</v>
      </c>
    </row>
    <row r="39" spans="6:15" ht="12.75">
      <c r="F39" s="216"/>
      <c r="H39" s="217"/>
      <c r="J39" s="217"/>
      <c r="K39" s="217"/>
      <c r="M39" s="217"/>
      <c r="O39" s="217"/>
    </row>
    <row r="40" spans="6:15" ht="12.75">
      <c r="F40" s="213" t="str">
        <f>'Detailed Summary'!F43</f>
        <v>Lights:</v>
      </c>
      <c r="H40" s="196"/>
      <c r="I40" s="233"/>
      <c r="J40" s="196"/>
      <c r="K40" s="233"/>
      <c r="M40" s="196"/>
      <c r="O40" s="196"/>
    </row>
    <row r="41" spans="6:15" ht="12.75">
      <c r="F41" s="203" t="str">
        <f>'Detailed Summary'!F44</f>
        <v>175 WATT MERCURY VAPOR</v>
      </c>
      <c r="H41" s="205">
        <f>'Detailed Summary'!N44</f>
        <v>26919.199999999997</v>
      </c>
      <c r="I41" s="234"/>
      <c r="J41" s="205">
        <f>'Detailed Summary'!W44</f>
        <v>28356.304170418625</v>
      </c>
      <c r="K41" s="270"/>
      <c r="M41" s="205">
        <f>J41-H41</f>
        <v>1437.1041704186282</v>
      </c>
      <c r="O41" s="210">
        <f>J41/H41-1</f>
        <v>0.05338584246257794</v>
      </c>
    </row>
    <row r="42" spans="6:15" ht="12.75">
      <c r="F42" s="203" t="str">
        <f>'Detailed Summary'!F45</f>
        <v>175 WATT MERCURY VAPOR</v>
      </c>
      <c r="H42" s="205">
        <f>'Detailed Summary'!N45</f>
        <v>474348.02</v>
      </c>
      <c r="I42" s="234"/>
      <c r="J42" s="205">
        <f>'Detailed Summary'!W45</f>
        <v>489515.8209674775</v>
      </c>
      <c r="K42" s="270"/>
      <c r="M42" s="205">
        <f aca="true" t="shared" si="4" ref="M42:M60">J42-H42</f>
        <v>15167.800967477495</v>
      </c>
      <c r="O42" s="210">
        <f aca="true" t="shared" si="5" ref="O42:O60">J42/H42-1</f>
        <v>0.03197610262498296</v>
      </c>
    </row>
    <row r="43" spans="6:15" ht="12.75">
      <c r="F43" s="203" t="str">
        <f>'Detailed Summary'!F46</f>
        <v>400 WATT MERCURY VAPOR</v>
      </c>
      <c r="H43" s="205">
        <f>'Detailed Summary'!N46</f>
        <v>6175.070000000001</v>
      </c>
      <c r="I43" s="234"/>
      <c r="J43" s="205">
        <f>'Detailed Summary'!W46</f>
        <v>6667.77985275655</v>
      </c>
      <c r="K43" s="270"/>
      <c r="M43" s="205">
        <f t="shared" si="4"/>
        <v>492.7098527565495</v>
      </c>
      <c r="O43" s="210">
        <f t="shared" si="5"/>
        <v>0.0797901647684236</v>
      </c>
    </row>
    <row r="44" spans="6:15" ht="12.75">
      <c r="F44" s="203" t="str">
        <f>'Detailed Summary'!F47</f>
        <v>400 WATT MERCURY VAPOR</v>
      </c>
      <c r="H44" s="205">
        <f>'Detailed Summary'!N47</f>
        <v>10725.3</v>
      </c>
      <c r="I44" s="234"/>
      <c r="J44" s="205">
        <f>'Detailed Summary'!W47</f>
        <v>11179.932766694465</v>
      </c>
      <c r="K44" s="270"/>
      <c r="M44" s="205">
        <f t="shared" si="4"/>
        <v>454.6327666944653</v>
      </c>
      <c r="O44" s="210">
        <f t="shared" si="5"/>
        <v>0.04238881585545062</v>
      </c>
    </row>
    <row r="45" spans="6:15" ht="12.75">
      <c r="F45" s="203" t="str">
        <f>'Detailed Summary'!F48</f>
        <v>100 WATT HIGH PRESSURE SODIUM</v>
      </c>
      <c r="H45" s="205">
        <f>'Detailed Summary'!N48</f>
        <v>461894.94</v>
      </c>
      <c r="I45" s="234"/>
      <c r="J45" s="205">
        <f>'Detailed Summary'!W48</f>
        <v>474750.9482061161</v>
      </c>
      <c r="K45" s="270"/>
      <c r="M45" s="205">
        <f t="shared" si="4"/>
        <v>12856.008206116094</v>
      </c>
      <c r="O45" s="210">
        <f t="shared" si="5"/>
        <v>0.0278331869279973</v>
      </c>
    </row>
    <row r="46" spans="6:15" ht="12.75">
      <c r="F46" s="203" t="str">
        <f>'Detailed Summary'!F49</f>
        <v>175 WATT MERCURY VAPOR -SEPARATE TRANSFORMER</v>
      </c>
      <c r="H46" s="205">
        <f>'Detailed Summary'!N49</f>
        <v>1500.93</v>
      </c>
      <c r="I46" s="234"/>
      <c r="J46" s="205">
        <f>'Detailed Summary'!W49</f>
        <v>1544.0315480112934</v>
      </c>
      <c r="K46" s="270"/>
      <c r="M46" s="205">
        <f t="shared" si="4"/>
        <v>43.10154801129329</v>
      </c>
      <c r="O46" s="210">
        <f t="shared" si="5"/>
        <v>0.028716561072996916</v>
      </c>
    </row>
    <row r="47" spans="6:15" ht="12.75">
      <c r="F47" s="203" t="str">
        <f>'Detailed Summary'!F50</f>
        <v>70 WATT HIGH PRESSURE SODIUM - ORNAMENTAL</v>
      </c>
      <c r="H47" s="205">
        <f>'Detailed Summary'!N50</f>
        <v>43638.96</v>
      </c>
      <c r="I47" s="234"/>
      <c r="J47" s="205">
        <f>'Detailed Summary'!W50</f>
        <v>44382.395134862534</v>
      </c>
      <c r="K47" s="270"/>
      <c r="M47" s="205">
        <f t="shared" si="4"/>
        <v>743.435134862535</v>
      </c>
      <c r="O47" s="210">
        <f t="shared" si="5"/>
        <v>0.017036041529462143</v>
      </c>
    </row>
    <row r="48" spans="6:15" ht="12.75">
      <c r="F48" s="203" t="str">
        <f>'Detailed Summary'!F51</f>
        <v>400 WATT MERCURY VAPOR -SEPARATE TRANSFORMER</v>
      </c>
      <c r="H48" s="205">
        <f>'Detailed Summary'!N51</f>
        <v>540.72</v>
      </c>
      <c r="I48" s="234"/>
      <c r="J48" s="205">
        <f>'Detailed Summary'!W51</f>
        <v>562.1144831385631</v>
      </c>
      <c r="K48" s="270"/>
      <c r="M48" s="205">
        <f t="shared" si="4"/>
        <v>21.394483138563032</v>
      </c>
      <c r="O48" s="210">
        <f t="shared" si="5"/>
        <v>0.03956665767599321</v>
      </c>
    </row>
    <row r="49" spans="6:15" ht="12.75">
      <c r="F49" s="203" t="str">
        <f>'Detailed Summary'!F52</f>
        <v>100 WATT HIGH PRESSURE SODIUM - ORNAMENTAL</v>
      </c>
      <c r="H49" s="205">
        <f>'Detailed Summary'!N52</f>
        <v>46344.24</v>
      </c>
      <c r="I49" s="234"/>
      <c r="J49" s="205">
        <f>'Detailed Summary'!W52</f>
        <v>47326.02449571575</v>
      </c>
      <c r="K49" s="270"/>
      <c r="M49" s="205">
        <f t="shared" si="4"/>
        <v>981.7844957157504</v>
      </c>
      <c r="O49" s="210">
        <f t="shared" si="5"/>
        <v>0.021184606667748795</v>
      </c>
    </row>
    <row r="50" spans="6:15" ht="12.75">
      <c r="F50" s="203" t="str">
        <f>'Detailed Summary'!F53</f>
        <v>250 WATT HIGH PRESSURE SODIUM - ORNAMENTAL</v>
      </c>
      <c r="H50" s="205">
        <f>'Detailed Summary'!N53</f>
        <v>22283.25</v>
      </c>
      <c r="I50" s="234"/>
      <c r="J50" s="205">
        <f>'Detailed Summary'!W53</f>
        <v>23231.484056248453</v>
      </c>
      <c r="K50" s="270"/>
      <c r="M50" s="205">
        <f t="shared" si="4"/>
        <v>948.2340562484533</v>
      </c>
      <c r="O50" s="210">
        <f t="shared" si="5"/>
        <v>0.042553669516271375</v>
      </c>
    </row>
    <row r="51" spans="6:15" ht="12.75">
      <c r="F51" s="203" t="str">
        <f>'Detailed Summary'!F54</f>
        <v>250 WATT HIGH PRESSURE SODIUM</v>
      </c>
      <c r="H51" s="205">
        <f>'Detailed Summary'!N54</f>
        <v>16041.359999999999</v>
      </c>
      <c r="I51" s="234"/>
      <c r="J51" s="205">
        <f>'Detailed Summary'!W54</f>
        <v>16882.13540230249</v>
      </c>
      <c r="K51" s="270"/>
      <c r="M51" s="205">
        <f t="shared" si="4"/>
        <v>840.7754023024918</v>
      </c>
      <c r="O51" s="210">
        <f t="shared" si="5"/>
        <v>0.052412975103263815</v>
      </c>
    </row>
    <row r="52" spans="6:15" ht="12.75">
      <c r="F52" s="203" t="str">
        <f>'Detailed Summary'!F55</f>
        <v>200 WATT HIGH PRESSURE SODIUM - COBRA HEAD</v>
      </c>
      <c r="H52" s="205">
        <f>'Detailed Summary'!N55</f>
        <v>10255.74</v>
      </c>
      <c r="I52" s="234"/>
      <c r="J52" s="205">
        <f>'Detailed Summary'!W55</f>
        <v>10548.13126956036</v>
      </c>
      <c r="K52" s="270"/>
      <c r="M52" s="205">
        <f t="shared" si="4"/>
        <v>292.39126956035943</v>
      </c>
      <c r="O52" s="210">
        <f t="shared" si="5"/>
        <v>0.028510011911413446</v>
      </c>
    </row>
    <row r="53" spans="6:15" ht="12.75">
      <c r="F53" s="203" t="str">
        <f>'Detailed Summary'!F56</f>
        <v>70 WATT HIGH PRESSURE SODIUM - COLONIAL</v>
      </c>
      <c r="H53" s="205">
        <f>'Detailed Summary'!N56</f>
        <v>44775.96</v>
      </c>
      <c r="I53" s="234"/>
      <c r="J53" s="205">
        <f>'Detailed Summary'!W56</f>
        <v>45273.35857876906</v>
      </c>
      <c r="K53" s="270"/>
      <c r="M53" s="205">
        <f t="shared" si="4"/>
        <v>497.3985787690617</v>
      </c>
      <c r="O53" s="210">
        <f t="shared" si="5"/>
        <v>0.01110860780581957</v>
      </c>
    </row>
    <row r="54" spans="6:15" ht="12.75">
      <c r="F54" s="203" t="str">
        <f>'Detailed Summary'!F57</f>
        <v>400 WATT METAL HALIDE DIRECTIONAL FLOOD</v>
      </c>
      <c r="H54" s="205">
        <f>'Detailed Summary'!N57</f>
        <v>37584.54</v>
      </c>
      <c r="I54" s="234"/>
      <c r="J54" s="205">
        <f>'Detailed Summary'!W57</f>
        <v>39605.693493125866</v>
      </c>
      <c r="K54" s="270"/>
      <c r="M54" s="205">
        <f t="shared" si="4"/>
        <v>2021.1534931258648</v>
      </c>
      <c r="O54" s="210">
        <f t="shared" si="5"/>
        <v>0.053776193432881314</v>
      </c>
    </row>
    <row r="55" spans="6:15" ht="12.75">
      <c r="F55" s="203" t="str">
        <f>'Detailed Summary'!F58</f>
        <v>400 WATT HIGH PRESSURE SODIUM DIRECTIONAL FLOOD</v>
      </c>
      <c r="H55" s="205">
        <f>'Detailed Summary'!N58</f>
        <v>6630.5199999999995</v>
      </c>
      <c r="I55" s="234"/>
      <c r="J55" s="205">
        <f>'Detailed Summary'!W58</f>
        <v>6957.56153364787</v>
      </c>
      <c r="K55" s="270"/>
      <c r="M55" s="205">
        <f t="shared" si="4"/>
        <v>327.0415336478709</v>
      </c>
      <c r="O55" s="210">
        <f t="shared" si="5"/>
        <v>0.04932366294768298</v>
      </c>
    </row>
    <row r="56" spans="6:15" ht="12.75">
      <c r="F56" s="203" t="str">
        <f>'Detailed Summary'!F59</f>
        <v>100 WATT HIGH PRESSURE SODIUM - COBRA HEAD</v>
      </c>
      <c r="H56" s="205">
        <f>'Detailed Summary'!N59</f>
        <v>15940.54</v>
      </c>
      <c r="I56" s="234"/>
      <c r="J56" s="205">
        <f>'Detailed Summary'!W59</f>
        <v>16209.259956506261</v>
      </c>
      <c r="K56" s="270"/>
      <c r="M56" s="205">
        <f t="shared" si="4"/>
        <v>268.71995650626013</v>
      </c>
      <c r="O56" s="210">
        <f t="shared" si="5"/>
        <v>0.016857644503025737</v>
      </c>
    </row>
    <row r="57" spans="6:15" ht="12.75">
      <c r="F57" s="203" t="str">
        <f>'Detailed Summary'!F60</f>
        <v>100 WATT HIGH PRESSURE SODIUM - SHOEBOX FIXTURE</v>
      </c>
      <c r="H57" s="205">
        <f>'Detailed Summary'!N60</f>
        <v>1985.22</v>
      </c>
      <c r="I57" s="234"/>
      <c r="J57" s="205">
        <f>'Detailed Summary'!W60</f>
        <v>2002.782462619697</v>
      </c>
      <c r="K57" s="270"/>
      <c r="M57" s="205">
        <f t="shared" si="4"/>
        <v>17.562462619697044</v>
      </c>
      <c r="O57" s="210">
        <f t="shared" si="5"/>
        <v>0.008846607741054946</v>
      </c>
    </row>
    <row r="58" spans="6:15" ht="12.75">
      <c r="F58" s="203" t="str">
        <f>'Detailed Summary'!F61</f>
        <v>100 WATT HIGH PRESSURE SODIUM - ACORN FIXTURE</v>
      </c>
      <c r="H58" s="205">
        <f>'Detailed Summary'!N61</f>
        <v>1686.9599999999998</v>
      </c>
      <c r="I58" s="234"/>
      <c r="J58" s="205">
        <f>'Detailed Summary'!W61</f>
        <v>1702.3806988855877</v>
      </c>
      <c r="K58" s="270"/>
      <c r="M58" s="205">
        <f t="shared" si="4"/>
        <v>15.420698885587854</v>
      </c>
      <c r="O58" s="210">
        <f t="shared" si="5"/>
        <v>0.009141117089668915</v>
      </c>
    </row>
    <row r="59" spans="6:15" ht="12.75">
      <c r="F59" s="203" t="str">
        <f>'Detailed Summary'!F62</f>
        <v>100 WATT HIGH PRESSURE SODIUM - COLONIAL FIXTURE</v>
      </c>
      <c r="H59" s="205">
        <f>'Detailed Summary'!N62</f>
        <v>13449.52</v>
      </c>
      <c r="I59" s="234"/>
      <c r="J59" s="205">
        <f>'Detailed Summary'!W62</f>
        <v>13595.445502417318</v>
      </c>
      <c r="K59" s="270"/>
      <c r="M59" s="205">
        <f t="shared" si="4"/>
        <v>145.92550241731806</v>
      </c>
      <c r="O59" s="210">
        <f t="shared" si="5"/>
        <v>0.010849866940776831</v>
      </c>
    </row>
    <row r="60" spans="6:15" ht="12.75">
      <c r="F60" s="207" t="str">
        <f>'Detailed Summary'!F63</f>
        <v>400 WATT HIGH PRESSURE SODIUM - COBRA HEAD</v>
      </c>
      <c r="H60" s="206">
        <f>'Detailed Summary'!N63</f>
        <v>94.35000000000001</v>
      </c>
      <c r="I60" s="266"/>
      <c r="J60" s="206">
        <f>'Detailed Summary'!W63</f>
        <v>97.4179318353459</v>
      </c>
      <c r="K60" s="271"/>
      <c r="M60" s="206">
        <f t="shared" si="4"/>
        <v>3.067931835345888</v>
      </c>
      <c r="O60" s="211">
        <f t="shared" si="5"/>
        <v>0.03251650063959599</v>
      </c>
    </row>
    <row r="61" spans="6:15" ht="12.75">
      <c r="F61" s="214" t="str">
        <f>'Detailed Summary'!F64</f>
        <v>Total - Lights</v>
      </c>
      <c r="H61" s="208">
        <f>SUM(H41:H60)</f>
        <v>1242815.3400000003</v>
      </c>
      <c r="I61" s="268">
        <f>H61/H63</f>
        <v>0.014034786720874215</v>
      </c>
      <c r="J61" s="208">
        <f>SUM(J41:J60)</f>
        <v>1280391.0025111102</v>
      </c>
      <c r="K61" s="268">
        <f>J61/J63</f>
        <v>0.013769882955122978</v>
      </c>
      <c r="M61" s="208">
        <f>SUM(M41:M60)</f>
        <v>37575.66251110968</v>
      </c>
      <c r="O61" s="215">
        <f>J61/H61-1</f>
        <v>0.030234308590936676</v>
      </c>
    </row>
    <row r="62" spans="6:15" ht="12.75">
      <c r="F62" s="196"/>
      <c r="H62" s="196"/>
      <c r="I62" s="196"/>
      <c r="J62" s="196"/>
      <c r="K62" s="196"/>
      <c r="M62" s="196"/>
      <c r="O62" s="26"/>
    </row>
    <row r="63" spans="6:15" ht="12.75">
      <c r="F63" s="204" t="str">
        <f>'Detailed Summary'!F66</f>
        <v>Grand Total</v>
      </c>
      <c r="H63" s="206">
        <f>H38+H61</f>
        <v>88552492.08394001</v>
      </c>
      <c r="I63" s="269">
        <f>I61+I38</f>
        <v>1</v>
      </c>
      <c r="J63" s="206">
        <f>J38+J61</f>
        <v>92984886.41363147</v>
      </c>
      <c r="K63" s="227">
        <f>K61+K38</f>
        <v>0.9999999999999994</v>
      </c>
      <c r="M63" s="206">
        <f>M38+M61</f>
        <v>4432394.329691426</v>
      </c>
      <c r="O63" s="211">
        <f>J63/H63-1</f>
        <v>0.050053863255366426</v>
      </c>
    </row>
  </sheetData>
  <mergeCells count="3">
    <mergeCell ref="F3:O3"/>
    <mergeCell ref="F5:O5"/>
    <mergeCell ref="F7:O7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579"/>
  <sheetViews>
    <sheetView workbookViewId="0" topLeftCell="U1">
      <selection activeCell="V250" sqref="V250"/>
    </sheetView>
  </sheetViews>
  <sheetFormatPr defaultColWidth="9.140625" defaultRowHeight="12.75"/>
  <cols>
    <col min="1" max="1" width="53.00390625" style="0" customWidth="1"/>
    <col min="2" max="2" width="14.421875" style="0" customWidth="1"/>
    <col min="3" max="3" width="14.8515625" style="0" customWidth="1"/>
    <col min="4" max="5" width="13.57421875" style="0" customWidth="1"/>
    <col min="6" max="6" width="13.28125" style="0" customWidth="1"/>
    <col min="7" max="7" width="14.00390625" style="0" customWidth="1"/>
    <col min="8" max="8" width="12.140625" style="0" customWidth="1"/>
    <col min="9" max="9" width="15.00390625" style="0" customWidth="1"/>
    <col min="10" max="10" width="13.28125" style="0" customWidth="1"/>
    <col min="11" max="11" width="12.57421875" style="0" customWidth="1"/>
    <col min="12" max="13" width="15.140625" style="0" customWidth="1"/>
    <col min="14" max="14" width="16.421875" style="0" customWidth="1"/>
    <col min="15" max="15" width="13.28125" style="0" customWidth="1"/>
    <col min="16" max="16" width="1.28515625" style="0" customWidth="1"/>
    <col min="18" max="18" width="36.8515625" style="0" customWidth="1"/>
    <col min="19" max="19" width="12.57421875" style="0" customWidth="1"/>
    <col min="20" max="20" width="11.57421875" style="0" customWidth="1"/>
    <col min="21" max="22" width="14.421875" style="0" customWidth="1"/>
    <col min="23" max="23" width="11.57421875" style="0" customWidth="1"/>
    <col min="24" max="24" width="14.00390625" style="0" customWidth="1"/>
    <col min="25" max="25" width="12.421875" style="0" bestFit="1" customWidth="1"/>
    <col min="26" max="26" width="14.7109375" style="0" customWidth="1"/>
    <col min="27" max="27" width="17.8515625" style="0" customWidth="1"/>
    <col min="28" max="28" width="1.7109375" style="0" customWidth="1"/>
    <col min="29" max="29" width="12.7109375" style="0" customWidth="1"/>
    <col min="30" max="30" width="12.140625" style="0" customWidth="1"/>
    <col min="31" max="31" width="11.140625" style="0" customWidth="1"/>
    <col min="32" max="32" width="12.57421875" style="0" customWidth="1"/>
    <col min="33" max="33" width="11.421875" style="0" customWidth="1"/>
    <col min="34" max="34" width="34.140625" style="0" customWidth="1"/>
    <col min="35" max="35" width="13.57421875" style="0" customWidth="1"/>
    <col min="36" max="36" width="9.57421875" style="0" customWidth="1"/>
    <col min="37" max="37" width="12.8515625" style="0" customWidth="1"/>
    <col min="38" max="38" width="12.28125" style="0" customWidth="1"/>
    <col min="39" max="39" width="13.00390625" style="0" customWidth="1"/>
    <col min="40" max="40" width="13.140625" style="0" customWidth="1"/>
    <col min="41" max="41" width="10.8515625" style="0" customWidth="1"/>
    <col min="42" max="42" width="12.00390625" style="0" customWidth="1"/>
    <col min="43" max="43" width="12.421875" style="0" bestFit="1" customWidth="1"/>
    <col min="44" max="44" width="6.7109375" style="0" customWidth="1"/>
    <col min="45" max="45" width="26.00390625" style="0" customWidth="1"/>
    <col min="46" max="46" width="12.00390625" style="0" customWidth="1"/>
    <col min="47" max="47" width="10.8515625" style="0" customWidth="1"/>
    <col min="48" max="48" width="11.28125" style="0" customWidth="1"/>
    <col min="49" max="49" width="10.7109375" style="0" customWidth="1"/>
    <col min="50" max="50" width="11.28125" style="0" customWidth="1"/>
    <col min="53" max="53" width="25.28125" style="0" customWidth="1"/>
    <col min="54" max="54" width="11.28125" style="0" customWidth="1"/>
    <col min="55" max="55" width="10.28125" style="0" customWidth="1"/>
    <col min="56" max="56" width="11.28125" style="0" customWidth="1"/>
    <col min="57" max="57" width="11.421875" style="0" customWidth="1"/>
    <col min="58" max="58" width="10.421875" style="0" customWidth="1"/>
    <col min="61" max="61" width="25.57421875" style="0" customWidth="1"/>
    <col min="63" max="63" width="10.8515625" style="0" customWidth="1"/>
    <col min="64" max="64" width="11.28125" style="0" customWidth="1"/>
    <col min="65" max="65" width="10.7109375" style="0" customWidth="1"/>
    <col min="66" max="66" width="11.28125" style="0" customWidth="1"/>
    <col min="69" max="69" width="26.140625" style="0" customWidth="1"/>
    <col min="70" max="70" width="14.140625" style="0" customWidth="1"/>
    <col min="71" max="71" width="12.140625" style="0" customWidth="1"/>
    <col min="72" max="72" width="14.00390625" style="0" customWidth="1"/>
    <col min="73" max="73" width="12.28125" style="0" customWidth="1"/>
    <col min="74" max="74" width="10.8515625" style="0" customWidth="1"/>
    <col min="75" max="75" width="11.00390625" style="0" customWidth="1"/>
  </cols>
  <sheetData>
    <row r="1" spans="1:27" ht="15.75">
      <c r="A1" t="s">
        <v>0</v>
      </c>
      <c r="P1" s="108"/>
      <c r="AA1" s="330" t="s">
        <v>259</v>
      </c>
    </row>
    <row r="2" spans="1:27" ht="15.75">
      <c r="A2" t="s">
        <v>1</v>
      </c>
      <c r="P2" s="108"/>
      <c r="R2" s="242" t="s">
        <v>81</v>
      </c>
      <c r="Z2" s="243"/>
      <c r="AA2" s="330" t="s">
        <v>260</v>
      </c>
    </row>
    <row r="3" spans="16:29" ht="16.5" thickBot="1">
      <c r="P3" s="108"/>
      <c r="R3" s="242" t="s">
        <v>240</v>
      </c>
      <c r="Z3" s="243"/>
      <c r="AA3" s="330" t="s">
        <v>243</v>
      </c>
      <c r="AC3" s="26" t="s">
        <v>227</v>
      </c>
    </row>
    <row r="4" spans="1:47" ht="13.5" thickBot="1">
      <c r="A4" s="4"/>
      <c r="B4" s="4"/>
      <c r="C4" s="4"/>
      <c r="D4" s="4" t="s">
        <v>4</v>
      </c>
      <c r="E4" s="4" t="s">
        <v>21</v>
      </c>
      <c r="F4" s="4"/>
      <c r="G4" s="4"/>
      <c r="H4" s="4"/>
      <c r="I4" s="4"/>
      <c r="J4" s="4"/>
      <c r="K4" s="4"/>
      <c r="L4" s="4"/>
      <c r="M4" s="4" t="s">
        <v>20</v>
      </c>
      <c r="N4" s="4" t="s">
        <v>14</v>
      </c>
      <c r="O4" s="4" t="s">
        <v>14</v>
      </c>
      <c r="P4" s="108"/>
      <c r="R4" s="18"/>
      <c r="S4" s="18"/>
      <c r="T4" s="18"/>
      <c r="U4" s="18"/>
      <c r="V4" s="18"/>
      <c r="W4" s="18"/>
      <c r="X4" s="18"/>
      <c r="Y4" s="18"/>
      <c r="Z4" s="35"/>
      <c r="AA4" s="35"/>
      <c r="AB4" s="35"/>
      <c r="AC4" s="165" t="s">
        <v>84</v>
      </c>
      <c r="AD4" s="171" t="s">
        <v>229</v>
      </c>
      <c r="AE4" s="172" t="s">
        <v>165</v>
      </c>
      <c r="AF4" s="173" t="s">
        <v>166</v>
      </c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53"/>
      <c r="AT4" s="53"/>
      <c r="AU4" s="54"/>
    </row>
    <row r="5" spans="1:47" ht="12.75">
      <c r="A5" s="4"/>
      <c r="B5" s="4" t="s">
        <v>3</v>
      </c>
      <c r="C5" s="4" t="s">
        <v>8</v>
      </c>
      <c r="D5" s="4" t="s">
        <v>23</v>
      </c>
      <c r="E5" s="4" t="s">
        <v>23</v>
      </c>
      <c r="F5" s="4" t="s">
        <v>5</v>
      </c>
      <c r="G5" s="4" t="s">
        <v>9</v>
      </c>
      <c r="H5" s="4" t="s">
        <v>10</v>
      </c>
      <c r="I5" s="4" t="s">
        <v>6</v>
      </c>
      <c r="J5" s="4" t="s">
        <v>11</v>
      </c>
      <c r="K5" s="4" t="s">
        <v>12</v>
      </c>
      <c r="L5" s="4" t="s">
        <v>13</v>
      </c>
      <c r="M5" s="4" t="s">
        <v>21</v>
      </c>
      <c r="N5" s="4" t="s">
        <v>6</v>
      </c>
      <c r="O5" s="4" t="s">
        <v>9</v>
      </c>
      <c r="P5" s="108"/>
      <c r="R5" s="115" t="s">
        <v>81</v>
      </c>
      <c r="S5" s="53"/>
      <c r="T5" s="53"/>
      <c r="U5" s="53"/>
      <c r="V5" s="53"/>
      <c r="W5" s="53"/>
      <c r="X5" s="53"/>
      <c r="Y5" s="53"/>
      <c r="Z5" s="152"/>
      <c r="AA5" s="274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8"/>
      <c r="AT5" s="18"/>
      <c r="AU5" s="56"/>
    </row>
    <row r="6" spans="1:47" ht="13.5" thickBot="1">
      <c r="A6" s="7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08"/>
      <c r="R6" s="55" t="s">
        <v>201</v>
      </c>
      <c r="S6" s="18"/>
      <c r="T6" s="18"/>
      <c r="U6" s="18"/>
      <c r="V6" s="18"/>
      <c r="W6" s="18"/>
      <c r="X6" s="18"/>
      <c r="Y6" s="18"/>
      <c r="Z6" s="153"/>
      <c r="AA6" s="27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43" t="s">
        <v>123</v>
      </c>
      <c r="AT6" s="43"/>
      <c r="AU6" s="56"/>
    </row>
    <row r="7" spans="1:47" ht="12.75">
      <c r="A7" t="s">
        <v>16</v>
      </c>
      <c r="B7">
        <v>11</v>
      </c>
      <c r="C7" s="1">
        <v>5.3</v>
      </c>
      <c r="D7" s="2">
        <v>0.06028</v>
      </c>
      <c r="E7" s="1">
        <v>0</v>
      </c>
      <c r="F7" s="3">
        <v>297501</v>
      </c>
      <c r="G7" s="3">
        <v>402289057</v>
      </c>
      <c r="H7" s="3">
        <v>2292033</v>
      </c>
      <c r="I7" s="1">
        <v>25793847.14</v>
      </c>
      <c r="J7" s="1">
        <v>3363258.75</v>
      </c>
      <c r="K7" s="1">
        <v>2136996.32</v>
      </c>
      <c r="L7" s="1">
        <v>276480.03</v>
      </c>
      <c r="M7" s="6">
        <v>0</v>
      </c>
      <c r="N7" s="1">
        <f>SUM(I7:L7)</f>
        <v>31570582.240000002</v>
      </c>
      <c r="O7" s="3">
        <f>SUM(G7:H7)</f>
        <v>404581090</v>
      </c>
      <c r="P7" s="108"/>
      <c r="R7" s="57"/>
      <c r="S7" s="125" t="s">
        <v>91</v>
      </c>
      <c r="T7" s="334" t="s">
        <v>112</v>
      </c>
      <c r="U7" s="338"/>
      <c r="V7" s="290" t="s">
        <v>250</v>
      </c>
      <c r="W7" s="339" t="s">
        <v>83</v>
      </c>
      <c r="X7" s="337"/>
      <c r="Y7" s="144" t="s">
        <v>162</v>
      </c>
      <c r="Z7" s="154" t="s">
        <v>122</v>
      </c>
      <c r="AA7" s="276" t="s">
        <v>252</v>
      </c>
      <c r="AB7" s="14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43"/>
      <c r="AT7" s="43"/>
      <c r="AU7" s="56"/>
    </row>
    <row r="8" spans="3:47" ht="12.75">
      <c r="C8" s="1"/>
      <c r="D8" s="2"/>
      <c r="E8" s="1"/>
      <c r="F8" s="3"/>
      <c r="G8" s="3"/>
      <c r="H8" s="3"/>
      <c r="I8" s="1"/>
      <c r="J8" s="1"/>
      <c r="K8" s="1"/>
      <c r="L8" s="1"/>
      <c r="M8" s="6"/>
      <c r="N8" s="1"/>
      <c r="O8" s="3"/>
      <c r="P8" s="108"/>
      <c r="R8" s="57"/>
      <c r="S8" s="126" t="s">
        <v>113</v>
      </c>
      <c r="T8" s="129" t="s">
        <v>88</v>
      </c>
      <c r="U8" s="18" t="s">
        <v>100</v>
      </c>
      <c r="V8" s="277" t="s">
        <v>251</v>
      </c>
      <c r="W8" s="289" t="s">
        <v>88</v>
      </c>
      <c r="X8" s="133" t="s">
        <v>100</v>
      </c>
      <c r="Y8" s="145" t="s">
        <v>86</v>
      </c>
      <c r="Z8" s="155" t="s">
        <v>86</v>
      </c>
      <c r="AA8" s="277" t="s">
        <v>253</v>
      </c>
      <c r="AB8" s="14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43"/>
      <c r="AT8" s="43"/>
      <c r="AU8" s="56"/>
    </row>
    <row r="9" spans="1:47" ht="13.5" thickBot="1">
      <c r="A9" t="s">
        <v>18</v>
      </c>
      <c r="B9" s="5">
        <v>12</v>
      </c>
      <c r="C9" s="1">
        <v>5.39</v>
      </c>
      <c r="D9" s="2">
        <v>0.06467</v>
      </c>
      <c r="E9" s="1">
        <v>0</v>
      </c>
      <c r="F9" s="3">
        <v>140644</v>
      </c>
      <c r="G9" s="3">
        <v>168635183</v>
      </c>
      <c r="H9" s="3">
        <v>1428346</v>
      </c>
      <c r="I9" s="1">
        <v>11407858.04</v>
      </c>
      <c r="J9" s="1">
        <v>1414264.18</v>
      </c>
      <c r="K9" s="1">
        <v>940635.53</v>
      </c>
      <c r="L9" s="1">
        <v>194191.53</v>
      </c>
      <c r="M9" s="6">
        <v>0</v>
      </c>
      <c r="N9" s="1">
        <f>SUM(I9:L9)</f>
        <v>13956949.279999997</v>
      </c>
      <c r="O9" s="3">
        <f>SUM(G9:H9)</f>
        <v>170063529</v>
      </c>
      <c r="P9" s="108"/>
      <c r="R9" s="57"/>
      <c r="S9" s="127" t="s">
        <v>103</v>
      </c>
      <c r="T9" s="127" t="s">
        <v>104</v>
      </c>
      <c r="U9" s="288" t="s">
        <v>105</v>
      </c>
      <c r="V9" s="278" t="s">
        <v>254</v>
      </c>
      <c r="W9" s="146" t="s">
        <v>106</v>
      </c>
      <c r="X9" s="128" t="s">
        <v>107</v>
      </c>
      <c r="Y9" s="146" t="s">
        <v>108</v>
      </c>
      <c r="Z9" s="156" t="s">
        <v>163</v>
      </c>
      <c r="AA9" s="286" t="s">
        <v>254</v>
      </c>
      <c r="AB9" s="44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43"/>
      <c r="AT9" s="44"/>
      <c r="AU9" s="56"/>
    </row>
    <row r="10" spans="2:47" ht="12.75">
      <c r="B10" s="5"/>
      <c r="C10" s="1"/>
      <c r="D10" s="2"/>
      <c r="E10" s="1"/>
      <c r="F10" s="3"/>
      <c r="G10" s="3"/>
      <c r="H10" s="3"/>
      <c r="I10" s="1"/>
      <c r="J10" s="1"/>
      <c r="K10" s="1"/>
      <c r="L10" s="1"/>
      <c r="M10" s="6"/>
      <c r="N10" s="1"/>
      <c r="O10" s="3"/>
      <c r="P10" s="108"/>
      <c r="R10" s="57" t="s">
        <v>114</v>
      </c>
      <c r="S10" s="58">
        <v>297501</v>
      </c>
      <c r="T10" s="59">
        <v>5.3</v>
      </c>
      <c r="U10" s="60">
        <f>S10*T10</f>
        <v>1576755.3</v>
      </c>
      <c r="V10" s="300">
        <f>U10/$U$13</f>
        <v>0.06105127170537511</v>
      </c>
      <c r="W10" s="59">
        <f>T10</f>
        <v>5.3</v>
      </c>
      <c r="X10" s="61">
        <f>W10*S10</f>
        <v>1576755.3</v>
      </c>
      <c r="Y10" s="33">
        <f aca="true" t="shared" si="0" ref="Y10:Y16">X10-U10</f>
        <v>0</v>
      </c>
      <c r="Z10" s="153"/>
      <c r="AA10" s="292">
        <f>X10/$X$13</f>
        <v>0.05758721884831833</v>
      </c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148" t="s">
        <v>128</v>
      </c>
      <c r="AT10" s="46">
        <f>S10+S26+S42</f>
        <v>606848</v>
      </c>
      <c r="AU10" s="56"/>
    </row>
    <row r="11" spans="1:47" ht="12.75">
      <c r="A11" t="s">
        <v>19</v>
      </c>
      <c r="B11" s="5">
        <v>13</v>
      </c>
      <c r="C11" s="1">
        <v>8.86</v>
      </c>
      <c r="D11" s="2">
        <v>0.06628</v>
      </c>
      <c r="E11" s="1">
        <v>0</v>
      </c>
      <c r="F11" s="3">
        <v>168703</v>
      </c>
      <c r="G11" s="3">
        <v>181781760</v>
      </c>
      <c r="H11" s="3">
        <v>3743864</v>
      </c>
      <c r="I11" s="1">
        <v>13543631.98</v>
      </c>
      <c r="J11" s="1">
        <v>1555281.62</v>
      </c>
      <c r="K11" s="1">
        <v>1125154.24</v>
      </c>
      <c r="L11" s="1">
        <v>449898.71</v>
      </c>
      <c r="M11" s="6">
        <v>0</v>
      </c>
      <c r="N11" s="1">
        <f>SUM(I11:L11)</f>
        <v>16673966.550000003</v>
      </c>
      <c r="O11" s="3">
        <f>SUM(G11:H11)</f>
        <v>185525624</v>
      </c>
      <c r="P11" s="108"/>
      <c r="R11" s="57" t="s">
        <v>115</v>
      </c>
      <c r="S11" s="25">
        <v>402289057</v>
      </c>
      <c r="T11" s="62">
        <v>0.06028</v>
      </c>
      <c r="U11" s="60">
        <f>S11*T11</f>
        <v>24249984.35596</v>
      </c>
      <c r="V11" s="293">
        <f>U11/$U$13</f>
        <v>0.9389487282946248</v>
      </c>
      <c r="W11" s="62">
        <f>T11+AF495+1114/(S11+0.6*S60)</f>
        <v>0.06414179993402537</v>
      </c>
      <c r="X11" s="61">
        <f>W11*S11</f>
        <v>25803544.20974173</v>
      </c>
      <c r="Y11" s="33">
        <f t="shared" si="0"/>
        <v>1553559.85378173</v>
      </c>
      <c r="Z11" s="153"/>
      <c r="AA11" s="293">
        <f>X11/X13</f>
        <v>0.9424127811516817</v>
      </c>
      <c r="AB11" s="35"/>
      <c r="AC11" s="166">
        <f>S11</f>
        <v>402289057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43" t="s">
        <v>90</v>
      </c>
      <c r="AT11" s="48">
        <f>S11+S27+S43</f>
        <v>752706000</v>
      </c>
      <c r="AU11" s="56"/>
    </row>
    <row r="12" spans="2:47" ht="13.5" thickBot="1">
      <c r="B12" s="5"/>
      <c r="C12" s="1"/>
      <c r="D12" s="2"/>
      <c r="E12" s="1"/>
      <c r="F12" s="3"/>
      <c r="G12" s="3"/>
      <c r="H12" s="3"/>
      <c r="I12" s="1"/>
      <c r="J12" s="1"/>
      <c r="K12" s="1"/>
      <c r="L12" s="1"/>
      <c r="M12" s="6"/>
      <c r="N12" s="1"/>
      <c r="O12" s="3"/>
      <c r="P12" s="108"/>
      <c r="R12" s="57" t="s">
        <v>116</v>
      </c>
      <c r="S12" s="18"/>
      <c r="T12" s="18"/>
      <c r="U12" s="41"/>
      <c r="V12" s="305"/>
      <c r="W12" s="18"/>
      <c r="X12" s="135">
        <f>U12</f>
        <v>0</v>
      </c>
      <c r="Y12" s="169">
        <f t="shared" si="0"/>
        <v>0</v>
      </c>
      <c r="Z12" s="153"/>
      <c r="AA12" s="30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43" t="s">
        <v>124</v>
      </c>
      <c r="AT12" s="48">
        <f>AT11/AT10</f>
        <v>1240.3534328200801</v>
      </c>
      <c r="AU12" s="56"/>
    </row>
    <row r="13" spans="2:47" ht="13.5" thickBot="1">
      <c r="B13" s="5"/>
      <c r="C13" s="1"/>
      <c r="D13" s="2"/>
      <c r="E13" s="1"/>
      <c r="F13" s="3"/>
      <c r="G13" s="3"/>
      <c r="H13" s="3"/>
      <c r="I13" s="1"/>
      <c r="J13" s="1"/>
      <c r="K13" s="1"/>
      <c r="L13" s="1"/>
      <c r="M13" s="6"/>
      <c r="N13" s="1"/>
      <c r="O13" s="3"/>
      <c r="P13" s="108"/>
      <c r="R13" s="57" t="s">
        <v>117</v>
      </c>
      <c r="S13" s="18"/>
      <c r="T13" s="18"/>
      <c r="U13" s="60">
        <f>U10+U11+U12</f>
        <v>25826739.65596</v>
      </c>
      <c r="V13" s="306">
        <f>V10+V11</f>
        <v>1</v>
      </c>
      <c r="W13" s="18"/>
      <c r="X13" s="63">
        <f>SUM(X10:X12)</f>
        <v>27380299.50974173</v>
      </c>
      <c r="Y13" s="63">
        <f t="shared" si="0"/>
        <v>1553559.85378173</v>
      </c>
      <c r="Z13" s="153"/>
      <c r="AA13" s="306">
        <f>AA10+AA11</f>
        <v>1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43" t="s">
        <v>125</v>
      </c>
      <c r="AT13" s="49">
        <f>(U10+U11+U26+U27+U42+U43)/AT10</f>
        <v>84.09626748933835</v>
      </c>
      <c r="AU13" s="56"/>
    </row>
    <row r="14" spans="1:47" ht="12.75">
      <c r="A14" s="8" t="s">
        <v>15</v>
      </c>
      <c r="B14" s="5">
        <v>15</v>
      </c>
      <c r="C14" s="1">
        <v>0</v>
      </c>
      <c r="D14" s="2">
        <v>0</v>
      </c>
      <c r="E14" s="1">
        <v>0</v>
      </c>
      <c r="F14" s="3">
        <v>1878</v>
      </c>
      <c r="G14" s="3">
        <v>118980</v>
      </c>
      <c r="H14" s="3">
        <v>251940</v>
      </c>
      <c r="I14" s="1">
        <v>-31.72</v>
      </c>
      <c r="J14" s="1">
        <v>3039.98</v>
      </c>
      <c r="K14" s="1">
        <v>2451.3</v>
      </c>
      <c r="L14" s="1">
        <v>30205.22</v>
      </c>
      <c r="M14" s="6">
        <v>0</v>
      </c>
      <c r="N14" s="1">
        <f>SUM(I14:L14)</f>
        <v>35664.78</v>
      </c>
      <c r="O14" s="3">
        <f>SUM(G14:H14)</f>
        <v>370920</v>
      </c>
      <c r="P14" s="108"/>
      <c r="R14" s="57" t="s">
        <v>118</v>
      </c>
      <c r="S14" s="18"/>
      <c r="T14" s="18"/>
      <c r="U14" s="60">
        <v>3363258.75</v>
      </c>
      <c r="V14" s="301"/>
      <c r="W14" s="18"/>
      <c r="X14" s="63">
        <f>U14</f>
        <v>3363258.75</v>
      </c>
      <c r="Y14" s="63">
        <f t="shared" si="0"/>
        <v>0</v>
      </c>
      <c r="Z14" s="153"/>
      <c r="AA14" s="27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43" t="s">
        <v>126</v>
      </c>
      <c r="AT14" s="49">
        <f>(X13+X29+X45)/AT10</f>
        <v>88.89044804786278</v>
      </c>
      <c r="AU14" s="56"/>
    </row>
    <row r="15" spans="1:47" ht="12.75">
      <c r="A15" s="8"/>
      <c r="B15" s="5"/>
      <c r="C15" s="1"/>
      <c r="D15" s="2"/>
      <c r="E15" s="1"/>
      <c r="F15" s="3"/>
      <c r="G15" s="3"/>
      <c r="H15" s="3"/>
      <c r="I15" s="1"/>
      <c r="J15" s="1"/>
      <c r="K15" s="1"/>
      <c r="L15" s="1"/>
      <c r="M15" s="6"/>
      <c r="N15" s="1"/>
      <c r="O15" s="3"/>
      <c r="P15" s="108"/>
      <c r="R15" s="57" t="s">
        <v>119</v>
      </c>
      <c r="S15" s="18"/>
      <c r="T15" s="18"/>
      <c r="U15" s="60">
        <v>2136258.75</v>
      </c>
      <c r="V15" s="301"/>
      <c r="W15" s="18"/>
      <c r="X15" s="63">
        <f>U15</f>
        <v>2136258.75</v>
      </c>
      <c r="Y15" s="63">
        <f t="shared" si="0"/>
        <v>0</v>
      </c>
      <c r="Z15" s="153"/>
      <c r="AA15" s="27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149" t="s">
        <v>159</v>
      </c>
      <c r="AT15" s="69">
        <f>AT13-AT14</f>
        <v>-4.794180558524431</v>
      </c>
      <c r="AU15" s="56"/>
    </row>
    <row r="16" spans="2:47" ht="12.75">
      <c r="B16" s="5"/>
      <c r="C16" s="1"/>
      <c r="D16" s="2"/>
      <c r="E16" s="1"/>
      <c r="F16" s="3"/>
      <c r="G16" s="3"/>
      <c r="H16" s="3"/>
      <c r="I16" s="1"/>
      <c r="J16" s="1"/>
      <c r="K16" s="1"/>
      <c r="L16" s="1"/>
      <c r="M16" s="6"/>
      <c r="N16" s="1"/>
      <c r="O16" s="3"/>
      <c r="P16" s="108"/>
      <c r="R16" s="57" t="s">
        <v>120</v>
      </c>
      <c r="S16" s="18"/>
      <c r="T16" s="18"/>
      <c r="U16" s="42">
        <v>0</v>
      </c>
      <c r="V16" s="302"/>
      <c r="W16" s="18"/>
      <c r="X16" s="120">
        <f>U16</f>
        <v>0</v>
      </c>
      <c r="Y16" s="120">
        <f t="shared" si="0"/>
        <v>0</v>
      </c>
      <c r="Z16" s="153"/>
      <c r="AA16" s="27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150" t="s">
        <v>127</v>
      </c>
      <c r="AT16" s="51">
        <f>AT14/AT13-1</f>
        <v>0.057008244261640195</v>
      </c>
      <c r="AU16" s="56"/>
    </row>
    <row r="17" spans="1:47" ht="12.75">
      <c r="A17" s="8" t="s">
        <v>17</v>
      </c>
      <c r="B17" s="5"/>
      <c r="C17" s="1"/>
      <c r="D17" s="2"/>
      <c r="E17" s="1"/>
      <c r="F17" s="3"/>
      <c r="G17" s="3"/>
      <c r="H17" s="3"/>
      <c r="I17" s="1"/>
      <c r="J17" s="1"/>
      <c r="K17" s="1"/>
      <c r="L17" s="1"/>
      <c r="M17" s="6"/>
      <c r="N17" s="1"/>
      <c r="O17" s="3"/>
      <c r="P17" s="108"/>
      <c r="R17" s="57" t="s">
        <v>121</v>
      </c>
      <c r="S17" s="18"/>
      <c r="T17" s="18"/>
      <c r="U17" s="63">
        <f>U13+U14+U15+U16</f>
        <v>31326257.15596</v>
      </c>
      <c r="V17" s="283"/>
      <c r="W17" s="18"/>
      <c r="X17" s="63">
        <f>X13+X14+X15+X16</f>
        <v>32879817.00974173</v>
      </c>
      <c r="Y17" s="63">
        <f>Y13+Y14+Y15+Y16</f>
        <v>1553559.85378173</v>
      </c>
      <c r="Z17" s="153"/>
      <c r="AA17" s="27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18"/>
      <c r="AT17" s="18"/>
      <c r="AU17" s="56"/>
    </row>
    <row r="18" spans="1:47" ht="13.5" thickBot="1">
      <c r="A18" t="s">
        <v>16</v>
      </c>
      <c r="B18" s="5">
        <v>16</v>
      </c>
      <c r="C18" s="1">
        <v>0</v>
      </c>
      <c r="D18" s="2">
        <v>0.03617</v>
      </c>
      <c r="E18" s="1">
        <v>0</v>
      </c>
      <c r="F18" s="3">
        <v>1376</v>
      </c>
      <c r="G18" s="3">
        <v>720916</v>
      </c>
      <c r="H18" s="3">
        <v>370</v>
      </c>
      <c r="I18" s="1">
        <v>26028.32</v>
      </c>
      <c r="J18" s="1">
        <v>6484.39</v>
      </c>
      <c r="K18" s="1">
        <v>2167.18</v>
      </c>
      <c r="L18" s="1">
        <v>51.3</v>
      </c>
      <c r="M18" s="6">
        <v>0</v>
      </c>
      <c r="N18" s="1">
        <f>SUM(I18:L18)</f>
        <v>34731.19</v>
      </c>
      <c r="O18" s="3">
        <f>SUM(G18:H18)</f>
        <v>721286</v>
      </c>
      <c r="P18" s="108"/>
      <c r="R18" s="57" t="s">
        <v>160</v>
      </c>
      <c r="S18" s="18"/>
      <c r="T18" s="18"/>
      <c r="U18" s="121">
        <f>U17/S10</f>
        <v>105.29798943855651</v>
      </c>
      <c r="V18" s="303"/>
      <c r="W18" s="18"/>
      <c r="X18" s="122">
        <f>X17/S10</f>
        <v>110.52002181418459</v>
      </c>
      <c r="Y18" s="121">
        <f>X18-U18</f>
        <v>5.222032375628075</v>
      </c>
      <c r="Z18" s="153"/>
      <c r="AA18" s="27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65"/>
      <c r="AT18" s="65"/>
      <c r="AU18" s="66"/>
    </row>
    <row r="19" spans="2:47" ht="13.5" thickBot="1">
      <c r="B19" s="5"/>
      <c r="C19" s="1"/>
      <c r="D19" s="2"/>
      <c r="E19" s="1"/>
      <c r="F19" s="3"/>
      <c r="G19" s="3"/>
      <c r="H19" s="3"/>
      <c r="I19" s="1"/>
      <c r="J19" s="1"/>
      <c r="K19" s="1"/>
      <c r="L19" s="1"/>
      <c r="M19" s="6"/>
      <c r="N19" s="1"/>
      <c r="O19" s="3"/>
      <c r="P19" s="108"/>
      <c r="R19" s="123" t="s">
        <v>122</v>
      </c>
      <c r="S19" s="65"/>
      <c r="T19" s="65"/>
      <c r="U19" s="117"/>
      <c r="V19" s="304"/>
      <c r="W19" s="65"/>
      <c r="X19" s="118"/>
      <c r="Y19" s="147"/>
      <c r="Z19" s="170">
        <f>X17/U17-1</f>
        <v>0.049592897295301475</v>
      </c>
      <c r="AA19" s="279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18"/>
      <c r="AT19" s="18"/>
      <c r="AU19" s="18"/>
    </row>
    <row r="20" spans="2:16" ht="13.5" thickBot="1">
      <c r="B20" s="5"/>
      <c r="C20" s="1"/>
      <c r="D20" s="2"/>
      <c r="E20" s="1"/>
      <c r="F20" s="3"/>
      <c r="G20" s="3"/>
      <c r="H20" s="3"/>
      <c r="I20" s="1"/>
      <c r="J20" s="1"/>
      <c r="K20" s="1"/>
      <c r="L20" s="1"/>
      <c r="M20" s="6"/>
      <c r="N20" s="1"/>
      <c r="O20" s="3"/>
      <c r="P20" s="108"/>
    </row>
    <row r="21" spans="1:28" ht="12.75">
      <c r="A21" t="s">
        <v>18</v>
      </c>
      <c r="B21" s="5">
        <v>17</v>
      </c>
      <c r="C21" s="1">
        <v>0</v>
      </c>
      <c r="D21" s="2">
        <v>0.0388</v>
      </c>
      <c r="E21" s="1">
        <v>0</v>
      </c>
      <c r="F21" s="3">
        <v>295</v>
      </c>
      <c r="G21" s="3">
        <v>171632</v>
      </c>
      <c r="H21" s="3">
        <v>0</v>
      </c>
      <c r="I21" s="1">
        <v>6659.39</v>
      </c>
      <c r="J21" s="1">
        <v>1439.39</v>
      </c>
      <c r="K21" s="1">
        <v>519.01</v>
      </c>
      <c r="L21" s="1">
        <v>0</v>
      </c>
      <c r="M21" s="6">
        <v>0</v>
      </c>
      <c r="N21" s="1">
        <f>SUM(I21:L21)</f>
        <v>8617.79</v>
      </c>
      <c r="O21" s="3">
        <f>SUM(G21:H21)</f>
        <v>171632</v>
      </c>
      <c r="P21" s="108"/>
      <c r="R21" s="115" t="s">
        <v>81</v>
      </c>
      <c r="S21" s="53"/>
      <c r="T21" s="53"/>
      <c r="U21" s="53"/>
      <c r="V21" s="53"/>
      <c r="W21" s="53"/>
      <c r="X21" s="53"/>
      <c r="Y21" s="53"/>
      <c r="Z21" s="54"/>
      <c r="AA21" s="280"/>
      <c r="AB21" s="18"/>
    </row>
    <row r="22" spans="2:28" ht="13.5" thickBot="1">
      <c r="B22" s="5"/>
      <c r="C22" s="1"/>
      <c r="D22" s="2"/>
      <c r="E22" s="1"/>
      <c r="F22" s="3"/>
      <c r="G22" s="3"/>
      <c r="H22" s="3"/>
      <c r="I22" s="1"/>
      <c r="J22" s="1"/>
      <c r="K22" s="1"/>
      <c r="L22" s="1"/>
      <c r="M22" s="6"/>
      <c r="N22" s="1"/>
      <c r="O22" s="3"/>
      <c r="P22" s="108"/>
      <c r="R22" s="55" t="s">
        <v>202</v>
      </c>
      <c r="S22" s="18"/>
      <c r="T22" s="18"/>
      <c r="U22" s="18"/>
      <c r="V22" s="18"/>
      <c r="W22" s="18"/>
      <c r="X22" s="18"/>
      <c r="Y22" s="18"/>
      <c r="Z22" s="56"/>
      <c r="AA22" s="281"/>
      <c r="AB22" s="18"/>
    </row>
    <row r="23" spans="1:28" ht="12.75">
      <c r="A23" t="s">
        <v>19</v>
      </c>
      <c r="B23" s="5">
        <v>18</v>
      </c>
      <c r="C23" s="1">
        <v>0</v>
      </c>
      <c r="D23" s="2">
        <v>0.03977</v>
      </c>
      <c r="E23" s="1">
        <v>0</v>
      </c>
      <c r="F23" s="3">
        <v>2875</v>
      </c>
      <c r="G23" s="3">
        <v>2112962</v>
      </c>
      <c r="H23" s="3">
        <v>0</v>
      </c>
      <c r="I23" s="1">
        <v>84028.27</v>
      </c>
      <c r="J23" s="1">
        <v>19120.67</v>
      </c>
      <c r="K23" s="1">
        <v>6903.87</v>
      </c>
      <c r="L23" s="1">
        <v>0</v>
      </c>
      <c r="M23" s="6">
        <v>0</v>
      </c>
      <c r="N23" s="1">
        <f>SUM(I23:L23)</f>
        <v>110052.81</v>
      </c>
      <c r="O23" s="3">
        <f>SUM(G23:H23)</f>
        <v>2112962</v>
      </c>
      <c r="P23" s="108"/>
      <c r="R23" s="57"/>
      <c r="S23" s="125" t="s">
        <v>91</v>
      </c>
      <c r="T23" s="334" t="s">
        <v>112</v>
      </c>
      <c r="U23" s="338"/>
      <c r="V23" s="290" t="s">
        <v>250</v>
      </c>
      <c r="W23" s="339" t="s">
        <v>83</v>
      </c>
      <c r="X23" s="337"/>
      <c r="Y23" s="144" t="s">
        <v>162</v>
      </c>
      <c r="Z23" s="154" t="s">
        <v>122</v>
      </c>
      <c r="AA23" s="276" t="s">
        <v>252</v>
      </c>
      <c r="AB23" s="145"/>
    </row>
    <row r="24" spans="2:28" ht="12.75">
      <c r="B24" s="5"/>
      <c r="C24" s="1"/>
      <c r="D24" s="2"/>
      <c r="E24" s="1"/>
      <c r="F24" s="3"/>
      <c r="G24" s="3"/>
      <c r="H24" s="3"/>
      <c r="I24" s="1"/>
      <c r="J24" s="1"/>
      <c r="K24" s="1"/>
      <c r="L24" s="1"/>
      <c r="M24" s="6"/>
      <c r="N24" s="1"/>
      <c r="O24" s="3"/>
      <c r="P24" s="108"/>
      <c r="R24" s="57"/>
      <c r="S24" s="126" t="s">
        <v>113</v>
      </c>
      <c r="T24" s="129" t="s">
        <v>88</v>
      </c>
      <c r="U24" s="18" t="s">
        <v>100</v>
      </c>
      <c r="V24" s="277" t="s">
        <v>251</v>
      </c>
      <c r="W24" s="289" t="s">
        <v>88</v>
      </c>
      <c r="X24" s="133" t="s">
        <v>100</v>
      </c>
      <c r="Y24" s="145" t="s">
        <v>86</v>
      </c>
      <c r="Z24" s="155" t="s">
        <v>86</v>
      </c>
      <c r="AA24" s="277" t="s">
        <v>253</v>
      </c>
      <c r="AB24" s="145"/>
    </row>
    <row r="25" spans="2:28" ht="13.5" thickBot="1">
      <c r="B25" s="5"/>
      <c r="C25" s="1"/>
      <c r="D25" s="2"/>
      <c r="E25" s="1"/>
      <c r="F25" s="3"/>
      <c r="G25" s="3"/>
      <c r="H25" s="3"/>
      <c r="I25" s="1"/>
      <c r="J25" s="1"/>
      <c r="K25" s="1"/>
      <c r="L25" s="1"/>
      <c r="M25" s="6"/>
      <c r="N25" s="1"/>
      <c r="O25" s="3"/>
      <c r="P25" s="108"/>
      <c r="R25" s="57"/>
      <c r="S25" s="127" t="s">
        <v>103</v>
      </c>
      <c r="T25" s="127" t="s">
        <v>104</v>
      </c>
      <c r="U25" s="288" t="s">
        <v>105</v>
      </c>
      <c r="V25" s="291" t="s">
        <v>254</v>
      </c>
      <c r="W25" s="146" t="s">
        <v>106</v>
      </c>
      <c r="X25" s="128" t="s">
        <v>107</v>
      </c>
      <c r="Y25" s="146" t="s">
        <v>108</v>
      </c>
      <c r="Z25" s="156" t="s">
        <v>163</v>
      </c>
      <c r="AA25" s="286" t="s">
        <v>254</v>
      </c>
      <c r="AB25" s="44"/>
    </row>
    <row r="26" spans="1:28" ht="12.75">
      <c r="A26" s="8" t="s">
        <v>7</v>
      </c>
      <c r="B26" s="5"/>
      <c r="C26" s="1"/>
      <c r="D26" s="2"/>
      <c r="E26" s="1"/>
      <c r="F26" s="3"/>
      <c r="G26" s="3"/>
      <c r="H26" s="3"/>
      <c r="I26" s="1"/>
      <c r="J26" s="1"/>
      <c r="K26" s="1"/>
      <c r="L26" s="1"/>
      <c r="M26" s="6"/>
      <c r="N26" s="1"/>
      <c r="O26" s="3"/>
      <c r="P26" s="108"/>
      <c r="R26" s="57" t="s">
        <v>114</v>
      </c>
      <c r="S26" s="58">
        <v>140644</v>
      </c>
      <c r="T26" s="59">
        <v>5.39</v>
      </c>
      <c r="U26" s="60">
        <f>S26*T26</f>
        <v>758071.1599999999</v>
      </c>
      <c r="V26" s="292">
        <f>U26/U29</f>
        <v>0.06499400800354518</v>
      </c>
      <c r="W26" s="59">
        <f>T26</f>
        <v>5.39</v>
      </c>
      <c r="X26" s="61">
        <f>W26*S26</f>
        <v>758071.1599999999</v>
      </c>
      <c r="Y26" s="33">
        <f aca="true" t="shared" si="1" ref="Y26:Y32">X26-U26</f>
        <v>0</v>
      </c>
      <c r="Z26" s="153"/>
      <c r="AA26" s="296">
        <f>X26/X29</f>
        <v>0.061558021352679716</v>
      </c>
      <c r="AB26" s="18"/>
    </row>
    <row r="27" spans="1:29" ht="12.75">
      <c r="A27" t="s">
        <v>25</v>
      </c>
      <c r="B27" s="5">
        <v>21</v>
      </c>
      <c r="C27" s="1">
        <v>6.95</v>
      </c>
      <c r="D27" s="2">
        <v>0.06453</v>
      </c>
      <c r="E27" s="1">
        <v>6.23</v>
      </c>
      <c r="F27" s="3">
        <v>5342</v>
      </c>
      <c r="G27" s="3">
        <v>23223030</v>
      </c>
      <c r="H27" s="3">
        <v>187522</v>
      </c>
      <c r="I27" s="1">
        <v>1843125.4</v>
      </c>
      <c r="J27" s="1">
        <v>190358.99</v>
      </c>
      <c r="K27" s="1">
        <v>151112.75</v>
      </c>
      <c r="L27" s="1">
        <v>15321.55</v>
      </c>
      <c r="M27" s="6">
        <v>99309.739</v>
      </c>
      <c r="N27" s="1">
        <f>SUM(I27:L27)</f>
        <v>2199918.6899999995</v>
      </c>
      <c r="O27" s="3">
        <f>SUM(G27:H27)</f>
        <v>23410552</v>
      </c>
      <c r="P27" s="108"/>
      <c r="R27" s="57" t="s">
        <v>115</v>
      </c>
      <c r="S27" s="25">
        <v>168635183</v>
      </c>
      <c r="T27" s="62">
        <v>0.06467</v>
      </c>
      <c r="U27" s="60">
        <f>S27*T27</f>
        <v>10905637.284610001</v>
      </c>
      <c r="V27" s="293">
        <f>U27/U29</f>
        <v>0.9350059919964548</v>
      </c>
      <c r="W27" s="62">
        <f>T27+AF495+265/(S27+0.6*S77)</f>
        <v>0.06853060423569153</v>
      </c>
      <c r="X27" s="61">
        <f>W27*S27</f>
        <v>11556670.986386416</v>
      </c>
      <c r="Y27" s="33">
        <f t="shared" si="1"/>
        <v>651033.7017764151</v>
      </c>
      <c r="Z27" s="153"/>
      <c r="AA27" s="297">
        <f>X27/X29</f>
        <v>0.9384419786473203</v>
      </c>
      <c r="AB27" s="18"/>
      <c r="AC27" s="3">
        <f>S27</f>
        <v>168635183</v>
      </c>
    </row>
    <row r="28" spans="1:28" ht="13.5" thickBot="1">
      <c r="A28" t="s">
        <v>22</v>
      </c>
      <c r="B28" s="5"/>
      <c r="C28" s="1"/>
      <c r="D28" s="2">
        <v>0.05973</v>
      </c>
      <c r="E28" s="1"/>
      <c r="F28" s="3"/>
      <c r="G28" s="3"/>
      <c r="H28" s="3"/>
      <c r="I28" s="1"/>
      <c r="J28" s="1"/>
      <c r="K28" s="1"/>
      <c r="L28" s="1"/>
      <c r="M28" s="6"/>
      <c r="N28" s="1"/>
      <c r="O28" s="3"/>
      <c r="P28" s="108"/>
      <c r="R28" s="57" t="s">
        <v>116</v>
      </c>
      <c r="S28" s="18"/>
      <c r="T28" s="18"/>
      <c r="U28" s="41"/>
      <c r="V28" s="294"/>
      <c r="W28" s="18"/>
      <c r="X28" s="135">
        <f>U28</f>
        <v>0</v>
      </c>
      <c r="Y28" s="169">
        <f t="shared" si="1"/>
        <v>0</v>
      </c>
      <c r="Z28" s="153"/>
      <c r="AA28" s="298"/>
      <c r="AB28" s="18"/>
    </row>
    <row r="29" spans="2:28" ht="13.5" thickBot="1">
      <c r="B29" s="5"/>
      <c r="C29" s="1"/>
      <c r="D29" s="2"/>
      <c r="E29" s="1"/>
      <c r="F29" s="3"/>
      <c r="G29" s="3"/>
      <c r="H29" s="3"/>
      <c r="I29" s="1"/>
      <c r="J29" s="1"/>
      <c r="K29" s="1"/>
      <c r="L29" s="1"/>
      <c r="M29" s="6"/>
      <c r="N29" s="1"/>
      <c r="O29" s="3"/>
      <c r="P29" s="108"/>
      <c r="R29" s="57" t="s">
        <v>117</v>
      </c>
      <c r="S29" s="18"/>
      <c r="T29" s="18"/>
      <c r="U29" s="60">
        <f>U26+U27+U28</f>
        <v>11663708.444610002</v>
      </c>
      <c r="V29" s="295">
        <f>V26+V27</f>
        <v>1</v>
      </c>
      <c r="W29" s="18"/>
      <c r="X29" s="63">
        <f>SUM(X26:X28)</f>
        <v>12314742.146386417</v>
      </c>
      <c r="Y29" s="63">
        <f t="shared" si="1"/>
        <v>651033.7017764151</v>
      </c>
      <c r="Z29" s="153"/>
      <c r="AA29" s="299">
        <f>AA26+AA27</f>
        <v>1</v>
      </c>
      <c r="AB29" s="18"/>
    </row>
    <row r="30" spans="1:28" ht="12.75">
      <c r="A30" t="s">
        <v>25</v>
      </c>
      <c r="B30" s="5">
        <v>22</v>
      </c>
      <c r="C30" s="1">
        <v>6.95</v>
      </c>
      <c r="D30" s="2">
        <v>0.06453</v>
      </c>
      <c r="E30" s="1">
        <v>0</v>
      </c>
      <c r="F30" s="3">
        <v>9655</v>
      </c>
      <c r="G30" s="3">
        <v>8966731</v>
      </c>
      <c r="H30" s="3">
        <v>261395</v>
      </c>
      <c r="I30" s="1">
        <v>639186.54</v>
      </c>
      <c r="J30" s="1">
        <v>76107.65</v>
      </c>
      <c r="K30" s="1">
        <v>53869.8</v>
      </c>
      <c r="L30" s="1">
        <v>24078.56</v>
      </c>
      <c r="M30" s="6">
        <v>0</v>
      </c>
      <c r="N30" s="1">
        <f>SUM(I30:L30)</f>
        <v>793242.5500000002</v>
      </c>
      <c r="O30" s="3">
        <f>SUM(G30:H30)</f>
        <v>9228126</v>
      </c>
      <c r="P30" s="108"/>
      <c r="R30" s="57" t="s">
        <v>118</v>
      </c>
      <c r="S30" s="18"/>
      <c r="T30" s="18"/>
      <c r="U30" s="60">
        <v>1414264.18</v>
      </c>
      <c r="V30" s="287"/>
      <c r="W30" s="18"/>
      <c r="X30" s="63">
        <f>U30</f>
        <v>1414264.18</v>
      </c>
      <c r="Y30" s="63">
        <f t="shared" si="1"/>
        <v>0</v>
      </c>
      <c r="Z30" s="153"/>
      <c r="AA30" s="275"/>
      <c r="AB30" s="18"/>
    </row>
    <row r="31" spans="1:28" ht="12.75">
      <c r="A31" t="s">
        <v>22</v>
      </c>
      <c r="B31" s="5"/>
      <c r="C31" s="1"/>
      <c r="D31" s="2">
        <v>0.05973</v>
      </c>
      <c r="E31" s="1"/>
      <c r="F31" s="3"/>
      <c r="G31" s="3"/>
      <c r="H31" s="3"/>
      <c r="I31" s="1"/>
      <c r="J31" s="1"/>
      <c r="K31" s="1"/>
      <c r="L31" s="1"/>
      <c r="M31" s="6"/>
      <c r="N31" s="1"/>
      <c r="O31" s="3"/>
      <c r="P31" s="108"/>
      <c r="R31" s="57" t="s">
        <v>119</v>
      </c>
      <c r="S31" s="18"/>
      <c r="T31" s="18"/>
      <c r="U31" s="60">
        <v>940635.53</v>
      </c>
      <c r="V31" s="301"/>
      <c r="W31" s="18"/>
      <c r="X31" s="63">
        <f>U31</f>
        <v>940635.53</v>
      </c>
      <c r="Y31" s="63">
        <f t="shared" si="1"/>
        <v>0</v>
      </c>
      <c r="Z31" s="153"/>
      <c r="AA31" s="275"/>
      <c r="AB31" s="18"/>
    </row>
    <row r="32" spans="2:28" ht="12.75">
      <c r="B32" s="5"/>
      <c r="C32" s="1"/>
      <c r="D32" s="2"/>
      <c r="E32" s="1"/>
      <c r="F32" s="3"/>
      <c r="G32" s="3"/>
      <c r="H32" s="3"/>
      <c r="I32" s="1"/>
      <c r="J32" s="1"/>
      <c r="K32" s="1"/>
      <c r="L32" s="1"/>
      <c r="M32" s="6"/>
      <c r="N32" s="1"/>
      <c r="O32" s="3"/>
      <c r="P32" s="108"/>
      <c r="R32" s="57" t="s">
        <v>120</v>
      </c>
      <c r="S32" s="18"/>
      <c r="T32" s="18"/>
      <c r="U32" s="42">
        <v>0</v>
      </c>
      <c r="V32" s="302"/>
      <c r="W32" s="18"/>
      <c r="X32" s="120">
        <f>U32</f>
        <v>0</v>
      </c>
      <c r="Y32" s="120">
        <f t="shared" si="1"/>
        <v>0</v>
      </c>
      <c r="Z32" s="153"/>
      <c r="AA32" s="275"/>
      <c r="AB32" s="18"/>
    </row>
    <row r="33" spans="1:28" ht="12.75">
      <c r="A33" t="s">
        <v>26</v>
      </c>
      <c r="B33" s="5">
        <v>23</v>
      </c>
      <c r="C33" s="1">
        <v>5.39</v>
      </c>
      <c r="D33" s="2">
        <v>0.06899</v>
      </c>
      <c r="E33" s="1">
        <v>3.18</v>
      </c>
      <c r="F33" s="3">
        <v>1036</v>
      </c>
      <c r="G33" s="3">
        <v>5524208</v>
      </c>
      <c r="H33" s="3">
        <v>76172</v>
      </c>
      <c r="I33" s="1">
        <v>422052.96</v>
      </c>
      <c r="J33" s="1">
        <v>45248.48</v>
      </c>
      <c r="K33" s="1">
        <v>34761.68</v>
      </c>
      <c r="L33" s="1">
        <v>8482.03</v>
      </c>
      <c r="M33" s="6">
        <v>19421.042</v>
      </c>
      <c r="N33" s="1">
        <f>SUM(I33:L33)</f>
        <v>510545.15</v>
      </c>
      <c r="O33" s="3">
        <f>SUM(G33:H33)</f>
        <v>5600380</v>
      </c>
      <c r="P33" s="108"/>
      <c r="R33" s="57" t="s">
        <v>121</v>
      </c>
      <c r="S33" s="18"/>
      <c r="T33" s="18"/>
      <c r="U33" s="63">
        <f>U29+U30+U31+U32</f>
        <v>14018608.15461</v>
      </c>
      <c r="V33" s="283"/>
      <c r="W33" s="18"/>
      <c r="X33" s="63">
        <f>X29+X30+X31+X32</f>
        <v>14669641.856386416</v>
      </c>
      <c r="Y33" s="63">
        <f>Y29+Y30+Y31+Y32</f>
        <v>651033.7017764151</v>
      </c>
      <c r="Z33" s="153"/>
      <c r="AA33" s="275"/>
      <c r="AB33" s="18"/>
    </row>
    <row r="34" spans="2:28" ht="12.75">
      <c r="B34" s="5"/>
      <c r="C34" s="1"/>
      <c r="D34" s="2"/>
      <c r="E34" s="1"/>
      <c r="F34" s="3"/>
      <c r="G34" s="3"/>
      <c r="H34" s="3"/>
      <c r="I34" s="1"/>
      <c r="J34" s="1"/>
      <c r="K34" s="1"/>
      <c r="L34" s="1"/>
      <c r="M34" s="6"/>
      <c r="N34" s="1"/>
      <c r="O34" s="3"/>
      <c r="P34" s="108"/>
      <c r="R34" s="57" t="s">
        <v>160</v>
      </c>
      <c r="S34" s="18"/>
      <c r="T34" s="18"/>
      <c r="U34" s="121">
        <f>U33/S26</f>
        <v>99.67441308985809</v>
      </c>
      <c r="V34" s="303"/>
      <c r="W34" s="18"/>
      <c r="X34" s="122">
        <f>X33/S26</f>
        <v>104.30336065801895</v>
      </c>
      <c r="Y34" s="121">
        <f>X34-U34</f>
        <v>4.628947568160854</v>
      </c>
      <c r="Z34" s="153"/>
      <c r="AA34" s="275"/>
      <c r="AB34" s="18"/>
    </row>
    <row r="35" spans="1:28" ht="13.5" thickBot="1">
      <c r="A35" t="s">
        <v>26</v>
      </c>
      <c r="B35" s="5">
        <v>24</v>
      </c>
      <c r="C35" s="1">
        <v>5.39</v>
      </c>
      <c r="D35" s="2">
        <v>0.06899</v>
      </c>
      <c r="E35" s="1">
        <v>0</v>
      </c>
      <c r="F35" s="3">
        <v>3864</v>
      </c>
      <c r="G35" s="3">
        <v>3181533</v>
      </c>
      <c r="H35" s="3">
        <v>49052</v>
      </c>
      <c r="I35" s="1">
        <v>232922.78</v>
      </c>
      <c r="J35" s="1">
        <v>26424.04</v>
      </c>
      <c r="K35" s="1">
        <v>19235.87</v>
      </c>
      <c r="L35" s="1">
        <v>5702.73</v>
      </c>
      <c r="M35" s="6">
        <v>0</v>
      </c>
      <c r="N35" s="1">
        <f>SUM(I35:L35)</f>
        <v>284285.42</v>
      </c>
      <c r="O35" s="3">
        <f>SUM(G35:H35)</f>
        <v>3230585</v>
      </c>
      <c r="P35" s="108"/>
      <c r="R35" s="64" t="s">
        <v>122</v>
      </c>
      <c r="S35" s="65"/>
      <c r="T35" s="65"/>
      <c r="U35" s="117"/>
      <c r="V35" s="304"/>
      <c r="W35" s="65"/>
      <c r="X35" s="65"/>
      <c r="Y35" s="147"/>
      <c r="Z35" s="170">
        <f>X33/U33-1</f>
        <v>0.04644068045816119</v>
      </c>
      <c r="AA35" s="279"/>
      <c r="AB35" s="18"/>
    </row>
    <row r="36" spans="2:16" ht="13.5" thickBot="1">
      <c r="B36" s="5"/>
      <c r="C36" s="1"/>
      <c r="D36" s="2"/>
      <c r="E36" s="1"/>
      <c r="F36" s="3"/>
      <c r="G36" s="3"/>
      <c r="H36" s="3"/>
      <c r="I36" s="1"/>
      <c r="J36" s="1"/>
      <c r="K36" s="1"/>
      <c r="L36" s="1"/>
      <c r="M36" s="6"/>
      <c r="N36" s="1"/>
      <c r="O36" s="3"/>
      <c r="P36" s="108"/>
    </row>
    <row r="37" spans="1:28" ht="12.75">
      <c r="A37" t="s">
        <v>27</v>
      </c>
      <c r="B37" s="5">
        <v>25</v>
      </c>
      <c r="C37" s="1">
        <v>23.87</v>
      </c>
      <c r="D37" s="2">
        <v>0.06789</v>
      </c>
      <c r="E37" s="1">
        <v>0</v>
      </c>
      <c r="F37" s="3">
        <v>1087</v>
      </c>
      <c r="G37" s="3">
        <v>3306543</v>
      </c>
      <c r="H37" s="3">
        <v>29157</v>
      </c>
      <c r="I37" s="1">
        <v>250340.27</v>
      </c>
      <c r="J37" s="1">
        <v>27369.17</v>
      </c>
      <c r="K37" s="1">
        <v>20567</v>
      </c>
      <c r="L37" s="1">
        <v>3569.33</v>
      </c>
      <c r="M37" s="6">
        <v>7403.331</v>
      </c>
      <c r="N37" s="1">
        <f>SUM(I37:L37)</f>
        <v>301845.77</v>
      </c>
      <c r="O37" s="3">
        <f>SUM(G37:H37)</f>
        <v>3335700</v>
      </c>
      <c r="P37" s="108"/>
      <c r="R37" s="115" t="s">
        <v>81</v>
      </c>
      <c r="S37" s="53"/>
      <c r="T37" s="53"/>
      <c r="U37" s="53"/>
      <c r="V37" s="53"/>
      <c r="W37" s="53"/>
      <c r="X37" s="53"/>
      <c r="Y37" s="53"/>
      <c r="Z37" s="54"/>
      <c r="AA37" s="280"/>
      <c r="AB37" s="18"/>
    </row>
    <row r="38" spans="2:28" ht="13.5" thickBot="1">
      <c r="B38" s="5"/>
      <c r="C38" s="1"/>
      <c r="D38" s="2"/>
      <c r="E38" s="1"/>
      <c r="F38" s="3"/>
      <c r="G38" s="3"/>
      <c r="H38" s="3"/>
      <c r="I38" s="1"/>
      <c r="J38" s="1"/>
      <c r="K38" s="1"/>
      <c r="L38" s="1"/>
      <c r="M38" s="6"/>
      <c r="N38" s="1"/>
      <c r="O38" s="3"/>
      <c r="P38" s="108"/>
      <c r="R38" s="55" t="s">
        <v>203</v>
      </c>
      <c r="S38" s="18"/>
      <c r="T38" s="18"/>
      <c r="U38" s="18"/>
      <c r="V38" s="18"/>
      <c r="W38" s="18"/>
      <c r="X38" s="18"/>
      <c r="Y38" s="18"/>
      <c r="Z38" s="56"/>
      <c r="AA38" s="281"/>
      <c r="AB38" s="18"/>
    </row>
    <row r="39" spans="1:28" ht="12.75">
      <c r="A39" t="s">
        <v>27</v>
      </c>
      <c r="B39" s="5">
        <v>26</v>
      </c>
      <c r="C39" s="1">
        <v>23.87</v>
      </c>
      <c r="D39" s="2">
        <v>0.06789</v>
      </c>
      <c r="E39" s="1">
        <v>0</v>
      </c>
      <c r="F39" s="3">
        <v>2771</v>
      </c>
      <c r="G39" s="3">
        <v>2637056</v>
      </c>
      <c r="H39" s="3">
        <v>64222</v>
      </c>
      <c r="I39" s="1">
        <v>245078.43</v>
      </c>
      <c r="J39" s="1">
        <v>22042.74</v>
      </c>
      <c r="K39" s="1">
        <v>20021.28</v>
      </c>
      <c r="L39" s="1">
        <v>7394.48</v>
      </c>
      <c r="M39" s="6">
        <v>0</v>
      </c>
      <c r="N39" s="1">
        <f>SUM(I39:L39)</f>
        <v>294536.92999999993</v>
      </c>
      <c r="O39" s="3">
        <f>SUM(G39:H39)</f>
        <v>2701278</v>
      </c>
      <c r="P39" s="108"/>
      <c r="R39" s="57"/>
      <c r="S39" s="125" t="s">
        <v>91</v>
      </c>
      <c r="T39" s="334" t="s">
        <v>112</v>
      </c>
      <c r="U39" s="338"/>
      <c r="V39" s="290" t="s">
        <v>250</v>
      </c>
      <c r="W39" s="339" t="s">
        <v>83</v>
      </c>
      <c r="X39" s="337"/>
      <c r="Y39" s="144" t="s">
        <v>162</v>
      </c>
      <c r="Z39" s="154" t="s">
        <v>122</v>
      </c>
      <c r="AA39" s="276" t="s">
        <v>252</v>
      </c>
      <c r="AB39" s="145"/>
    </row>
    <row r="40" spans="2:28" ht="12.75">
      <c r="B40" s="5"/>
      <c r="C40" s="1"/>
      <c r="D40" s="2"/>
      <c r="E40" s="1"/>
      <c r="F40" s="3"/>
      <c r="G40" s="3"/>
      <c r="H40" s="3"/>
      <c r="I40" s="1"/>
      <c r="J40" s="1"/>
      <c r="K40" s="1"/>
      <c r="L40" s="1"/>
      <c r="M40" s="6"/>
      <c r="N40" s="1"/>
      <c r="O40" s="3"/>
      <c r="P40" s="108"/>
      <c r="R40" s="57"/>
      <c r="S40" s="126" t="s">
        <v>113</v>
      </c>
      <c r="T40" s="129" t="s">
        <v>88</v>
      </c>
      <c r="U40" s="18" t="s">
        <v>100</v>
      </c>
      <c r="V40" s="277" t="s">
        <v>251</v>
      </c>
      <c r="W40" s="289" t="s">
        <v>88</v>
      </c>
      <c r="X40" s="133" t="s">
        <v>100</v>
      </c>
      <c r="Y40" s="145" t="s">
        <v>86</v>
      </c>
      <c r="Z40" s="155" t="s">
        <v>86</v>
      </c>
      <c r="AA40" s="277" t="s">
        <v>253</v>
      </c>
      <c r="AB40" s="145"/>
    </row>
    <row r="41" spans="2:28" ht="13.5" thickBot="1">
      <c r="B41" s="5"/>
      <c r="C41" s="1"/>
      <c r="D41" s="2"/>
      <c r="E41" s="1"/>
      <c r="F41" s="3"/>
      <c r="G41" s="3"/>
      <c r="H41" s="3"/>
      <c r="I41" s="1"/>
      <c r="J41" s="1"/>
      <c r="K41" s="1"/>
      <c r="L41" s="1"/>
      <c r="M41" s="6"/>
      <c r="N41" s="1"/>
      <c r="O41" s="3"/>
      <c r="P41" s="108"/>
      <c r="R41" s="57"/>
      <c r="S41" s="127" t="s">
        <v>103</v>
      </c>
      <c r="T41" s="127" t="s">
        <v>104</v>
      </c>
      <c r="U41" s="288" t="s">
        <v>105</v>
      </c>
      <c r="V41" s="291" t="s">
        <v>254</v>
      </c>
      <c r="W41" s="146" t="s">
        <v>106</v>
      </c>
      <c r="X41" s="128" t="s">
        <v>107</v>
      </c>
      <c r="Y41" s="146" t="s">
        <v>108</v>
      </c>
      <c r="Z41" s="156" t="s">
        <v>163</v>
      </c>
      <c r="AA41" s="286" t="s">
        <v>254</v>
      </c>
      <c r="AB41" s="44"/>
    </row>
    <row r="42" spans="1:28" ht="12.75">
      <c r="A42" s="8" t="s">
        <v>24</v>
      </c>
      <c r="B42" s="5"/>
      <c r="C42" s="1"/>
      <c r="D42" s="2"/>
      <c r="E42" s="1"/>
      <c r="F42" s="3"/>
      <c r="G42" s="3"/>
      <c r="H42" s="3"/>
      <c r="I42" s="1"/>
      <c r="J42" s="1"/>
      <c r="K42" s="1"/>
      <c r="L42" s="1"/>
      <c r="M42" s="6"/>
      <c r="N42" s="1"/>
      <c r="O42" s="3"/>
      <c r="P42" s="108"/>
      <c r="R42" s="57" t="s">
        <v>114</v>
      </c>
      <c r="S42" s="58">
        <v>168703</v>
      </c>
      <c r="T42" s="59">
        <v>8.86</v>
      </c>
      <c r="U42" s="60">
        <f>S42*T42</f>
        <v>1494708.5799999998</v>
      </c>
      <c r="V42" s="292">
        <f>U42/U45</f>
        <v>0.1103659533243668</v>
      </c>
      <c r="W42" s="59">
        <f>T42</f>
        <v>8.86</v>
      </c>
      <c r="X42" s="61">
        <f>W42*S42</f>
        <v>1494708.5799999998</v>
      </c>
      <c r="Y42" s="33">
        <f aca="true" t="shared" si="2" ref="Y42:Y48">X42-U42</f>
        <v>0</v>
      </c>
      <c r="Z42" s="153"/>
      <c r="AA42" s="296">
        <f>X42/X45</f>
        <v>0.10490692969985493</v>
      </c>
      <c r="AB42" s="18"/>
    </row>
    <row r="43" spans="1:29" ht="12.75">
      <c r="A43" t="s">
        <v>28</v>
      </c>
      <c r="B43" s="5">
        <v>31</v>
      </c>
      <c r="C43" s="1">
        <v>24</v>
      </c>
      <c r="D43" s="2"/>
      <c r="E43" s="1">
        <v>6.23</v>
      </c>
      <c r="F43" s="3">
        <v>996</v>
      </c>
      <c r="G43" s="3">
        <v>41861289</v>
      </c>
      <c r="H43" s="3">
        <v>105380</v>
      </c>
      <c r="I43" s="1">
        <v>2454434.92</v>
      </c>
      <c r="J43" s="1">
        <v>340667.21</v>
      </c>
      <c r="K43" s="1">
        <v>205160.14</v>
      </c>
      <c r="L43" s="1">
        <v>9249.65</v>
      </c>
      <c r="M43" s="6">
        <v>117936.113</v>
      </c>
      <c r="N43" s="1">
        <f>SUM(I43:L43)</f>
        <v>3009511.92</v>
      </c>
      <c r="O43" s="3">
        <f>SUM(G43:H43)</f>
        <v>41966669</v>
      </c>
      <c r="P43" s="108"/>
      <c r="R43" s="57" t="s">
        <v>115</v>
      </c>
      <c r="S43" s="25">
        <v>181781760</v>
      </c>
      <c r="T43" s="62">
        <v>0.06628</v>
      </c>
      <c r="U43" s="60">
        <f>S43*T43</f>
        <v>12048495.052800002</v>
      </c>
      <c r="V43" s="293">
        <f>U43/U45</f>
        <v>0.8896340466756332</v>
      </c>
      <c r="W43" s="62">
        <f>T43+AF495+3266/(S43+0.6*S95)</f>
        <v>0.07015687591990134</v>
      </c>
      <c r="X43" s="61">
        <f>W43*S43</f>
        <v>12753240.380821286</v>
      </c>
      <c r="Y43" s="33">
        <f t="shared" si="2"/>
        <v>704745.3280212842</v>
      </c>
      <c r="Z43" s="153"/>
      <c r="AA43" s="297">
        <f>X43/X45</f>
        <v>0.8950930703001451</v>
      </c>
      <c r="AB43" s="18"/>
      <c r="AC43" s="3">
        <f>S43</f>
        <v>181781760</v>
      </c>
    </row>
    <row r="44" spans="1:28" ht="13.5" thickBot="1">
      <c r="A44" t="s">
        <v>29</v>
      </c>
      <c r="B44" s="5"/>
      <c r="C44" s="1"/>
      <c r="D44" s="2">
        <v>0.04945</v>
      </c>
      <c r="E44" s="1"/>
      <c r="F44" s="3"/>
      <c r="G44" s="3"/>
      <c r="H44" s="3"/>
      <c r="I44" s="1"/>
      <c r="J44" s="1"/>
      <c r="K44" s="1"/>
      <c r="L44" s="1"/>
      <c r="M44" s="6"/>
      <c r="N44" s="1"/>
      <c r="O44" s="3"/>
      <c r="P44" s="108"/>
      <c r="R44" s="57" t="s">
        <v>116</v>
      </c>
      <c r="S44" s="18"/>
      <c r="T44" s="18"/>
      <c r="U44" s="41"/>
      <c r="V44" s="295"/>
      <c r="W44" s="18"/>
      <c r="X44" s="135">
        <f>U44</f>
        <v>0</v>
      </c>
      <c r="Y44" s="169">
        <f t="shared" si="2"/>
        <v>0</v>
      </c>
      <c r="Z44" s="153"/>
      <c r="AA44" s="298"/>
      <c r="AB44" s="18"/>
    </row>
    <row r="45" spans="1:28" ht="13.5" thickBot="1">
      <c r="A45" t="s">
        <v>30</v>
      </c>
      <c r="B45" s="5"/>
      <c r="C45" s="1"/>
      <c r="D45" s="2">
        <v>0.04275</v>
      </c>
      <c r="E45" s="1"/>
      <c r="F45" s="3"/>
      <c r="G45" s="3"/>
      <c r="H45" s="3"/>
      <c r="I45" s="1"/>
      <c r="J45" s="1"/>
      <c r="K45" s="1"/>
      <c r="L45" s="1"/>
      <c r="M45" s="6"/>
      <c r="N45" s="1"/>
      <c r="O45" s="3"/>
      <c r="P45" s="108"/>
      <c r="R45" s="57" t="s">
        <v>117</v>
      </c>
      <c r="S45" s="18"/>
      <c r="T45" s="18"/>
      <c r="U45" s="60">
        <f>U42+U43+U44</f>
        <v>13543203.632800002</v>
      </c>
      <c r="V45" s="294">
        <f>V42+V43</f>
        <v>1</v>
      </c>
      <c r="W45" s="18"/>
      <c r="X45" s="63">
        <f>SUM(X42:X44)</f>
        <v>14247948.960821286</v>
      </c>
      <c r="Y45" s="63">
        <f t="shared" si="2"/>
        <v>704745.3280212842</v>
      </c>
      <c r="Z45" s="153"/>
      <c r="AA45" s="298">
        <f>AA42+AA43</f>
        <v>1</v>
      </c>
      <c r="AB45" s="18"/>
    </row>
    <row r="46" spans="1:28" ht="12.75">
      <c r="A46" t="s">
        <v>31</v>
      </c>
      <c r="B46" s="5"/>
      <c r="C46" s="1"/>
      <c r="D46" s="2">
        <v>0.03715</v>
      </c>
      <c r="E46" s="1"/>
      <c r="F46" s="3"/>
      <c r="G46" s="3"/>
      <c r="H46" s="3"/>
      <c r="I46" s="1"/>
      <c r="J46" s="1"/>
      <c r="K46" s="1"/>
      <c r="L46" s="1"/>
      <c r="M46" s="6"/>
      <c r="N46" s="1"/>
      <c r="O46" s="3"/>
      <c r="P46" s="108"/>
      <c r="R46" s="57" t="s">
        <v>118</v>
      </c>
      <c r="S46" s="18"/>
      <c r="T46" s="18"/>
      <c r="U46" s="60">
        <v>1555281.62</v>
      </c>
      <c r="V46" s="301"/>
      <c r="W46" s="18"/>
      <c r="X46" s="60">
        <v>1555281.62</v>
      </c>
      <c r="Y46" s="63">
        <f t="shared" si="2"/>
        <v>0</v>
      </c>
      <c r="Z46" s="153"/>
      <c r="AA46" s="275"/>
      <c r="AB46" s="18"/>
    </row>
    <row r="47" spans="1:28" ht="12.75">
      <c r="A47" t="s">
        <v>32</v>
      </c>
      <c r="B47" s="5"/>
      <c r="C47" s="1"/>
      <c r="D47" s="2">
        <v>0.03485</v>
      </c>
      <c r="E47" s="1"/>
      <c r="F47" s="3"/>
      <c r="G47" s="3"/>
      <c r="H47" s="3"/>
      <c r="I47" s="1"/>
      <c r="J47" s="1"/>
      <c r="K47" s="1"/>
      <c r="L47" s="1"/>
      <c r="M47" s="6"/>
      <c r="N47" s="1"/>
      <c r="O47" s="3"/>
      <c r="P47" s="108"/>
      <c r="R47" s="57" t="s">
        <v>119</v>
      </c>
      <c r="S47" s="18"/>
      <c r="T47" s="18"/>
      <c r="U47" s="60">
        <v>1125154.24</v>
      </c>
      <c r="V47" s="301"/>
      <c r="W47" s="18"/>
      <c r="X47" s="60">
        <v>1125154.24</v>
      </c>
      <c r="Y47" s="63">
        <f t="shared" si="2"/>
        <v>0</v>
      </c>
      <c r="Z47" s="153"/>
      <c r="AA47" s="275"/>
      <c r="AB47" s="18"/>
    </row>
    <row r="48" spans="1:28" ht="12.75">
      <c r="A48" t="s">
        <v>33</v>
      </c>
      <c r="B48" s="5"/>
      <c r="C48" s="1"/>
      <c r="D48" s="2">
        <v>0.03315</v>
      </c>
      <c r="E48" s="1"/>
      <c r="F48" s="3"/>
      <c r="G48" s="3"/>
      <c r="H48" s="3"/>
      <c r="I48" s="1"/>
      <c r="J48" s="1"/>
      <c r="K48" s="1"/>
      <c r="L48" s="1"/>
      <c r="M48" s="6"/>
      <c r="N48" s="1"/>
      <c r="O48" s="3"/>
      <c r="P48" s="108"/>
      <c r="R48" s="57" t="s">
        <v>120</v>
      </c>
      <c r="S48" s="18"/>
      <c r="T48" s="18"/>
      <c r="U48" s="42">
        <v>0</v>
      </c>
      <c r="V48" s="302"/>
      <c r="W48" s="18"/>
      <c r="X48" s="42">
        <v>0</v>
      </c>
      <c r="Y48" s="120">
        <f t="shared" si="2"/>
        <v>0</v>
      </c>
      <c r="Z48" s="153"/>
      <c r="AA48" s="275"/>
      <c r="AB48" s="18"/>
    </row>
    <row r="49" spans="2:28" ht="12.75">
      <c r="B49" s="5"/>
      <c r="C49" s="1"/>
      <c r="D49" s="2"/>
      <c r="E49" s="1"/>
      <c r="F49" s="3"/>
      <c r="G49" s="3"/>
      <c r="H49" s="3"/>
      <c r="I49" s="1"/>
      <c r="J49" s="1"/>
      <c r="K49" s="1"/>
      <c r="L49" s="1"/>
      <c r="M49" s="6"/>
      <c r="N49" s="1"/>
      <c r="O49" s="3"/>
      <c r="P49" s="108"/>
      <c r="R49" s="57" t="s">
        <v>121</v>
      </c>
      <c r="S49" s="18"/>
      <c r="T49" s="18"/>
      <c r="U49" s="63">
        <f>U45+U46+U47+U48</f>
        <v>16223639.492800003</v>
      </c>
      <c r="V49" s="283"/>
      <c r="W49" s="18"/>
      <c r="X49" s="63">
        <f>X45+X46+X47+X48</f>
        <v>16928384.820821285</v>
      </c>
      <c r="Y49" s="63">
        <f>Y45+Y46+Y47+Y48</f>
        <v>704745.3280212842</v>
      </c>
      <c r="Z49" s="153"/>
      <c r="AA49" s="275"/>
      <c r="AB49" s="18"/>
    </row>
    <row r="50" spans="1:28" ht="12.75">
      <c r="A50" t="s">
        <v>28</v>
      </c>
      <c r="B50" s="5">
        <v>32</v>
      </c>
      <c r="C50" s="1">
        <v>24</v>
      </c>
      <c r="D50" s="2"/>
      <c r="E50" s="1">
        <v>6.23</v>
      </c>
      <c r="F50" s="3">
        <v>163</v>
      </c>
      <c r="G50" s="3">
        <v>62076636</v>
      </c>
      <c r="H50" s="3">
        <v>69612</v>
      </c>
      <c r="I50" s="1">
        <v>3151850.94</v>
      </c>
      <c r="J50" s="1">
        <v>498851.68</v>
      </c>
      <c r="K50" s="1">
        <v>267958.25</v>
      </c>
      <c r="L50" s="1">
        <v>5190.24</v>
      </c>
      <c r="M50" s="6">
        <v>152042.76</v>
      </c>
      <c r="N50" s="1">
        <f>SUM(I50:L50)</f>
        <v>3923851.1100000003</v>
      </c>
      <c r="O50" s="3">
        <f>SUM(G50:H50)</f>
        <v>62146248</v>
      </c>
      <c r="P50" s="108"/>
      <c r="R50" s="57" t="s">
        <v>160</v>
      </c>
      <c r="S50" s="18"/>
      <c r="T50" s="18"/>
      <c r="U50" s="121">
        <f>U49/S42</f>
        <v>96.16687013746052</v>
      </c>
      <c r="V50" s="303"/>
      <c r="W50" s="18"/>
      <c r="X50" s="122">
        <f>X49/S42</f>
        <v>100.34430224015746</v>
      </c>
      <c r="Y50" s="121">
        <f>X50-U50</f>
        <v>4.17743210269694</v>
      </c>
      <c r="Z50" s="153"/>
      <c r="AA50" s="275"/>
      <c r="AB50" s="18"/>
    </row>
    <row r="51" spans="1:28" ht="13.5" thickBot="1">
      <c r="A51" t="s">
        <v>34</v>
      </c>
      <c r="B51" s="5"/>
      <c r="C51" s="1"/>
      <c r="D51" s="2">
        <v>0.05028</v>
      </c>
      <c r="E51" s="1"/>
      <c r="F51" s="3"/>
      <c r="G51" s="3"/>
      <c r="H51" s="3"/>
      <c r="I51" s="1"/>
      <c r="J51" s="1"/>
      <c r="K51" s="1"/>
      <c r="L51" s="1"/>
      <c r="M51" s="6"/>
      <c r="N51" s="1"/>
      <c r="O51" s="3"/>
      <c r="P51" s="108"/>
      <c r="R51" s="64" t="s">
        <v>122</v>
      </c>
      <c r="S51" s="65"/>
      <c r="T51" s="65"/>
      <c r="U51" s="117"/>
      <c r="V51" s="304"/>
      <c r="W51" s="65"/>
      <c r="X51" s="65"/>
      <c r="Y51" s="147"/>
      <c r="Z51" s="170">
        <f>X49/U49-1</f>
        <v>0.04343941002473861</v>
      </c>
      <c r="AA51" s="279"/>
      <c r="AB51" s="18"/>
    </row>
    <row r="52" spans="1:16" ht="13.5" thickBot="1">
      <c r="A52" t="s">
        <v>35</v>
      </c>
      <c r="B52" s="5"/>
      <c r="C52" s="1"/>
      <c r="D52" s="2">
        <v>0.04201</v>
      </c>
      <c r="E52" s="1"/>
      <c r="F52" s="3"/>
      <c r="G52" s="3"/>
      <c r="H52" s="3"/>
      <c r="I52" s="1"/>
      <c r="J52" s="1"/>
      <c r="K52" s="1"/>
      <c r="L52" s="1"/>
      <c r="M52" s="6"/>
      <c r="N52" s="1"/>
      <c r="O52" s="3"/>
      <c r="P52" s="108"/>
    </row>
    <row r="53" spans="1:28" ht="12.75">
      <c r="A53" t="s">
        <v>36</v>
      </c>
      <c r="B53" s="5"/>
      <c r="C53" s="1"/>
      <c r="D53" s="2">
        <v>0.03688</v>
      </c>
      <c r="E53" s="1"/>
      <c r="F53" s="3"/>
      <c r="G53" s="3"/>
      <c r="H53" s="3"/>
      <c r="I53" s="1"/>
      <c r="J53" s="1"/>
      <c r="K53" s="1"/>
      <c r="L53" s="1"/>
      <c r="M53" s="6"/>
      <c r="N53" s="1"/>
      <c r="O53" s="3"/>
      <c r="P53" s="108"/>
      <c r="R53" s="52"/>
      <c r="S53" s="53"/>
      <c r="T53" s="53"/>
      <c r="U53" s="53"/>
      <c r="V53" s="53"/>
      <c r="W53" s="53"/>
      <c r="X53" s="53"/>
      <c r="Y53" s="53"/>
      <c r="Z53" s="54"/>
      <c r="AA53" s="280"/>
      <c r="AB53" s="18"/>
    </row>
    <row r="54" spans="1:28" ht="12.75">
      <c r="A54" t="s">
        <v>37</v>
      </c>
      <c r="B54" s="5"/>
      <c r="C54" s="1"/>
      <c r="D54" s="2">
        <v>0.03533</v>
      </c>
      <c r="E54" s="1"/>
      <c r="F54" s="3"/>
      <c r="G54" s="3"/>
      <c r="H54" s="3"/>
      <c r="I54" s="1"/>
      <c r="J54" s="1"/>
      <c r="K54" s="1"/>
      <c r="L54" s="1"/>
      <c r="M54" s="6"/>
      <c r="N54" s="1"/>
      <c r="O54" s="3"/>
      <c r="P54" s="108"/>
      <c r="Q54" s="110"/>
      <c r="R54" s="55" t="s">
        <v>81</v>
      </c>
      <c r="S54" s="18"/>
      <c r="T54" s="18"/>
      <c r="U54" s="18"/>
      <c r="V54" s="18"/>
      <c r="W54" s="18"/>
      <c r="X54" s="18"/>
      <c r="Y54" s="18"/>
      <c r="Z54" s="56"/>
      <c r="AA54" s="281"/>
      <c r="AB54" s="18"/>
    </row>
    <row r="55" spans="1:28" ht="13.5" thickBot="1">
      <c r="A55" t="s">
        <v>38</v>
      </c>
      <c r="B55" s="5"/>
      <c r="C55" s="1"/>
      <c r="D55" s="2">
        <v>0.03441</v>
      </c>
      <c r="E55" s="1"/>
      <c r="F55" s="3"/>
      <c r="G55" s="3"/>
      <c r="H55" s="3"/>
      <c r="I55" s="1"/>
      <c r="J55" s="1"/>
      <c r="K55" s="1"/>
      <c r="L55" s="1"/>
      <c r="M55" s="6"/>
      <c r="N55" s="1"/>
      <c r="O55" s="3"/>
      <c r="P55" s="108"/>
      <c r="R55" s="55" t="s">
        <v>204</v>
      </c>
      <c r="S55" s="18"/>
      <c r="T55" s="18"/>
      <c r="U55" s="18"/>
      <c r="V55" s="18"/>
      <c r="W55" s="18"/>
      <c r="X55" s="18"/>
      <c r="Y55" s="18"/>
      <c r="Z55" s="56"/>
      <c r="AA55" s="281"/>
      <c r="AB55" s="18"/>
    </row>
    <row r="56" spans="1:28" ht="12.75">
      <c r="A56" t="s">
        <v>39</v>
      </c>
      <c r="B56" s="5"/>
      <c r="C56" s="1"/>
      <c r="D56" s="2">
        <v>0.03349</v>
      </c>
      <c r="E56" s="1"/>
      <c r="F56" s="3"/>
      <c r="G56" s="3"/>
      <c r="H56" s="3"/>
      <c r="I56" s="1"/>
      <c r="J56" s="1"/>
      <c r="K56" s="1"/>
      <c r="L56" s="1"/>
      <c r="M56" s="6"/>
      <c r="N56" s="1"/>
      <c r="O56" s="3"/>
      <c r="P56" s="108"/>
      <c r="R56" s="57"/>
      <c r="S56" s="125" t="s">
        <v>91</v>
      </c>
      <c r="T56" s="334" t="s">
        <v>112</v>
      </c>
      <c r="U56" s="338"/>
      <c r="V56" s="290" t="s">
        <v>250</v>
      </c>
      <c r="W56" s="339" t="s">
        <v>83</v>
      </c>
      <c r="X56" s="337"/>
      <c r="Y56" s="144" t="s">
        <v>162</v>
      </c>
      <c r="Z56" s="154" t="s">
        <v>122</v>
      </c>
      <c r="AA56" s="276" t="s">
        <v>252</v>
      </c>
      <c r="AB56" s="145"/>
    </row>
    <row r="57" spans="1:28" ht="12.75">
      <c r="A57" t="s">
        <v>40</v>
      </c>
      <c r="B57" s="5"/>
      <c r="C57" s="1"/>
      <c r="D57" s="2">
        <v>0.02822</v>
      </c>
      <c r="E57" s="1"/>
      <c r="F57" s="3"/>
      <c r="G57" s="3"/>
      <c r="H57" s="3"/>
      <c r="I57" s="1"/>
      <c r="J57" s="1"/>
      <c r="K57" s="1"/>
      <c r="L57" s="1"/>
      <c r="M57" s="6"/>
      <c r="N57" s="1"/>
      <c r="O57" s="3"/>
      <c r="P57" s="108"/>
      <c r="R57" s="57"/>
      <c r="S57" s="126" t="s">
        <v>113</v>
      </c>
      <c r="T57" s="129" t="s">
        <v>88</v>
      </c>
      <c r="U57" s="18" t="s">
        <v>100</v>
      </c>
      <c r="V57" s="277" t="s">
        <v>251</v>
      </c>
      <c r="W57" s="289" t="s">
        <v>88</v>
      </c>
      <c r="X57" s="133" t="s">
        <v>100</v>
      </c>
      <c r="Y57" s="145" t="s">
        <v>86</v>
      </c>
      <c r="Z57" s="155" t="s">
        <v>86</v>
      </c>
      <c r="AA57" s="277" t="s">
        <v>253</v>
      </c>
      <c r="AB57" s="145"/>
    </row>
    <row r="58" spans="2:28" ht="13.5" thickBot="1">
      <c r="B58" s="5"/>
      <c r="C58" s="1"/>
      <c r="D58" s="2"/>
      <c r="E58" s="1"/>
      <c r="F58" s="3"/>
      <c r="G58" s="3"/>
      <c r="H58" s="3"/>
      <c r="I58" s="1"/>
      <c r="J58" s="1"/>
      <c r="K58" s="1"/>
      <c r="L58" s="1"/>
      <c r="M58" s="6"/>
      <c r="N58" s="1"/>
      <c r="O58" s="3"/>
      <c r="P58" s="108"/>
      <c r="R58" s="57"/>
      <c r="S58" s="127" t="s">
        <v>103</v>
      </c>
      <c r="T58" s="127" t="s">
        <v>104</v>
      </c>
      <c r="U58" s="288" t="s">
        <v>105</v>
      </c>
      <c r="V58" s="291" t="s">
        <v>254</v>
      </c>
      <c r="W58" s="146" t="s">
        <v>106</v>
      </c>
      <c r="X58" s="128" t="s">
        <v>107</v>
      </c>
      <c r="Y58" s="146" t="s">
        <v>108</v>
      </c>
      <c r="Z58" s="156" t="s">
        <v>163</v>
      </c>
      <c r="AA58" s="286" t="s">
        <v>254</v>
      </c>
      <c r="AB58" s="44"/>
    </row>
    <row r="59" spans="1:28" ht="12.75">
      <c r="A59" t="s">
        <v>41</v>
      </c>
      <c r="B59" s="5">
        <v>33</v>
      </c>
      <c r="C59" s="1">
        <v>0</v>
      </c>
      <c r="D59" s="2"/>
      <c r="E59" s="1">
        <v>3.18</v>
      </c>
      <c r="F59" s="3">
        <v>120</v>
      </c>
      <c r="G59" s="3">
        <v>2376821</v>
      </c>
      <c r="H59" s="3">
        <v>2220</v>
      </c>
      <c r="I59" s="1">
        <v>174499.54</v>
      </c>
      <c r="J59" s="1">
        <v>19495.98</v>
      </c>
      <c r="K59" s="1">
        <v>14380.2</v>
      </c>
      <c r="L59" s="1">
        <v>307.8</v>
      </c>
      <c r="M59" s="6">
        <v>7779.476</v>
      </c>
      <c r="N59" s="1">
        <f>SUM(I59:L59)</f>
        <v>208683.52000000002</v>
      </c>
      <c r="O59" s="3">
        <f>SUM(G59:H59)</f>
        <v>2379041</v>
      </c>
      <c r="P59" s="108"/>
      <c r="R59" s="57" t="s">
        <v>114</v>
      </c>
      <c r="S59" s="58">
        <v>1376</v>
      </c>
      <c r="T59" s="59">
        <v>0</v>
      </c>
      <c r="U59" s="60">
        <f>S59*T59</f>
        <v>0</v>
      </c>
      <c r="V59" s="309"/>
      <c r="W59" s="59">
        <f>T59</f>
        <v>0</v>
      </c>
      <c r="X59" s="61">
        <f>W59*S59</f>
        <v>0</v>
      </c>
      <c r="Y59" s="33">
        <f aca="true" t="shared" si="3" ref="Y59:Y67">X59-U59</f>
        <v>0</v>
      </c>
      <c r="Z59" s="56"/>
      <c r="AA59" s="292"/>
      <c r="AB59" s="18"/>
    </row>
    <row r="60" spans="1:29" ht="12.75">
      <c r="A60" t="s">
        <v>43</v>
      </c>
      <c r="B60" s="5"/>
      <c r="C60" s="1"/>
      <c r="D60" s="2">
        <v>0.072</v>
      </c>
      <c r="E60" s="1"/>
      <c r="F60" s="3"/>
      <c r="G60" s="3"/>
      <c r="H60" s="3"/>
      <c r="I60" s="1"/>
      <c r="J60" s="1"/>
      <c r="K60" s="1"/>
      <c r="L60" s="1"/>
      <c r="M60" s="6"/>
      <c r="N60" s="1"/>
      <c r="O60" s="3"/>
      <c r="P60" s="108"/>
      <c r="R60" s="57" t="s">
        <v>115</v>
      </c>
      <c r="S60" s="25">
        <v>720916</v>
      </c>
      <c r="T60" s="62">
        <v>0.03617</v>
      </c>
      <c r="U60" s="60">
        <f>S60*T60</f>
        <v>26075.53172</v>
      </c>
      <c r="V60" s="293">
        <f>U60/U62</f>
        <v>1</v>
      </c>
      <c r="W60" s="186">
        <f>0.6*W11</f>
        <v>0.03848507996041522</v>
      </c>
      <c r="X60" s="61">
        <f>W60*S60</f>
        <v>27744.509904742696</v>
      </c>
      <c r="Y60" s="33">
        <f t="shared" si="3"/>
        <v>1668.9781847426966</v>
      </c>
      <c r="Z60" s="56"/>
      <c r="AA60" s="293">
        <f>X60/X62</f>
        <v>1</v>
      </c>
      <c r="AB60" s="18"/>
      <c r="AC60" s="3">
        <f>S60</f>
        <v>720916</v>
      </c>
    </row>
    <row r="61" spans="1:28" ht="13.5" thickBot="1">
      <c r="A61" t="s">
        <v>44</v>
      </c>
      <c r="B61" s="5"/>
      <c r="D61" s="2">
        <v>0.068</v>
      </c>
      <c r="E61" s="1"/>
      <c r="F61" s="3"/>
      <c r="G61" s="3"/>
      <c r="H61" s="3"/>
      <c r="I61" s="1"/>
      <c r="J61" s="1"/>
      <c r="K61" s="1"/>
      <c r="L61" s="1"/>
      <c r="M61" s="6"/>
      <c r="N61" s="1"/>
      <c r="O61" s="3"/>
      <c r="P61" s="108"/>
      <c r="R61" s="57" t="s">
        <v>116</v>
      </c>
      <c r="S61" s="18"/>
      <c r="T61" s="18"/>
      <c r="U61" s="41"/>
      <c r="V61" s="295"/>
      <c r="W61" s="18"/>
      <c r="X61" s="135">
        <f>U61</f>
        <v>0</v>
      </c>
      <c r="Y61" s="169">
        <f t="shared" si="3"/>
        <v>0</v>
      </c>
      <c r="Z61" s="56"/>
      <c r="AA61" s="294"/>
      <c r="AB61" s="18"/>
    </row>
    <row r="62" spans="1:28" ht="13.5" thickBot="1">
      <c r="A62" t="s">
        <v>45</v>
      </c>
      <c r="B62" s="5"/>
      <c r="D62" s="2">
        <v>0.0581</v>
      </c>
      <c r="E62" s="1"/>
      <c r="F62" s="3"/>
      <c r="G62" s="3"/>
      <c r="H62" s="3"/>
      <c r="I62" s="1"/>
      <c r="J62" s="1"/>
      <c r="K62" s="1"/>
      <c r="L62" s="1"/>
      <c r="M62" s="6"/>
      <c r="N62" s="1"/>
      <c r="O62" s="3"/>
      <c r="P62" s="108"/>
      <c r="R62" s="57" t="s">
        <v>117</v>
      </c>
      <c r="S62" s="18"/>
      <c r="T62" s="18"/>
      <c r="U62" s="60">
        <f>U59+U60+U61</f>
        <v>26075.53172</v>
      </c>
      <c r="V62" s="306">
        <f>V60</f>
        <v>1</v>
      </c>
      <c r="W62" s="18"/>
      <c r="X62" s="63">
        <f>SUM(X59:X61)</f>
        <v>27744.509904742696</v>
      </c>
      <c r="Y62" s="63">
        <f t="shared" si="3"/>
        <v>1668.9781847426966</v>
      </c>
      <c r="Z62" s="56"/>
      <c r="AA62" s="306">
        <f>AA60</f>
        <v>1</v>
      </c>
      <c r="AB62" s="18"/>
    </row>
    <row r="63" spans="2:28" ht="12.75">
      <c r="B63" s="5"/>
      <c r="D63" s="2"/>
      <c r="E63" s="1"/>
      <c r="F63" s="3"/>
      <c r="G63" s="3"/>
      <c r="H63" s="3"/>
      <c r="I63" s="1"/>
      <c r="J63" s="1"/>
      <c r="K63" s="1"/>
      <c r="L63" s="1"/>
      <c r="M63" s="6"/>
      <c r="N63" s="1"/>
      <c r="O63" s="3"/>
      <c r="P63" s="108"/>
      <c r="R63" s="57" t="s">
        <v>118</v>
      </c>
      <c r="S63" s="18"/>
      <c r="T63" s="18"/>
      <c r="U63" s="60">
        <v>6484.39</v>
      </c>
      <c r="V63" s="301"/>
      <c r="W63" s="18"/>
      <c r="X63" s="63">
        <f>U63</f>
        <v>6484.39</v>
      </c>
      <c r="Y63" s="63">
        <f t="shared" si="3"/>
        <v>0</v>
      </c>
      <c r="Z63" s="56"/>
      <c r="AA63" s="281"/>
      <c r="AB63" s="18"/>
    </row>
    <row r="64" spans="1:28" ht="12.75">
      <c r="A64" t="s">
        <v>42</v>
      </c>
      <c r="B64" s="5">
        <v>35</v>
      </c>
      <c r="C64" s="1">
        <v>270</v>
      </c>
      <c r="D64" s="2"/>
      <c r="E64" s="1">
        <v>4.34</v>
      </c>
      <c r="F64" s="3">
        <v>25</v>
      </c>
      <c r="G64" s="3">
        <v>2334514</v>
      </c>
      <c r="H64" s="3">
        <v>0</v>
      </c>
      <c r="I64" s="1">
        <v>137694.76</v>
      </c>
      <c r="J64" s="1">
        <v>18154.47</v>
      </c>
      <c r="K64" s="1">
        <v>12257.73</v>
      </c>
      <c r="L64" s="1">
        <v>0</v>
      </c>
      <c r="M64" s="6">
        <v>7480.62</v>
      </c>
      <c r="N64" s="1">
        <f>SUM(I64:L64)</f>
        <v>168106.96000000002</v>
      </c>
      <c r="O64" s="3">
        <f>SUM(G64:H64)</f>
        <v>2334514</v>
      </c>
      <c r="P64" s="108"/>
      <c r="R64" s="57" t="s">
        <v>119</v>
      </c>
      <c r="S64" s="18"/>
      <c r="T64" s="18"/>
      <c r="U64" s="60">
        <v>2167.18</v>
      </c>
      <c r="V64" s="301"/>
      <c r="W64" s="18"/>
      <c r="X64" s="63">
        <f>U64</f>
        <v>2167.18</v>
      </c>
      <c r="Y64" s="63">
        <f t="shared" si="3"/>
        <v>0</v>
      </c>
      <c r="Z64" s="56"/>
      <c r="AA64" s="281"/>
      <c r="AB64" s="18"/>
    </row>
    <row r="65" spans="1:28" ht="12.75">
      <c r="A65" t="s">
        <v>46</v>
      </c>
      <c r="B65" s="5"/>
      <c r="C65" s="1"/>
      <c r="D65" s="2">
        <v>0.04276</v>
      </c>
      <c r="E65" s="1"/>
      <c r="F65" s="3"/>
      <c r="G65" s="3"/>
      <c r="H65" s="3"/>
      <c r="I65" s="1"/>
      <c r="J65" s="1"/>
      <c r="K65" s="1"/>
      <c r="L65" s="1"/>
      <c r="M65" s="6"/>
      <c r="N65" s="1"/>
      <c r="O65" s="3"/>
      <c r="P65" s="108"/>
      <c r="R65" s="57" t="s">
        <v>120</v>
      </c>
      <c r="S65" s="18"/>
      <c r="T65" s="18"/>
      <c r="U65" s="42">
        <v>0</v>
      </c>
      <c r="V65" s="302"/>
      <c r="W65" s="18"/>
      <c r="X65" s="120">
        <f>U65</f>
        <v>0</v>
      </c>
      <c r="Y65" s="120">
        <f t="shared" si="3"/>
        <v>0</v>
      </c>
      <c r="Z65" s="56"/>
      <c r="AA65" s="281"/>
      <c r="AB65" s="18"/>
    </row>
    <row r="66" spans="1:28" ht="12.75">
      <c r="A66" t="s">
        <v>47</v>
      </c>
      <c r="C66" s="1"/>
      <c r="D66" s="2">
        <v>0.03487</v>
      </c>
      <c r="E66" s="1"/>
      <c r="F66" s="3"/>
      <c r="G66" s="3"/>
      <c r="H66" s="3"/>
      <c r="N66" s="1"/>
      <c r="O66" s="3"/>
      <c r="P66" s="108"/>
      <c r="R66" s="57" t="s">
        <v>121</v>
      </c>
      <c r="S66" s="18"/>
      <c r="T66" s="18"/>
      <c r="U66" s="63">
        <f>U62+U63+U64+U65</f>
        <v>34727.10172</v>
      </c>
      <c r="V66" s="283"/>
      <c r="W66" s="18"/>
      <c r="X66" s="63">
        <f>X62+X63+X64+X65</f>
        <v>36396.0799047427</v>
      </c>
      <c r="Y66" s="63">
        <f t="shared" si="3"/>
        <v>1668.9781847427003</v>
      </c>
      <c r="Z66" s="56"/>
      <c r="AA66" s="281"/>
      <c r="AB66" s="18"/>
    </row>
    <row r="67" spans="3:28" ht="12.75">
      <c r="C67" s="1"/>
      <c r="D67" s="2"/>
      <c r="E67" s="1"/>
      <c r="F67" s="3"/>
      <c r="G67" s="3"/>
      <c r="H67" s="3"/>
      <c r="N67" s="1"/>
      <c r="O67" s="3"/>
      <c r="P67" s="108"/>
      <c r="R67" s="57" t="s">
        <v>160</v>
      </c>
      <c r="S67" s="18"/>
      <c r="T67" s="18"/>
      <c r="U67" s="121">
        <f>U66/S59</f>
        <v>25.237719273255813</v>
      </c>
      <c r="V67" s="303"/>
      <c r="W67" s="18"/>
      <c r="X67" s="122">
        <f>X66/S59</f>
        <v>26.45063946565603</v>
      </c>
      <c r="Y67" s="121">
        <f t="shared" si="3"/>
        <v>1.2129201924002189</v>
      </c>
      <c r="Z67" s="56"/>
      <c r="AA67" s="281"/>
      <c r="AB67" s="18"/>
    </row>
    <row r="68" spans="1:28" ht="13.5" thickBot="1">
      <c r="A68" t="s">
        <v>42</v>
      </c>
      <c r="B68">
        <v>36</v>
      </c>
      <c r="C68" s="1">
        <v>1214</v>
      </c>
      <c r="E68" s="1">
        <v>4.34</v>
      </c>
      <c r="F68" s="3">
        <v>26</v>
      </c>
      <c r="G68" s="3">
        <v>8102767</v>
      </c>
      <c r="H68" s="3">
        <v>0</v>
      </c>
      <c r="I68" s="1">
        <v>374896.67</v>
      </c>
      <c r="J68" s="1">
        <v>66232.87</v>
      </c>
      <c r="K68" s="1">
        <v>32156.27</v>
      </c>
      <c r="L68" s="1">
        <v>0</v>
      </c>
      <c r="M68" s="6">
        <v>13766.4</v>
      </c>
      <c r="N68" s="1">
        <f>SUM(I68:L68)</f>
        <v>473285.81</v>
      </c>
      <c r="O68" s="3">
        <f>SUM(G68:H68)</f>
        <v>8102767</v>
      </c>
      <c r="P68" s="108"/>
      <c r="R68" s="123" t="s">
        <v>122</v>
      </c>
      <c r="S68" s="65"/>
      <c r="T68" s="65"/>
      <c r="U68" s="65"/>
      <c r="V68" s="308"/>
      <c r="W68" s="65"/>
      <c r="X68" s="65"/>
      <c r="Y68" s="147"/>
      <c r="Z68" s="124">
        <f>X66/U66-1</f>
        <v>0.04805981789668046</v>
      </c>
      <c r="AA68" s="282"/>
      <c r="AB68" s="18"/>
    </row>
    <row r="69" spans="1:16" ht="13.5" thickBot="1">
      <c r="A69" t="s">
        <v>46</v>
      </c>
      <c r="C69" s="1"/>
      <c r="D69" s="2">
        <v>0.04276</v>
      </c>
      <c r="G69" s="3"/>
      <c r="H69" s="3"/>
      <c r="I69" s="1"/>
      <c r="J69" s="1"/>
      <c r="K69" s="1"/>
      <c r="L69" s="1"/>
      <c r="M69" s="6"/>
      <c r="N69" s="1"/>
      <c r="O69" s="3"/>
      <c r="P69" s="108"/>
    </row>
    <row r="70" spans="1:28" ht="12.75">
      <c r="A70" t="s">
        <v>47</v>
      </c>
      <c r="C70" s="1"/>
      <c r="D70" s="2">
        <v>0.03487</v>
      </c>
      <c r="G70" s="3"/>
      <c r="H70" s="3"/>
      <c r="I70" s="1"/>
      <c r="J70" s="1"/>
      <c r="K70" s="1"/>
      <c r="L70" s="1"/>
      <c r="M70" s="6"/>
      <c r="N70" s="1"/>
      <c r="O70" s="3"/>
      <c r="P70" s="108"/>
      <c r="R70" s="52"/>
      <c r="S70" s="53"/>
      <c r="T70" s="53"/>
      <c r="U70" s="53"/>
      <c r="V70" s="53"/>
      <c r="W70" s="53"/>
      <c r="X70" s="53"/>
      <c r="Y70" s="53"/>
      <c r="Z70" s="54"/>
      <c r="AA70" s="280"/>
      <c r="AB70" s="18"/>
    </row>
    <row r="71" spans="3:28" ht="12.75">
      <c r="C71" s="1"/>
      <c r="D71" s="2"/>
      <c r="G71" s="3"/>
      <c r="H71" s="3"/>
      <c r="I71" s="1"/>
      <c r="J71" s="1"/>
      <c r="K71" s="1"/>
      <c r="L71" s="1"/>
      <c r="M71" s="6"/>
      <c r="N71" s="1"/>
      <c r="O71" s="3"/>
      <c r="P71" s="108"/>
      <c r="R71" s="55" t="s">
        <v>81</v>
      </c>
      <c r="S71" s="18"/>
      <c r="T71" s="18"/>
      <c r="U71" s="18"/>
      <c r="V71" s="18"/>
      <c r="W71" s="18"/>
      <c r="X71" s="18"/>
      <c r="Y71" s="18"/>
      <c r="Z71" s="56"/>
      <c r="AA71" s="281"/>
      <c r="AB71" s="18"/>
    </row>
    <row r="72" spans="1:28" ht="13.5" thickBot="1">
      <c r="A72" t="s">
        <v>48</v>
      </c>
      <c r="B72">
        <v>39</v>
      </c>
      <c r="C72" s="1">
        <v>28.68</v>
      </c>
      <c r="D72" s="2">
        <v>0.04329</v>
      </c>
      <c r="E72" s="1">
        <v>7.82</v>
      </c>
      <c r="F72">
        <v>233</v>
      </c>
      <c r="G72" s="3">
        <v>7107452</v>
      </c>
      <c r="H72" s="3">
        <v>43223</v>
      </c>
      <c r="I72" s="1">
        <v>476909.46</v>
      </c>
      <c r="J72" s="1">
        <v>58211.29</v>
      </c>
      <c r="K72" s="1">
        <v>39323.48</v>
      </c>
      <c r="L72" s="1">
        <v>4504.15</v>
      </c>
      <c r="M72" s="6">
        <v>21067.4</v>
      </c>
      <c r="N72" s="1">
        <f>SUM(I72:L72)</f>
        <v>578948.38</v>
      </c>
      <c r="O72" s="3">
        <f>SUM(G72:H72)</f>
        <v>7150675</v>
      </c>
      <c r="P72" s="108"/>
      <c r="R72" s="55" t="s">
        <v>205</v>
      </c>
      <c r="S72" s="18"/>
      <c r="T72" s="18"/>
      <c r="U72" s="18"/>
      <c r="V72" s="18"/>
      <c r="W72" s="18"/>
      <c r="X72" s="18"/>
      <c r="Y72" s="18"/>
      <c r="Z72" s="56"/>
      <c r="AA72" s="281"/>
      <c r="AB72" s="18"/>
    </row>
    <row r="73" spans="3:28" ht="12.75">
      <c r="C73" s="1"/>
      <c r="D73" s="2"/>
      <c r="E73" s="1"/>
      <c r="G73" s="3"/>
      <c r="H73" s="3"/>
      <c r="I73" s="1"/>
      <c r="J73" s="1"/>
      <c r="K73" s="1"/>
      <c r="L73" s="1"/>
      <c r="M73" s="6"/>
      <c r="N73" s="1"/>
      <c r="O73" s="3"/>
      <c r="P73" s="108"/>
      <c r="R73" s="57"/>
      <c r="S73" s="125" t="s">
        <v>91</v>
      </c>
      <c r="T73" s="334" t="s">
        <v>112</v>
      </c>
      <c r="U73" s="338"/>
      <c r="V73" s="290" t="s">
        <v>250</v>
      </c>
      <c r="W73" s="339" t="s">
        <v>83</v>
      </c>
      <c r="X73" s="337"/>
      <c r="Y73" s="144" t="s">
        <v>162</v>
      </c>
      <c r="Z73" s="154" t="s">
        <v>122</v>
      </c>
      <c r="AA73" s="290" t="s">
        <v>252</v>
      </c>
      <c r="AB73" s="145"/>
    </row>
    <row r="74" spans="1:28" ht="12.75">
      <c r="A74" t="s">
        <v>49</v>
      </c>
      <c r="B74">
        <v>40</v>
      </c>
      <c r="C74" s="1">
        <v>40.16</v>
      </c>
      <c r="D74" s="2">
        <v>0.04077</v>
      </c>
      <c r="E74" s="1">
        <v>7.82</v>
      </c>
      <c r="F74">
        <v>24</v>
      </c>
      <c r="G74" s="3">
        <v>4477200</v>
      </c>
      <c r="H74" s="3">
        <v>12936</v>
      </c>
      <c r="I74" s="1">
        <v>267686.9</v>
      </c>
      <c r="J74" s="1">
        <v>35772.2</v>
      </c>
      <c r="K74" s="1">
        <v>22449.34</v>
      </c>
      <c r="L74" s="1">
        <v>2081.52</v>
      </c>
      <c r="M74" s="6">
        <v>10765.68</v>
      </c>
      <c r="N74" s="1">
        <f>SUM(I74:L74)</f>
        <v>327989.9600000001</v>
      </c>
      <c r="O74" s="3">
        <f>SUM(G74:H74)</f>
        <v>4490136</v>
      </c>
      <c r="P74" s="108"/>
      <c r="R74" s="57"/>
      <c r="S74" s="126" t="s">
        <v>113</v>
      </c>
      <c r="T74" s="129" t="s">
        <v>88</v>
      </c>
      <c r="U74" s="18" t="s">
        <v>100</v>
      </c>
      <c r="V74" s="277" t="s">
        <v>251</v>
      </c>
      <c r="W74" s="289" t="s">
        <v>88</v>
      </c>
      <c r="X74" s="133" t="s">
        <v>100</v>
      </c>
      <c r="Y74" s="145" t="s">
        <v>86</v>
      </c>
      <c r="Z74" s="155" t="s">
        <v>86</v>
      </c>
      <c r="AA74" s="277" t="s">
        <v>253</v>
      </c>
      <c r="AB74" s="145"/>
    </row>
    <row r="75" spans="3:28" ht="13.5" thickBot="1">
      <c r="C75" s="1"/>
      <c r="D75" s="2"/>
      <c r="E75" s="1"/>
      <c r="G75" s="3"/>
      <c r="H75" s="3"/>
      <c r="I75" s="1"/>
      <c r="J75" s="1"/>
      <c r="K75" s="1"/>
      <c r="L75" s="1"/>
      <c r="M75" s="6"/>
      <c r="N75" s="1"/>
      <c r="O75" s="3"/>
      <c r="P75" s="108"/>
      <c r="R75" s="57"/>
      <c r="S75" s="127" t="s">
        <v>103</v>
      </c>
      <c r="T75" s="127" t="s">
        <v>104</v>
      </c>
      <c r="U75" s="288" t="s">
        <v>105</v>
      </c>
      <c r="V75" s="286" t="s">
        <v>254</v>
      </c>
      <c r="W75" s="146" t="s">
        <v>106</v>
      </c>
      <c r="X75" s="128" t="s">
        <v>107</v>
      </c>
      <c r="Y75" s="146" t="s">
        <v>108</v>
      </c>
      <c r="Z75" s="156" t="s">
        <v>163</v>
      </c>
      <c r="AA75" s="286" t="s">
        <v>254</v>
      </c>
      <c r="AB75" s="44"/>
    </row>
    <row r="76" spans="1:28" ht="12.75">
      <c r="A76" t="s">
        <v>50</v>
      </c>
      <c r="B76">
        <v>44</v>
      </c>
      <c r="C76" s="1">
        <v>1069</v>
      </c>
      <c r="D76" s="2">
        <v>0.03077</v>
      </c>
      <c r="E76" s="1"/>
      <c r="F76">
        <v>12</v>
      </c>
      <c r="G76" s="3">
        <v>19819200</v>
      </c>
      <c r="H76" s="3">
        <v>37140</v>
      </c>
      <c r="I76" s="1">
        <v>917028.76</v>
      </c>
      <c r="J76" s="1">
        <v>160484.1</v>
      </c>
      <c r="K76" s="1">
        <v>85842.03</v>
      </c>
      <c r="L76" s="1">
        <v>2724.6</v>
      </c>
      <c r="M76" s="6">
        <v>48000</v>
      </c>
      <c r="N76" s="1">
        <f>SUM(I76:L76)</f>
        <v>1166079.4900000002</v>
      </c>
      <c r="O76" s="3">
        <f>SUM(G76:H76)</f>
        <v>19856340</v>
      </c>
      <c r="P76" s="108"/>
      <c r="R76" s="57" t="s">
        <v>114</v>
      </c>
      <c r="S76" s="58">
        <v>295</v>
      </c>
      <c r="T76" s="59">
        <v>0</v>
      </c>
      <c r="U76" s="60">
        <f>S76*T76</f>
        <v>0</v>
      </c>
      <c r="V76" s="292"/>
      <c r="W76" s="59">
        <f>T76</f>
        <v>0</v>
      </c>
      <c r="X76" s="61">
        <f>W76*S76</f>
        <v>0</v>
      </c>
      <c r="Y76" s="33">
        <f aca="true" t="shared" si="4" ref="Y76:Y84">X76-U76</f>
        <v>0</v>
      </c>
      <c r="Z76" s="56"/>
      <c r="AA76" s="292"/>
      <c r="AB76" s="18"/>
    </row>
    <row r="77" spans="1:29" ht="12.75">
      <c r="A77" t="s">
        <v>51</v>
      </c>
      <c r="C77" s="1"/>
      <c r="E77" s="1">
        <v>5.39</v>
      </c>
      <c r="G77" s="3"/>
      <c r="H77" s="3"/>
      <c r="I77" s="1"/>
      <c r="J77" s="1"/>
      <c r="K77" s="1"/>
      <c r="L77" s="1"/>
      <c r="M77" s="6"/>
      <c r="N77" s="1"/>
      <c r="O77" s="3"/>
      <c r="P77" s="108"/>
      <c r="R77" s="57" t="s">
        <v>115</v>
      </c>
      <c r="S77" s="25">
        <v>171632</v>
      </c>
      <c r="T77" s="62">
        <v>0.0388</v>
      </c>
      <c r="U77" s="60">
        <f>S77*T77</f>
        <v>6659.3216</v>
      </c>
      <c r="V77" s="293">
        <f>U77/U79</f>
        <v>0.9999897287889732</v>
      </c>
      <c r="W77" s="186">
        <f>0.6*W27</f>
        <v>0.04111836254141492</v>
      </c>
      <c r="X77" s="61">
        <f>W77*S77</f>
        <v>7057.226799708125</v>
      </c>
      <c r="Y77" s="33">
        <f t="shared" si="4"/>
        <v>397.9051997081251</v>
      </c>
      <c r="Z77" s="56"/>
      <c r="AA77" s="293">
        <f>X77/X79</f>
        <v>1</v>
      </c>
      <c r="AB77" s="18"/>
      <c r="AC77" s="3">
        <f>S77</f>
        <v>171632</v>
      </c>
    </row>
    <row r="78" spans="1:28" ht="15.75" thickBot="1">
      <c r="A78" t="s">
        <v>52</v>
      </c>
      <c r="C78" s="1"/>
      <c r="E78" s="1">
        <v>7.82</v>
      </c>
      <c r="G78" s="3"/>
      <c r="H78" s="3"/>
      <c r="I78" s="1"/>
      <c r="J78" s="1"/>
      <c r="K78" s="1"/>
      <c r="L78" s="1"/>
      <c r="M78" s="6"/>
      <c r="N78" s="1"/>
      <c r="O78" s="3"/>
      <c r="P78" s="108"/>
      <c r="R78" s="57" t="s">
        <v>116</v>
      </c>
      <c r="S78" s="18"/>
      <c r="T78" s="18"/>
      <c r="U78" s="41">
        <f>6659.39-U77-U76</f>
        <v>0.0684000000001106</v>
      </c>
      <c r="V78" s="295"/>
      <c r="W78" s="18"/>
      <c r="X78" s="179"/>
      <c r="Y78" s="169">
        <f t="shared" si="4"/>
        <v>-0.0684000000001106</v>
      </c>
      <c r="Z78" s="56"/>
      <c r="AA78" s="295"/>
      <c r="AB78" s="18"/>
    </row>
    <row r="79" spans="3:28" ht="13.5" thickBot="1">
      <c r="C79" s="1"/>
      <c r="E79" s="1"/>
      <c r="G79" s="3"/>
      <c r="H79" s="3"/>
      <c r="I79" s="1"/>
      <c r="J79" s="1"/>
      <c r="K79" s="1"/>
      <c r="L79" s="1"/>
      <c r="M79" s="6"/>
      <c r="N79" s="1"/>
      <c r="O79" s="3"/>
      <c r="P79" s="108"/>
      <c r="R79" s="57" t="s">
        <v>117</v>
      </c>
      <c r="S79" s="18"/>
      <c r="T79" s="18"/>
      <c r="U79" s="60">
        <f>U76+U77+U78</f>
        <v>6659.39</v>
      </c>
      <c r="V79" s="306">
        <f>V77</f>
        <v>0.9999897287889732</v>
      </c>
      <c r="W79" s="18"/>
      <c r="X79" s="63">
        <f>SUM(X76:X78)</f>
        <v>7057.226799708125</v>
      </c>
      <c r="Y79" s="63">
        <f t="shared" si="4"/>
        <v>397.836799708125</v>
      </c>
      <c r="Z79" s="56"/>
      <c r="AA79" s="306">
        <f>AA77</f>
        <v>1</v>
      </c>
      <c r="AB79" s="18"/>
    </row>
    <row r="80" spans="1:28" ht="12.75">
      <c r="A80" t="s">
        <v>50</v>
      </c>
      <c r="B80">
        <v>45</v>
      </c>
      <c r="C80" s="1">
        <v>1069</v>
      </c>
      <c r="D80" s="2">
        <v>0.03077</v>
      </c>
      <c r="E80" s="1"/>
      <c r="F80">
        <v>12</v>
      </c>
      <c r="G80" s="3">
        <v>38653200</v>
      </c>
      <c r="H80" s="3">
        <v>0</v>
      </c>
      <c r="I80" s="1">
        <v>1543523.08</v>
      </c>
      <c r="J80" s="1">
        <v>313835.41</v>
      </c>
      <c r="K80" s="1">
        <v>134625.35</v>
      </c>
      <c r="L80" s="1">
        <v>0</v>
      </c>
      <c r="M80" s="6">
        <v>62200.4</v>
      </c>
      <c r="N80" s="1">
        <f>SUM(I80:L80)</f>
        <v>1991983.84</v>
      </c>
      <c r="O80" s="3">
        <f>SUM(G80:H80)</f>
        <v>38653200</v>
      </c>
      <c r="P80" s="108"/>
      <c r="R80" s="57" t="s">
        <v>118</v>
      </c>
      <c r="S80" s="18"/>
      <c r="T80" s="18"/>
      <c r="U80" s="60">
        <v>1439.39</v>
      </c>
      <c r="V80" s="301"/>
      <c r="W80" s="18"/>
      <c r="X80" s="63">
        <f>U80</f>
        <v>1439.39</v>
      </c>
      <c r="Y80" s="63">
        <f t="shared" si="4"/>
        <v>0</v>
      </c>
      <c r="Z80" s="56"/>
      <c r="AA80" s="301"/>
      <c r="AB80" s="18"/>
    </row>
    <row r="81" spans="1:28" ht="12.75">
      <c r="A81" t="s">
        <v>51</v>
      </c>
      <c r="C81" s="1"/>
      <c r="E81" s="1">
        <v>5.39</v>
      </c>
      <c r="G81" s="3"/>
      <c r="H81" s="3"/>
      <c r="I81" s="1"/>
      <c r="J81" s="1"/>
      <c r="K81" s="1"/>
      <c r="L81" s="1"/>
      <c r="M81" s="6"/>
      <c r="N81" s="1"/>
      <c r="O81" s="3"/>
      <c r="P81" s="108"/>
      <c r="R81" s="57" t="s">
        <v>119</v>
      </c>
      <c r="S81" s="18"/>
      <c r="T81" s="18"/>
      <c r="U81" s="60">
        <v>519.01</v>
      </c>
      <c r="V81" s="301"/>
      <c r="W81" s="18"/>
      <c r="X81" s="63">
        <f>U81</f>
        <v>519.01</v>
      </c>
      <c r="Y81" s="63">
        <f t="shared" si="4"/>
        <v>0</v>
      </c>
      <c r="Z81" s="56"/>
      <c r="AA81" s="301"/>
      <c r="AB81" s="18"/>
    </row>
    <row r="82" spans="1:28" ht="12.75">
      <c r="A82" t="s">
        <v>52</v>
      </c>
      <c r="C82" s="1"/>
      <c r="E82" s="1">
        <v>7.82</v>
      </c>
      <c r="G82" s="3"/>
      <c r="H82" s="3"/>
      <c r="I82" s="1"/>
      <c r="J82" s="1"/>
      <c r="K82" s="1"/>
      <c r="L82" s="1"/>
      <c r="M82" s="6"/>
      <c r="N82" s="1"/>
      <c r="O82" s="3"/>
      <c r="P82" s="108"/>
      <c r="R82" s="57" t="s">
        <v>120</v>
      </c>
      <c r="S82" s="18"/>
      <c r="T82" s="18"/>
      <c r="U82" s="42">
        <v>0</v>
      </c>
      <c r="V82" s="302"/>
      <c r="W82" s="18"/>
      <c r="X82" s="120">
        <f>U82</f>
        <v>0</v>
      </c>
      <c r="Y82" s="120">
        <f t="shared" si="4"/>
        <v>0</v>
      </c>
      <c r="Z82" s="56"/>
      <c r="AA82" s="302"/>
      <c r="AB82" s="18"/>
    </row>
    <row r="83" spans="3:28" ht="12.75">
      <c r="C83" s="1"/>
      <c r="E83" s="1"/>
      <c r="G83" s="3"/>
      <c r="H83" s="3"/>
      <c r="I83" s="1"/>
      <c r="J83" s="1"/>
      <c r="K83" s="1"/>
      <c r="L83" s="1"/>
      <c r="M83" s="6"/>
      <c r="N83" s="1"/>
      <c r="O83" s="3"/>
      <c r="P83" s="108"/>
      <c r="R83" s="57" t="s">
        <v>121</v>
      </c>
      <c r="S83" s="18"/>
      <c r="T83" s="18"/>
      <c r="U83" s="63">
        <f>U79+U80+U81+U82</f>
        <v>8617.79</v>
      </c>
      <c r="V83" s="283"/>
      <c r="W83" s="18"/>
      <c r="X83" s="63">
        <f>X79+X80+X81+X82</f>
        <v>9015.626799708125</v>
      </c>
      <c r="Y83" s="63">
        <f t="shared" si="4"/>
        <v>397.8367997081241</v>
      </c>
      <c r="Z83" s="56"/>
      <c r="AA83" s="283"/>
      <c r="AB83" s="18"/>
    </row>
    <row r="84" spans="1:28" ht="12.75">
      <c r="A84" t="s">
        <v>53</v>
      </c>
      <c r="B84">
        <v>46</v>
      </c>
      <c r="C84" s="1">
        <v>565</v>
      </c>
      <c r="D84">
        <v>0.03537</v>
      </c>
      <c r="E84" s="1"/>
      <c r="F84">
        <v>12</v>
      </c>
      <c r="G84" s="3">
        <v>21805200</v>
      </c>
      <c r="H84" s="3">
        <v>0</v>
      </c>
      <c r="I84" s="1">
        <v>930504.98</v>
      </c>
      <c r="J84" s="1">
        <v>167966.8</v>
      </c>
      <c r="K84" s="1">
        <v>80355.85</v>
      </c>
      <c r="L84" s="1">
        <v>0</v>
      </c>
      <c r="M84" s="6">
        <v>35336.388</v>
      </c>
      <c r="N84" s="1">
        <f>SUM(I84:L84)</f>
        <v>1178827.6300000001</v>
      </c>
      <c r="O84" s="3">
        <f>SUM(G84:H84)</f>
        <v>21805200</v>
      </c>
      <c r="P84" s="108"/>
      <c r="R84" s="57" t="s">
        <v>160</v>
      </c>
      <c r="S84" s="18"/>
      <c r="T84" s="18"/>
      <c r="U84" s="121">
        <f>U83/S76</f>
        <v>29.21284745762712</v>
      </c>
      <c r="V84" s="303"/>
      <c r="W84" s="18"/>
      <c r="X84" s="122">
        <f>X83/S76</f>
        <v>30.56144677867161</v>
      </c>
      <c r="Y84" s="121">
        <f t="shared" si="4"/>
        <v>1.3485993210444889</v>
      </c>
      <c r="Z84" s="56"/>
      <c r="AA84" s="303"/>
      <c r="AB84" s="18"/>
    </row>
    <row r="85" spans="1:28" ht="13.5" thickBot="1">
      <c r="A85" t="s">
        <v>51</v>
      </c>
      <c r="C85" s="1"/>
      <c r="E85" s="1">
        <v>5.39</v>
      </c>
      <c r="G85" s="3"/>
      <c r="H85" s="3"/>
      <c r="I85" s="1"/>
      <c r="J85" s="1"/>
      <c r="K85" s="1"/>
      <c r="L85" s="1"/>
      <c r="M85" s="6"/>
      <c r="N85" s="1"/>
      <c r="O85" s="3"/>
      <c r="P85" s="108"/>
      <c r="R85" s="64" t="s">
        <v>122</v>
      </c>
      <c r="S85" s="65"/>
      <c r="T85" s="65"/>
      <c r="U85" s="65"/>
      <c r="V85" s="308"/>
      <c r="W85" s="65"/>
      <c r="X85" s="65"/>
      <c r="Y85" s="147"/>
      <c r="Z85" s="124">
        <f>X83/U83-1</f>
        <v>0.04616459668988493</v>
      </c>
      <c r="AA85" s="308"/>
      <c r="AB85" s="18"/>
    </row>
    <row r="86" spans="1:27" ht="15.75">
      <c r="A86" t="s">
        <v>52</v>
      </c>
      <c r="C86" s="1"/>
      <c r="E86" s="1">
        <v>7.82</v>
      </c>
      <c r="G86" s="3"/>
      <c r="H86" s="3"/>
      <c r="I86" s="1"/>
      <c r="J86" s="1"/>
      <c r="K86" s="1"/>
      <c r="L86" s="1"/>
      <c r="M86" s="6"/>
      <c r="N86" s="1"/>
      <c r="O86" s="3"/>
      <c r="P86" s="108"/>
      <c r="R86" s="242" t="s">
        <v>81</v>
      </c>
      <c r="Z86" s="243"/>
      <c r="AA86" s="331" t="s">
        <v>259</v>
      </c>
    </row>
    <row r="87" spans="3:27" ht="15.75">
      <c r="C87" s="1"/>
      <c r="E87" s="1"/>
      <c r="G87" s="3"/>
      <c r="H87" s="3"/>
      <c r="I87" s="1"/>
      <c r="J87" s="1"/>
      <c r="K87" s="1"/>
      <c r="L87" s="1"/>
      <c r="M87" s="6"/>
      <c r="N87" s="1"/>
      <c r="O87" s="3"/>
      <c r="P87" s="108"/>
      <c r="R87" s="242" t="s">
        <v>240</v>
      </c>
      <c r="Z87" s="243"/>
      <c r="AA87" s="331" t="s">
        <v>260</v>
      </c>
    </row>
    <row r="88" spans="3:28" ht="16.5" thickBot="1">
      <c r="C88" s="1"/>
      <c r="E88" s="1"/>
      <c r="G88" s="3"/>
      <c r="H88" s="3"/>
      <c r="I88" s="1"/>
      <c r="J88" s="1"/>
      <c r="K88" s="1"/>
      <c r="L88" s="1"/>
      <c r="M88" s="6"/>
      <c r="N88" s="1"/>
      <c r="O88" s="3"/>
      <c r="P88" s="108"/>
      <c r="R88" s="18"/>
      <c r="S88" s="18"/>
      <c r="T88" s="18"/>
      <c r="U88" s="18"/>
      <c r="V88" s="18"/>
      <c r="W88" s="18"/>
      <c r="X88" s="18"/>
      <c r="Y88" s="18"/>
      <c r="Z88" s="18"/>
      <c r="AA88" s="331" t="s">
        <v>246</v>
      </c>
      <c r="AB88" s="18"/>
    </row>
    <row r="89" spans="1:28" ht="12.75">
      <c r="A89" t="s">
        <v>50</v>
      </c>
      <c r="B89">
        <v>47</v>
      </c>
      <c r="C89" s="1">
        <v>1069</v>
      </c>
      <c r="D89">
        <v>0.03077</v>
      </c>
      <c r="E89" s="1"/>
      <c r="F89">
        <v>12</v>
      </c>
      <c r="G89" s="3">
        <v>20508000</v>
      </c>
      <c r="H89" s="3">
        <v>25608</v>
      </c>
      <c r="I89" s="1">
        <v>936687.9</v>
      </c>
      <c r="J89" s="1">
        <v>165770.9</v>
      </c>
      <c r="K89" s="1">
        <v>88104.92</v>
      </c>
      <c r="L89" s="1">
        <v>1927.8</v>
      </c>
      <c r="M89" s="6">
        <v>49200</v>
      </c>
      <c r="N89" s="1">
        <f>SUM(I89:L89)</f>
        <v>1192491.52</v>
      </c>
      <c r="O89" s="3">
        <f>SUM(G89:H89)</f>
        <v>20533608</v>
      </c>
      <c r="P89" s="108"/>
      <c r="R89" s="115" t="s">
        <v>81</v>
      </c>
      <c r="S89" s="53"/>
      <c r="T89" s="53"/>
      <c r="U89" s="53"/>
      <c r="V89" s="53"/>
      <c r="W89" s="53"/>
      <c r="X89" s="53"/>
      <c r="Y89" s="53"/>
      <c r="Z89" s="54"/>
      <c r="AA89" s="280"/>
      <c r="AB89" s="18"/>
    </row>
    <row r="90" spans="1:28" ht="13.5" thickBot="1">
      <c r="A90" t="s">
        <v>51</v>
      </c>
      <c r="C90" s="1"/>
      <c r="E90" s="1">
        <v>5.39</v>
      </c>
      <c r="G90" s="3"/>
      <c r="H90" s="3"/>
      <c r="I90" s="1"/>
      <c r="J90" s="1"/>
      <c r="K90" s="1"/>
      <c r="L90" s="1"/>
      <c r="M90" s="6"/>
      <c r="N90" s="1"/>
      <c r="O90" s="3"/>
      <c r="P90" s="108"/>
      <c r="R90" s="55" t="s">
        <v>206</v>
      </c>
      <c r="S90" s="18"/>
      <c r="T90" s="18"/>
      <c r="U90" s="18"/>
      <c r="V90" s="18"/>
      <c r="W90" s="18"/>
      <c r="X90" s="18"/>
      <c r="Y90" s="18"/>
      <c r="Z90" s="56"/>
      <c r="AA90" s="281"/>
      <c r="AB90" s="18"/>
    </row>
    <row r="91" spans="1:47" ht="12.75">
      <c r="A91" t="s">
        <v>52</v>
      </c>
      <c r="C91" s="1"/>
      <c r="E91" s="1">
        <v>7.82</v>
      </c>
      <c r="G91" s="3"/>
      <c r="H91" s="3"/>
      <c r="I91" s="1"/>
      <c r="J91" s="1"/>
      <c r="K91" s="1"/>
      <c r="L91" s="1"/>
      <c r="M91" s="6"/>
      <c r="N91" s="1"/>
      <c r="O91" s="3"/>
      <c r="P91" s="108"/>
      <c r="R91" s="195" t="s">
        <v>197</v>
      </c>
      <c r="S91" s="125" t="s">
        <v>91</v>
      </c>
      <c r="T91" s="334" t="s">
        <v>112</v>
      </c>
      <c r="U91" s="338"/>
      <c r="V91" s="290" t="s">
        <v>250</v>
      </c>
      <c r="W91" s="339" t="s">
        <v>83</v>
      </c>
      <c r="X91" s="337"/>
      <c r="Y91" s="144" t="s">
        <v>162</v>
      </c>
      <c r="Z91" s="154" t="s">
        <v>122</v>
      </c>
      <c r="AA91" s="276" t="s">
        <v>252</v>
      </c>
      <c r="AB91" s="145"/>
      <c r="AJ91" s="35"/>
      <c r="AR91" s="67"/>
      <c r="AS91" s="53"/>
      <c r="AT91" s="53"/>
      <c r="AU91" s="54"/>
    </row>
    <row r="92" spans="3:47" ht="12.75">
      <c r="C92" s="1"/>
      <c r="E92" s="1"/>
      <c r="G92" s="3"/>
      <c r="H92" s="3"/>
      <c r="I92" s="1"/>
      <c r="J92" s="1"/>
      <c r="K92" s="1"/>
      <c r="L92" s="1"/>
      <c r="M92" s="6"/>
      <c r="N92" s="1"/>
      <c r="O92" s="3"/>
      <c r="P92" s="108"/>
      <c r="R92" s="57"/>
      <c r="S92" s="126" t="s">
        <v>113</v>
      </c>
      <c r="T92" s="129" t="s">
        <v>88</v>
      </c>
      <c r="U92" s="18" t="s">
        <v>100</v>
      </c>
      <c r="V92" s="277" t="s">
        <v>251</v>
      </c>
      <c r="W92" s="289" t="s">
        <v>88</v>
      </c>
      <c r="X92" s="133" t="s">
        <v>100</v>
      </c>
      <c r="Y92" s="145" t="s">
        <v>86</v>
      </c>
      <c r="Z92" s="155" t="s">
        <v>86</v>
      </c>
      <c r="AA92" s="277" t="s">
        <v>253</v>
      </c>
      <c r="AB92" s="145"/>
      <c r="AJ92" s="35"/>
      <c r="AR92" s="37"/>
      <c r="AS92" s="18"/>
      <c r="AT92" s="18"/>
      <c r="AU92" s="56"/>
    </row>
    <row r="93" spans="1:47" ht="13.5" thickBot="1">
      <c r="A93" t="s">
        <v>50</v>
      </c>
      <c r="B93">
        <v>48</v>
      </c>
      <c r="C93" s="1">
        <v>1069</v>
      </c>
      <c r="D93">
        <v>0.03077</v>
      </c>
      <c r="E93" s="1"/>
      <c r="F93">
        <v>12</v>
      </c>
      <c r="G93" s="3">
        <v>35685600</v>
      </c>
      <c r="H93" s="3">
        <v>1008</v>
      </c>
      <c r="I93" s="1">
        <v>1506181.69</v>
      </c>
      <c r="J93" s="1">
        <v>285662.29</v>
      </c>
      <c r="K93" s="1">
        <v>130516.87</v>
      </c>
      <c r="L93" s="1">
        <v>136.44</v>
      </c>
      <c r="M93" s="6">
        <v>71805.6</v>
      </c>
      <c r="N93" s="1">
        <f>SUM(I93:L93)</f>
        <v>1922497.29</v>
      </c>
      <c r="O93" s="3">
        <f>SUM(G93:H93)</f>
        <v>35686608</v>
      </c>
      <c r="P93" s="108"/>
      <c r="R93" s="57"/>
      <c r="S93" s="127" t="s">
        <v>103</v>
      </c>
      <c r="T93" s="127" t="s">
        <v>104</v>
      </c>
      <c r="U93" s="288" t="s">
        <v>105</v>
      </c>
      <c r="V93" s="286" t="s">
        <v>254</v>
      </c>
      <c r="W93" s="146" t="s">
        <v>106</v>
      </c>
      <c r="X93" s="128" t="s">
        <v>107</v>
      </c>
      <c r="Y93" s="146" t="s">
        <v>108</v>
      </c>
      <c r="Z93" s="156" t="s">
        <v>163</v>
      </c>
      <c r="AA93" s="278" t="s">
        <v>254</v>
      </c>
      <c r="AB93" s="44"/>
      <c r="AJ93" s="35"/>
      <c r="AR93" s="37"/>
      <c r="AS93" s="43" t="s">
        <v>130</v>
      </c>
      <c r="AT93" s="43"/>
      <c r="AU93" s="56"/>
    </row>
    <row r="94" spans="1:47" ht="12.75">
      <c r="A94" t="s">
        <v>51</v>
      </c>
      <c r="C94" s="1"/>
      <c r="E94" s="1">
        <v>5.39</v>
      </c>
      <c r="G94" s="3"/>
      <c r="H94" s="3"/>
      <c r="I94" s="1"/>
      <c r="J94" s="1"/>
      <c r="K94" s="1"/>
      <c r="L94" s="1"/>
      <c r="M94" s="6"/>
      <c r="N94" s="1"/>
      <c r="O94" s="3"/>
      <c r="P94" s="108"/>
      <c r="R94" s="57" t="s">
        <v>114</v>
      </c>
      <c r="S94" s="58">
        <v>2875</v>
      </c>
      <c r="T94" s="59">
        <v>0</v>
      </c>
      <c r="U94" s="60">
        <f>S94*T94</f>
        <v>0</v>
      </c>
      <c r="V94" s="292"/>
      <c r="W94" s="59">
        <f>T94</f>
        <v>0</v>
      </c>
      <c r="X94" s="61">
        <f>W94*S94</f>
        <v>0</v>
      </c>
      <c r="Y94" s="33">
        <f aca="true" t="shared" si="5" ref="Y94:Y102">X94-U94</f>
        <v>0</v>
      </c>
      <c r="Z94" s="56"/>
      <c r="AA94" s="310"/>
      <c r="AB94" s="35"/>
      <c r="AJ94" s="35"/>
      <c r="AR94" s="37"/>
      <c r="AS94" s="43"/>
      <c r="AT94" s="43"/>
      <c r="AU94" s="56"/>
    </row>
    <row r="95" spans="1:47" ht="12.75">
      <c r="A95" t="s">
        <v>52</v>
      </c>
      <c r="C95" s="1"/>
      <c r="E95" s="1">
        <v>7.82</v>
      </c>
      <c r="G95" s="3"/>
      <c r="H95" s="3"/>
      <c r="I95" s="1"/>
      <c r="J95" s="1"/>
      <c r="K95" s="1"/>
      <c r="L95" s="1"/>
      <c r="M95" s="6"/>
      <c r="N95" s="1"/>
      <c r="O95" s="3"/>
      <c r="P95" s="108"/>
      <c r="R95" s="57" t="s">
        <v>115</v>
      </c>
      <c r="S95" s="25">
        <v>2112962</v>
      </c>
      <c r="T95" s="62">
        <v>0.03977</v>
      </c>
      <c r="U95" s="60">
        <f>S95*T95</f>
        <v>84032.49874</v>
      </c>
      <c r="V95" s="293">
        <f>U95/U97</f>
        <v>1</v>
      </c>
      <c r="W95" s="62">
        <f>0.6*W43</f>
        <v>0.0420941255519408</v>
      </c>
      <c r="X95" s="61">
        <f>W95*S95</f>
        <v>88943.28771447994</v>
      </c>
      <c r="Y95" s="33">
        <f t="shared" si="5"/>
        <v>4910.788974479947</v>
      </c>
      <c r="Z95" s="56"/>
      <c r="AA95" s="293">
        <f>X95/X97</f>
        <v>1</v>
      </c>
      <c r="AB95" s="35"/>
      <c r="AC95" s="3">
        <f>S95</f>
        <v>2112962</v>
      </c>
      <c r="AJ95" s="35"/>
      <c r="AR95" s="37"/>
      <c r="AS95" s="43"/>
      <c r="AT95" s="43"/>
      <c r="AU95" s="56"/>
    </row>
    <row r="96" spans="3:47" ht="13.5" thickBot="1">
      <c r="C96" s="1"/>
      <c r="E96" s="1"/>
      <c r="G96" s="3"/>
      <c r="H96" s="3"/>
      <c r="I96" s="1"/>
      <c r="J96" s="1"/>
      <c r="K96" s="1"/>
      <c r="L96" s="1"/>
      <c r="M96" s="6"/>
      <c r="N96" s="1"/>
      <c r="O96" s="3"/>
      <c r="P96" s="108"/>
      <c r="R96" s="57" t="s">
        <v>116</v>
      </c>
      <c r="S96" s="18"/>
      <c r="T96" s="18"/>
      <c r="U96" s="41"/>
      <c r="V96" s="295"/>
      <c r="W96" s="18"/>
      <c r="X96" s="135">
        <f>U96</f>
        <v>0</v>
      </c>
      <c r="Y96" s="169">
        <f t="shared" si="5"/>
        <v>0</v>
      </c>
      <c r="Z96" s="56"/>
      <c r="AA96" s="293"/>
      <c r="AB96" s="35"/>
      <c r="AJ96" s="35"/>
      <c r="AR96" s="37"/>
      <c r="AS96" s="43"/>
      <c r="AT96" s="44"/>
      <c r="AU96" s="56"/>
    </row>
    <row r="97" spans="1:47" ht="13.5" thickBot="1">
      <c r="A97" t="s">
        <v>50</v>
      </c>
      <c r="B97">
        <v>49</v>
      </c>
      <c r="C97" s="1">
        <v>1069</v>
      </c>
      <c r="D97">
        <v>0.03077</v>
      </c>
      <c r="E97" s="1"/>
      <c r="F97">
        <v>12</v>
      </c>
      <c r="G97" s="3">
        <v>42588000</v>
      </c>
      <c r="H97" s="3">
        <v>0</v>
      </c>
      <c r="I97" s="1">
        <v>1735786.98</v>
      </c>
      <c r="J97" s="1">
        <v>349035.91</v>
      </c>
      <c r="K97" s="1">
        <v>150224.39</v>
      </c>
      <c r="L97" s="1">
        <v>0</v>
      </c>
      <c r="M97" s="6">
        <v>75247.984</v>
      </c>
      <c r="N97" s="1">
        <f>SUM(I97:L97)</f>
        <v>2235047.28</v>
      </c>
      <c r="O97" s="3">
        <f>SUM(G97:H97)</f>
        <v>42588000</v>
      </c>
      <c r="P97" s="108"/>
      <c r="R97" s="57" t="s">
        <v>117</v>
      </c>
      <c r="S97" s="18"/>
      <c r="T97" s="18"/>
      <c r="U97" s="60">
        <f>U94+U95+U96</f>
        <v>84032.49874</v>
      </c>
      <c r="V97" s="306">
        <f>V95</f>
        <v>1</v>
      </c>
      <c r="W97" s="18"/>
      <c r="X97" s="63">
        <f>SUM(X94:X96)</f>
        <v>88943.28771447994</v>
      </c>
      <c r="Y97" s="63">
        <f t="shared" si="5"/>
        <v>4910.788974479947</v>
      </c>
      <c r="Z97" s="56"/>
      <c r="AA97" s="306">
        <f>AA95</f>
        <v>1</v>
      </c>
      <c r="AB97" s="35"/>
      <c r="AJ97" s="35"/>
      <c r="AR97" s="37"/>
      <c r="AS97" s="45" t="s">
        <v>128</v>
      </c>
      <c r="AT97" s="46">
        <f>S59+S76+S94</f>
        <v>4546</v>
      </c>
      <c r="AU97" s="56"/>
    </row>
    <row r="98" spans="1:47" ht="12.75">
      <c r="A98" t="s">
        <v>51</v>
      </c>
      <c r="C98" s="1"/>
      <c r="E98" s="1">
        <v>5.39</v>
      </c>
      <c r="G98" s="3"/>
      <c r="H98" s="3"/>
      <c r="I98" s="1"/>
      <c r="J98" s="1"/>
      <c r="K98" s="1"/>
      <c r="L98" s="1"/>
      <c r="M98" s="6"/>
      <c r="N98" s="1"/>
      <c r="O98" s="3"/>
      <c r="P98" s="108"/>
      <c r="R98" s="57" t="s">
        <v>118</v>
      </c>
      <c r="S98" s="18"/>
      <c r="T98" s="18"/>
      <c r="U98" s="60">
        <v>19120.67</v>
      </c>
      <c r="V98" s="301"/>
      <c r="W98" s="18"/>
      <c r="X98" s="63">
        <f>U98</f>
        <v>19120.67</v>
      </c>
      <c r="Y98" s="63">
        <f t="shared" si="5"/>
        <v>0</v>
      </c>
      <c r="Z98" s="56"/>
      <c r="AA98" s="281"/>
      <c r="AB98" s="35"/>
      <c r="AJ98" s="35"/>
      <c r="AR98" s="37"/>
      <c r="AS98" s="47" t="s">
        <v>90</v>
      </c>
      <c r="AT98" s="48">
        <f>S60+S77+S95</f>
        <v>3005510</v>
      </c>
      <c r="AU98" s="56"/>
    </row>
    <row r="99" spans="1:47" ht="12.75">
      <c r="A99" t="s">
        <v>52</v>
      </c>
      <c r="C99" s="1"/>
      <c r="E99" s="1">
        <v>7.82</v>
      </c>
      <c r="G99" s="3"/>
      <c r="H99" s="3"/>
      <c r="I99" s="1"/>
      <c r="J99" s="1"/>
      <c r="K99" s="1"/>
      <c r="L99" s="1"/>
      <c r="M99" s="6"/>
      <c r="N99" s="1"/>
      <c r="O99" s="3"/>
      <c r="P99" s="108"/>
      <c r="R99" s="57" t="s">
        <v>119</v>
      </c>
      <c r="S99" s="18"/>
      <c r="T99" s="18"/>
      <c r="U99" s="60">
        <v>6903.87</v>
      </c>
      <c r="V99" s="301"/>
      <c r="W99" s="18"/>
      <c r="X99" s="63">
        <f>U99</f>
        <v>6903.87</v>
      </c>
      <c r="Y99" s="63">
        <f t="shared" si="5"/>
        <v>0</v>
      </c>
      <c r="Z99" s="56"/>
      <c r="AA99" s="281"/>
      <c r="AB99" s="35"/>
      <c r="AJ99" s="35"/>
      <c r="AR99" s="37"/>
      <c r="AS99" s="47" t="s">
        <v>124</v>
      </c>
      <c r="AT99" s="48">
        <f>AT98/AT97</f>
        <v>661.1328640563132</v>
      </c>
      <c r="AU99" s="56"/>
    </row>
    <row r="100" spans="3:47" ht="12.75">
      <c r="C100" s="1"/>
      <c r="E100" s="1"/>
      <c r="G100" s="3"/>
      <c r="H100" s="3"/>
      <c r="I100" s="1"/>
      <c r="J100" s="1"/>
      <c r="K100" s="1"/>
      <c r="L100" s="1"/>
      <c r="M100" s="6"/>
      <c r="N100" s="1"/>
      <c r="O100" s="3"/>
      <c r="P100" s="108"/>
      <c r="R100" s="57" t="s">
        <v>120</v>
      </c>
      <c r="S100" s="18"/>
      <c r="T100" s="18"/>
      <c r="U100" s="42">
        <v>0</v>
      </c>
      <c r="V100" s="302"/>
      <c r="W100" s="18"/>
      <c r="X100" s="120">
        <f>U100</f>
        <v>0</v>
      </c>
      <c r="Y100" s="120">
        <f t="shared" si="5"/>
        <v>0</v>
      </c>
      <c r="Z100" s="56"/>
      <c r="AA100" s="281"/>
      <c r="AB100" s="35"/>
      <c r="AJ100" s="35"/>
      <c r="AR100" s="37"/>
      <c r="AS100" s="47" t="s">
        <v>125</v>
      </c>
      <c r="AT100" s="49">
        <f>(U59+U60+U76+U77+U94+U95)/AT97</f>
        <v>25.6857351649802</v>
      </c>
      <c r="AU100" s="56"/>
    </row>
    <row r="101" spans="1:47" ht="12.75">
      <c r="A101" t="s">
        <v>54</v>
      </c>
      <c r="B101">
        <v>50</v>
      </c>
      <c r="C101" s="1">
        <v>2373</v>
      </c>
      <c r="E101" s="1">
        <v>5.39</v>
      </c>
      <c r="F101">
        <v>12</v>
      </c>
      <c r="G101" s="3">
        <v>53712000</v>
      </c>
      <c r="H101" s="3">
        <v>0</v>
      </c>
      <c r="I101" s="1">
        <v>2318891.61</v>
      </c>
      <c r="J101" s="1">
        <v>434809.83</v>
      </c>
      <c r="K101" s="1">
        <v>213594.44</v>
      </c>
      <c r="L101" s="1">
        <v>0</v>
      </c>
      <c r="M101" s="6">
        <v>97032.183</v>
      </c>
      <c r="N101" s="1">
        <f>SUM(I101:L101)</f>
        <v>2967295.88</v>
      </c>
      <c r="O101" s="3">
        <f>SUM(G101:H101)</f>
        <v>53712000</v>
      </c>
      <c r="P101" s="108"/>
      <c r="R101" s="57" t="s">
        <v>121</v>
      </c>
      <c r="S101" s="18"/>
      <c r="T101" s="18"/>
      <c r="U101" s="63">
        <f>U97+U98+U99+U100</f>
        <v>110057.03873999999</v>
      </c>
      <c r="V101" s="283"/>
      <c r="W101" s="18"/>
      <c r="X101" s="63">
        <f>X97+X98+X99+X100</f>
        <v>114967.82771447994</v>
      </c>
      <c r="Y101" s="63">
        <f t="shared" si="5"/>
        <v>4910.788974479947</v>
      </c>
      <c r="Z101" s="56"/>
      <c r="AA101" s="281"/>
      <c r="AB101" s="35"/>
      <c r="AJ101" s="35"/>
      <c r="AR101" s="37"/>
      <c r="AS101" s="47" t="s">
        <v>126</v>
      </c>
      <c r="AT101" s="49">
        <f>(X62+X79+X97)/AT97</f>
        <v>27.220638895497306</v>
      </c>
      <c r="AU101" s="56"/>
    </row>
    <row r="102" spans="1:47" ht="12.75">
      <c r="A102" t="s">
        <v>46</v>
      </c>
      <c r="C102" s="1"/>
      <c r="D102">
        <v>0.03735</v>
      </c>
      <c r="E102" s="1"/>
      <c r="G102" s="3"/>
      <c r="H102" s="3"/>
      <c r="I102" s="1"/>
      <c r="J102" s="1"/>
      <c r="K102" s="1"/>
      <c r="L102" s="1"/>
      <c r="M102" s="6"/>
      <c r="P102" s="108"/>
      <c r="R102" s="57" t="s">
        <v>160</v>
      </c>
      <c r="S102" s="18"/>
      <c r="T102" s="18"/>
      <c r="U102" s="121">
        <f>U101/S94</f>
        <v>38.280709126956516</v>
      </c>
      <c r="V102" s="303"/>
      <c r="W102" s="18"/>
      <c r="X102" s="122">
        <f>X101/S94</f>
        <v>39.98880963981911</v>
      </c>
      <c r="Y102" s="121">
        <f t="shared" si="5"/>
        <v>1.7081005128625932</v>
      </c>
      <c r="Z102" s="56"/>
      <c r="AA102" s="281"/>
      <c r="AB102" s="35"/>
      <c r="AJ102" s="35"/>
      <c r="AR102" s="37"/>
      <c r="AS102" s="116" t="s">
        <v>159</v>
      </c>
      <c r="AT102" s="69">
        <f>AT100-AT101</f>
        <v>-1.5349037305171045</v>
      </c>
      <c r="AU102" s="56"/>
    </row>
    <row r="103" spans="1:47" ht="13.5" thickBot="1">
      <c r="A103" t="s">
        <v>55</v>
      </c>
      <c r="C103" s="1"/>
      <c r="D103">
        <v>0.02983</v>
      </c>
      <c r="E103" s="1"/>
      <c r="G103" s="3"/>
      <c r="H103" s="3"/>
      <c r="I103" s="1"/>
      <c r="J103" s="1"/>
      <c r="K103" s="1"/>
      <c r="L103" s="1"/>
      <c r="M103" s="6"/>
      <c r="P103" s="108"/>
      <c r="R103" s="123" t="s">
        <v>122</v>
      </c>
      <c r="S103" s="65"/>
      <c r="T103" s="65"/>
      <c r="U103" s="65"/>
      <c r="V103" s="308"/>
      <c r="W103" s="65"/>
      <c r="X103" s="65"/>
      <c r="Y103" s="147"/>
      <c r="Z103" s="124">
        <f>X101/U101-1</f>
        <v>0.044620398937693206</v>
      </c>
      <c r="AA103" s="282"/>
      <c r="AB103" s="35"/>
      <c r="AJ103" s="35"/>
      <c r="AR103" s="37"/>
      <c r="AS103" s="50" t="s">
        <v>127</v>
      </c>
      <c r="AT103" s="51">
        <f>AT101/AT100-1</f>
        <v>0.059757048831126536</v>
      </c>
      <c r="AU103" s="56"/>
    </row>
    <row r="104" spans="3:47" ht="13.5" thickBot="1">
      <c r="C104" s="1"/>
      <c r="E104" s="1"/>
      <c r="G104" s="3"/>
      <c r="H104" s="3"/>
      <c r="I104" s="1"/>
      <c r="J104" s="1"/>
      <c r="K104" s="1"/>
      <c r="L104" s="1"/>
      <c r="M104" s="6"/>
      <c r="P104" s="108"/>
      <c r="Z104" s="35"/>
      <c r="AA104" s="35"/>
      <c r="AB104" s="35"/>
      <c r="AJ104" s="35"/>
      <c r="AR104" s="37"/>
      <c r="AS104" s="18"/>
      <c r="AT104" s="18"/>
      <c r="AU104" s="56"/>
    </row>
    <row r="105" spans="1:47" ht="13.5" thickBot="1">
      <c r="A105" t="s">
        <v>56</v>
      </c>
      <c r="B105" s="8">
        <v>51</v>
      </c>
      <c r="C105" s="9">
        <v>0</v>
      </c>
      <c r="D105" s="8">
        <v>0</v>
      </c>
      <c r="E105" s="9">
        <v>0</v>
      </c>
      <c r="F105" s="8">
        <v>617</v>
      </c>
      <c r="G105" s="10">
        <v>0</v>
      </c>
      <c r="H105" s="10">
        <v>953797</v>
      </c>
      <c r="I105" s="9">
        <v>0</v>
      </c>
      <c r="J105" s="9">
        <v>7789.2</v>
      </c>
      <c r="K105" s="9">
        <v>14268.63</v>
      </c>
      <c r="L105" s="9">
        <v>188429.95</v>
      </c>
      <c r="M105" s="11">
        <v>0</v>
      </c>
      <c r="N105" s="9">
        <f>SUM(I105:L105)</f>
        <v>210487.78</v>
      </c>
      <c r="O105" s="10">
        <f>SUM(G105:H105)</f>
        <v>953797</v>
      </c>
      <c r="P105" s="108"/>
      <c r="R105" s="52"/>
      <c r="S105" s="53"/>
      <c r="T105" s="53"/>
      <c r="U105" s="53"/>
      <c r="V105" s="53"/>
      <c r="W105" s="53"/>
      <c r="X105" s="53"/>
      <c r="Y105" s="53"/>
      <c r="Z105" s="152"/>
      <c r="AA105" s="274"/>
      <c r="AB105" s="35"/>
      <c r="AJ105" s="35"/>
      <c r="AR105" s="68"/>
      <c r="AS105" s="65"/>
      <c r="AT105" s="65"/>
      <c r="AU105" s="66"/>
    </row>
    <row r="106" spans="3:28" ht="12.75">
      <c r="C106" s="1"/>
      <c r="E106" s="1"/>
      <c r="G106" s="3"/>
      <c r="H106" s="3"/>
      <c r="I106" s="1"/>
      <c r="J106" s="1"/>
      <c r="K106" s="1"/>
      <c r="L106" s="1"/>
      <c r="M106" s="6"/>
      <c r="P106" s="108"/>
      <c r="R106" s="55" t="s">
        <v>81</v>
      </c>
      <c r="S106" s="18"/>
      <c r="T106" s="18"/>
      <c r="U106" s="18"/>
      <c r="V106" s="18"/>
      <c r="W106" s="18"/>
      <c r="X106" s="18"/>
      <c r="Y106" s="18"/>
      <c r="Z106" s="56"/>
      <c r="AA106" s="281"/>
      <c r="AB106" s="18"/>
    </row>
    <row r="107" spans="3:28" ht="13.5" thickBot="1">
      <c r="C107" s="1"/>
      <c r="E107" s="1"/>
      <c r="G107" s="3"/>
      <c r="H107" s="3"/>
      <c r="I107" s="1"/>
      <c r="J107" s="1"/>
      <c r="K107" s="1"/>
      <c r="L107" s="1"/>
      <c r="M107" s="6"/>
      <c r="P107" s="108"/>
      <c r="R107" s="55" t="s">
        <v>207</v>
      </c>
      <c r="S107" s="18"/>
      <c r="T107" s="18"/>
      <c r="U107" s="18"/>
      <c r="V107" s="18"/>
      <c r="W107" s="18"/>
      <c r="X107" s="18"/>
      <c r="Y107" s="18"/>
      <c r="Z107" s="56"/>
      <c r="AA107" s="281"/>
      <c r="AB107" s="18"/>
    </row>
    <row r="108" spans="1:28" ht="12.75">
      <c r="A108" t="s">
        <v>14</v>
      </c>
      <c r="C108" s="1"/>
      <c r="E108" s="1"/>
      <c r="F108" s="12">
        <f>SUM(F7:F105)</f>
        <v>639315</v>
      </c>
      <c r="G108" s="12">
        <f aca="true" t="shared" si="6" ref="G108:O108">SUM(G7:G105)</f>
        <v>1163777470</v>
      </c>
      <c r="H108" s="12">
        <f t="shared" si="6"/>
        <v>9634997</v>
      </c>
      <c r="I108" s="13">
        <f t="shared" si="6"/>
        <v>71421305.99</v>
      </c>
      <c r="J108" s="13">
        <f t="shared" si="6"/>
        <v>9673180.19</v>
      </c>
      <c r="K108" s="13">
        <f t="shared" si="6"/>
        <v>6005613.719999999</v>
      </c>
      <c r="L108" s="13">
        <f t="shared" si="6"/>
        <v>1229927.62</v>
      </c>
      <c r="M108" s="14">
        <f t="shared" si="6"/>
        <v>895795.1159999999</v>
      </c>
      <c r="N108" s="13">
        <f t="shared" si="6"/>
        <v>88330027.51999997</v>
      </c>
      <c r="O108" s="12">
        <f t="shared" si="6"/>
        <v>1173412467</v>
      </c>
      <c r="P108" s="108"/>
      <c r="R108" s="57" t="s">
        <v>190</v>
      </c>
      <c r="S108" s="125" t="s">
        <v>91</v>
      </c>
      <c r="T108" s="334" t="s">
        <v>112</v>
      </c>
      <c r="U108" s="338"/>
      <c r="V108" s="290" t="s">
        <v>250</v>
      </c>
      <c r="W108" s="339" t="s">
        <v>83</v>
      </c>
      <c r="X108" s="337"/>
      <c r="Y108" s="144" t="s">
        <v>162</v>
      </c>
      <c r="Z108" s="154" t="s">
        <v>122</v>
      </c>
      <c r="AA108" s="290" t="s">
        <v>252</v>
      </c>
      <c r="AB108" s="145"/>
    </row>
    <row r="109" spans="3:28" ht="12.75">
      <c r="C109" s="1"/>
      <c r="E109" s="1"/>
      <c r="G109" s="3"/>
      <c r="H109" s="3"/>
      <c r="I109" s="1"/>
      <c r="J109" s="1"/>
      <c r="K109" s="1"/>
      <c r="L109" s="1"/>
      <c r="M109" s="6"/>
      <c r="P109" s="108"/>
      <c r="R109" s="81"/>
      <c r="S109" s="126" t="s">
        <v>113</v>
      </c>
      <c r="T109" s="129" t="s">
        <v>88</v>
      </c>
      <c r="U109" s="18" t="s">
        <v>100</v>
      </c>
      <c r="V109" s="277" t="s">
        <v>251</v>
      </c>
      <c r="W109" s="289" t="s">
        <v>88</v>
      </c>
      <c r="X109" s="133" t="s">
        <v>100</v>
      </c>
      <c r="Y109" s="145" t="s">
        <v>86</v>
      </c>
      <c r="Z109" s="155" t="s">
        <v>86</v>
      </c>
      <c r="AA109" s="277" t="s">
        <v>253</v>
      </c>
      <c r="AB109" s="145"/>
    </row>
    <row r="110" spans="3:28" ht="13.5" thickBot="1">
      <c r="C110" s="1"/>
      <c r="E110" s="1"/>
      <c r="G110" s="3"/>
      <c r="H110" s="3"/>
      <c r="I110" s="1"/>
      <c r="J110" s="1"/>
      <c r="K110" s="1"/>
      <c r="L110" s="1"/>
      <c r="M110" s="6"/>
      <c r="N110" s="142">
        <f>-G122</f>
        <v>-2311.2</v>
      </c>
      <c r="P110" s="108"/>
      <c r="R110" s="57"/>
      <c r="S110" s="127" t="s">
        <v>103</v>
      </c>
      <c r="T110" s="127" t="s">
        <v>104</v>
      </c>
      <c r="U110" s="288" t="s">
        <v>105</v>
      </c>
      <c r="V110" s="291" t="s">
        <v>254</v>
      </c>
      <c r="W110" s="146" t="s">
        <v>106</v>
      </c>
      <c r="X110" s="128" t="s">
        <v>107</v>
      </c>
      <c r="Y110" s="146" t="s">
        <v>108</v>
      </c>
      <c r="Z110" s="156" t="s">
        <v>163</v>
      </c>
      <c r="AA110" s="291" t="s">
        <v>254</v>
      </c>
      <c r="AB110" s="44"/>
    </row>
    <row r="111" spans="1:31" ht="12.75">
      <c r="A111" t="s">
        <v>57</v>
      </c>
      <c r="B111" s="4"/>
      <c r="C111" s="4"/>
      <c r="D111" s="15"/>
      <c r="E111" s="4" t="s">
        <v>14</v>
      </c>
      <c r="F111" s="4" t="s">
        <v>14</v>
      </c>
      <c r="G111" s="4" t="s">
        <v>14</v>
      </c>
      <c r="I111" s="1"/>
      <c r="J111" s="1"/>
      <c r="K111" s="1"/>
      <c r="L111" s="1"/>
      <c r="M111" s="6"/>
      <c r="N111" s="142">
        <f>-G124</f>
        <v>-2598.6</v>
      </c>
      <c r="P111" s="108"/>
      <c r="R111" s="57" t="s">
        <v>114</v>
      </c>
      <c r="S111" s="58">
        <v>5342</v>
      </c>
      <c r="T111" s="59">
        <v>6.95</v>
      </c>
      <c r="U111" s="60">
        <f>S111*T111</f>
        <v>37126.9</v>
      </c>
      <c r="V111" s="292">
        <f>U111/$U$116</f>
        <v>0.017740621287236285</v>
      </c>
      <c r="W111" s="59">
        <f>T111</f>
        <v>6.95</v>
      </c>
      <c r="X111" s="61">
        <f>W111*S111</f>
        <v>37126.9</v>
      </c>
      <c r="Y111" s="33">
        <f aca="true" t="shared" si="7" ref="Y111:Y119">X111-U111</f>
        <v>0</v>
      </c>
      <c r="Z111" s="56"/>
      <c r="AA111" s="293">
        <f>X111/$X$116</f>
        <v>0.01701211081298195</v>
      </c>
      <c r="AB111" s="18"/>
      <c r="AD111" s="19"/>
      <c r="AE111" s="19">
        <f>Y111</f>
        <v>0</v>
      </c>
    </row>
    <row r="112" spans="1:29" ht="12.75">
      <c r="A112" t="s">
        <v>59</v>
      </c>
      <c r="B112" s="4" t="s">
        <v>58</v>
      </c>
      <c r="C112" s="4" t="s">
        <v>9</v>
      </c>
      <c r="D112" s="15" t="s">
        <v>23</v>
      </c>
      <c r="E112" s="4" t="s">
        <v>20</v>
      </c>
      <c r="F112" s="4" t="s">
        <v>9</v>
      </c>
      <c r="G112" s="4" t="s">
        <v>23</v>
      </c>
      <c r="I112" s="1"/>
      <c r="J112" s="1"/>
      <c r="K112" s="1"/>
      <c r="L112" s="1"/>
      <c r="M112" s="6"/>
      <c r="N112" s="142">
        <f>-N14</f>
        <v>-35664.78</v>
      </c>
      <c r="P112" s="108"/>
      <c r="R112" s="57" t="s">
        <v>115</v>
      </c>
      <c r="S112" s="25">
        <v>10379990</v>
      </c>
      <c r="T112" s="73">
        <v>0.06453</v>
      </c>
      <c r="U112" s="60">
        <f>S112*T112</f>
        <v>669820.7547</v>
      </c>
      <c r="V112" s="293">
        <f>U112/$U$116</f>
        <v>0.3200654064697967</v>
      </c>
      <c r="W112" s="62">
        <f>T112+AF495</f>
        <v>0.06838903375515207</v>
      </c>
      <c r="X112" s="61">
        <f>W112*S112</f>
        <v>709877.4864881409</v>
      </c>
      <c r="Y112" s="33">
        <f t="shared" si="7"/>
        <v>40056.73178814084</v>
      </c>
      <c r="Z112" s="56"/>
      <c r="AA112" s="293">
        <f>X112/$X$116</f>
        <v>0.3252766717333618</v>
      </c>
      <c r="AB112" s="18"/>
      <c r="AC112" s="3">
        <f>S112</f>
        <v>10379990</v>
      </c>
    </row>
    <row r="113" spans="1:29" ht="12.75">
      <c r="A113" t="s">
        <v>60</v>
      </c>
      <c r="B113">
        <v>11</v>
      </c>
      <c r="C113">
        <v>70</v>
      </c>
      <c r="D113" s="1">
        <v>5.06</v>
      </c>
      <c r="E113" s="3">
        <v>5320</v>
      </c>
      <c r="F113" s="3">
        <v>369269</v>
      </c>
      <c r="G113" s="1">
        <v>26596.51</v>
      </c>
      <c r="H113" t="s">
        <v>80</v>
      </c>
      <c r="I113" s="1"/>
      <c r="J113" s="1"/>
      <c r="K113" s="1"/>
      <c r="L113" s="1"/>
      <c r="M113" s="6"/>
      <c r="N113" s="143">
        <f>-N68</f>
        <v>-473285.81</v>
      </c>
      <c r="P113" s="108"/>
      <c r="R113" s="79" t="s">
        <v>136</v>
      </c>
      <c r="S113" s="25">
        <v>12843040</v>
      </c>
      <c r="T113" s="77">
        <v>0.05973</v>
      </c>
      <c r="U113" s="60">
        <f>S113*T113</f>
        <v>767114.7792</v>
      </c>
      <c r="V113" s="293">
        <f>U113/$U$116</f>
        <v>0.3665561299658491</v>
      </c>
      <c r="W113" s="62">
        <f>T113+AF495</f>
        <v>0.06358903375515206</v>
      </c>
      <c r="X113" s="61">
        <f>W113*S113</f>
        <v>816676.5040787681</v>
      </c>
      <c r="Y113" s="33">
        <f t="shared" si="7"/>
        <v>49561.72487876809</v>
      </c>
      <c r="Z113" s="56"/>
      <c r="AA113" s="293">
        <f>X113/$X$116</f>
        <v>0.37421360753918875</v>
      </c>
      <c r="AB113" s="18"/>
      <c r="AC113" s="3">
        <f>S113</f>
        <v>12843040</v>
      </c>
    </row>
    <row r="114" spans="1:30" ht="12.75">
      <c r="A114" t="s">
        <v>60</v>
      </c>
      <c r="B114">
        <v>14</v>
      </c>
      <c r="C114">
        <v>73</v>
      </c>
      <c r="D114" s="1">
        <v>8.81</v>
      </c>
      <c r="E114" s="3">
        <v>53842</v>
      </c>
      <c r="F114" s="3">
        <v>3849069</v>
      </c>
      <c r="G114" s="1">
        <v>464499.16</v>
      </c>
      <c r="H114" t="s">
        <v>79</v>
      </c>
      <c r="I114" s="1"/>
      <c r="J114" s="1"/>
      <c r="K114" s="1"/>
      <c r="L114" s="1"/>
      <c r="M114" s="6"/>
      <c r="P114" s="108"/>
      <c r="R114" s="72" t="s">
        <v>131</v>
      </c>
      <c r="S114" s="78">
        <v>99309.739</v>
      </c>
      <c r="T114" s="20">
        <v>6.23</v>
      </c>
      <c r="U114" s="60">
        <f>S114*T114</f>
        <v>618699.67397</v>
      </c>
      <c r="V114" s="293">
        <f>U114/$U$116</f>
        <v>0.295637842277118</v>
      </c>
      <c r="W114" s="80">
        <f>T114</f>
        <v>6.23</v>
      </c>
      <c r="X114" s="61">
        <f>W114*S114</f>
        <v>618699.67397</v>
      </c>
      <c r="Y114" s="33">
        <f t="shared" si="7"/>
        <v>0</v>
      </c>
      <c r="Z114" s="56"/>
      <c r="AA114" s="293">
        <f>X114/$X$116</f>
        <v>0.2834976099144675</v>
      </c>
      <c r="AB114" s="18"/>
      <c r="AD114" s="19">
        <f>Y114</f>
        <v>0</v>
      </c>
    </row>
    <row r="115" spans="1:28" ht="13.5" thickBot="1">
      <c r="A115" t="s">
        <v>61</v>
      </c>
      <c r="B115">
        <v>21</v>
      </c>
      <c r="C115">
        <v>159</v>
      </c>
      <c r="D115" s="1">
        <v>7.69</v>
      </c>
      <c r="E115" s="3">
        <v>803</v>
      </c>
      <c r="F115" s="3">
        <v>128059</v>
      </c>
      <c r="G115" s="1">
        <v>6193.52</v>
      </c>
      <c r="H115" t="s">
        <v>80</v>
      </c>
      <c r="I115" s="1"/>
      <c r="J115" s="1"/>
      <c r="K115" s="1"/>
      <c r="L115" s="1"/>
      <c r="M115" s="6"/>
      <c r="N115" s="19">
        <f>SUM(N108:N113)</f>
        <v>87816167.12999997</v>
      </c>
      <c r="P115" s="108"/>
      <c r="R115" s="57" t="s">
        <v>116</v>
      </c>
      <c r="S115" s="18"/>
      <c r="T115" s="18"/>
      <c r="U115" s="201"/>
      <c r="V115" s="312"/>
      <c r="W115" s="18"/>
      <c r="X115" s="135">
        <f>U115</f>
        <v>0</v>
      </c>
      <c r="Y115" s="169">
        <f t="shared" si="7"/>
        <v>0</v>
      </c>
      <c r="Z115" s="56"/>
      <c r="AA115" s="310"/>
      <c r="AB115" s="18"/>
    </row>
    <row r="116" spans="1:28" ht="13.5" thickBot="1">
      <c r="A116" t="s">
        <v>61</v>
      </c>
      <c r="B116">
        <v>24</v>
      </c>
      <c r="C116">
        <v>154</v>
      </c>
      <c r="D116" s="1">
        <v>14.02</v>
      </c>
      <c r="E116" s="3">
        <v>765</v>
      </c>
      <c r="F116" s="3">
        <v>116844</v>
      </c>
      <c r="G116" s="1">
        <v>10637.45</v>
      </c>
      <c r="H116" t="s">
        <v>79</v>
      </c>
      <c r="I116" s="1"/>
      <c r="J116" s="1"/>
      <c r="K116" s="1"/>
      <c r="L116" s="1"/>
      <c r="M116" s="6"/>
      <c r="P116" s="108"/>
      <c r="R116" s="57" t="s">
        <v>117</v>
      </c>
      <c r="S116" s="18"/>
      <c r="T116" s="18"/>
      <c r="U116" s="60">
        <f>SUM(U111:U115)</f>
        <v>2092762.10787</v>
      </c>
      <c r="V116" s="306">
        <f>SUM(V111:V114)</f>
        <v>1</v>
      </c>
      <c r="W116" s="18"/>
      <c r="X116" s="63">
        <f>SUM(X111:X115)</f>
        <v>2182380.564536909</v>
      </c>
      <c r="Y116" s="63">
        <f t="shared" si="7"/>
        <v>89618.45666690916</v>
      </c>
      <c r="Z116" s="56"/>
      <c r="AA116" s="306">
        <f>SUM(AA111:AA114)</f>
        <v>1</v>
      </c>
      <c r="AB116" s="18"/>
    </row>
    <row r="117" spans="1:28" ht="12.75">
      <c r="A117" t="s">
        <v>63</v>
      </c>
      <c r="B117">
        <v>31</v>
      </c>
      <c r="C117">
        <v>37</v>
      </c>
      <c r="D117" s="1">
        <v>5.13</v>
      </c>
      <c r="E117" s="3">
        <v>90038</v>
      </c>
      <c r="F117" s="3">
        <v>3290090</v>
      </c>
      <c r="G117" s="1">
        <v>455867.22</v>
      </c>
      <c r="H117" t="s">
        <v>80</v>
      </c>
      <c r="I117" s="1"/>
      <c r="J117" s="1"/>
      <c r="K117" s="1"/>
      <c r="L117" s="1"/>
      <c r="M117" s="6"/>
      <c r="P117" s="108"/>
      <c r="R117" s="57" t="s">
        <v>118</v>
      </c>
      <c r="S117" s="18"/>
      <c r="T117" s="18"/>
      <c r="U117" s="60">
        <v>190358.99</v>
      </c>
      <c r="V117" s="301"/>
      <c r="W117" s="18"/>
      <c r="X117" s="63">
        <f>U117</f>
        <v>190358.99</v>
      </c>
      <c r="Y117" s="63">
        <f t="shared" si="7"/>
        <v>0</v>
      </c>
      <c r="Z117" s="56"/>
      <c r="AA117" s="281"/>
      <c r="AB117" s="18"/>
    </row>
    <row r="118" spans="1:28" ht="12.75">
      <c r="A118" t="s">
        <v>62</v>
      </c>
      <c r="B118">
        <v>34</v>
      </c>
      <c r="C118">
        <v>73</v>
      </c>
      <c r="D118" s="1">
        <v>9.81</v>
      </c>
      <c r="E118" s="3">
        <v>153</v>
      </c>
      <c r="F118" s="3">
        <v>11160</v>
      </c>
      <c r="G118" s="1">
        <v>1499.62</v>
      </c>
      <c r="H118" t="s">
        <v>79</v>
      </c>
      <c r="I118" s="1"/>
      <c r="J118" s="1"/>
      <c r="K118" s="1"/>
      <c r="L118" s="1"/>
      <c r="M118" s="6"/>
      <c r="P118" s="108"/>
      <c r="R118" s="57" t="s">
        <v>119</v>
      </c>
      <c r="S118" s="18"/>
      <c r="T118" s="18"/>
      <c r="U118" s="174">
        <v>151112.75</v>
      </c>
      <c r="V118" s="301"/>
      <c r="W118" s="18"/>
      <c r="X118" s="120">
        <f>U118</f>
        <v>151112.75</v>
      </c>
      <c r="Y118" s="120">
        <f t="shared" si="7"/>
        <v>0</v>
      </c>
      <c r="Z118" s="56"/>
      <c r="AA118" s="281"/>
      <c r="AB118" s="18"/>
    </row>
    <row r="119" spans="1:28" ht="12.75">
      <c r="A119" t="s">
        <v>75</v>
      </c>
      <c r="B119">
        <v>41</v>
      </c>
      <c r="C119">
        <v>23</v>
      </c>
      <c r="D119" s="1">
        <v>5.21</v>
      </c>
      <c r="E119" s="3">
        <v>8376</v>
      </c>
      <c r="F119" s="3">
        <v>192648</v>
      </c>
      <c r="G119" s="1">
        <v>43638.96</v>
      </c>
      <c r="H119" t="s">
        <v>80</v>
      </c>
      <c r="I119" s="1"/>
      <c r="J119" s="1"/>
      <c r="K119" s="1"/>
      <c r="L119" s="1"/>
      <c r="M119" s="6"/>
      <c r="P119" s="108"/>
      <c r="R119" s="57" t="s">
        <v>121</v>
      </c>
      <c r="S119" s="18"/>
      <c r="T119" s="18"/>
      <c r="U119" s="63">
        <f>U116+U117+U118</f>
        <v>2434233.8478699997</v>
      </c>
      <c r="V119" s="283"/>
      <c r="W119" s="18"/>
      <c r="X119" s="63">
        <f>X116+X117+X118</f>
        <v>2523852.304536909</v>
      </c>
      <c r="Y119" s="63">
        <f t="shared" si="7"/>
        <v>89618.45666690916</v>
      </c>
      <c r="Z119" s="56"/>
      <c r="AA119" s="281"/>
      <c r="AB119" s="18"/>
    </row>
    <row r="120" spans="1:28" ht="12.75">
      <c r="A120" t="s">
        <v>64</v>
      </c>
      <c r="B120">
        <v>44</v>
      </c>
      <c r="C120">
        <v>154</v>
      </c>
      <c r="D120" s="1">
        <v>15.02</v>
      </c>
      <c r="E120" s="3">
        <v>36</v>
      </c>
      <c r="F120" s="3">
        <v>5544</v>
      </c>
      <c r="G120" s="1">
        <v>540.72</v>
      </c>
      <c r="H120" t="s">
        <v>79</v>
      </c>
      <c r="I120" s="1"/>
      <c r="J120" s="1"/>
      <c r="K120" s="1"/>
      <c r="L120" s="1"/>
      <c r="P120" s="108"/>
      <c r="R120" s="57"/>
      <c r="S120" s="18"/>
      <c r="T120" s="18"/>
      <c r="U120" s="63"/>
      <c r="V120" s="283"/>
      <c r="W120" s="18"/>
      <c r="X120" s="63"/>
      <c r="Y120" s="18"/>
      <c r="Z120" s="56"/>
      <c r="AA120" s="281"/>
      <c r="AB120" s="18"/>
    </row>
    <row r="121" spans="1:28" ht="12.75">
      <c r="A121" t="s">
        <v>74</v>
      </c>
      <c r="B121">
        <v>51</v>
      </c>
      <c r="C121">
        <v>37</v>
      </c>
      <c r="D121" s="1">
        <v>6.74</v>
      </c>
      <c r="E121" s="3">
        <v>6876</v>
      </c>
      <c r="F121" s="3">
        <v>254412</v>
      </c>
      <c r="G121" s="1">
        <v>46343.84</v>
      </c>
      <c r="H121" t="s">
        <v>80</v>
      </c>
      <c r="I121" s="1"/>
      <c r="J121" s="1"/>
      <c r="K121" s="1"/>
      <c r="L121" s="1"/>
      <c r="P121" s="108"/>
      <c r="R121" s="57" t="s">
        <v>161</v>
      </c>
      <c r="S121" s="18"/>
      <c r="T121" s="18"/>
      <c r="U121" s="121">
        <f>U119/S111</f>
        <v>455.67836912579554</v>
      </c>
      <c r="V121" s="303"/>
      <c r="W121" s="121"/>
      <c r="X121" s="121">
        <f>X119/S111</f>
        <v>472.45456842697655</v>
      </c>
      <c r="Y121" s="121">
        <f>X121-U121</f>
        <v>16.77619930118101</v>
      </c>
      <c r="Z121" s="56"/>
      <c r="AA121" s="281"/>
      <c r="AB121" s="18"/>
    </row>
    <row r="122" spans="1:28" ht="13.5" thickBot="1">
      <c r="A122" t="s">
        <v>61</v>
      </c>
      <c r="B122">
        <v>54</v>
      </c>
      <c r="C122">
        <v>154</v>
      </c>
      <c r="D122" s="1">
        <v>19.26</v>
      </c>
      <c r="E122" s="3">
        <v>120</v>
      </c>
      <c r="F122" s="3">
        <v>18480</v>
      </c>
      <c r="G122" s="1">
        <v>2311.2</v>
      </c>
      <c r="H122" t="s">
        <v>79</v>
      </c>
      <c r="I122" s="1"/>
      <c r="J122" s="1"/>
      <c r="K122" s="1"/>
      <c r="L122" s="1"/>
      <c r="P122" s="108"/>
      <c r="R122" s="137" t="s">
        <v>122</v>
      </c>
      <c r="S122" s="138"/>
      <c r="T122" s="138"/>
      <c r="U122" s="138"/>
      <c r="V122" s="311"/>
      <c r="W122" s="138"/>
      <c r="X122" s="138"/>
      <c r="Y122" s="158"/>
      <c r="Z122" s="124">
        <f>X119/U119-1</f>
        <v>0.03681587812334741</v>
      </c>
      <c r="AA122" s="282"/>
      <c r="AB122" s="18"/>
    </row>
    <row r="123" spans="1:16" ht="13.5" thickBot="1">
      <c r="A123" t="s">
        <v>76</v>
      </c>
      <c r="B123">
        <v>61</v>
      </c>
      <c r="C123">
        <v>102</v>
      </c>
      <c r="D123" s="1">
        <v>9.25</v>
      </c>
      <c r="E123" s="3">
        <v>2409</v>
      </c>
      <c r="F123" s="3">
        <v>245722</v>
      </c>
      <c r="G123" s="1">
        <v>22283.56</v>
      </c>
      <c r="H123" t="s">
        <v>80</v>
      </c>
      <c r="P123" s="108"/>
    </row>
    <row r="124" spans="1:41" ht="12.75">
      <c r="A124" t="s">
        <v>66</v>
      </c>
      <c r="B124">
        <v>64</v>
      </c>
      <c r="C124">
        <v>154</v>
      </c>
      <c r="D124" s="1">
        <v>24.78</v>
      </c>
      <c r="E124" s="3">
        <v>107</v>
      </c>
      <c r="F124" s="3">
        <v>16149</v>
      </c>
      <c r="G124" s="1">
        <v>2598.6</v>
      </c>
      <c r="H124" t="s">
        <v>79</v>
      </c>
      <c r="P124" s="108"/>
      <c r="R124" s="52"/>
      <c r="S124" s="53"/>
      <c r="T124" s="53"/>
      <c r="U124" s="53"/>
      <c r="V124" s="53"/>
      <c r="W124" s="53"/>
      <c r="X124" s="53"/>
      <c r="Y124" s="53"/>
      <c r="Z124" s="54"/>
      <c r="AA124" s="280"/>
      <c r="AB124" s="18"/>
      <c r="AH124" s="52"/>
      <c r="AI124" s="53"/>
      <c r="AJ124" s="53"/>
      <c r="AK124" s="53"/>
      <c r="AL124" s="53"/>
      <c r="AM124" s="53"/>
      <c r="AN124" s="53"/>
      <c r="AO124" s="54"/>
    </row>
    <row r="125" spans="1:41" ht="12.75">
      <c r="A125" t="s">
        <v>65</v>
      </c>
      <c r="B125">
        <v>71</v>
      </c>
      <c r="C125">
        <v>102</v>
      </c>
      <c r="D125" s="1">
        <v>7.51</v>
      </c>
      <c r="E125" s="3">
        <v>2136</v>
      </c>
      <c r="F125" s="3">
        <v>216383</v>
      </c>
      <c r="G125" s="1">
        <v>15931.7</v>
      </c>
      <c r="H125" t="s">
        <v>80</v>
      </c>
      <c r="P125" s="108"/>
      <c r="R125" s="55" t="s">
        <v>81</v>
      </c>
      <c r="S125" s="18"/>
      <c r="T125" s="18"/>
      <c r="U125" s="18"/>
      <c r="V125" s="18"/>
      <c r="W125" s="18"/>
      <c r="X125" s="18"/>
      <c r="Y125" s="18"/>
      <c r="Z125" s="56"/>
      <c r="AA125" s="281"/>
      <c r="AB125" s="18"/>
      <c r="AH125" s="55" t="s">
        <v>81</v>
      </c>
      <c r="AI125" s="18"/>
      <c r="AJ125" s="18"/>
      <c r="AK125" s="18"/>
      <c r="AL125" s="18"/>
      <c r="AM125" s="18"/>
      <c r="AN125" s="18"/>
      <c r="AO125" s="56"/>
    </row>
    <row r="126" spans="1:41" ht="13.5" thickBot="1">
      <c r="A126" t="s">
        <v>77</v>
      </c>
      <c r="B126">
        <v>74</v>
      </c>
      <c r="C126">
        <v>84</v>
      </c>
      <c r="D126" s="1">
        <v>11.37</v>
      </c>
      <c r="E126" s="3">
        <v>902</v>
      </c>
      <c r="F126" s="3">
        <v>74312</v>
      </c>
      <c r="G126" s="1">
        <v>10058.67</v>
      </c>
      <c r="P126" s="108"/>
      <c r="R126" s="55" t="s">
        <v>208</v>
      </c>
      <c r="S126" s="18"/>
      <c r="T126" s="18"/>
      <c r="U126" s="18"/>
      <c r="V126" s="18"/>
      <c r="W126" s="18"/>
      <c r="X126" s="18"/>
      <c r="Y126" s="18"/>
      <c r="Z126" s="56"/>
      <c r="AA126" s="281"/>
      <c r="AB126" s="18"/>
      <c r="AH126" s="55" t="s">
        <v>234</v>
      </c>
      <c r="AI126" s="18"/>
      <c r="AJ126" s="18"/>
      <c r="AK126" s="18"/>
      <c r="AL126" s="18"/>
      <c r="AM126" s="18"/>
      <c r="AN126" s="18"/>
      <c r="AO126" s="56"/>
    </row>
    <row r="127" spans="1:41" ht="12.75">
      <c r="A127" t="s">
        <v>73</v>
      </c>
      <c r="B127">
        <v>81</v>
      </c>
      <c r="C127">
        <v>23</v>
      </c>
      <c r="D127" s="1">
        <v>7.99</v>
      </c>
      <c r="E127" s="3">
        <v>5604</v>
      </c>
      <c r="F127" s="3">
        <v>128864</v>
      </c>
      <c r="G127" s="1">
        <v>44766.37</v>
      </c>
      <c r="H127" t="s">
        <v>80</v>
      </c>
      <c r="P127" s="108"/>
      <c r="R127" s="57"/>
      <c r="S127" s="125" t="s">
        <v>91</v>
      </c>
      <c r="T127" s="334" t="s">
        <v>112</v>
      </c>
      <c r="U127" s="338"/>
      <c r="V127" s="290" t="s">
        <v>250</v>
      </c>
      <c r="W127" s="339" t="s">
        <v>83</v>
      </c>
      <c r="X127" s="337"/>
      <c r="Y127" s="144" t="s">
        <v>162</v>
      </c>
      <c r="Z127" s="154" t="s">
        <v>122</v>
      </c>
      <c r="AA127" s="290" t="s">
        <v>252</v>
      </c>
      <c r="AB127" s="145"/>
      <c r="AH127" s="57"/>
      <c r="AI127" s="125" t="s">
        <v>91</v>
      </c>
      <c r="AJ127" s="334" t="s">
        <v>112</v>
      </c>
      <c r="AK127" s="335"/>
      <c r="AL127" s="336" t="s">
        <v>83</v>
      </c>
      <c r="AM127" s="337"/>
      <c r="AN127" s="144" t="s">
        <v>162</v>
      </c>
      <c r="AO127" s="154" t="s">
        <v>122</v>
      </c>
    </row>
    <row r="128" spans="1:41" ht="12.75">
      <c r="A128" t="s">
        <v>67</v>
      </c>
      <c r="B128">
        <v>91</v>
      </c>
      <c r="C128">
        <v>159</v>
      </c>
      <c r="D128" s="1">
        <v>11.41</v>
      </c>
      <c r="E128" s="3">
        <v>3294</v>
      </c>
      <c r="F128" s="3">
        <v>518161</v>
      </c>
      <c r="G128" s="1">
        <v>36662.58</v>
      </c>
      <c r="H128" t="s">
        <v>80</v>
      </c>
      <c r="P128" s="108"/>
      <c r="R128" s="57"/>
      <c r="S128" s="126" t="s">
        <v>113</v>
      </c>
      <c r="T128" s="129" t="s">
        <v>88</v>
      </c>
      <c r="U128" s="18" t="s">
        <v>100</v>
      </c>
      <c r="V128" s="277" t="s">
        <v>251</v>
      </c>
      <c r="W128" s="289" t="s">
        <v>88</v>
      </c>
      <c r="X128" s="133" t="s">
        <v>100</v>
      </c>
      <c r="Y128" s="145" t="s">
        <v>86</v>
      </c>
      <c r="Z128" s="155" t="s">
        <v>86</v>
      </c>
      <c r="AA128" s="277" t="s">
        <v>253</v>
      </c>
      <c r="AB128" s="145"/>
      <c r="AH128" s="57"/>
      <c r="AI128" s="126" t="s">
        <v>113</v>
      </c>
      <c r="AJ128" s="129" t="s">
        <v>88</v>
      </c>
      <c r="AK128" s="130" t="s">
        <v>100</v>
      </c>
      <c r="AL128" s="132" t="s">
        <v>88</v>
      </c>
      <c r="AM128" s="133" t="s">
        <v>100</v>
      </c>
      <c r="AN128" s="145" t="s">
        <v>86</v>
      </c>
      <c r="AO128" s="155" t="s">
        <v>86</v>
      </c>
    </row>
    <row r="129" spans="1:41" ht="13.5" thickBot="1">
      <c r="A129" t="s">
        <v>68</v>
      </c>
      <c r="B129">
        <v>111</v>
      </c>
      <c r="C129">
        <v>159</v>
      </c>
      <c r="D129" s="1">
        <v>12.44</v>
      </c>
      <c r="E129" s="3">
        <v>533</v>
      </c>
      <c r="F129" s="3">
        <v>84323</v>
      </c>
      <c r="G129" s="1">
        <v>6597.35</v>
      </c>
      <c r="H129" t="s">
        <v>80</v>
      </c>
      <c r="P129" s="108"/>
      <c r="R129" s="57"/>
      <c r="S129" s="127" t="s">
        <v>103</v>
      </c>
      <c r="T129" s="127" t="s">
        <v>104</v>
      </c>
      <c r="U129" s="288" t="s">
        <v>105</v>
      </c>
      <c r="V129" s="291" t="s">
        <v>254</v>
      </c>
      <c r="W129" s="146" t="s">
        <v>106</v>
      </c>
      <c r="X129" s="128" t="s">
        <v>107</v>
      </c>
      <c r="Y129" s="146" t="s">
        <v>108</v>
      </c>
      <c r="Z129" s="156" t="s">
        <v>163</v>
      </c>
      <c r="AA129" s="291" t="s">
        <v>254</v>
      </c>
      <c r="AB129" s="44"/>
      <c r="AH129" s="57"/>
      <c r="AI129" s="127" t="s">
        <v>103</v>
      </c>
      <c r="AJ129" s="127" t="s">
        <v>104</v>
      </c>
      <c r="AK129" s="131" t="s">
        <v>105</v>
      </c>
      <c r="AL129" s="134" t="s">
        <v>106</v>
      </c>
      <c r="AM129" s="128" t="s">
        <v>107</v>
      </c>
      <c r="AN129" s="146" t="s">
        <v>108</v>
      </c>
      <c r="AO129" s="156" t="s">
        <v>163</v>
      </c>
    </row>
    <row r="130" spans="1:41" ht="12.75">
      <c r="A130" t="s">
        <v>78</v>
      </c>
      <c r="B130">
        <v>124</v>
      </c>
      <c r="C130">
        <v>37</v>
      </c>
      <c r="D130" s="1">
        <v>8.47</v>
      </c>
      <c r="E130" s="3">
        <v>1882</v>
      </c>
      <c r="F130" s="3">
        <v>69351</v>
      </c>
      <c r="G130" s="1">
        <v>15875.61</v>
      </c>
      <c r="P130" s="108"/>
      <c r="R130" s="57" t="s">
        <v>114</v>
      </c>
      <c r="S130" s="58">
        <v>9655</v>
      </c>
      <c r="T130" s="59">
        <v>6.95</v>
      </c>
      <c r="U130" s="60">
        <f>S130*T130</f>
        <v>67102.25</v>
      </c>
      <c r="V130" s="292">
        <f>U130/$U$135</f>
        <v>0.10493733415380821</v>
      </c>
      <c r="W130" s="59">
        <f>T130</f>
        <v>6.95</v>
      </c>
      <c r="X130" s="61">
        <f>W130*S130</f>
        <v>67102.25</v>
      </c>
      <c r="Y130" s="33">
        <f aca="true" t="shared" si="8" ref="Y130:Y138">X130-U130</f>
        <v>0</v>
      </c>
      <c r="Z130" s="56"/>
      <c r="AA130" s="293">
        <f>X130/$X$135</f>
        <v>0.09955031756680406</v>
      </c>
      <c r="AB130" s="18"/>
      <c r="AH130" s="57" t="s">
        <v>114</v>
      </c>
      <c r="AI130" s="58">
        <f>S111+S130</f>
        <v>14997</v>
      </c>
      <c r="AJ130" s="59">
        <v>6.95</v>
      </c>
      <c r="AK130" s="60">
        <f>U111+U130</f>
        <v>104229.15</v>
      </c>
      <c r="AL130" s="59">
        <f>W111</f>
        <v>6.95</v>
      </c>
      <c r="AM130" s="60">
        <f>X111+X130</f>
        <v>104229.15</v>
      </c>
      <c r="AN130" s="33">
        <f aca="true" t="shared" si="9" ref="AN130:AN138">AM130-AK130</f>
        <v>0</v>
      </c>
      <c r="AO130" s="56"/>
    </row>
    <row r="131" spans="1:41" ht="12.75">
      <c r="A131" t="s">
        <v>69</v>
      </c>
      <c r="B131">
        <v>133</v>
      </c>
      <c r="C131">
        <v>37</v>
      </c>
      <c r="D131" s="1">
        <v>16.14</v>
      </c>
      <c r="E131" s="3">
        <v>123</v>
      </c>
      <c r="F131" s="3">
        <v>4535</v>
      </c>
      <c r="G131" s="1">
        <v>1978.23</v>
      </c>
      <c r="P131" s="108"/>
      <c r="R131" s="57" t="s">
        <v>115</v>
      </c>
      <c r="S131" s="25">
        <v>7659498</v>
      </c>
      <c r="T131" s="73">
        <v>0.06453</v>
      </c>
      <c r="U131" s="60">
        <f>S131*T131</f>
        <v>494267.40594</v>
      </c>
      <c r="V131" s="293">
        <f>U131/$U$135</f>
        <v>0.7729562561383821</v>
      </c>
      <c r="W131" s="62">
        <f>T131+AF495</f>
        <v>0.06838903375515207</v>
      </c>
      <c r="X131" s="61">
        <f>W131*S131</f>
        <v>523825.66726951976</v>
      </c>
      <c r="Y131" s="33">
        <f t="shared" si="8"/>
        <v>29558.261329519737</v>
      </c>
      <c r="Z131" s="56"/>
      <c r="AA131" s="293">
        <f>X131/$X$135</f>
        <v>0.7771276153381405</v>
      </c>
      <c r="AB131" s="18"/>
      <c r="AC131" s="3">
        <f>S131</f>
        <v>7659498</v>
      </c>
      <c r="AH131" s="57" t="s">
        <v>115</v>
      </c>
      <c r="AI131" s="58">
        <f>S112+S131</f>
        <v>18039488</v>
      </c>
      <c r="AJ131" s="73">
        <v>0.06453</v>
      </c>
      <c r="AK131" s="60">
        <f>U112+U131</f>
        <v>1164088.1606400001</v>
      </c>
      <c r="AL131" s="238">
        <f>W112</f>
        <v>0.06838903375515207</v>
      </c>
      <c r="AM131" s="60">
        <f>X112+X131</f>
        <v>1233703.1537576606</v>
      </c>
      <c r="AN131" s="33">
        <f t="shared" si="9"/>
        <v>69614.99311766052</v>
      </c>
      <c r="AO131" s="56"/>
    </row>
    <row r="132" spans="1:41" ht="12.75">
      <c r="A132" t="s">
        <v>70</v>
      </c>
      <c r="B132">
        <v>143</v>
      </c>
      <c r="C132">
        <v>37</v>
      </c>
      <c r="D132" s="1">
        <v>15.62</v>
      </c>
      <c r="E132" s="3">
        <v>108</v>
      </c>
      <c r="F132" s="3">
        <v>3996</v>
      </c>
      <c r="G132" s="1">
        <v>1686.96</v>
      </c>
      <c r="P132" s="108"/>
      <c r="R132" s="79" t="s">
        <v>136</v>
      </c>
      <c r="S132" s="25">
        <v>1307233</v>
      </c>
      <c r="T132" s="77">
        <v>0.05973</v>
      </c>
      <c r="U132" s="60">
        <f>S132*T132</f>
        <v>78081.02709</v>
      </c>
      <c r="V132" s="293">
        <f>U132/$U$135</f>
        <v>0.12210640970780981</v>
      </c>
      <c r="W132" s="62">
        <f>T132+AF495</f>
        <v>0.06358903375515206</v>
      </c>
      <c r="X132" s="61">
        <f>W132*S132</f>
        <v>83125.6833628487</v>
      </c>
      <c r="Y132" s="33">
        <f t="shared" si="8"/>
        <v>5044.65627284869</v>
      </c>
      <c r="Z132" s="56"/>
      <c r="AA132" s="293">
        <f>X132/$X$135</f>
        <v>0.12332206709505551</v>
      </c>
      <c r="AB132" s="18"/>
      <c r="AC132" s="3">
        <f>S132</f>
        <v>1307233</v>
      </c>
      <c r="AH132" s="79" t="s">
        <v>136</v>
      </c>
      <c r="AI132" s="58">
        <f>S113+S132</f>
        <v>14150273</v>
      </c>
      <c r="AJ132" s="77">
        <v>0.05973</v>
      </c>
      <c r="AK132" s="60">
        <f>U113+U132</f>
        <v>845195.80629</v>
      </c>
      <c r="AL132" s="238">
        <f>W113</f>
        <v>0.06358903375515206</v>
      </c>
      <c r="AM132" s="60">
        <f>X113+X132</f>
        <v>899802.1874416168</v>
      </c>
      <c r="AN132" s="33">
        <f t="shared" si="9"/>
        <v>54606.381151616806</v>
      </c>
      <c r="AO132" s="56"/>
    </row>
    <row r="133" spans="1:41" ht="12.75">
      <c r="A133" t="s">
        <v>71</v>
      </c>
      <c r="B133">
        <v>153</v>
      </c>
      <c r="C133">
        <v>37</v>
      </c>
      <c r="D133" s="1">
        <v>13.16</v>
      </c>
      <c r="E133" s="3">
        <v>1022</v>
      </c>
      <c r="F133" s="3">
        <v>37537</v>
      </c>
      <c r="G133" s="1">
        <v>13350.82</v>
      </c>
      <c r="P133" s="108"/>
      <c r="R133" s="72" t="s">
        <v>131</v>
      </c>
      <c r="S133" s="78">
        <v>0</v>
      </c>
      <c r="T133" s="20">
        <v>0</v>
      </c>
      <c r="U133" s="60">
        <f>S133*T133</f>
        <v>0</v>
      </c>
      <c r="V133" s="313"/>
      <c r="W133" s="80">
        <f>T133</f>
        <v>0</v>
      </c>
      <c r="X133" s="61">
        <f>W133*S133</f>
        <v>0</v>
      </c>
      <c r="Y133" s="33">
        <f t="shared" si="8"/>
        <v>0</v>
      </c>
      <c r="Z133" s="56"/>
      <c r="AA133" s="293">
        <f>X133/$X$135</f>
        <v>0</v>
      </c>
      <c r="AB133" s="18"/>
      <c r="AH133" s="72" t="s">
        <v>131</v>
      </c>
      <c r="AI133" s="58">
        <f>S114+S133</f>
        <v>99309.739</v>
      </c>
      <c r="AJ133" s="20">
        <v>0</v>
      </c>
      <c r="AK133" s="60">
        <f>U114+U133</f>
        <v>618699.67397</v>
      </c>
      <c r="AL133" s="59">
        <f>W114</f>
        <v>6.23</v>
      </c>
      <c r="AM133" s="60">
        <f>X114+X133</f>
        <v>618699.67397</v>
      </c>
      <c r="AN133" s="33">
        <f t="shared" si="9"/>
        <v>0</v>
      </c>
      <c r="AO133" s="56"/>
    </row>
    <row r="134" spans="1:41" ht="13.5" thickBot="1">
      <c r="A134" t="s">
        <v>72</v>
      </c>
      <c r="B134">
        <v>163</v>
      </c>
      <c r="C134">
        <v>159</v>
      </c>
      <c r="D134" s="1">
        <v>18.87</v>
      </c>
      <c r="E134" s="3">
        <v>5</v>
      </c>
      <c r="F134" s="3">
        <v>716</v>
      </c>
      <c r="G134" s="1">
        <v>84.92</v>
      </c>
      <c r="P134" s="108"/>
      <c r="R134" s="57" t="s">
        <v>116</v>
      </c>
      <c r="S134" s="18"/>
      <c r="T134" s="18"/>
      <c r="U134" s="167"/>
      <c r="V134" s="314"/>
      <c r="W134" s="18"/>
      <c r="X134" s="135">
        <f>U134</f>
        <v>0</v>
      </c>
      <c r="Y134" s="169">
        <f t="shared" si="8"/>
        <v>0</v>
      </c>
      <c r="Z134" s="56"/>
      <c r="AA134" s="310"/>
      <c r="AB134" s="18"/>
      <c r="AH134" s="57" t="s">
        <v>116</v>
      </c>
      <c r="AI134" s="18"/>
      <c r="AJ134" s="18"/>
      <c r="AK134" s="174">
        <f>U115+U134</f>
        <v>0</v>
      </c>
      <c r="AL134" s="18"/>
      <c r="AM134" s="174">
        <f>X115+X134</f>
        <v>0</v>
      </c>
      <c r="AN134" s="169">
        <f t="shared" si="9"/>
        <v>0</v>
      </c>
      <c r="AO134" s="56"/>
    </row>
    <row r="135" spans="5:41" ht="13.5" thickBot="1">
      <c r="E135" s="3"/>
      <c r="F135" s="3"/>
      <c r="G135" s="1"/>
      <c r="P135" s="108"/>
      <c r="R135" s="57" t="s">
        <v>117</v>
      </c>
      <c r="S135" s="18"/>
      <c r="T135" s="18"/>
      <c r="U135" s="60">
        <f>SUM(U130:U134)</f>
        <v>639450.68303</v>
      </c>
      <c r="V135" s="306">
        <f>SUM(V130:V132)</f>
        <v>1.0000000000000002</v>
      </c>
      <c r="W135" s="18"/>
      <c r="X135" s="63">
        <f>SUM(X130:X134)</f>
        <v>674053.6006323685</v>
      </c>
      <c r="Y135" s="63">
        <f t="shared" si="8"/>
        <v>34602.917602368514</v>
      </c>
      <c r="Z135" s="56"/>
      <c r="AA135" s="306">
        <f>SUM(AA130:AA132)</f>
        <v>1</v>
      </c>
      <c r="AB135" s="18"/>
      <c r="AH135" s="57" t="s">
        <v>117</v>
      </c>
      <c r="AI135" s="18"/>
      <c r="AJ135" s="18"/>
      <c r="AK135" s="60">
        <f>SUM(AK130:AK134)</f>
        <v>2732212.7909</v>
      </c>
      <c r="AL135" s="18"/>
      <c r="AM135" s="63">
        <f>SUM(AM130:AM134)</f>
        <v>2856434.165169277</v>
      </c>
      <c r="AN135" s="63">
        <f t="shared" si="9"/>
        <v>124221.37426927732</v>
      </c>
      <c r="AO135" s="56"/>
    </row>
    <row r="136" spans="1:41" ht="12.75">
      <c r="A136" t="s">
        <v>14</v>
      </c>
      <c r="E136" s="3">
        <f>SUM(E113:E134)</f>
        <v>184454</v>
      </c>
      <c r="F136" s="3">
        <f>SUM(F113:F134)</f>
        <v>9635624</v>
      </c>
      <c r="G136" s="1">
        <f>SUM(G113:G134)</f>
        <v>1230003.5700000003</v>
      </c>
      <c r="P136" s="108"/>
      <c r="R136" s="57" t="s">
        <v>118</v>
      </c>
      <c r="S136" s="18"/>
      <c r="T136" s="18"/>
      <c r="U136" s="60">
        <v>76107.65</v>
      </c>
      <c r="V136" s="301"/>
      <c r="W136" s="18"/>
      <c r="X136" s="63">
        <f>U136</f>
        <v>76107.65</v>
      </c>
      <c r="Y136" s="63">
        <f t="shared" si="8"/>
        <v>0</v>
      </c>
      <c r="Z136" s="56"/>
      <c r="AA136" s="281"/>
      <c r="AB136" s="18"/>
      <c r="AH136" s="57" t="s">
        <v>118</v>
      </c>
      <c r="AI136" s="18"/>
      <c r="AJ136" s="18"/>
      <c r="AK136" s="60">
        <f>U117+U136</f>
        <v>266466.64</v>
      </c>
      <c r="AL136" s="18"/>
      <c r="AM136" s="63">
        <f>AK136</f>
        <v>266466.64</v>
      </c>
      <c r="AN136" s="63">
        <f t="shared" si="9"/>
        <v>0</v>
      </c>
      <c r="AO136" s="56"/>
    </row>
    <row r="137" spans="16:41" ht="12.75">
      <c r="P137" s="108"/>
      <c r="R137" s="57" t="s">
        <v>119</v>
      </c>
      <c r="S137" s="18"/>
      <c r="T137" s="18"/>
      <c r="U137" s="174">
        <v>53869.8</v>
      </c>
      <c r="V137" s="301"/>
      <c r="W137" s="18"/>
      <c r="X137" s="120">
        <f>U137</f>
        <v>53869.8</v>
      </c>
      <c r="Y137" s="120">
        <f t="shared" si="8"/>
        <v>0</v>
      </c>
      <c r="Z137" s="56"/>
      <c r="AA137" s="281"/>
      <c r="AB137" s="18"/>
      <c r="AH137" s="57" t="s">
        <v>119</v>
      </c>
      <c r="AI137" s="18"/>
      <c r="AJ137" s="18"/>
      <c r="AK137" s="174">
        <f>U118+U137</f>
        <v>204982.55</v>
      </c>
      <c r="AL137" s="18"/>
      <c r="AM137" s="120">
        <f>AK137</f>
        <v>204982.55</v>
      </c>
      <c r="AN137" s="120">
        <f t="shared" si="9"/>
        <v>0</v>
      </c>
      <c r="AO137" s="56"/>
    </row>
    <row r="138" spans="16:41" ht="12.75">
      <c r="P138" s="108"/>
      <c r="R138" s="57" t="s">
        <v>121</v>
      </c>
      <c r="S138" s="18"/>
      <c r="T138" s="18"/>
      <c r="U138" s="63">
        <f>U135+U136+U137</f>
        <v>769428.13303</v>
      </c>
      <c r="V138" s="283"/>
      <c r="W138" s="18"/>
      <c r="X138" s="63">
        <f>X135+X136+X137</f>
        <v>804031.0506323685</v>
      </c>
      <c r="Y138" s="63">
        <f t="shared" si="8"/>
        <v>34602.917602368514</v>
      </c>
      <c r="Z138" s="56"/>
      <c r="AA138" s="281"/>
      <c r="AB138" s="18"/>
      <c r="AH138" s="57" t="s">
        <v>121</v>
      </c>
      <c r="AI138" s="18"/>
      <c r="AJ138" s="18"/>
      <c r="AK138" s="63">
        <f>AK135+AK136+AK137</f>
        <v>3203661.9809</v>
      </c>
      <c r="AL138" s="18"/>
      <c r="AM138" s="63">
        <f>AM135+AM136+AM137</f>
        <v>3327883.355169277</v>
      </c>
      <c r="AN138" s="63">
        <f t="shared" si="9"/>
        <v>124221.37426927732</v>
      </c>
      <c r="AO138" s="56"/>
    </row>
    <row r="139" spans="16:41" ht="12.75">
      <c r="P139" s="108"/>
      <c r="R139" s="57"/>
      <c r="S139" s="18"/>
      <c r="T139" s="18"/>
      <c r="U139" s="18"/>
      <c r="V139" s="281"/>
      <c r="W139" s="18"/>
      <c r="X139" s="63"/>
      <c r="Y139" s="18"/>
      <c r="Z139" s="56"/>
      <c r="AA139" s="281"/>
      <c r="AB139" s="18"/>
      <c r="AH139" s="57"/>
      <c r="AI139" s="18"/>
      <c r="AJ139" s="18"/>
      <c r="AK139" s="18"/>
      <c r="AL139" s="18"/>
      <c r="AM139" s="63"/>
      <c r="AN139" s="18"/>
      <c r="AO139" s="56"/>
    </row>
    <row r="140" spans="16:41" ht="12.75">
      <c r="P140" s="108"/>
      <c r="R140" s="57" t="s">
        <v>161</v>
      </c>
      <c r="S140" s="18"/>
      <c r="T140" s="18"/>
      <c r="U140" s="121">
        <f>U138/S130</f>
        <v>79.69219399585707</v>
      </c>
      <c r="V140" s="303"/>
      <c r="W140" s="121"/>
      <c r="X140" s="121">
        <f>X138/S130</f>
        <v>83.27613160355966</v>
      </c>
      <c r="Y140" s="121">
        <f>X140-U140</f>
        <v>3.5839376077025946</v>
      </c>
      <c r="Z140" s="56"/>
      <c r="AA140" s="281"/>
      <c r="AB140" s="18"/>
      <c r="AH140" s="57" t="s">
        <v>161</v>
      </c>
      <c r="AI140" s="18"/>
      <c r="AJ140" s="18"/>
      <c r="AK140" s="121">
        <f>AK138/AI130</f>
        <v>213.62018943121956</v>
      </c>
      <c r="AL140" s="121"/>
      <c r="AM140" s="121">
        <f>AM138/AI130</f>
        <v>221.90327099881824</v>
      </c>
      <c r="AN140" s="121">
        <f>AM140-AK140</f>
        <v>8.283081567598686</v>
      </c>
      <c r="AO140" s="56"/>
    </row>
    <row r="141" spans="16:41" ht="13.5" thickBot="1">
      <c r="P141" s="108"/>
      <c r="R141" s="137" t="s">
        <v>122</v>
      </c>
      <c r="S141" s="138"/>
      <c r="T141" s="138"/>
      <c r="U141" s="138"/>
      <c r="V141" s="311"/>
      <c r="W141" s="138"/>
      <c r="X141" s="138"/>
      <c r="Y141" s="158"/>
      <c r="Z141" s="124">
        <f>X138/U138-1</f>
        <v>0.04497225421964046</v>
      </c>
      <c r="AA141" s="282"/>
      <c r="AB141" s="18"/>
      <c r="AH141" s="137" t="s">
        <v>122</v>
      </c>
      <c r="AI141" s="138"/>
      <c r="AJ141" s="138"/>
      <c r="AK141" s="138"/>
      <c r="AL141" s="138"/>
      <c r="AM141" s="138"/>
      <c r="AN141" s="158"/>
      <c r="AO141" s="124">
        <f>AM138/AK138-1</f>
        <v>0.03877480677108758</v>
      </c>
    </row>
    <row r="142" ht="13.5" thickBot="1">
      <c r="P142" s="108"/>
    </row>
    <row r="143" spans="16:28" ht="12.75">
      <c r="P143" s="108"/>
      <c r="R143" s="52"/>
      <c r="S143" s="53"/>
      <c r="T143" s="53"/>
      <c r="U143" s="53"/>
      <c r="V143" s="53"/>
      <c r="W143" s="53"/>
      <c r="X143" s="53"/>
      <c r="Y143" s="53"/>
      <c r="Z143" s="54"/>
      <c r="AA143" s="280"/>
      <c r="AB143" s="18"/>
    </row>
    <row r="144" spans="16:28" ht="12.75">
      <c r="P144" s="108"/>
      <c r="R144" s="55" t="s">
        <v>81</v>
      </c>
      <c r="S144" s="18"/>
      <c r="T144" s="18"/>
      <c r="U144" s="18"/>
      <c r="V144" s="18"/>
      <c r="W144" s="18"/>
      <c r="X144" s="18"/>
      <c r="Y144" s="18"/>
      <c r="Z144" s="56"/>
      <c r="AA144" s="281"/>
      <c r="AB144" s="18"/>
    </row>
    <row r="145" spans="16:28" ht="13.5" thickBot="1">
      <c r="P145" s="108"/>
      <c r="R145" s="55" t="s">
        <v>209</v>
      </c>
      <c r="S145" s="18"/>
      <c r="T145" s="18"/>
      <c r="U145" s="18"/>
      <c r="V145" s="18"/>
      <c r="W145" s="18"/>
      <c r="X145" s="18"/>
      <c r="Y145" s="18"/>
      <c r="Z145" s="56"/>
      <c r="AA145" s="281"/>
      <c r="AB145" s="18"/>
    </row>
    <row r="146" spans="16:28" ht="12.75">
      <c r="P146" s="108"/>
      <c r="R146" s="57"/>
      <c r="S146" s="125" t="s">
        <v>91</v>
      </c>
      <c r="T146" s="334" t="s">
        <v>112</v>
      </c>
      <c r="U146" s="338"/>
      <c r="V146" s="290" t="s">
        <v>250</v>
      </c>
      <c r="W146" s="339" t="s">
        <v>83</v>
      </c>
      <c r="X146" s="337"/>
      <c r="Y146" s="144" t="s">
        <v>162</v>
      </c>
      <c r="Z146" s="154" t="s">
        <v>122</v>
      </c>
      <c r="AA146" s="290" t="s">
        <v>252</v>
      </c>
      <c r="AB146" s="145"/>
    </row>
    <row r="147" spans="16:28" ht="12.75">
      <c r="P147" s="108"/>
      <c r="R147" s="57"/>
      <c r="S147" s="126" t="s">
        <v>113</v>
      </c>
      <c r="T147" s="129" t="s">
        <v>88</v>
      </c>
      <c r="U147" s="18" t="s">
        <v>100</v>
      </c>
      <c r="V147" s="277" t="s">
        <v>251</v>
      </c>
      <c r="W147" s="289" t="s">
        <v>88</v>
      </c>
      <c r="X147" s="133" t="s">
        <v>100</v>
      </c>
      <c r="Y147" s="145" t="s">
        <v>86</v>
      </c>
      <c r="Z147" s="155" t="s">
        <v>86</v>
      </c>
      <c r="AA147" s="277" t="s">
        <v>253</v>
      </c>
      <c r="AB147" s="145"/>
    </row>
    <row r="148" spans="16:28" ht="13.5" thickBot="1">
      <c r="P148" s="108"/>
      <c r="R148" s="57"/>
      <c r="S148" s="127" t="s">
        <v>103</v>
      </c>
      <c r="T148" s="127" t="s">
        <v>104</v>
      </c>
      <c r="U148" s="288" t="s">
        <v>105</v>
      </c>
      <c r="V148" s="291" t="s">
        <v>254</v>
      </c>
      <c r="W148" s="146" t="s">
        <v>106</v>
      </c>
      <c r="X148" s="128" t="s">
        <v>107</v>
      </c>
      <c r="Y148" s="146" t="s">
        <v>108</v>
      </c>
      <c r="Z148" s="156" t="s">
        <v>163</v>
      </c>
      <c r="AA148" s="286" t="s">
        <v>254</v>
      </c>
      <c r="AB148" s="44"/>
    </row>
    <row r="149" spans="16:31" ht="12.75">
      <c r="P149" s="108"/>
      <c r="R149" s="57" t="s">
        <v>114</v>
      </c>
      <c r="S149" s="58">
        <v>1036</v>
      </c>
      <c r="T149" s="59">
        <v>5.39</v>
      </c>
      <c r="U149" s="60">
        <f>S149*T149</f>
        <v>5584.04</v>
      </c>
      <c r="V149" s="292">
        <f>U149/$U$154</f>
        <v>0.012451643653518639</v>
      </c>
      <c r="W149" s="59">
        <f>T149</f>
        <v>5.39</v>
      </c>
      <c r="X149" s="61">
        <f>W149*S149</f>
        <v>5584.04</v>
      </c>
      <c r="Y149" s="33">
        <f aca="true" t="shared" si="10" ref="Y149:Y157">X149-U149</f>
        <v>0</v>
      </c>
      <c r="Z149" s="18"/>
      <c r="AA149" s="292">
        <f>X149/$X$154</f>
        <v>0.011886597007196029</v>
      </c>
      <c r="AB149" s="18"/>
      <c r="AE149" s="19">
        <f>Y149</f>
        <v>0</v>
      </c>
    </row>
    <row r="150" spans="16:29" ht="12.75">
      <c r="P150" s="108"/>
      <c r="R150" s="57" t="s">
        <v>115</v>
      </c>
      <c r="S150" s="25">
        <v>5524208</v>
      </c>
      <c r="T150" s="73">
        <v>0.06899</v>
      </c>
      <c r="U150" s="60">
        <f>S150*T150</f>
        <v>381115.10991999996</v>
      </c>
      <c r="V150" s="293">
        <f>U150/$U$154</f>
        <v>0.8498344459737799</v>
      </c>
      <c r="W150" s="62">
        <f>T150+AF495</f>
        <v>0.07284903375515206</v>
      </c>
      <c r="X150" s="61">
        <f>W150*S150</f>
        <v>402433.21506248106</v>
      </c>
      <c r="Y150" s="33">
        <f t="shared" si="10"/>
        <v>21318.1051424811</v>
      </c>
      <c r="Z150" s="18"/>
      <c r="AA150" s="293">
        <f>X150/$X$154</f>
        <v>0.8566488509677515</v>
      </c>
      <c r="AB150" s="18"/>
      <c r="AC150" s="3">
        <f>S150</f>
        <v>5524208</v>
      </c>
    </row>
    <row r="151" spans="16:29" ht="12.75">
      <c r="P151" s="108"/>
      <c r="R151" s="81" t="s">
        <v>115</v>
      </c>
      <c r="S151" s="18">
        <v>0</v>
      </c>
      <c r="T151" s="77">
        <v>0</v>
      </c>
      <c r="U151" s="60">
        <f>S151*T151</f>
        <v>0</v>
      </c>
      <c r="V151" s="293">
        <f>U151/$U$154</f>
        <v>0</v>
      </c>
      <c r="W151" s="62">
        <f>T151</f>
        <v>0</v>
      </c>
      <c r="X151" s="61">
        <f>W151*S151</f>
        <v>0</v>
      </c>
      <c r="Y151" s="33">
        <f t="shared" si="10"/>
        <v>0</v>
      </c>
      <c r="Z151" s="18"/>
      <c r="AA151" s="293">
        <f>X151/$X$154</f>
        <v>0</v>
      </c>
      <c r="AB151" s="18"/>
      <c r="AC151" s="3">
        <f>S151</f>
        <v>0</v>
      </c>
    </row>
    <row r="152" spans="16:30" ht="12.75">
      <c r="P152" s="108"/>
      <c r="R152" s="72" t="s">
        <v>131</v>
      </c>
      <c r="S152" s="78">
        <v>19421.042</v>
      </c>
      <c r="T152" s="20">
        <v>3.18</v>
      </c>
      <c r="U152" s="60">
        <f>S152*T152</f>
        <v>61758.91356000001</v>
      </c>
      <c r="V152" s="293">
        <f>U152/$U$154</f>
        <v>0.13771391037270153</v>
      </c>
      <c r="W152" s="80">
        <f>T152</f>
        <v>3.18</v>
      </c>
      <c r="X152" s="61">
        <f>W152*S152</f>
        <v>61758.91356000001</v>
      </c>
      <c r="Y152" s="33">
        <f t="shared" si="10"/>
        <v>0</v>
      </c>
      <c r="Z152" s="18"/>
      <c r="AA152" s="293">
        <f>X152/$X$154</f>
        <v>0.13146455202505253</v>
      </c>
      <c r="AB152" s="18"/>
      <c r="AD152" s="19">
        <f>Y152</f>
        <v>0</v>
      </c>
    </row>
    <row r="153" spans="16:28" ht="13.5" thickBot="1">
      <c r="P153" s="108"/>
      <c r="R153" s="57" t="s">
        <v>116</v>
      </c>
      <c r="S153" s="18"/>
      <c r="T153" s="18"/>
      <c r="U153" s="167"/>
      <c r="V153" s="315"/>
      <c r="W153" s="18"/>
      <c r="X153" s="135">
        <f>U153</f>
        <v>0</v>
      </c>
      <c r="Y153" s="169">
        <f t="shared" si="10"/>
        <v>0</v>
      </c>
      <c r="Z153" s="18"/>
      <c r="AA153" s="316"/>
      <c r="AB153" s="18"/>
    </row>
    <row r="154" spans="16:28" ht="13.5" thickBot="1">
      <c r="P154" s="108"/>
      <c r="R154" s="57" t="s">
        <v>117</v>
      </c>
      <c r="S154" s="18"/>
      <c r="T154" s="18"/>
      <c r="U154" s="60">
        <f>SUM(U149:U153)</f>
        <v>448458.06347999995</v>
      </c>
      <c r="V154" s="306">
        <f>SUM(V149:V152)</f>
        <v>1</v>
      </c>
      <c r="W154" s="18"/>
      <c r="X154" s="63">
        <f>SUM(X149:X153)</f>
        <v>469776.16862248105</v>
      </c>
      <c r="Y154" s="63">
        <f t="shared" si="10"/>
        <v>21318.1051424811</v>
      </c>
      <c r="Z154" s="56"/>
      <c r="AA154" s="306">
        <f>SUM(AA149:AA152)</f>
        <v>1</v>
      </c>
      <c r="AB154" s="18"/>
    </row>
    <row r="155" spans="16:28" ht="12.75">
      <c r="P155" s="108"/>
      <c r="R155" s="57" t="s">
        <v>118</v>
      </c>
      <c r="S155" s="18"/>
      <c r="T155" s="18"/>
      <c r="U155" s="60">
        <v>45248.48</v>
      </c>
      <c r="V155" s="301"/>
      <c r="W155" s="18"/>
      <c r="X155" s="63">
        <f>U155</f>
        <v>45248.48</v>
      </c>
      <c r="Y155" s="175">
        <f t="shared" si="10"/>
        <v>0</v>
      </c>
      <c r="Z155" s="56"/>
      <c r="AA155" s="281"/>
      <c r="AB155" s="18"/>
    </row>
    <row r="156" spans="16:28" ht="12.75">
      <c r="P156" s="108"/>
      <c r="R156" s="57" t="s">
        <v>119</v>
      </c>
      <c r="S156" s="18"/>
      <c r="T156" s="18"/>
      <c r="U156" s="174">
        <v>34761.48</v>
      </c>
      <c r="V156" s="301"/>
      <c r="W156" s="18"/>
      <c r="X156" s="120">
        <f>U156</f>
        <v>34761.48</v>
      </c>
      <c r="Y156" s="177">
        <f t="shared" si="10"/>
        <v>0</v>
      </c>
      <c r="Z156" s="56"/>
      <c r="AA156" s="281"/>
      <c r="AB156" s="18"/>
    </row>
    <row r="157" spans="16:28" ht="12.75">
      <c r="P157" s="108"/>
      <c r="R157" s="57" t="s">
        <v>121</v>
      </c>
      <c r="S157" s="18"/>
      <c r="T157" s="18"/>
      <c r="U157" s="63">
        <f>U154+U155+U156</f>
        <v>528468.02348</v>
      </c>
      <c r="V157" s="283"/>
      <c r="W157" s="18"/>
      <c r="X157" s="63">
        <f>X154+X155+X156</f>
        <v>549786.128622481</v>
      </c>
      <c r="Y157" s="200">
        <f t="shared" si="10"/>
        <v>21318.105142481043</v>
      </c>
      <c r="Z157" s="56"/>
      <c r="AA157" s="281"/>
      <c r="AB157" s="18"/>
    </row>
    <row r="158" spans="16:28" ht="12.75">
      <c r="P158" s="108"/>
      <c r="R158" s="57"/>
      <c r="S158" s="18"/>
      <c r="T158" s="18"/>
      <c r="U158" s="18"/>
      <c r="V158" s="281"/>
      <c r="W158" s="18"/>
      <c r="X158" s="63"/>
      <c r="Y158" s="18"/>
      <c r="Z158" s="56"/>
      <c r="AA158" s="281"/>
      <c r="AB158" s="18"/>
    </row>
    <row r="159" spans="16:28" ht="12.75">
      <c r="P159" s="108"/>
      <c r="R159" s="57" t="s">
        <v>161</v>
      </c>
      <c r="S159" s="18"/>
      <c r="T159" s="18"/>
      <c r="U159" s="121">
        <f>U157/S149</f>
        <v>510.10426976833975</v>
      </c>
      <c r="V159" s="303"/>
      <c r="W159" s="121"/>
      <c r="X159" s="121">
        <f>X157/S149</f>
        <v>530.6815913344411</v>
      </c>
      <c r="Y159" s="121">
        <f>X159-U159</f>
        <v>20.577321566101375</v>
      </c>
      <c r="Z159" s="56"/>
      <c r="AA159" s="281"/>
      <c r="AB159" s="18"/>
    </row>
    <row r="160" spans="16:28" ht="13.5" thickBot="1">
      <c r="P160" s="108"/>
      <c r="R160" s="137"/>
      <c r="S160" s="138"/>
      <c r="T160" s="138"/>
      <c r="U160" s="138"/>
      <c r="V160" s="311"/>
      <c r="W160" s="138"/>
      <c r="X160" s="138"/>
      <c r="Y160" s="158"/>
      <c r="Z160" s="124">
        <f>X157/U157-1</f>
        <v>0.04033944192517036</v>
      </c>
      <c r="AA160" s="282"/>
      <c r="AB160" s="18"/>
    </row>
    <row r="161" spans="16:28" ht="15.75">
      <c r="P161" s="108"/>
      <c r="R161" s="242" t="s">
        <v>81</v>
      </c>
      <c r="Z161" s="243"/>
      <c r="AA161" s="331" t="s">
        <v>259</v>
      </c>
      <c r="AB161" s="18"/>
    </row>
    <row r="162" spans="16:28" ht="15.75">
      <c r="P162" s="108"/>
      <c r="R162" s="242" t="s">
        <v>240</v>
      </c>
      <c r="Z162" s="243"/>
      <c r="AA162" s="331" t="s">
        <v>260</v>
      </c>
      <c r="AB162" s="18"/>
    </row>
    <row r="163" spans="16:27" ht="16.5" thickBot="1">
      <c r="P163" s="108"/>
      <c r="AA163" s="331" t="s">
        <v>247</v>
      </c>
    </row>
    <row r="164" spans="16:41" ht="12.75">
      <c r="P164" s="108"/>
      <c r="R164" s="52"/>
      <c r="S164" s="53"/>
      <c r="T164" s="53"/>
      <c r="U164" s="53"/>
      <c r="V164" s="53"/>
      <c r="W164" s="53"/>
      <c r="X164" s="53"/>
      <c r="Y164" s="53"/>
      <c r="Z164" s="54"/>
      <c r="AA164" s="280"/>
      <c r="AB164" s="18"/>
      <c r="AH164" s="52"/>
      <c r="AI164" s="53"/>
      <c r="AJ164" s="53"/>
      <c r="AK164" s="53"/>
      <c r="AL164" s="53"/>
      <c r="AM164" s="53"/>
      <c r="AN164" s="53"/>
      <c r="AO164" s="54"/>
    </row>
    <row r="165" spans="16:41" ht="12.75">
      <c r="P165" s="108"/>
      <c r="R165" s="55" t="s">
        <v>81</v>
      </c>
      <c r="S165" s="18"/>
      <c r="T165" s="18"/>
      <c r="U165" s="18"/>
      <c r="V165" s="18"/>
      <c r="W165" s="18"/>
      <c r="X165" s="18"/>
      <c r="Y165" s="18"/>
      <c r="Z165" s="56"/>
      <c r="AA165" s="281"/>
      <c r="AB165" s="18"/>
      <c r="AH165" s="55" t="s">
        <v>81</v>
      </c>
      <c r="AI165" s="18"/>
      <c r="AJ165" s="18"/>
      <c r="AK165" s="18"/>
      <c r="AL165" s="18"/>
      <c r="AM165" s="18"/>
      <c r="AN165" s="18"/>
      <c r="AO165" s="56"/>
    </row>
    <row r="166" spans="16:41" ht="13.5" thickBot="1">
      <c r="P166" s="108"/>
      <c r="R166" s="55" t="s">
        <v>210</v>
      </c>
      <c r="S166" s="18"/>
      <c r="T166" s="18"/>
      <c r="U166" s="18"/>
      <c r="V166" s="18"/>
      <c r="W166" s="18"/>
      <c r="X166" s="18"/>
      <c r="Y166" s="18"/>
      <c r="Z166" s="56"/>
      <c r="AA166" s="281"/>
      <c r="AB166" s="18"/>
      <c r="AH166" s="55" t="s">
        <v>236</v>
      </c>
      <c r="AI166" s="18"/>
      <c r="AJ166" s="18"/>
      <c r="AK166" s="18"/>
      <c r="AL166" s="18"/>
      <c r="AM166" s="18"/>
      <c r="AN166" s="18"/>
      <c r="AO166" s="56"/>
    </row>
    <row r="167" spans="16:41" ht="12.75">
      <c r="P167" s="108"/>
      <c r="R167" s="57"/>
      <c r="S167" s="125" t="s">
        <v>91</v>
      </c>
      <c r="T167" s="334" t="s">
        <v>112</v>
      </c>
      <c r="U167" s="338"/>
      <c r="V167" s="290" t="s">
        <v>250</v>
      </c>
      <c r="W167" s="339" t="s">
        <v>83</v>
      </c>
      <c r="X167" s="337"/>
      <c r="Y167" s="144" t="s">
        <v>162</v>
      </c>
      <c r="Z167" s="154" t="s">
        <v>122</v>
      </c>
      <c r="AA167" s="290" t="s">
        <v>252</v>
      </c>
      <c r="AB167" s="145"/>
      <c r="AH167" s="57"/>
      <c r="AI167" s="125" t="s">
        <v>91</v>
      </c>
      <c r="AJ167" s="334" t="s">
        <v>112</v>
      </c>
      <c r="AK167" s="335"/>
      <c r="AL167" s="336" t="s">
        <v>83</v>
      </c>
      <c r="AM167" s="337"/>
      <c r="AN167" s="144" t="s">
        <v>162</v>
      </c>
      <c r="AO167" s="154" t="s">
        <v>122</v>
      </c>
    </row>
    <row r="168" spans="16:41" ht="12.75">
      <c r="P168" s="108"/>
      <c r="R168" s="57"/>
      <c r="S168" s="126" t="s">
        <v>113</v>
      </c>
      <c r="T168" s="129" t="s">
        <v>88</v>
      </c>
      <c r="U168" s="18" t="s">
        <v>100</v>
      </c>
      <c r="V168" s="277" t="s">
        <v>251</v>
      </c>
      <c r="W168" s="289" t="s">
        <v>88</v>
      </c>
      <c r="X168" s="133" t="s">
        <v>100</v>
      </c>
      <c r="Y168" s="145" t="s">
        <v>86</v>
      </c>
      <c r="Z168" s="155" t="s">
        <v>86</v>
      </c>
      <c r="AA168" s="277" t="s">
        <v>253</v>
      </c>
      <c r="AB168" s="145"/>
      <c r="AH168" s="57"/>
      <c r="AI168" s="126" t="s">
        <v>113</v>
      </c>
      <c r="AJ168" s="129" t="s">
        <v>88</v>
      </c>
      <c r="AK168" s="130" t="s">
        <v>100</v>
      </c>
      <c r="AL168" s="132" t="s">
        <v>88</v>
      </c>
      <c r="AM168" s="133" t="s">
        <v>100</v>
      </c>
      <c r="AN168" s="145" t="s">
        <v>86</v>
      </c>
      <c r="AO168" s="155" t="s">
        <v>86</v>
      </c>
    </row>
    <row r="169" spans="16:41" ht="13.5" thickBot="1">
      <c r="P169" s="108"/>
      <c r="R169" s="57"/>
      <c r="S169" s="127" t="s">
        <v>103</v>
      </c>
      <c r="T169" s="127" t="s">
        <v>104</v>
      </c>
      <c r="U169" s="288" t="s">
        <v>105</v>
      </c>
      <c r="V169" s="291" t="s">
        <v>254</v>
      </c>
      <c r="W169" s="146" t="s">
        <v>106</v>
      </c>
      <c r="X169" s="128" t="s">
        <v>107</v>
      </c>
      <c r="Y169" s="146" t="s">
        <v>108</v>
      </c>
      <c r="Z169" s="156" t="s">
        <v>163</v>
      </c>
      <c r="AA169" s="291" t="s">
        <v>254</v>
      </c>
      <c r="AB169" s="44"/>
      <c r="AH169" s="57"/>
      <c r="AI169" s="127" t="s">
        <v>103</v>
      </c>
      <c r="AJ169" s="127" t="s">
        <v>104</v>
      </c>
      <c r="AK169" s="131" t="s">
        <v>105</v>
      </c>
      <c r="AL169" s="134" t="s">
        <v>106</v>
      </c>
      <c r="AM169" s="128" t="s">
        <v>107</v>
      </c>
      <c r="AN169" s="146" t="s">
        <v>108</v>
      </c>
      <c r="AO169" s="156" t="s">
        <v>163</v>
      </c>
    </row>
    <row r="170" spans="16:41" ht="12.75">
      <c r="P170" s="108"/>
      <c r="R170" s="57" t="s">
        <v>114</v>
      </c>
      <c r="S170" s="58">
        <v>3864</v>
      </c>
      <c r="T170" s="59">
        <v>5.39</v>
      </c>
      <c r="U170" s="60">
        <f>S170*T170</f>
        <v>20826.96</v>
      </c>
      <c r="V170" s="292">
        <f>U170/$U$175</f>
        <v>0.08666311636653437</v>
      </c>
      <c r="W170" s="59">
        <f>T170</f>
        <v>5.39</v>
      </c>
      <c r="X170" s="61">
        <f>W170*S170</f>
        <v>20826.96</v>
      </c>
      <c r="Y170" s="33">
        <f aca="true" t="shared" si="11" ref="Y170:Y178">X170-U170</f>
        <v>0</v>
      </c>
      <c r="Z170" s="56"/>
      <c r="AA170" s="293">
        <f>X170/$X$175</f>
        <v>0.08245082472028231</v>
      </c>
      <c r="AB170" s="18"/>
      <c r="AH170" s="57" t="s">
        <v>114</v>
      </c>
      <c r="AI170" s="58">
        <f>S149+S170</f>
        <v>4900</v>
      </c>
      <c r="AJ170" s="59">
        <v>6.95</v>
      </c>
      <c r="AK170" s="60">
        <f>U149+U170</f>
        <v>26411</v>
      </c>
      <c r="AL170" s="59">
        <f>W149</f>
        <v>5.39</v>
      </c>
      <c r="AM170" s="60">
        <f>X149+X170</f>
        <v>26411</v>
      </c>
      <c r="AN170" s="33">
        <f aca="true" t="shared" si="12" ref="AN170:AN178">AM170-AK170</f>
        <v>0</v>
      </c>
      <c r="AO170" s="56"/>
    </row>
    <row r="171" spans="16:41" ht="12.75">
      <c r="P171" s="108"/>
      <c r="R171" s="57" t="s">
        <v>115</v>
      </c>
      <c r="S171" s="25">
        <v>3181533</v>
      </c>
      <c r="T171" s="73">
        <v>0.06899</v>
      </c>
      <c r="U171" s="60">
        <f>S171*T171</f>
        <v>219493.96167</v>
      </c>
      <c r="V171" s="293">
        <f>U171/$U$175</f>
        <v>0.9133368836334657</v>
      </c>
      <c r="W171" s="62">
        <f>T171+AF495</f>
        <v>0.07284903375515206</v>
      </c>
      <c r="X171" s="61">
        <f>W171*S171</f>
        <v>231771.6049101302</v>
      </c>
      <c r="Y171" s="33">
        <f t="shared" si="11"/>
        <v>12277.643240130215</v>
      </c>
      <c r="Z171" s="56"/>
      <c r="AA171" s="293">
        <f>X171/$X$175</f>
        <v>0.9175491752797177</v>
      </c>
      <c r="AB171" s="18"/>
      <c r="AC171" s="3">
        <f>S171</f>
        <v>3181533</v>
      </c>
      <c r="AH171" s="57" t="s">
        <v>115</v>
      </c>
      <c r="AI171" s="58">
        <f>S150+S171</f>
        <v>8705741</v>
      </c>
      <c r="AJ171" s="73">
        <v>0.06453</v>
      </c>
      <c r="AK171" s="60">
        <f>U150+U171</f>
        <v>600609.07159</v>
      </c>
      <c r="AL171" s="238">
        <f>W150</f>
        <v>0.07284903375515206</v>
      </c>
      <c r="AM171" s="60">
        <f>X150+X171</f>
        <v>634204.8199726113</v>
      </c>
      <c r="AN171" s="33">
        <f t="shared" si="12"/>
        <v>33595.74838261132</v>
      </c>
      <c r="AO171" s="56"/>
    </row>
    <row r="172" spans="16:41" ht="12.75">
      <c r="P172" s="108"/>
      <c r="R172" s="81" t="s">
        <v>115</v>
      </c>
      <c r="S172" s="18">
        <v>0</v>
      </c>
      <c r="T172" s="77">
        <v>0</v>
      </c>
      <c r="U172" s="60">
        <f>S172*T172</f>
        <v>0</v>
      </c>
      <c r="V172" s="313"/>
      <c r="W172" s="62">
        <f>T172</f>
        <v>0</v>
      </c>
      <c r="X172" s="61">
        <f>W172*S172</f>
        <v>0</v>
      </c>
      <c r="Y172" s="33">
        <f t="shared" si="11"/>
        <v>0</v>
      </c>
      <c r="Z172" s="56"/>
      <c r="AA172" s="310"/>
      <c r="AB172" s="18"/>
      <c r="AC172" s="3">
        <f>S172</f>
        <v>0</v>
      </c>
      <c r="AH172" s="79" t="s">
        <v>136</v>
      </c>
      <c r="AI172" s="58">
        <f>S151+S172</f>
        <v>0</v>
      </c>
      <c r="AJ172" s="77">
        <v>0.05973</v>
      </c>
      <c r="AK172" s="60">
        <f>U151+U172</f>
        <v>0</v>
      </c>
      <c r="AL172" s="238">
        <f>W151</f>
        <v>0</v>
      </c>
      <c r="AM172" s="60">
        <f>X151+X172</f>
        <v>0</v>
      </c>
      <c r="AN172" s="33">
        <f t="shared" si="12"/>
        <v>0</v>
      </c>
      <c r="AO172" s="56"/>
    </row>
    <row r="173" spans="16:41" ht="12.75">
      <c r="P173" s="108"/>
      <c r="R173" s="72" t="s">
        <v>131</v>
      </c>
      <c r="S173" s="78">
        <v>0</v>
      </c>
      <c r="T173" s="20">
        <v>0</v>
      </c>
      <c r="U173" s="60">
        <f>S173*T173</f>
        <v>0</v>
      </c>
      <c r="V173" s="313"/>
      <c r="W173" s="80">
        <f>T173</f>
        <v>0</v>
      </c>
      <c r="X173" s="61">
        <f>W173*S173</f>
        <v>0</v>
      </c>
      <c r="Y173" s="33">
        <f t="shared" si="11"/>
        <v>0</v>
      </c>
      <c r="Z173" s="56"/>
      <c r="AA173" s="310"/>
      <c r="AB173" s="18"/>
      <c r="AH173" s="72" t="s">
        <v>131</v>
      </c>
      <c r="AI173" s="58">
        <f>S152+S173</f>
        <v>19421.042</v>
      </c>
      <c r="AJ173" s="20">
        <v>0</v>
      </c>
      <c r="AK173" s="60">
        <f>U152+U173</f>
        <v>61758.91356000001</v>
      </c>
      <c r="AL173" s="59">
        <f>W152</f>
        <v>3.18</v>
      </c>
      <c r="AM173" s="60">
        <f>X152+X173</f>
        <v>61758.91356000001</v>
      </c>
      <c r="AN173" s="33">
        <f t="shared" si="12"/>
        <v>0</v>
      </c>
      <c r="AO173" s="56"/>
    </row>
    <row r="174" spans="16:41" ht="13.5" thickBot="1">
      <c r="P174" s="108"/>
      <c r="R174" s="57" t="s">
        <v>116</v>
      </c>
      <c r="S174" s="18"/>
      <c r="T174" s="18"/>
      <c r="U174" s="176"/>
      <c r="V174" s="317"/>
      <c r="W174" s="18"/>
      <c r="X174" s="135">
        <f>U174</f>
        <v>0</v>
      </c>
      <c r="Y174" s="169">
        <f t="shared" si="11"/>
        <v>0</v>
      </c>
      <c r="Z174" s="56"/>
      <c r="AA174" s="310"/>
      <c r="AB174" s="18"/>
      <c r="AH174" s="57" t="s">
        <v>116</v>
      </c>
      <c r="AI174" s="18"/>
      <c r="AJ174" s="18"/>
      <c r="AK174" s="174">
        <f>U153+U174</f>
        <v>0</v>
      </c>
      <c r="AL174" s="18"/>
      <c r="AM174" s="174">
        <f>X153+X174</f>
        <v>0</v>
      </c>
      <c r="AN174" s="169">
        <f t="shared" si="12"/>
        <v>0</v>
      </c>
      <c r="AO174" s="56"/>
    </row>
    <row r="175" spans="16:41" ht="13.5" thickBot="1">
      <c r="P175" s="108"/>
      <c r="R175" s="57" t="s">
        <v>117</v>
      </c>
      <c r="S175" s="18"/>
      <c r="T175" s="18"/>
      <c r="U175" s="60">
        <f>SUM(U170:U174)</f>
        <v>240320.92166999998</v>
      </c>
      <c r="V175" s="306">
        <f>V170+V171</f>
        <v>1</v>
      </c>
      <c r="W175" s="18"/>
      <c r="X175" s="63">
        <f>SUM(X170:X174)</f>
        <v>252598.5649101302</v>
      </c>
      <c r="Y175" s="63">
        <f t="shared" si="11"/>
        <v>12277.643240130215</v>
      </c>
      <c r="Z175" s="56"/>
      <c r="AA175" s="306">
        <f>AA170+AA171</f>
        <v>1</v>
      </c>
      <c r="AB175" s="18"/>
      <c r="AH175" s="57" t="s">
        <v>117</v>
      </c>
      <c r="AI175" s="18"/>
      <c r="AJ175" s="18"/>
      <c r="AK175" s="60">
        <f>SUM(AK170:AK174)</f>
        <v>688778.98515</v>
      </c>
      <c r="AL175" s="18"/>
      <c r="AM175" s="63">
        <f>SUM(AM170:AM174)</f>
        <v>722374.7335326113</v>
      </c>
      <c r="AN175" s="63">
        <f t="shared" si="12"/>
        <v>33595.74838261132</v>
      </c>
      <c r="AO175" s="56"/>
    </row>
    <row r="176" spans="16:41" ht="12.75">
      <c r="P176" s="108"/>
      <c r="R176" s="57" t="s">
        <v>118</v>
      </c>
      <c r="S176" s="18"/>
      <c r="T176" s="18"/>
      <c r="U176" s="60">
        <v>26424.04</v>
      </c>
      <c r="V176" s="301"/>
      <c r="W176" s="18"/>
      <c r="X176" s="63">
        <f>U176</f>
        <v>26424.04</v>
      </c>
      <c r="Y176" s="63">
        <f t="shared" si="11"/>
        <v>0</v>
      </c>
      <c r="Z176" s="56"/>
      <c r="AA176" s="281"/>
      <c r="AB176" s="18"/>
      <c r="AH176" s="57" t="s">
        <v>118</v>
      </c>
      <c r="AI176" s="18"/>
      <c r="AJ176" s="18"/>
      <c r="AK176" s="60">
        <f>U155+U176</f>
        <v>71672.52</v>
      </c>
      <c r="AL176" s="18"/>
      <c r="AM176" s="63">
        <f>AK176</f>
        <v>71672.52</v>
      </c>
      <c r="AN176" s="63">
        <f t="shared" si="12"/>
        <v>0</v>
      </c>
      <c r="AO176" s="56"/>
    </row>
    <row r="177" spans="16:41" ht="12.75">
      <c r="P177" s="108"/>
      <c r="R177" s="57" t="s">
        <v>119</v>
      </c>
      <c r="S177" s="18"/>
      <c r="T177" s="18"/>
      <c r="U177" s="174">
        <v>19235.87</v>
      </c>
      <c r="V177" s="301"/>
      <c r="W177" s="18"/>
      <c r="X177" s="120">
        <f>U177</f>
        <v>19235.87</v>
      </c>
      <c r="Y177" s="120">
        <f t="shared" si="11"/>
        <v>0</v>
      </c>
      <c r="Z177" s="56"/>
      <c r="AA177" s="281"/>
      <c r="AB177" s="18"/>
      <c r="AH177" s="57" t="s">
        <v>119</v>
      </c>
      <c r="AI177" s="18"/>
      <c r="AJ177" s="18"/>
      <c r="AK177" s="174">
        <f>U156+U177</f>
        <v>53997.350000000006</v>
      </c>
      <c r="AL177" s="18"/>
      <c r="AM177" s="120">
        <f>AK177</f>
        <v>53997.350000000006</v>
      </c>
      <c r="AN177" s="120">
        <f t="shared" si="12"/>
        <v>0</v>
      </c>
      <c r="AO177" s="56"/>
    </row>
    <row r="178" spans="16:41" ht="12.75">
      <c r="P178" s="108"/>
      <c r="R178" s="57" t="s">
        <v>121</v>
      </c>
      <c r="S178" s="18"/>
      <c r="T178" s="18"/>
      <c r="U178" s="63">
        <f>U175+U176+U177</f>
        <v>285980.83167</v>
      </c>
      <c r="V178" s="283"/>
      <c r="W178" s="18"/>
      <c r="X178" s="63">
        <f>X175+X176+X177</f>
        <v>298258.4749101302</v>
      </c>
      <c r="Y178" s="63">
        <f t="shared" si="11"/>
        <v>12277.643240130215</v>
      </c>
      <c r="Z178" s="56"/>
      <c r="AA178" s="281"/>
      <c r="AB178" s="18"/>
      <c r="AH178" s="57" t="s">
        <v>121</v>
      </c>
      <c r="AI178" s="18"/>
      <c r="AJ178" s="18"/>
      <c r="AK178" s="63">
        <f>AK175+AK176+AK177</f>
        <v>814448.85515</v>
      </c>
      <c r="AL178" s="18"/>
      <c r="AM178" s="63">
        <f>AM175+AM176+AM177</f>
        <v>848044.6035326113</v>
      </c>
      <c r="AN178" s="63">
        <f t="shared" si="12"/>
        <v>33595.74838261132</v>
      </c>
      <c r="AO178" s="56"/>
    </row>
    <row r="179" spans="16:41" ht="12.75">
      <c r="P179" s="108"/>
      <c r="R179" s="57"/>
      <c r="S179" s="18"/>
      <c r="T179" s="18"/>
      <c r="U179" s="18"/>
      <c r="V179" s="281"/>
      <c r="W179" s="18"/>
      <c r="X179" s="63"/>
      <c r="Y179" s="18"/>
      <c r="Z179" s="56"/>
      <c r="AA179" s="281"/>
      <c r="AB179" s="18"/>
      <c r="AH179" s="57"/>
      <c r="AI179" s="18"/>
      <c r="AJ179" s="18"/>
      <c r="AK179" s="18"/>
      <c r="AL179" s="18"/>
      <c r="AM179" s="63"/>
      <c r="AN179" s="18"/>
      <c r="AO179" s="56"/>
    </row>
    <row r="180" spans="16:41" ht="12.75">
      <c r="P180" s="108"/>
      <c r="R180" s="57" t="s">
        <v>161</v>
      </c>
      <c r="S180" s="18"/>
      <c r="T180" s="18"/>
      <c r="U180" s="121">
        <f>U178/S170</f>
        <v>74.01160239906832</v>
      </c>
      <c r="V180" s="303"/>
      <c r="W180" s="121"/>
      <c r="X180" s="121">
        <f>X178/S170</f>
        <v>77.18904630179352</v>
      </c>
      <c r="Y180" s="121">
        <f>X180-U180</f>
        <v>3.1774439027252015</v>
      </c>
      <c r="Z180" s="56"/>
      <c r="AA180" s="281"/>
      <c r="AB180" s="18"/>
      <c r="AH180" s="57" t="s">
        <v>161</v>
      </c>
      <c r="AI180" s="18"/>
      <c r="AJ180" s="18"/>
      <c r="AK180" s="121">
        <f>AK178/AI170</f>
        <v>166.21405207142857</v>
      </c>
      <c r="AL180" s="121"/>
      <c r="AM180" s="121">
        <f>AM178/AI170</f>
        <v>173.07032725155332</v>
      </c>
      <c r="AN180" s="121">
        <f>AM180-AK180</f>
        <v>6.856275180124754</v>
      </c>
      <c r="AO180" s="56"/>
    </row>
    <row r="181" spans="16:41" ht="13.5" thickBot="1">
      <c r="P181" s="108"/>
      <c r="R181" s="137" t="s">
        <v>122</v>
      </c>
      <c r="S181" s="138"/>
      <c r="T181" s="138"/>
      <c r="U181" s="138"/>
      <c r="V181" s="311"/>
      <c r="W181" s="138"/>
      <c r="X181" s="138"/>
      <c r="Y181" s="159"/>
      <c r="Z181" s="124">
        <f>X178/U178-1</f>
        <v>0.04293169989203216</v>
      </c>
      <c r="AA181" s="282"/>
      <c r="AB181" s="18"/>
      <c r="AH181" s="137" t="s">
        <v>122</v>
      </c>
      <c r="AI181" s="138"/>
      <c r="AJ181" s="138"/>
      <c r="AK181" s="138"/>
      <c r="AL181" s="138"/>
      <c r="AM181" s="138"/>
      <c r="AN181" s="158"/>
      <c r="AO181" s="124">
        <f>AM178/AK178-1</f>
        <v>0.04124967230314769</v>
      </c>
    </row>
    <row r="182" ht="13.5" thickBot="1">
      <c r="P182" s="108"/>
    </row>
    <row r="183" spans="16:28" ht="12.75">
      <c r="P183" s="108"/>
      <c r="R183" s="52"/>
      <c r="S183" s="53"/>
      <c r="T183" s="53"/>
      <c r="U183" s="53"/>
      <c r="V183" s="53"/>
      <c r="W183" s="53"/>
      <c r="X183" s="53"/>
      <c r="Y183" s="53"/>
      <c r="Z183" s="54"/>
      <c r="AA183" s="280"/>
      <c r="AB183" s="18"/>
    </row>
    <row r="184" spans="16:28" ht="12.75">
      <c r="P184" s="108"/>
      <c r="R184" s="55" t="s">
        <v>81</v>
      </c>
      <c r="S184" s="18"/>
      <c r="T184" s="18"/>
      <c r="U184" s="18"/>
      <c r="V184" s="18"/>
      <c r="W184" s="18"/>
      <c r="X184" s="18"/>
      <c r="Y184" s="18"/>
      <c r="Z184" s="56"/>
      <c r="AA184" s="281"/>
      <c r="AB184" s="18"/>
    </row>
    <row r="185" spans="16:28" ht="13.5" thickBot="1">
      <c r="P185" s="108"/>
      <c r="R185" s="55" t="s">
        <v>211</v>
      </c>
      <c r="S185" s="18"/>
      <c r="T185" s="18"/>
      <c r="U185" s="18"/>
      <c r="V185" s="18"/>
      <c r="W185" s="18"/>
      <c r="X185" s="18"/>
      <c r="Y185" s="18"/>
      <c r="Z185" s="56"/>
      <c r="AA185" s="281"/>
      <c r="AB185" s="18"/>
    </row>
    <row r="186" spans="16:28" ht="12.75">
      <c r="P186" s="108"/>
      <c r="R186" s="57"/>
      <c r="S186" s="125" t="s">
        <v>91</v>
      </c>
      <c r="T186" s="334" t="s">
        <v>112</v>
      </c>
      <c r="U186" s="338"/>
      <c r="V186" s="290" t="s">
        <v>250</v>
      </c>
      <c r="W186" s="339" t="s">
        <v>83</v>
      </c>
      <c r="X186" s="337"/>
      <c r="Y186" s="144" t="s">
        <v>162</v>
      </c>
      <c r="Z186" s="154" t="s">
        <v>122</v>
      </c>
      <c r="AA186" s="290" t="s">
        <v>252</v>
      </c>
      <c r="AB186" s="145"/>
    </row>
    <row r="187" spans="16:28" ht="12.75">
      <c r="P187" s="108"/>
      <c r="R187" s="57"/>
      <c r="S187" s="126" t="s">
        <v>113</v>
      </c>
      <c r="T187" s="129" t="s">
        <v>88</v>
      </c>
      <c r="U187" s="18" t="s">
        <v>100</v>
      </c>
      <c r="V187" s="277" t="s">
        <v>251</v>
      </c>
      <c r="W187" s="289" t="s">
        <v>88</v>
      </c>
      <c r="X187" s="133" t="s">
        <v>100</v>
      </c>
      <c r="Y187" s="145" t="s">
        <v>86</v>
      </c>
      <c r="Z187" s="155" t="s">
        <v>86</v>
      </c>
      <c r="AA187" s="277" t="s">
        <v>253</v>
      </c>
      <c r="AB187" s="145"/>
    </row>
    <row r="188" spans="16:28" ht="13.5" thickBot="1">
      <c r="P188" s="108"/>
      <c r="R188" s="57"/>
      <c r="S188" s="127" t="s">
        <v>103</v>
      </c>
      <c r="T188" s="127" t="s">
        <v>104</v>
      </c>
      <c r="U188" s="288" t="s">
        <v>105</v>
      </c>
      <c r="V188" s="291" t="s">
        <v>254</v>
      </c>
      <c r="W188" s="146" t="s">
        <v>106</v>
      </c>
      <c r="X188" s="128" t="s">
        <v>107</v>
      </c>
      <c r="Y188" s="146" t="s">
        <v>108</v>
      </c>
      <c r="Z188" s="156" t="s">
        <v>163</v>
      </c>
      <c r="AA188" s="291" t="s">
        <v>254</v>
      </c>
      <c r="AB188" s="44"/>
    </row>
    <row r="189" spans="16:28" ht="12.75">
      <c r="P189" s="108"/>
      <c r="R189" s="57" t="s">
        <v>114</v>
      </c>
      <c r="S189" s="58">
        <v>1087</v>
      </c>
      <c r="T189" s="59">
        <v>23.87</v>
      </c>
      <c r="U189" s="60">
        <f>S189*T189</f>
        <v>25946.690000000002</v>
      </c>
      <c r="V189" s="292">
        <f>U189/$U$194</f>
        <v>0.10360942448378158</v>
      </c>
      <c r="W189" s="59">
        <f>T189</f>
        <v>23.87</v>
      </c>
      <c r="X189" s="61">
        <f>W189*S189</f>
        <v>25946.690000000002</v>
      </c>
      <c r="Y189" s="33">
        <f aca="true" t="shared" si="13" ref="Y189:Y197">X189-U189</f>
        <v>0</v>
      </c>
      <c r="Z189" s="56"/>
      <c r="AA189" s="293">
        <f>X189/$X$194</f>
        <v>0.09858616048164537</v>
      </c>
      <c r="AB189" s="18"/>
    </row>
    <row r="190" spans="16:29" ht="13.5" thickBot="1">
      <c r="P190" s="108"/>
      <c r="R190" s="57" t="s">
        <v>115</v>
      </c>
      <c r="S190" s="25">
        <v>3306543</v>
      </c>
      <c r="T190" s="73">
        <v>0.06789</v>
      </c>
      <c r="U190" s="60">
        <f>S190*T190</f>
        <v>224481.20427000002</v>
      </c>
      <c r="V190" s="293">
        <f>U190/$U$194</f>
        <v>0.8963905755162185</v>
      </c>
      <c r="W190" s="62">
        <f>T190+AF495</f>
        <v>0.07174903375515207</v>
      </c>
      <c r="X190" s="61">
        <f>W190*S190</f>
        <v>237241.2653198618</v>
      </c>
      <c r="Y190" s="33">
        <f t="shared" si="13"/>
        <v>12760.061049861775</v>
      </c>
      <c r="Z190" s="56"/>
      <c r="AA190" s="293">
        <f>X190/$X$194</f>
        <v>0.9014138395183547</v>
      </c>
      <c r="AB190" s="18"/>
      <c r="AC190" s="3">
        <f>S190</f>
        <v>3306543</v>
      </c>
    </row>
    <row r="191" spans="16:75" ht="12.75">
      <c r="P191" s="108"/>
      <c r="R191" s="81" t="s">
        <v>115</v>
      </c>
      <c r="S191" s="18">
        <v>0</v>
      </c>
      <c r="T191" s="77">
        <v>0</v>
      </c>
      <c r="U191" s="60">
        <f>S191*T191</f>
        <v>0</v>
      </c>
      <c r="V191" s="313"/>
      <c r="W191" s="62">
        <f>T191</f>
        <v>0</v>
      </c>
      <c r="X191" s="61">
        <f>W191*S191</f>
        <v>0</v>
      </c>
      <c r="Y191" s="33">
        <f t="shared" si="13"/>
        <v>0</v>
      </c>
      <c r="Z191" s="56"/>
      <c r="AA191" s="310"/>
      <c r="AB191" s="18"/>
      <c r="AC191">
        <f>S191</f>
        <v>0</v>
      </c>
      <c r="BQ191" s="82"/>
      <c r="BR191" s="83"/>
      <c r="BS191" s="83"/>
      <c r="BT191" s="83"/>
      <c r="BU191" s="83"/>
      <c r="BV191" s="83"/>
      <c r="BW191" s="84"/>
    </row>
    <row r="192" spans="16:75" ht="12.75">
      <c r="P192" s="108"/>
      <c r="R192" s="72" t="s">
        <v>131</v>
      </c>
      <c r="S192" s="78">
        <v>7403.331</v>
      </c>
      <c r="T192" s="20">
        <v>0</v>
      </c>
      <c r="U192" s="60">
        <f>S192*T192</f>
        <v>0</v>
      </c>
      <c r="V192" s="313"/>
      <c r="W192" s="80">
        <f>T192</f>
        <v>0</v>
      </c>
      <c r="X192" s="61">
        <f>W192*S192</f>
        <v>0</v>
      </c>
      <c r="Y192" s="33">
        <f t="shared" si="13"/>
        <v>0</v>
      </c>
      <c r="Z192" s="56"/>
      <c r="AA192" s="310"/>
      <c r="AB192" s="18"/>
      <c r="BQ192" s="85" t="s">
        <v>81</v>
      </c>
      <c r="BR192" s="43"/>
      <c r="BS192" s="43"/>
      <c r="BT192" s="43"/>
      <c r="BU192" s="43"/>
      <c r="BV192" s="43"/>
      <c r="BW192" s="86"/>
    </row>
    <row r="193" spans="16:75" ht="13.5" thickBot="1">
      <c r="P193" s="108"/>
      <c r="R193" s="57" t="s">
        <v>116</v>
      </c>
      <c r="S193" s="18"/>
      <c r="T193" s="18"/>
      <c r="U193" s="167"/>
      <c r="V193" s="318"/>
      <c r="W193" s="18"/>
      <c r="X193" s="135">
        <f>U193</f>
        <v>0</v>
      </c>
      <c r="Y193" s="169">
        <f t="shared" si="13"/>
        <v>0</v>
      </c>
      <c r="Z193" s="56"/>
      <c r="AA193" s="310"/>
      <c r="AB193" s="18"/>
      <c r="BQ193" s="85" t="s">
        <v>132</v>
      </c>
      <c r="BR193" s="43"/>
      <c r="BS193" s="43"/>
      <c r="BT193" s="43"/>
      <c r="BU193" s="43"/>
      <c r="BV193" s="43"/>
      <c r="BW193" s="86"/>
    </row>
    <row r="194" spans="16:75" ht="13.5" thickBot="1">
      <c r="P194" s="108"/>
      <c r="R194" s="57" t="s">
        <v>117</v>
      </c>
      <c r="S194" s="18"/>
      <c r="T194" s="18"/>
      <c r="U194" s="60">
        <f>SUM(U189:U193)</f>
        <v>250427.89427000002</v>
      </c>
      <c r="V194" s="306">
        <f>V189+V190</f>
        <v>1</v>
      </c>
      <c r="W194" s="18"/>
      <c r="X194" s="63">
        <f>SUM(X189:X193)</f>
        <v>263187.95531986177</v>
      </c>
      <c r="Y194" s="63">
        <f t="shared" si="13"/>
        <v>12760.061049861746</v>
      </c>
      <c r="Z194" s="56"/>
      <c r="AA194" s="306">
        <f>AA189+AA190</f>
        <v>1</v>
      </c>
      <c r="AB194" s="18"/>
      <c r="BQ194" s="87"/>
      <c r="BR194" s="88" t="s">
        <v>91</v>
      </c>
      <c r="BS194" s="140" t="s">
        <v>112</v>
      </c>
      <c r="BT194" s="141"/>
      <c r="BU194" s="140" t="s">
        <v>83</v>
      </c>
      <c r="BV194" s="141"/>
      <c r="BW194" s="74" t="s">
        <v>122</v>
      </c>
    </row>
    <row r="195" spans="16:75" ht="12.75">
      <c r="P195" s="108"/>
      <c r="R195" s="57" t="s">
        <v>118</v>
      </c>
      <c r="S195" s="18"/>
      <c r="T195" s="18"/>
      <c r="U195" s="60">
        <v>27369.17</v>
      </c>
      <c r="V195" s="307"/>
      <c r="W195" s="18"/>
      <c r="X195" s="63">
        <f>U195</f>
        <v>27369.17</v>
      </c>
      <c r="Y195" s="63">
        <f t="shared" si="13"/>
        <v>0</v>
      </c>
      <c r="Z195" s="56"/>
      <c r="AA195" s="281"/>
      <c r="AB195" s="18"/>
      <c r="BQ195" s="87"/>
      <c r="BR195" s="89" t="s">
        <v>113</v>
      </c>
      <c r="BS195" s="38" t="s">
        <v>88</v>
      </c>
      <c r="BT195" s="39" t="s">
        <v>100</v>
      </c>
      <c r="BU195" s="38" t="s">
        <v>88</v>
      </c>
      <c r="BV195" s="39" t="s">
        <v>100</v>
      </c>
      <c r="BW195" s="75" t="s">
        <v>86</v>
      </c>
    </row>
    <row r="196" spans="16:75" ht="12.75">
      <c r="P196" s="108"/>
      <c r="R196" s="57" t="s">
        <v>119</v>
      </c>
      <c r="S196" s="18"/>
      <c r="T196" s="18"/>
      <c r="U196" s="174">
        <v>20567</v>
      </c>
      <c r="V196" s="301"/>
      <c r="W196" s="18"/>
      <c r="X196" s="120">
        <f>U196</f>
        <v>20567</v>
      </c>
      <c r="Y196" s="120">
        <f t="shared" si="13"/>
        <v>0</v>
      </c>
      <c r="Z196" s="56"/>
      <c r="AA196" s="281"/>
      <c r="AB196" s="18"/>
      <c r="BQ196" s="87"/>
      <c r="BR196" s="40" t="s">
        <v>103</v>
      </c>
      <c r="BS196" s="40" t="s">
        <v>104</v>
      </c>
      <c r="BT196" s="40" t="s">
        <v>105</v>
      </c>
      <c r="BU196" s="40" t="s">
        <v>106</v>
      </c>
      <c r="BV196" s="40" t="s">
        <v>107</v>
      </c>
      <c r="BW196" s="76" t="s">
        <v>108</v>
      </c>
    </row>
    <row r="197" spans="16:75" ht="12.75">
      <c r="P197" s="108"/>
      <c r="R197" s="57" t="s">
        <v>121</v>
      </c>
      <c r="S197" s="18"/>
      <c r="T197" s="18"/>
      <c r="U197" s="63">
        <f>U194+U195+U196</f>
        <v>298364.06427000003</v>
      </c>
      <c r="V197" s="283"/>
      <c r="W197" s="18"/>
      <c r="X197" s="63">
        <f>X194+X195+X196</f>
        <v>311124.12531986175</v>
      </c>
      <c r="Y197" s="63">
        <f t="shared" si="13"/>
        <v>12760.061049861717</v>
      </c>
      <c r="Z197" s="56"/>
      <c r="AA197" s="281"/>
      <c r="AB197" s="18"/>
      <c r="BQ197" s="57" t="s">
        <v>134</v>
      </c>
      <c r="BR197" s="90">
        <f>S111+S130+S149+S170+S189+S208</f>
        <v>23755</v>
      </c>
      <c r="BS197" s="91"/>
      <c r="BT197" s="90">
        <f>U111+U130+U149+U170+U189+U208</f>
        <v>222730.61</v>
      </c>
      <c r="BU197" s="91">
        <f>BS197</f>
        <v>0</v>
      </c>
      <c r="BV197" s="93">
        <f>BU197*BR197</f>
        <v>0</v>
      </c>
      <c r="BW197" s="86"/>
    </row>
    <row r="198" spans="16:75" ht="12.75">
      <c r="P198" s="108"/>
      <c r="R198" s="57"/>
      <c r="S198" s="18"/>
      <c r="T198" s="18"/>
      <c r="U198" s="18"/>
      <c r="V198" s="281"/>
      <c r="W198" s="18"/>
      <c r="X198" s="63"/>
      <c r="Y198" s="18"/>
      <c r="Z198" s="56"/>
      <c r="AA198" s="281"/>
      <c r="AB198" s="18"/>
      <c r="BQ198" s="57" t="s">
        <v>84</v>
      </c>
      <c r="BR198" s="90">
        <f>S112+S131+S150+S171+S190+S209</f>
        <v>32688828</v>
      </c>
      <c r="BS198" s="94"/>
      <c r="BT198" s="90">
        <f>U112+U131+U150+U171+U190+U209</f>
        <v>2168208.1683400003</v>
      </c>
      <c r="BU198" s="95">
        <f>BS198</f>
        <v>0</v>
      </c>
      <c r="BV198" s="93">
        <f>BU198*BR198</f>
        <v>0</v>
      </c>
      <c r="BW198" s="86"/>
    </row>
    <row r="199" spans="16:75" ht="12.75">
      <c r="P199" s="108"/>
      <c r="R199" s="57" t="s">
        <v>161</v>
      </c>
      <c r="S199" s="18"/>
      <c r="T199" s="18"/>
      <c r="U199" s="121">
        <f>U197/S189</f>
        <v>274.4839597700092</v>
      </c>
      <c r="V199" s="303"/>
      <c r="W199" s="121"/>
      <c r="X199" s="121">
        <f>X197/S189</f>
        <v>286.2227463844174</v>
      </c>
      <c r="Y199" s="121">
        <f>X199-U199</f>
        <v>11.738786614408184</v>
      </c>
      <c r="Z199" s="56"/>
      <c r="AA199" s="281"/>
      <c r="AB199" s="18"/>
      <c r="BQ199" s="81" t="s">
        <v>84</v>
      </c>
      <c r="BR199" s="90">
        <f>S113+S132+S151+S172+S191+S210</f>
        <v>14150273</v>
      </c>
      <c r="BS199" s="96"/>
      <c r="BT199" s="90">
        <f>U113+U132+U151+U172+U191+U210</f>
        <v>845195.80629</v>
      </c>
      <c r="BU199" s="95">
        <f>BS199</f>
        <v>0</v>
      </c>
      <c r="BV199" s="93">
        <f>BU199*BR199</f>
        <v>0</v>
      </c>
      <c r="BW199" s="86"/>
    </row>
    <row r="200" spans="16:75" ht="13.5" thickBot="1">
      <c r="P200" s="108"/>
      <c r="R200" s="137" t="s">
        <v>122</v>
      </c>
      <c r="S200" s="138"/>
      <c r="T200" s="138"/>
      <c r="U200" s="138"/>
      <c r="V200" s="311"/>
      <c r="W200" s="138"/>
      <c r="X200" s="138"/>
      <c r="Y200" s="158"/>
      <c r="Z200" s="170">
        <f>X197/U197-1</f>
        <v>0.04276674900873689</v>
      </c>
      <c r="AA200" s="279"/>
      <c r="AB200" s="163"/>
      <c r="BQ200" s="72" t="s">
        <v>133</v>
      </c>
      <c r="BR200" s="90">
        <f>S114+S133+S152+S173+S192+S211</f>
        <v>126134.11200000001</v>
      </c>
      <c r="BS200" s="70"/>
      <c r="BT200" s="90">
        <f>U114+U133+U152+U173+U192+U211</f>
        <v>680458.58753</v>
      </c>
      <c r="BU200" s="97">
        <f>BS200</f>
        <v>0</v>
      </c>
      <c r="BV200" s="93">
        <f>BU200*BR200</f>
        <v>0</v>
      </c>
      <c r="BW200" s="86"/>
    </row>
    <row r="201" spans="16:75" ht="15.75" thickBot="1">
      <c r="P201" s="108"/>
      <c r="BQ201" s="57"/>
      <c r="BR201" s="43"/>
      <c r="BS201" s="43"/>
      <c r="BT201" s="98"/>
      <c r="BU201" s="43"/>
      <c r="BV201" s="99"/>
      <c r="BW201" s="86"/>
    </row>
    <row r="202" spans="16:75" ht="12.75">
      <c r="P202" s="108"/>
      <c r="R202" s="52"/>
      <c r="S202" s="53"/>
      <c r="T202" s="53"/>
      <c r="U202" s="53"/>
      <c r="V202" s="53"/>
      <c r="W202" s="53"/>
      <c r="X202" s="53"/>
      <c r="Y202" s="53"/>
      <c r="Z202" s="54"/>
      <c r="AA202" s="280"/>
      <c r="AB202" s="18"/>
      <c r="AH202" s="52"/>
      <c r="AI202" s="53"/>
      <c r="AJ202" s="53"/>
      <c r="AK202" s="53"/>
      <c r="AL202" s="53"/>
      <c r="AM202" s="53"/>
      <c r="AN202" s="53"/>
      <c r="AO202" s="54"/>
      <c r="BQ202" s="87" t="s">
        <v>117</v>
      </c>
      <c r="BR202" s="43"/>
      <c r="BS202" s="43"/>
      <c r="BT202" s="92">
        <f>SUM(BT197:BT200)</f>
        <v>3916593.1721600005</v>
      </c>
      <c r="BU202" s="43"/>
      <c r="BV202" s="100">
        <f>BV197+BV198</f>
        <v>0</v>
      </c>
      <c r="BW202" s="101">
        <f>SUM(BV197:BV200)/SUM(BT197:BT200)-1</f>
        <v>-1</v>
      </c>
    </row>
    <row r="203" spans="16:75" ht="12.75">
      <c r="P203" s="108"/>
      <c r="R203" s="55" t="s">
        <v>81</v>
      </c>
      <c r="S203" s="18"/>
      <c r="T203" s="18"/>
      <c r="U203" s="18"/>
      <c r="V203" s="18"/>
      <c r="W203" s="18"/>
      <c r="X203" s="18"/>
      <c r="Y203" s="18"/>
      <c r="Z203" s="56"/>
      <c r="AA203" s="281"/>
      <c r="AB203" s="18"/>
      <c r="AH203" s="55" t="s">
        <v>81</v>
      </c>
      <c r="AI203" s="18"/>
      <c r="AJ203" s="18"/>
      <c r="AK203" s="18"/>
      <c r="AL203" s="18"/>
      <c r="AM203" s="18"/>
      <c r="AN203" s="18"/>
      <c r="AO203" s="56"/>
      <c r="BQ203" s="87" t="str">
        <f>BQ197</f>
        <v># Customer Billing Units</v>
      </c>
      <c r="BR203" s="71">
        <f>BR197</f>
        <v>23755</v>
      </c>
      <c r="BS203" s="43"/>
      <c r="BT203" s="106">
        <f>BR197</f>
        <v>23755</v>
      </c>
      <c r="BU203" s="43"/>
      <c r="BV203" s="71">
        <f>BR197</f>
        <v>23755</v>
      </c>
      <c r="BW203" s="86"/>
    </row>
    <row r="204" spans="16:75" ht="13.5" thickBot="1">
      <c r="P204" s="108"/>
      <c r="R204" s="55" t="s">
        <v>212</v>
      </c>
      <c r="S204" s="18"/>
      <c r="T204" s="18"/>
      <c r="U204" s="18"/>
      <c r="V204" s="18"/>
      <c r="W204" s="18"/>
      <c r="X204" s="18"/>
      <c r="Y204" s="18"/>
      <c r="Z204" s="56"/>
      <c r="AA204" s="281"/>
      <c r="AB204" s="18"/>
      <c r="AH204" s="55" t="s">
        <v>235</v>
      </c>
      <c r="AI204" s="18"/>
      <c r="AJ204" s="18"/>
      <c r="AK204" s="18"/>
      <c r="AL204" s="18"/>
      <c r="AM204" s="18"/>
      <c r="AN204" s="18"/>
      <c r="AO204" s="56"/>
      <c r="BQ204" s="87" t="s">
        <v>135</v>
      </c>
      <c r="BR204" s="43"/>
      <c r="BS204" s="43"/>
      <c r="BT204" s="107">
        <f>BT202/BT203</f>
        <v>164.8744757802568</v>
      </c>
      <c r="BU204" s="43"/>
      <c r="BV204" s="100">
        <f>BV202/BV203</f>
        <v>0</v>
      </c>
      <c r="BW204" s="86"/>
    </row>
    <row r="205" spans="16:75" ht="15">
      <c r="P205" s="108"/>
      <c r="R205" s="57"/>
      <c r="S205" s="125" t="s">
        <v>91</v>
      </c>
      <c r="T205" s="334" t="s">
        <v>112</v>
      </c>
      <c r="U205" s="338"/>
      <c r="V205" s="290" t="s">
        <v>250</v>
      </c>
      <c r="W205" s="339" t="s">
        <v>83</v>
      </c>
      <c r="X205" s="337"/>
      <c r="Y205" s="144" t="s">
        <v>162</v>
      </c>
      <c r="Z205" s="154" t="s">
        <v>122</v>
      </c>
      <c r="AA205" s="290" t="s">
        <v>252</v>
      </c>
      <c r="AB205" s="145"/>
      <c r="AH205" s="57"/>
      <c r="AI205" s="125" t="s">
        <v>91</v>
      </c>
      <c r="AJ205" s="334" t="s">
        <v>112</v>
      </c>
      <c r="AK205" s="335"/>
      <c r="AL205" s="336" t="s">
        <v>83</v>
      </c>
      <c r="AM205" s="337"/>
      <c r="AN205" s="144" t="s">
        <v>162</v>
      </c>
      <c r="AO205" s="154" t="s">
        <v>122</v>
      </c>
      <c r="BQ205" s="87"/>
      <c r="BR205" s="43"/>
      <c r="BS205" s="43"/>
      <c r="BT205" s="90">
        <f>U119+U138+U157+U178+U197+U216</f>
        <v>4603712.42216</v>
      </c>
      <c r="BU205" s="43"/>
      <c r="BV205" s="102"/>
      <c r="BW205" s="86"/>
    </row>
    <row r="206" spans="16:75" ht="12.75">
      <c r="P206" s="108"/>
      <c r="R206" s="57"/>
      <c r="S206" s="126" t="s">
        <v>113</v>
      </c>
      <c r="T206" s="129" t="s">
        <v>88</v>
      </c>
      <c r="U206" s="18" t="s">
        <v>100</v>
      </c>
      <c r="V206" s="277" t="s">
        <v>251</v>
      </c>
      <c r="W206" s="289" t="s">
        <v>88</v>
      </c>
      <c r="X206" s="133" t="s">
        <v>100</v>
      </c>
      <c r="Y206" s="145" t="s">
        <v>86</v>
      </c>
      <c r="Z206" s="155" t="s">
        <v>86</v>
      </c>
      <c r="AA206" s="277" t="s">
        <v>253</v>
      </c>
      <c r="AB206" s="145"/>
      <c r="AH206" s="57"/>
      <c r="AI206" s="126" t="s">
        <v>113</v>
      </c>
      <c r="AJ206" s="129" t="s">
        <v>88</v>
      </c>
      <c r="AK206" s="130" t="s">
        <v>100</v>
      </c>
      <c r="AL206" s="132" t="s">
        <v>88</v>
      </c>
      <c r="AM206" s="133" t="s">
        <v>100</v>
      </c>
      <c r="AN206" s="145" t="s">
        <v>86</v>
      </c>
      <c r="AO206" s="155" t="s">
        <v>86</v>
      </c>
      <c r="BQ206" s="57"/>
      <c r="BR206" s="18"/>
      <c r="BS206" s="18"/>
      <c r="BT206" s="18"/>
      <c r="BU206" s="18"/>
      <c r="BV206" s="18"/>
      <c r="BW206" s="86"/>
    </row>
    <row r="207" spans="16:75" ht="13.5" thickBot="1">
      <c r="P207" s="108"/>
      <c r="R207" s="57"/>
      <c r="S207" s="127" t="s">
        <v>103</v>
      </c>
      <c r="T207" s="127" t="s">
        <v>104</v>
      </c>
      <c r="U207" s="288" t="s">
        <v>105</v>
      </c>
      <c r="V207" s="291" t="s">
        <v>254</v>
      </c>
      <c r="W207" s="146" t="s">
        <v>106</v>
      </c>
      <c r="X207" s="128" t="s">
        <v>107</v>
      </c>
      <c r="Y207" s="146" t="s">
        <v>108</v>
      </c>
      <c r="Z207" s="156" t="s">
        <v>163</v>
      </c>
      <c r="AA207" s="291" t="s">
        <v>254</v>
      </c>
      <c r="AB207" s="44"/>
      <c r="AH207" s="57"/>
      <c r="AI207" s="127" t="s">
        <v>103</v>
      </c>
      <c r="AJ207" s="127" t="s">
        <v>104</v>
      </c>
      <c r="AK207" s="131" t="s">
        <v>105</v>
      </c>
      <c r="AL207" s="134" t="s">
        <v>106</v>
      </c>
      <c r="AM207" s="128" t="s">
        <v>107</v>
      </c>
      <c r="AN207" s="146" t="s">
        <v>108</v>
      </c>
      <c r="AO207" s="156" t="s">
        <v>163</v>
      </c>
      <c r="BQ207" s="103"/>
      <c r="BR207" s="104"/>
      <c r="BS207" s="104"/>
      <c r="BT207" s="104"/>
      <c r="BU207" s="104"/>
      <c r="BV207" s="104"/>
      <c r="BW207" s="105"/>
    </row>
    <row r="208" spans="16:75" ht="12.75">
      <c r="P208" s="108"/>
      <c r="R208" s="57" t="s">
        <v>114</v>
      </c>
      <c r="S208" s="58">
        <v>2771</v>
      </c>
      <c r="T208" s="59">
        <v>23.87</v>
      </c>
      <c r="U208" s="60">
        <f>S208*T208</f>
        <v>66143.77</v>
      </c>
      <c r="V208" s="292">
        <f>U208/$U$213</f>
        <v>0.2697835186249669</v>
      </c>
      <c r="W208" s="59">
        <f>T208</f>
        <v>23.87</v>
      </c>
      <c r="X208" s="61">
        <f>W208*S208</f>
        <v>66143.77</v>
      </c>
      <c r="Y208" s="33">
        <f>X208-U208</f>
        <v>0</v>
      </c>
      <c r="Z208" s="160"/>
      <c r="AA208" s="297">
        <f>X208/$X$213</f>
        <v>0.2590318096774577</v>
      </c>
      <c r="AB208" s="157"/>
      <c r="AH208" s="57" t="s">
        <v>114</v>
      </c>
      <c r="AI208" s="58">
        <f>S189+S208</f>
        <v>3858</v>
      </c>
      <c r="AJ208" s="59">
        <v>6.95</v>
      </c>
      <c r="AK208" s="60">
        <f>U189+U208</f>
        <v>92090.46</v>
      </c>
      <c r="AL208" s="59">
        <f>W189</f>
        <v>23.87</v>
      </c>
      <c r="AM208" s="60">
        <f>X189+X208</f>
        <v>92090.46</v>
      </c>
      <c r="AN208" s="33">
        <f aca="true" t="shared" si="14" ref="AN208:AN216">AM208-AK208</f>
        <v>0</v>
      </c>
      <c r="AO208" s="56"/>
      <c r="AR208" s="136"/>
      <c r="AZ208" s="136"/>
      <c r="BH208" s="136"/>
      <c r="BP208" s="136"/>
      <c r="BQ208" s="136"/>
      <c r="BR208" s="136"/>
      <c r="BS208" s="136"/>
      <c r="BT208" s="136"/>
      <c r="BU208" s="136"/>
      <c r="BV208" s="136"/>
      <c r="BW208" s="136"/>
    </row>
    <row r="209" spans="16:41" ht="12.75">
      <c r="P209" s="108"/>
      <c r="R209" s="57" t="s">
        <v>115</v>
      </c>
      <c r="S209" s="25">
        <v>2637056</v>
      </c>
      <c r="T209" s="73">
        <v>0.06789</v>
      </c>
      <c r="U209" s="60">
        <f>S209*T209</f>
        <v>179029.73184000002</v>
      </c>
      <c r="V209" s="293">
        <f>U209/$U$213</f>
        <v>0.730216481375033</v>
      </c>
      <c r="W209" s="62">
        <f>T209+AF495</f>
        <v>0.07174903375515207</v>
      </c>
      <c r="X209" s="61">
        <f>W209*S209</f>
        <v>189206.21995822628</v>
      </c>
      <c r="Y209" s="33">
        <f>X209-U209</f>
        <v>10176.488118226262</v>
      </c>
      <c r="Z209" s="56"/>
      <c r="AA209" s="293">
        <f>X209/X213</f>
        <v>0.7409681903225424</v>
      </c>
      <c r="AB209" s="18"/>
      <c r="AC209" s="3">
        <f>S209</f>
        <v>2637056</v>
      </c>
      <c r="AH209" s="57" t="s">
        <v>115</v>
      </c>
      <c r="AI209" s="58">
        <f>S190+S209</f>
        <v>5943599</v>
      </c>
      <c r="AJ209" s="73">
        <v>0.06453</v>
      </c>
      <c r="AK209" s="60">
        <f>U190+U209</f>
        <v>403510.93611</v>
      </c>
      <c r="AL209" s="238">
        <f>W190</f>
        <v>0.07174903375515207</v>
      </c>
      <c r="AM209" s="60">
        <f>X190+X209</f>
        <v>426447.4852780881</v>
      </c>
      <c r="AN209" s="33">
        <f t="shared" si="14"/>
        <v>22936.549168088066</v>
      </c>
      <c r="AO209" s="56"/>
    </row>
    <row r="210" spans="16:41" ht="12.75">
      <c r="P210" s="108"/>
      <c r="R210" s="81" t="s">
        <v>115</v>
      </c>
      <c r="S210" s="18">
        <v>0</v>
      </c>
      <c r="T210" s="77">
        <v>0</v>
      </c>
      <c r="U210" s="60">
        <f>S210*T210</f>
        <v>0</v>
      </c>
      <c r="V210" s="313"/>
      <c r="W210" s="62">
        <f>T210</f>
        <v>0</v>
      </c>
      <c r="X210" s="61">
        <f>W210*S210</f>
        <v>0</v>
      </c>
      <c r="Y210" s="33">
        <f>X210-U210</f>
        <v>0</v>
      </c>
      <c r="Z210" s="56"/>
      <c r="AA210" s="310"/>
      <c r="AB210" s="18"/>
      <c r="AC210">
        <f>S210</f>
        <v>0</v>
      </c>
      <c r="AH210" s="79" t="s">
        <v>237</v>
      </c>
      <c r="AI210" s="58">
        <f>S191+S210</f>
        <v>0</v>
      </c>
      <c r="AJ210" s="77">
        <v>0.05973</v>
      </c>
      <c r="AK210" s="60">
        <f>U191+U210</f>
        <v>0</v>
      </c>
      <c r="AL210" s="238">
        <f>W191</f>
        <v>0</v>
      </c>
      <c r="AM210" s="60">
        <f>X191+X210</f>
        <v>0</v>
      </c>
      <c r="AN210" s="33">
        <f t="shared" si="14"/>
        <v>0</v>
      </c>
      <c r="AO210" s="56"/>
    </row>
    <row r="211" spans="16:41" ht="12.75">
      <c r="P211" s="108"/>
      <c r="R211" s="72" t="s">
        <v>131</v>
      </c>
      <c r="S211" s="78">
        <v>0</v>
      </c>
      <c r="T211" s="20">
        <v>0</v>
      </c>
      <c r="U211" s="60">
        <f>S211*T211</f>
        <v>0</v>
      </c>
      <c r="V211" s="313"/>
      <c r="W211" s="80">
        <f>T211</f>
        <v>0</v>
      </c>
      <c r="X211" s="61">
        <f>W211*S211</f>
        <v>0</v>
      </c>
      <c r="Y211" s="33">
        <f>X211-U211</f>
        <v>0</v>
      </c>
      <c r="Z211" s="56"/>
      <c r="AA211" s="310"/>
      <c r="AB211" s="18"/>
      <c r="AH211" s="72" t="s">
        <v>131</v>
      </c>
      <c r="AI211" s="58">
        <f>S192+S211</f>
        <v>7403.331</v>
      </c>
      <c r="AJ211" s="20">
        <v>0</v>
      </c>
      <c r="AK211" s="60">
        <f>U192+U211</f>
        <v>0</v>
      </c>
      <c r="AL211" s="59">
        <f>W192</f>
        <v>0</v>
      </c>
      <c r="AM211" s="60">
        <f>X192+X211</f>
        <v>0</v>
      </c>
      <c r="AN211" s="33">
        <f t="shared" si="14"/>
        <v>0</v>
      </c>
      <c r="AO211" s="56"/>
    </row>
    <row r="212" spans="16:41" ht="13.5" thickBot="1">
      <c r="P212" s="108"/>
      <c r="R212" s="57" t="s">
        <v>116</v>
      </c>
      <c r="S212" s="18"/>
      <c r="T212" s="18"/>
      <c r="U212" s="167"/>
      <c r="V212" s="318"/>
      <c r="W212" s="18"/>
      <c r="X212" s="135">
        <f>U212</f>
        <v>0</v>
      </c>
      <c r="Y212" s="169">
        <f>X212-U212</f>
        <v>0</v>
      </c>
      <c r="Z212" s="56"/>
      <c r="AA212" s="310"/>
      <c r="AB212" s="18"/>
      <c r="AH212" s="57" t="s">
        <v>116</v>
      </c>
      <c r="AI212" s="18"/>
      <c r="AJ212" s="18"/>
      <c r="AK212" s="174">
        <f>U193+U212</f>
        <v>0</v>
      </c>
      <c r="AL212" s="18"/>
      <c r="AM212" s="174">
        <f>X193+X212</f>
        <v>0</v>
      </c>
      <c r="AN212" s="169">
        <f t="shared" si="14"/>
        <v>0</v>
      </c>
      <c r="AO212" s="56"/>
    </row>
    <row r="213" spans="16:41" ht="13.5" thickBot="1">
      <c r="P213" s="108"/>
      <c r="R213" s="57" t="s">
        <v>117</v>
      </c>
      <c r="S213" s="18"/>
      <c r="T213" s="18"/>
      <c r="U213" s="60">
        <f>SUM(U208:U212)</f>
        <v>245173.50184000004</v>
      </c>
      <c r="V213" s="306">
        <f>V208+V209</f>
        <v>1</v>
      </c>
      <c r="W213" s="18"/>
      <c r="X213" s="63">
        <f>SUM(X208:X212)</f>
        <v>255349.98995822627</v>
      </c>
      <c r="Y213" s="63">
        <f>SUM(Y208:Y212)</f>
        <v>10176.488118226262</v>
      </c>
      <c r="Z213" s="56"/>
      <c r="AA213" s="306">
        <f>AA208+AA209</f>
        <v>1</v>
      </c>
      <c r="AB213" s="18"/>
      <c r="AH213" s="57" t="s">
        <v>117</v>
      </c>
      <c r="AI213" s="18"/>
      <c r="AJ213" s="18"/>
      <c r="AK213" s="60">
        <f>SUM(AK208:AK212)</f>
        <v>495601.39611000003</v>
      </c>
      <c r="AL213" s="18"/>
      <c r="AM213" s="63">
        <f>SUM(AM208:AM212)</f>
        <v>518537.9452780881</v>
      </c>
      <c r="AN213" s="63">
        <f t="shared" si="14"/>
        <v>22936.549168088066</v>
      </c>
      <c r="AO213" s="56"/>
    </row>
    <row r="214" spans="16:41" ht="12.75">
      <c r="P214" s="108"/>
      <c r="R214" s="57" t="s">
        <v>118</v>
      </c>
      <c r="S214" s="18"/>
      <c r="T214" s="18"/>
      <c r="U214" s="60">
        <v>22042.74</v>
      </c>
      <c r="V214" s="307"/>
      <c r="W214" s="18"/>
      <c r="X214" s="63">
        <f>U214</f>
        <v>22042.74</v>
      </c>
      <c r="Y214" s="175">
        <f>X214-U214</f>
        <v>0</v>
      </c>
      <c r="Z214" s="56"/>
      <c r="AA214" s="281"/>
      <c r="AB214" s="18"/>
      <c r="AH214" s="57" t="s">
        <v>118</v>
      </c>
      <c r="AI214" s="18"/>
      <c r="AJ214" s="18"/>
      <c r="AK214" s="60">
        <f>U195+U214</f>
        <v>49411.91</v>
      </c>
      <c r="AL214" s="18"/>
      <c r="AM214" s="63">
        <f>AK214</f>
        <v>49411.91</v>
      </c>
      <c r="AN214" s="63">
        <f t="shared" si="14"/>
        <v>0</v>
      </c>
      <c r="AO214" s="56"/>
    </row>
    <row r="215" spans="16:41" ht="12.75">
      <c r="P215" s="108"/>
      <c r="R215" s="57" t="s">
        <v>119</v>
      </c>
      <c r="S215" s="18"/>
      <c r="T215" s="18"/>
      <c r="U215" s="174">
        <v>20021.28</v>
      </c>
      <c r="V215" s="301"/>
      <c r="W215" s="18"/>
      <c r="X215" s="120">
        <f>U215</f>
        <v>20021.28</v>
      </c>
      <c r="Y215" s="177">
        <f>X215-U215</f>
        <v>0</v>
      </c>
      <c r="Z215" s="56"/>
      <c r="AA215" s="281"/>
      <c r="AB215" s="18"/>
      <c r="AH215" s="57" t="s">
        <v>119</v>
      </c>
      <c r="AI215" s="18"/>
      <c r="AJ215" s="18"/>
      <c r="AK215" s="174">
        <f>U196+U215</f>
        <v>40588.28</v>
      </c>
      <c r="AL215" s="18"/>
      <c r="AM215" s="120">
        <f>AK215</f>
        <v>40588.28</v>
      </c>
      <c r="AN215" s="120">
        <f t="shared" si="14"/>
        <v>0</v>
      </c>
      <c r="AO215" s="56"/>
    </row>
    <row r="216" spans="16:41" ht="12.75">
      <c r="P216" s="108"/>
      <c r="R216" s="57" t="s">
        <v>121</v>
      </c>
      <c r="S216" s="18"/>
      <c r="T216" s="18"/>
      <c r="U216" s="63">
        <f>U213+U214+U215</f>
        <v>287237.52184000006</v>
      </c>
      <c r="V216" s="283"/>
      <c r="W216" s="18"/>
      <c r="X216" s="63">
        <f>X213+X214+X215</f>
        <v>297414.00995822623</v>
      </c>
      <c r="Y216" s="63">
        <f>X216-U216</f>
        <v>10176.488118226174</v>
      </c>
      <c r="Z216" s="56"/>
      <c r="AA216" s="281"/>
      <c r="AB216" s="18"/>
      <c r="AH216" s="57" t="s">
        <v>121</v>
      </c>
      <c r="AI216" s="18"/>
      <c r="AJ216" s="18"/>
      <c r="AK216" s="63">
        <f>AK213+AK214+AK215</f>
        <v>585601.58611</v>
      </c>
      <c r="AL216" s="18"/>
      <c r="AM216" s="63">
        <f>AM213+AM214+AM215</f>
        <v>608538.1352780882</v>
      </c>
      <c r="AN216" s="63">
        <f t="shared" si="14"/>
        <v>22936.549168088124</v>
      </c>
      <c r="AO216" s="239">
        <f>AM216/AK216-1</f>
        <v>0.039167498367703724</v>
      </c>
    </row>
    <row r="217" spans="16:41" ht="12.75">
      <c r="P217" s="108"/>
      <c r="R217" s="57"/>
      <c r="S217" s="18"/>
      <c r="T217" s="18"/>
      <c r="U217" s="18"/>
      <c r="V217" s="281"/>
      <c r="W217" s="18"/>
      <c r="X217" s="63"/>
      <c r="Y217" s="18"/>
      <c r="Z217" s="56"/>
      <c r="AA217" s="281"/>
      <c r="AB217" s="18"/>
      <c r="AH217" s="57"/>
      <c r="AI217" s="18"/>
      <c r="AJ217" s="18"/>
      <c r="AK217" s="18"/>
      <c r="AL217" s="18"/>
      <c r="AM217" s="63"/>
      <c r="AN217" s="18"/>
      <c r="AO217" s="56"/>
    </row>
    <row r="218" spans="16:41" ht="12.75">
      <c r="P218" s="108"/>
      <c r="R218" s="57" t="s">
        <v>161</v>
      </c>
      <c r="S218" s="18"/>
      <c r="T218" s="18"/>
      <c r="U218" s="199">
        <f>U216/S208</f>
        <v>103.65843444243957</v>
      </c>
      <c r="V218" s="319"/>
      <c r="W218" s="199"/>
      <c r="X218" s="199">
        <f>X216/S208</f>
        <v>107.33093105673989</v>
      </c>
      <c r="Y218" s="199">
        <f>X218-U218</f>
        <v>3.6724966143003144</v>
      </c>
      <c r="Z218" s="56"/>
      <c r="AA218" s="281"/>
      <c r="AB218" s="18"/>
      <c r="AH218" s="57" t="s">
        <v>161</v>
      </c>
      <c r="AI218" s="18"/>
      <c r="AJ218" s="18"/>
      <c r="AK218" s="121">
        <f>AK216/AI208</f>
        <v>151.78890256868846</v>
      </c>
      <c r="AL218" s="121"/>
      <c r="AM218" s="121">
        <f>AM216/AI208</f>
        <v>157.7340941622831</v>
      </c>
      <c r="AN218" s="121">
        <f>AM218-AK218</f>
        <v>5.945191593594643</v>
      </c>
      <c r="AO218" s="56"/>
    </row>
    <row r="219" spans="16:41" ht="13.5" thickBot="1">
      <c r="P219" s="108"/>
      <c r="R219" s="137" t="s">
        <v>122</v>
      </c>
      <c r="S219" s="138"/>
      <c r="T219" s="138"/>
      <c r="U219" s="138"/>
      <c r="V219" s="311"/>
      <c r="W219" s="138"/>
      <c r="X219" s="138"/>
      <c r="Y219" s="158"/>
      <c r="Z219" s="124">
        <f>X216/U216-1</f>
        <v>0.035428825778182294</v>
      </c>
      <c r="AA219" s="282"/>
      <c r="AB219" s="18"/>
      <c r="AH219" s="137" t="s">
        <v>122</v>
      </c>
      <c r="AI219" s="138"/>
      <c r="AJ219" s="138"/>
      <c r="AK219" s="138"/>
      <c r="AL219" s="138"/>
      <c r="AM219" s="138"/>
      <c r="AN219" s="158"/>
      <c r="AO219" s="124">
        <f>AM216/AK216-1</f>
        <v>0.039167498367703724</v>
      </c>
    </row>
    <row r="220" ht="13.5" thickBot="1">
      <c r="P220" s="108"/>
    </row>
    <row r="221" spans="16:28" ht="12.75">
      <c r="P221" s="108"/>
      <c r="R221" s="52"/>
      <c r="S221" s="53"/>
      <c r="T221" s="53"/>
      <c r="U221" s="53"/>
      <c r="V221" s="53"/>
      <c r="W221" s="53"/>
      <c r="X221" s="53"/>
      <c r="Y221" s="53"/>
      <c r="Z221" s="54"/>
      <c r="AA221" s="280"/>
      <c r="AB221" s="18"/>
    </row>
    <row r="222" spans="16:28" ht="12.75">
      <c r="P222" s="108"/>
      <c r="R222" s="55" t="s">
        <v>81</v>
      </c>
      <c r="S222" s="18"/>
      <c r="T222" s="18"/>
      <c r="U222" s="18"/>
      <c r="V222" s="18"/>
      <c r="W222" s="18"/>
      <c r="X222" s="18"/>
      <c r="Y222" s="18"/>
      <c r="Z222" s="56"/>
      <c r="AA222" s="281"/>
      <c r="AB222" s="18"/>
    </row>
    <row r="223" spans="16:28" ht="13.5" thickBot="1">
      <c r="P223" s="108"/>
      <c r="R223" s="55" t="s">
        <v>213</v>
      </c>
      <c r="S223" s="18"/>
      <c r="T223" s="18"/>
      <c r="U223" s="18"/>
      <c r="V223" s="18"/>
      <c r="W223" s="18"/>
      <c r="X223" s="18"/>
      <c r="Y223" s="18"/>
      <c r="Z223" s="56"/>
      <c r="AA223" s="281"/>
      <c r="AB223" s="18"/>
    </row>
    <row r="224" spans="16:28" ht="12.75">
      <c r="P224" s="108"/>
      <c r="R224" s="57"/>
      <c r="S224" s="125" t="s">
        <v>91</v>
      </c>
      <c r="T224" s="334" t="s">
        <v>112</v>
      </c>
      <c r="U224" s="338"/>
      <c r="V224" s="290" t="s">
        <v>250</v>
      </c>
      <c r="W224" s="339" t="s">
        <v>83</v>
      </c>
      <c r="X224" s="337"/>
      <c r="Y224" s="144" t="s">
        <v>162</v>
      </c>
      <c r="Z224" s="154" t="s">
        <v>122</v>
      </c>
      <c r="AA224" s="290" t="s">
        <v>252</v>
      </c>
      <c r="AB224" s="145"/>
    </row>
    <row r="225" spans="16:28" ht="12.75">
      <c r="P225" s="108"/>
      <c r="R225" s="57"/>
      <c r="S225" s="126" t="s">
        <v>113</v>
      </c>
      <c r="T225" s="129" t="s">
        <v>88</v>
      </c>
      <c r="U225" s="18" t="s">
        <v>100</v>
      </c>
      <c r="V225" s="277" t="s">
        <v>251</v>
      </c>
      <c r="W225" s="289" t="s">
        <v>88</v>
      </c>
      <c r="X225" s="133" t="s">
        <v>100</v>
      </c>
      <c r="Y225" s="145" t="s">
        <v>86</v>
      </c>
      <c r="Z225" s="155" t="s">
        <v>86</v>
      </c>
      <c r="AA225" s="277" t="s">
        <v>253</v>
      </c>
      <c r="AB225" s="145"/>
    </row>
    <row r="226" spans="16:28" ht="13.5" thickBot="1">
      <c r="P226" s="108"/>
      <c r="R226" s="57"/>
      <c r="S226" s="127" t="s">
        <v>103</v>
      </c>
      <c r="T226" s="127" t="s">
        <v>104</v>
      </c>
      <c r="U226" s="288" t="s">
        <v>105</v>
      </c>
      <c r="V226" s="291" t="s">
        <v>254</v>
      </c>
      <c r="W226" s="146" t="s">
        <v>106</v>
      </c>
      <c r="X226" s="128" t="s">
        <v>107</v>
      </c>
      <c r="Y226" s="146" t="s">
        <v>108</v>
      </c>
      <c r="Z226" s="156" t="s">
        <v>163</v>
      </c>
      <c r="AA226" s="291" t="s">
        <v>254</v>
      </c>
      <c r="AB226" s="44"/>
    </row>
    <row r="227" spans="16:31" ht="12.75">
      <c r="P227" s="108"/>
      <c r="R227" s="57" t="s">
        <v>114</v>
      </c>
      <c r="S227" s="58">
        <v>996</v>
      </c>
      <c r="T227" s="59">
        <v>24</v>
      </c>
      <c r="U227" s="60">
        <f aca="true" t="shared" si="15" ref="U227:U233">S227*T227</f>
        <v>23904</v>
      </c>
      <c r="V227" s="292">
        <f>U227/$U$235</f>
        <v>0.009689502533236012</v>
      </c>
      <c r="W227" s="59">
        <f>T227</f>
        <v>24</v>
      </c>
      <c r="X227" s="61">
        <f aca="true" t="shared" si="16" ref="X227:X233">W227*S227</f>
        <v>23904</v>
      </c>
      <c r="Y227" s="33">
        <f aca="true" t="shared" si="17" ref="Y227:Y234">X227-U227</f>
        <v>0</v>
      </c>
      <c r="Z227" s="56"/>
      <c r="AA227" s="292">
        <f aca="true" t="shared" si="18" ref="AA227:AA233">X227/$X$235</f>
        <v>0.009094008478832152</v>
      </c>
      <c r="AB227" s="18"/>
      <c r="AE227" s="19">
        <f>Y227</f>
        <v>0</v>
      </c>
    </row>
    <row r="228" spans="16:29" ht="12.75">
      <c r="P228" s="108"/>
      <c r="R228" s="57" t="s">
        <v>137</v>
      </c>
      <c r="S228" s="25">
        <v>9383175</v>
      </c>
      <c r="T228" s="112">
        <v>0.04945</v>
      </c>
      <c r="U228" s="60">
        <f t="shared" si="15"/>
        <v>463998.00375000003</v>
      </c>
      <c r="V228" s="293">
        <f aca="true" t="shared" si="19" ref="V228:V233">U228/$U$235</f>
        <v>0.18808190398059227</v>
      </c>
      <c r="W228" s="62">
        <f>T228+AF495</f>
        <v>0.05330903375515206</v>
      </c>
      <c r="X228" s="61">
        <f t="shared" si="16"/>
        <v>500207.9928054989</v>
      </c>
      <c r="Y228" s="33">
        <f t="shared" si="17"/>
        <v>36209.98905549885</v>
      </c>
      <c r="Z228" s="161"/>
      <c r="AA228" s="293">
        <f t="shared" si="18"/>
        <v>0.19029851605391646</v>
      </c>
      <c r="AB228" s="25"/>
      <c r="AC228" s="3">
        <f>S228</f>
        <v>9383175</v>
      </c>
    </row>
    <row r="229" spans="16:29" ht="12.75">
      <c r="P229" s="108"/>
      <c r="R229" s="79" t="s">
        <v>138</v>
      </c>
      <c r="S229" s="25">
        <v>10278461</v>
      </c>
      <c r="T229" s="113">
        <v>0.04275</v>
      </c>
      <c r="U229" s="60">
        <f t="shared" si="15"/>
        <v>439404.20775000006</v>
      </c>
      <c r="V229" s="293">
        <f t="shared" si="19"/>
        <v>0.17811279217320064</v>
      </c>
      <c r="W229" s="62">
        <f>T229+AF495</f>
        <v>0.04660903375515206</v>
      </c>
      <c r="X229" s="61">
        <f t="shared" si="16"/>
        <v>479069.135700014</v>
      </c>
      <c r="Y229" s="33">
        <f t="shared" si="17"/>
        <v>39664.92795001395</v>
      </c>
      <c r="Z229" s="56"/>
      <c r="AA229" s="293">
        <f t="shared" si="18"/>
        <v>0.18225647515071614</v>
      </c>
      <c r="AB229" s="18"/>
      <c r="AC229" s="3">
        <f>S229</f>
        <v>10278461</v>
      </c>
    </row>
    <row r="230" spans="16:29" ht="12.75">
      <c r="P230" s="108"/>
      <c r="R230" s="72" t="s">
        <v>139</v>
      </c>
      <c r="S230" s="25">
        <v>13605919</v>
      </c>
      <c r="T230" s="113">
        <v>0.03715</v>
      </c>
      <c r="U230" s="60">
        <f t="shared" si="15"/>
        <v>505459.89085</v>
      </c>
      <c r="V230" s="293">
        <f t="shared" si="19"/>
        <v>0.20488850789994448</v>
      </c>
      <c r="W230" s="62">
        <f>T230+AF495</f>
        <v>0.04100903375515206</v>
      </c>
      <c r="X230" s="61">
        <f t="shared" si="16"/>
        <v>557965.5915408648</v>
      </c>
      <c r="Y230" s="33">
        <f t="shared" si="17"/>
        <v>52505.70069086476</v>
      </c>
      <c r="Z230" s="56"/>
      <c r="AA230" s="293">
        <f t="shared" si="18"/>
        <v>0.2122717461667178</v>
      </c>
      <c r="AB230" s="18"/>
      <c r="AC230" s="3">
        <f>S230</f>
        <v>13605919</v>
      </c>
    </row>
    <row r="231" spans="16:29" ht="12.75">
      <c r="P231" s="108"/>
      <c r="R231" s="72" t="s">
        <v>140</v>
      </c>
      <c r="S231" s="25">
        <v>8593734</v>
      </c>
      <c r="T231" s="113">
        <v>0.03485</v>
      </c>
      <c r="U231" s="60">
        <f t="shared" si="15"/>
        <v>299491.6299</v>
      </c>
      <c r="V231" s="293">
        <f t="shared" si="19"/>
        <v>0.1213991343122085</v>
      </c>
      <c r="W231" s="62">
        <f>T231+AF495</f>
        <v>0.038709033755152056</v>
      </c>
      <c r="X231" s="61">
        <f t="shared" si="16"/>
        <v>332655.1394887979</v>
      </c>
      <c r="Y231" s="33">
        <f t="shared" si="17"/>
        <v>33163.509588797926</v>
      </c>
      <c r="Z231" s="56"/>
      <c r="AA231" s="293">
        <f t="shared" si="18"/>
        <v>0.1265549137817194</v>
      </c>
      <c r="AB231" s="18"/>
      <c r="AC231" s="3">
        <f>S231</f>
        <v>8593734</v>
      </c>
    </row>
    <row r="232" spans="16:29" ht="12.75">
      <c r="P232" s="108"/>
      <c r="R232" s="72" t="s">
        <v>141</v>
      </c>
      <c r="S232" s="25">
        <v>0</v>
      </c>
      <c r="T232" s="113">
        <v>0.03315</v>
      </c>
      <c r="U232" s="60">
        <f t="shared" si="15"/>
        <v>0</v>
      </c>
      <c r="V232" s="293">
        <f t="shared" si="19"/>
        <v>0</v>
      </c>
      <c r="W232" s="62">
        <f>T232+AF495</f>
        <v>0.037009033755152056</v>
      </c>
      <c r="X232" s="61">
        <f t="shared" si="16"/>
        <v>0</v>
      </c>
      <c r="Y232" s="33">
        <f t="shared" si="17"/>
        <v>0</v>
      </c>
      <c r="Z232" s="56"/>
      <c r="AA232" s="293">
        <f t="shared" si="18"/>
        <v>0</v>
      </c>
      <c r="AB232" s="18"/>
      <c r="AC232" s="3">
        <f>S232</f>
        <v>0</v>
      </c>
    </row>
    <row r="233" spans="16:30" ht="12.75">
      <c r="P233" s="108"/>
      <c r="R233" s="72" t="s">
        <v>131</v>
      </c>
      <c r="S233" s="78">
        <v>117936.113</v>
      </c>
      <c r="T233" s="20">
        <v>6.23</v>
      </c>
      <c r="U233" s="60">
        <f t="shared" si="15"/>
        <v>734741.98399</v>
      </c>
      <c r="V233" s="293">
        <f t="shared" si="19"/>
        <v>0.29782815910081817</v>
      </c>
      <c r="W233" s="80">
        <f>T233</f>
        <v>6.23</v>
      </c>
      <c r="X233" s="61">
        <f t="shared" si="16"/>
        <v>734741.98399</v>
      </c>
      <c r="Y233" s="33">
        <f t="shared" si="17"/>
        <v>0</v>
      </c>
      <c r="Z233" s="56"/>
      <c r="AA233" s="293">
        <f t="shared" si="18"/>
        <v>0.2795243403680981</v>
      </c>
      <c r="AB233" s="18"/>
      <c r="AD233" s="19">
        <f>Y233</f>
        <v>0</v>
      </c>
    </row>
    <row r="234" spans="16:28" ht="13.5" thickBot="1">
      <c r="P234" s="108"/>
      <c r="R234" s="57" t="s">
        <v>116</v>
      </c>
      <c r="S234" s="18"/>
      <c r="T234" s="18"/>
      <c r="U234" s="174"/>
      <c r="V234" s="320"/>
      <c r="W234" s="18"/>
      <c r="X234" s="135">
        <f>U234</f>
        <v>0</v>
      </c>
      <c r="Y234" s="169">
        <f t="shared" si="17"/>
        <v>0</v>
      </c>
      <c r="Z234" s="56"/>
      <c r="AA234" s="308"/>
      <c r="AB234" s="18"/>
    </row>
    <row r="235" spans="16:28" ht="13.5" thickBot="1">
      <c r="P235" s="108"/>
      <c r="R235" s="57" t="s">
        <v>117</v>
      </c>
      <c r="S235" s="18"/>
      <c r="T235" s="18"/>
      <c r="U235" s="60">
        <f>SUM(U227:U234)</f>
        <v>2466999.71624</v>
      </c>
      <c r="V235" s="306">
        <f>SUM(V227:V233)</f>
        <v>1</v>
      </c>
      <c r="W235" s="18"/>
      <c r="X235" s="63">
        <f>SUM(X227:X234)</f>
        <v>2628543.8435251755</v>
      </c>
      <c r="Y235" s="63">
        <f>SUM(Y227:Y234)</f>
        <v>161544.1272851755</v>
      </c>
      <c r="Z235" s="56"/>
      <c r="AA235" s="306">
        <f>SUM(AA227:AA233)</f>
        <v>1</v>
      </c>
      <c r="AB235" s="18"/>
    </row>
    <row r="236" spans="16:28" ht="12.75">
      <c r="P236" s="108"/>
      <c r="R236" s="57" t="s">
        <v>118</v>
      </c>
      <c r="S236" s="18"/>
      <c r="T236" s="18"/>
      <c r="U236" s="60">
        <v>340667.21</v>
      </c>
      <c r="V236" s="307"/>
      <c r="W236" s="18"/>
      <c r="X236" s="63">
        <f>U236</f>
        <v>340667.21</v>
      </c>
      <c r="Y236" s="175">
        <f>X236-U236</f>
        <v>0</v>
      </c>
      <c r="Z236" s="56"/>
      <c r="AA236" s="281"/>
      <c r="AB236" s="18"/>
    </row>
    <row r="237" spans="16:28" ht="12.75">
      <c r="P237" s="108"/>
      <c r="R237" s="57" t="s">
        <v>119</v>
      </c>
      <c r="S237" s="18"/>
      <c r="T237" s="18"/>
      <c r="U237" s="174">
        <v>205160.14</v>
      </c>
      <c r="V237" s="301"/>
      <c r="W237" s="18"/>
      <c r="X237" s="120">
        <f>U237</f>
        <v>205160.14</v>
      </c>
      <c r="Y237" s="177">
        <f>X237-U237</f>
        <v>0</v>
      </c>
      <c r="Z237" s="56"/>
      <c r="AA237" s="281"/>
      <c r="AB237" s="18"/>
    </row>
    <row r="238" spans="16:28" ht="12.75">
      <c r="P238" s="108"/>
      <c r="R238" s="57" t="s">
        <v>121</v>
      </c>
      <c r="S238" s="18"/>
      <c r="T238" s="18"/>
      <c r="U238" s="63">
        <f>U235+U236+U237</f>
        <v>3012827.06624</v>
      </c>
      <c r="V238" s="283"/>
      <c r="W238" s="18"/>
      <c r="X238" s="63">
        <f>X235+X236+X237</f>
        <v>3174371.1935251756</v>
      </c>
      <c r="Y238" s="63">
        <f>Y235+Y236+Y237</f>
        <v>161544.1272851755</v>
      </c>
      <c r="Z238" s="56"/>
      <c r="AA238" s="281"/>
      <c r="AB238" s="18"/>
    </row>
    <row r="239" spans="16:28" ht="12.75">
      <c r="P239" s="108"/>
      <c r="R239" s="57"/>
      <c r="S239" s="18"/>
      <c r="T239" s="18"/>
      <c r="U239" s="18"/>
      <c r="V239" s="281"/>
      <c r="W239" s="18"/>
      <c r="X239" s="63"/>
      <c r="Y239" s="18"/>
      <c r="Z239" s="56"/>
      <c r="AA239" s="281"/>
      <c r="AB239" s="18"/>
    </row>
    <row r="240" spans="16:28" ht="12.75">
      <c r="P240" s="108"/>
      <c r="R240" s="57" t="s">
        <v>161</v>
      </c>
      <c r="S240" s="18"/>
      <c r="T240" s="18"/>
      <c r="U240" s="63">
        <f>U238/S227</f>
        <v>3024.9267733333336</v>
      </c>
      <c r="V240" s="283"/>
      <c r="W240" s="18"/>
      <c r="X240" s="60">
        <f>X238/S227</f>
        <v>3187.1196722140317</v>
      </c>
      <c r="Y240" s="60">
        <f>X240-U240</f>
        <v>162.19289888069807</v>
      </c>
      <c r="Z240" s="56"/>
      <c r="AA240" s="281"/>
      <c r="AB240" s="18"/>
    </row>
    <row r="241" spans="16:28" ht="13.5" thickBot="1">
      <c r="P241" s="108"/>
      <c r="R241" s="64" t="s">
        <v>122</v>
      </c>
      <c r="S241" s="65"/>
      <c r="T241" s="65"/>
      <c r="U241" s="65"/>
      <c r="V241" s="308"/>
      <c r="W241" s="65"/>
      <c r="X241" s="65"/>
      <c r="Y241" s="162"/>
      <c r="Z241" s="124">
        <f>X238/U238-1</f>
        <v>0.053618785191936746</v>
      </c>
      <c r="AA241" s="282"/>
      <c r="AB241" s="18"/>
    </row>
    <row r="242" spans="16:27" ht="15.75">
      <c r="P242" s="108"/>
      <c r="R242" s="242" t="s">
        <v>81</v>
      </c>
      <c r="Z242" s="243"/>
      <c r="AA242" s="331" t="s">
        <v>259</v>
      </c>
    </row>
    <row r="243" spans="16:27" ht="15.75">
      <c r="P243" s="108"/>
      <c r="R243" s="242" t="s">
        <v>240</v>
      </c>
      <c r="Z243" s="243"/>
      <c r="AA243" s="331" t="s">
        <v>260</v>
      </c>
    </row>
    <row r="244" spans="16:27" ht="16.5" thickBot="1">
      <c r="P244" s="108"/>
      <c r="AA244" s="331" t="s">
        <v>248</v>
      </c>
    </row>
    <row r="245" spans="16:28" ht="12.75">
      <c r="P245" s="108"/>
      <c r="R245" s="115" t="s">
        <v>81</v>
      </c>
      <c r="S245" s="53"/>
      <c r="T245" s="53"/>
      <c r="U245" s="53"/>
      <c r="V245" s="53"/>
      <c r="W245" s="53"/>
      <c r="X245" s="53"/>
      <c r="Y245" s="53"/>
      <c r="Z245" s="54"/>
      <c r="AA245" s="280"/>
      <c r="AB245" s="18"/>
    </row>
    <row r="246" spans="16:28" ht="13.5" thickBot="1">
      <c r="P246" s="108"/>
      <c r="R246" s="55" t="s">
        <v>214</v>
      </c>
      <c r="S246" s="18"/>
      <c r="T246" s="18"/>
      <c r="U246" s="18"/>
      <c r="V246" s="18"/>
      <c r="W246" s="18"/>
      <c r="X246" s="18"/>
      <c r="Y246" s="18"/>
      <c r="Z246" s="56"/>
      <c r="AA246" s="281"/>
      <c r="AB246" s="18"/>
    </row>
    <row r="247" spans="16:28" ht="12.75">
      <c r="P247" s="108"/>
      <c r="R247" s="57"/>
      <c r="S247" s="125" t="s">
        <v>91</v>
      </c>
      <c r="T247" s="334" t="s">
        <v>112</v>
      </c>
      <c r="U247" s="338"/>
      <c r="V247" s="290" t="s">
        <v>250</v>
      </c>
      <c r="W247" s="339" t="s">
        <v>83</v>
      </c>
      <c r="X247" s="337"/>
      <c r="Y247" s="144" t="s">
        <v>162</v>
      </c>
      <c r="Z247" s="154" t="s">
        <v>122</v>
      </c>
      <c r="AA247" s="290" t="s">
        <v>252</v>
      </c>
      <c r="AB247" s="145"/>
    </row>
    <row r="248" spans="16:28" ht="12.75">
      <c r="P248" s="108"/>
      <c r="R248" s="57"/>
      <c r="S248" s="126" t="s">
        <v>113</v>
      </c>
      <c r="T248" s="129" t="s">
        <v>88</v>
      </c>
      <c r="U248" s="18" t="s">
        <v>100</v>
      </c>
      <c r="V248" s="277" t="s">
        <v>251</v>
      </c>
      <c r="W248" s="289" t="s">
        <v>88</v>
      </c>
      <c r="X248" s="133" t="s">
        <v>100</v>
      </c>
      <c r="Y248" s="145" t="s">
        <v>86</v>
      </c>
      <c r="Z248" s="155" t="s">
        <v>86</v>
      </c>
      <c r="AA248" s="277" t="s">
        <v>253</v>
      </c>
      <c r="AB248" s="145"/>
    </row>
    <row r="249" spans="16:28" ht="13.5" thickBot="1">
      <c r="P249" s="108"/>
      <c r="R249" s="57"/>
      <c r="S249" s="127" t="s">
        <v>103</v>
      </c>
      <c r="T249" s="127" t="s">
        <v>104</v>
      </c>
      <c r="U249" s="288" t="s">
        <v>105</v>
      </c>
      <c r="V249" s="291" t="s">
        <v>254</v>
      </c>
      <c r="W249" s="146" t="s">
        <v>106</v>
      </c>
      <c r="X249" s="128" t="s">
        <v>107</v>
      </c>
      <c r="Y249" s="146" t="s">
        <v>108</v>
      </c>
      <c r="Z249" s="156" t="s">
        <v>163</v>
      </c>
      <c r="AA249" s="291" t="s">
        <v>254</v>
      </c>
      <c r="AB249" s="44"/>
    </row>
    <row r="250" spans="16:31" ht="12.75">
      <c r="P250" s="108"/>
      <c r="R250" s="57" t="s">
        <v>114</v>
      </c>
      <c r="S250" s="58">
        <v>163</v>
      </c>
      <c r="T250" s="59">
        <v>24</v>
      </c>
      <c r="U250" s="60">
        <f>S250*T250</f>
        <v>3912</v>
      </c>
      <c r="V250" s="292">
        <f>U250/$U$260</f>
        <v>0.0012407650894547585</v>
      </c>
      <c r="W250" s="59">
        <f>T250</f>
        <v>24</v>
      </c>
      <c r="X250" s="61">
        <f aca="true" t="shared" si="20" ref="X250:X258">W250*S250</f>
        <v>3912</v>
      </c>
      <c r="Y250" s="33">
        <f aca="true" t="shared" si="21" ref="Y250:Y258">X250-U250</f>
        <v>0</v>
      </c>
      <c r="Z250" s="56"/>
      <c r="AA250" s="293">
        <f>X250/$X$260</f>
        <v>0.00115314918149814</v>
      </c>
      <c r="AB250" s="18"/>
      <c r="AE250" s="19">
        <f>Y250</f>
        <v>0</v>
      </c>
    </row>
    <row r="251" spans="16:29" ht="12.75">
      <c r="P251" s="108"/>
      <c r="R251" s="57" t="s">
        <v>137</v>
      </c>
      <c r="S251" s="25">
        <v>505200</v>
      </c>
      <c r="T251" s="112">
        <v>0.05028</v>
      </c>
      <c r="U251" s="60">
        <f>S251*T251</f>
        <v>25401.456</v>
      </c>
      <c r="V251" s="293">
        <f aca="true" t="shared" si="22" ref="V251:V258">U251/$U$260</f>
        <v>0.00805655414778147</v>
      </c>
      <c r="W251" s="62">
        <f>T251+AF495</f>
        <v>0.054139033755152055</v>
      </c>
      <c r="X251" s="61">
        <f t="shared" si="20"/>
        <v>27351.03985310282</v>
      </c>
      <c r="Y251" s="33">
        <f t="shared" si="21"/>
        <v>1949.5838531028203</v>
      </c>
      <c r="Z251" s="161"/>
      <c r="AA251" s="293">
        <f>X251/$X$260</f>
        <v>0.008062328532650442</v>
      </c>
      <c r="AB251" s="25"/>
      <c r="AC251" s="3">
        <f>S251</f>
        <v>505200</v>
      </c>
    </row>
    <row r="252" spans="16:29" ht="12.75">
      <c r="P252" s="108"/>
      <c r="R252" s="72" t="s">
        <v>142</v>
      </c>
      <c r="S252" s="25">
        <v>932000</v>
      </c>
      <c r="T252" s="113">
        <v>0.04201</v>
      </c>
      <c r="U252" s="60">
        <f aca="true" t="shared" si="23" ref="U252:U257">S252*T252</f>
        <v>39153.32</v>
      </c>
      <c r="V252" s="293">
        <f t="shared" si="22"/>
        <v>0.01241821896529928</v>
      </c>
      <c r="W252" s="62">
        <f>T252+AF495</f>
        <v>0.045869033755152055</v>
      </c>
      <c r="X252" s="61">
        <f t="shared" si="20"/>
        <v>42749.93945980172</v>
      </c>
      <c r="Y252" s="33">
        <f t="shared" si="21"/>
        <v>3596.6194598017173</v>
      </c>
      <c r="Z252" s="56"/>
      <c r="AA252" s="293">
        <f aca="true" t="shared" si="24" ref="AA252:AA258">X252/$X$260</f>
        <v>0.012601497366351072</v>
      </c>
      <c r="AB252" s="18"/>
      <c r="AC252" s="3">
        <f aca="true" t="shared" si="25" ref="AC252:AC257">S252</f>
        <v>932000</v>
      </c>
    </row>
    <row r="253" spans="16:29" ht="12.75">
      <c r="P253" s="108"/>
      <c r="R253" s="72" t="s">
        <v>143</v>
      </c>
      <c r="S253" s="25">
        <v>18131632</v>
      </c>
      <c r="T253" s="113">
        <v>0.03688</v>
      </c>
      <c r="U253" s="60">
        <f t="shared" si="23"/>
        <v>668694.58816</v>
      </c>
      <c r="V253" s="293">
        <f t="shared" si="22"/>
        <v>0.21208918724341905</v>
      </c>
      <c r="W253" s="62">
        <f>T253+AF495</f>
        <v>0.04073903375515206</v>
      </c>
      <c r="X253" s="61">
        <f t="shared" si="20"/>
        <v>738665.1680839952</v>
      </c>
      <c r="Y253" s="33">
        <f t="shared" si="21"/>
        <v>69970.57992399519</v>
      </c>
      <c r="Z253" s="56"/>
      <c r="AA253" s="293">
        <f t="shared" si="24"/>
        <v>0.21773801993283365</v>
      </c>
      <c r="AB253" s="18"/>
      <c r="AC253" s="3">
        <f t="shared" si="25"/>
        <v>18131632</v>
      </c>
    </row>
    <row r="254" spans="16:29" ht="12.75">
      <c r="P254" s="108"/>
      <c r="R254" s="72" t="s">
        <v>144</v>
      </c>
      <c r="S254" s="25">
        <v>17270524</v>
      </c>
      <c r="T254" s="113">
        <v>0.03533</v>
      </c>
      <c r="U254" s="60">
        <f t="shared" si="23"/>
        <v>610167.61292</v>
      </c>
      <c r="V254" s="293">
        <f t="shared" si="22"/>
        <v>0.19352624561019433</v>
      </c>
      <c r="W254" s="62">
        <f>T254+AF495</f>
        <v>0.03918903375515206</v>
      </c>
      <c r="X254" s="61">
        <f t="shared" si="20"/>
        <v>676815.1480051638</v>
      </c>
      <c r="Y254" s="33">
        <f t="shared" si="21"/>
        <v>66647.53508516378</v>
      </c>
      <c r="Z254" s="56"/>
      <c r="AA254" s="293">
        <f t="shared" si="24"/>
        <v>0.19950634814613938</v>
      </c>
      <c r="AB254" s="18"/>
      <c r="AC254" s="3">
        <f t="shared" si="25"/>
        <v>17270524</v>
      </c>
    </row>
    <row r="255" spans="16:29" ht="12.75">
      <c r="P255" s="108"/>
      <c r="R255" s="57" t="s">
        <v>145</v>
      </c>
      <c r="S255" s="25">
        <v>14284208</v>
      </c>
      <c r="T255" s="113">
        <v>0.03441</v>
      </c>
      <c r="U255" s="60">
        <f t="shared" si="23"/>
        <v>491519.59728000005</v>
      </c>
      <c r="V255" s="293">
        <f t="shared" si="22"/>
        <v>0.15589477430671936</v>
      </c>
      <c r="W255" s="62">
        <f>T255+AF495</f>
        <v>0.03826903375515206</v>
      </c>
      <c r="X255" s="61">
        <f t="shared" si="20"/>
        <v>546642.8381176131</v>
      </c>
      <c r="Y255" s="33">
        <f t="shared" si="21"/>
        <v>55123.24083761306</v>
      </c>
      <c r="Z255" s="56"/>
      <c r="AA255" s="293">
        <f t="shared" si="24"/>
        <v>0.16113515883107002</v>
      </c>
      <c r="AB255" s="18"/>
      <c r="AC255" s="3">
        <f t="shared" si="25"/>
        <v>14284208</v>
      </c>
    </row>
    <row r="256" spans="16:29" ht="12.75">
      <c r="P256" s="108"/>
      <c r="R256" s="57" t="s">
        <v>146</v>
      </c>
      <c r="S256" s="25">
        <v>10953072</v>
      </c>
      <c r="T256" s="114">
        <v>0.03349</v>
      </c>
      <c r="U256" s="60">
        <f t="shared" si="23"/>
        <v>366818.38128</v>
      </c>
      <c r="V256" s="293">
        <f t="shared" si="22"/>
        <v>0.11634341555790616</v>
      </c>
      <c r="W256" s="111">
        <f>T256+AF495</f>
        <v>0.037349033755152056</v>
      </c>
      <c r="X256" s="61">
        <f t="shared" si="20"/>
        <v>409086.6558506108</v>
      </c>
      <c r="Y256" s="33">
        <f t="shared" si="21"/>
        <v>42268.27457061084</v>
      </c>
      <c r="Z256" s="56"/>
      <c r="AA256" s="293">
        <f t="shared" si="24"/>
        <v>0.1205874085776951</v>
      </c>
      <c r="AB256" s="18"/>
      <c r="AC256" s="3">
        <f t="shared" si="25"/>
        <v>10953072</v>
      </c>
    </row>
    <row r="257" spans="16:29" ht="12.75">
      <c r="P257" s="108"/>
      <c r="R257" s="57" t="s">
        <v>147</v>
      </c>
      <c r="S257" s="25">
        <v>0</v>
      </c>
      <c r="T257" s="113">
        <v>0.02822</v>
      </c>
      <c r="U257" s="60">
        <f t="shared" si="23"/>
        <v>0</v>
      </c>
      <c r="V257" s="293">
        <f t="shared" si="22"/>
        <v>0</v>
      </c>
      <c r="W257" s="111">
        <f>T257+AF495</f>
        <v>0.03207903375515206</v>
      </c>
      <c r="X257" s="61">
        <f t="shared" si="20"/>
        <v>0</v>
      </c>
      <c r="Y257" s="33">
        <f t="shared" si="21"/>
        <v>0</v>
      </c>
      <c r="Z257" s="56"/>
      <c r="AA257" s="293">
        <f t="shared" si="24"/>
        <v>0</v>
      </c>
      <c r="AB257" s="18"/>
      <c r="AC257" s="3">
        <f t="shared" si="25"/>
        <v>0</v>
      </c>
    </row>
    <row r="258" spans="16:30" ht="12.75">
      <c r="P258" s="108"/>
      <c r="R258" s="72" t="s">
        <v>131</v>
      </c>
      <c r="S258" s="78">
        <v>152042.76</v>
      </c>
      <c r="T258" s="20">
        <v>6.23</v>
      </c>
      <c r="U258" s="60">
        <f>S258*T258</f>
        <v>947226.3948000001</v>
      </c>
      <c r="V258" s="293">
        <f t="shared" si="22"/>
        <v>0.3004308390792256</v>
      </c>
      <c r="W258" s="80">
        <f>T258</f>
        <v>6.23</v>
      </c>
      <c r="X258" s="61">
        <f t="shared" si="20"/>
        <v>947226.3948000001</v>
      </c>
      <c r="Y258" s="33">
        <f t="shared" si="21"/>
        <v>0</v>
      </c>
      <c r="Z258" s="119"/>
      <c r="AA258" s="293">
        <f t="shared" si="24"/>
        <v>0.27921608943176235</v>
      </c>
      <c r="AB258" s="63"/>
      <c r="AD258" s="19">
        <f>Y258</f>
        <v>0</v>
      </c>
    </row>
    <row r="259" spans="16:28" ht="13.5" thickBot="1">
      <c r="P259" s="108"/>
      <c r="R259" s="57" t="s">
        <v>116</v>
      </c>
      <c r="S259" s="18"/>
      <c r="T259" s="18"/>
      <c r="U259" s="174"/>
      <c r="V259" s="313"/>
      <c r="W259" s="18"/>
      <c r="X259" s="135">
        <f>U259</f>
        <v>0</v>
      </c>
      <c r="Y259" s="21"/>
      <c r="Z259" s="56"/>
      <c r="AA259" s="281"/>
      <c r="AB259" s="18"/>
    </row>
    <row r="260" spans="16:28" ht="13.5" thickBot="1">
      <c r="P260" s="108"/>
      <c r="R260" s="57" t="s">
        <v>117</v>
      </c>
      <c r="S260" s="18"/>
      <c r="T260" s="18"/>
      <c r="U260" s="60">
        <f>SUM(U250:U259)</f>
        <v>3152893.35044</v>
      </c>
      <c r="V260" s="306">
        <f>SUM(V250:V258)</f>
        <v>1</v>
      </c>
      <c r="W260" s="18"/>
      <c r="X260" s="63">
        <f>SUM(X250:X259)</f>
        <v>3392449.184170287</v>
      </c>
      <c r="Y260" s="63">
        <f>SUM(Y250:Y259)</f>
        <v>239555.8337302874</v>
      </c>
      <c r="Z260" s="119"/>
      <c r="AA260" s="306">
        <f>SUM(AA250:AA258)</f>
        <v>1</v>
      </c>
      <c r="AB260" s="63"/>
    </row>
    <row r="261" spans="16:28" ht="12.75">
      <c r="P261" s="108"/>
      <c r="R261" s="57" t="s">
        <v>118</v>
      </c>
      <c r="S261" s="18"/>
      <c r="T261" s="18"/>
      <c r="U261" s="60">
        <v>498851.68</v>
      </c>
      <c r="V261" s="301"/>
      <c r="W261" s="18"/>
      <c r="X261" s="63">
        <f>U261</f>
        <v>498851.68</v>
      </c>
      <c r="Y261" s="175">
        <f>X261-U261</f>
        <v>0</v>
      </c>
      <c r="Z261" s="56"/>
      <c r="AA261" s="281"/>
      <c r="AB261" s="18"/>
    </row>
    <row r="262" spans="16:28" ht="12.75">
      <c r="P262" s="108"/>
      <c r="R262" s="57" t="s">
        <v>119</v>
      </c>
      <c r="S262" s="18"/>
      <c r="T262" s="18"/>
      <c r="U262" s="174">
        <v>267851.68</v>
      </c>
      <c r="V262" s="301"/>
      <c r="W262" s="18"/>
      <c r="X262" s="120">
        <f>U262</f>
        <v>267851.68</v>
      </c>
      <c r="Y262" s="175">
        <f>X262-U262</f>
        <v>0</v>
      </c>
      <c r="Z262" s="56"/>
      <c r="AA262" s="281"/>
      <c r="AB262" s="18"/>
    </row>
    <row r="263" spans="16:28" ht="12.75">
      <c r="P263" s="108"/>
      <c r="R263" s="57" t="s">
        <v>121</v>
      </c>
      <c r="S263" s="18"/>
      <c r="T263" s="18"/>
      <c r="U263" s="63">
        <f>U260+U261+U262</f>
        <v>3919596.7104400005</v>
      </c>
      <c r="V263" s="283"/>
      <c r="W263" s="18"/>
      <c r="X263" s="63">
        <f>X260+X261+X262</f>
        <v>4159152.5441702874</v>
      </c>
      <c r="Y263" s="63">
        <f>Y260+Y261+Y262</f>
        <v>239555.8337302874</v>
      </c>
      <c r="Z263" s="56"/>
      <c r="AA263" s="281"/>
      <c r="AB263" s="18"/>
    </row>
    <row r="264" spans="16:28" ht="12.75">
      <c r="P264" s="108"/>
      <c r="R264" s="57"/>
      <c r="S264" s="18"/>
      <c r="T264" s="18"/>
      <c r="U264" s="18"/>
      <c r="V264" s="281"/>
      <c r="W264" s="18"/>
      <c r="X264" s="63"/>
      <c r="Y264" s="18"/>
      <c r="Z264" s="56"/>
      <c r="AA264" s="281"/>
      <c r="AB264" s="18"/>
    </row>
    <row r="265" spans="16:28" ht="12.75">
      <c r="P265" s="108"/>
      <c r="R265" s="57" t="s">
        <v>161</v>
      </c>
      <c r="S265" s="18"/>
      <c r="T265" s="18"/>
      <c r="U265" s="63">
        <f>U263/S250</f>
        <v>24046.605585521476</v>
      </c>
      <c r="V265" s="283"/>
      <c r="W265" s="18"/>
      <c r="X265" s="60">
        <f>X263/S250</f>
        <v>25516.27327711833</v>
      </c>
      <c r="Y265" s="60">
        <f>X265-U265</f>
        <v>1469.6676915968528</v>
      </c>
      <c r="Z265" s="56"/>
      <c r="AA265" s="281"/>
      <c r="AB265" s="18"/>
    </row>
    <row r="266" spans="16:28" ht="13.5" thickBot="1">
      <c r="P266" s="108"/>
      <c r="R266" s="64" t="s">
        <v>122</v>
      </c>
      <c r="S266" s="65"/>
      <c r="T266" s="65"/>
      <c r="U266" s="65"/>
      <c r="V266" s="308"/>
      <c r="W266" s="65"/>
      <c r="X266" s="65"/>
      <c r="Y266" s="147"/>
      <c r="Z266" s="124">
        <f>X263/U263-1</f>
        <v>0.061117469838726235</v>
      </c>
      <c r="AA266" s="282"/>
      <c r="AB266" s="18"/>
    </row>
    <row r="267" spans="16:25" ht="12.75">
      <c r="P267" s="108"/>
      <c r="R267" s="18"/>
      <c r="S267" s="18"/>
      <c r="T267" s="18"/>
      <c r="U267" s="18"/>
      <c r="V267" s="18"/>
      <c r="W267" s="18"/>
      <c r="X267" s="18"/>
      <c r="Y267" s="18"/>
    </row>
    <row r="268" ht="13.5" thickBot="1">
      <c r="P268" s="108"/>
    </row>
    <row r="269" spans="16:28" ht="12.75">
      <c r="P269" s="108"/>
      <c r="R269" s="115" t="s">
        <v>81</v>
      </c>
      <c r="S269" s="53"/>
      <c r="T269" s="53"/>
      <c r="U269" s="53"/>
      <c r="V269" s="53"/>
      <c r="W269" s="53"/>
      <c r="X269" s="53"/>
      <c r="Y269" s="53"/>
      <c r="Z269" s="54"/>
      <c r="AA269" s="280"/>
      <c r="AB269" s="18"/>
    </row>
    <row r="270" spans="16:28" ht="13.5" thickBot="1">
      <c r="P270" s="108"/>
      <c r="R270" s="55" t="s">
        <v>215</v>
      </c>
      <c r="S270" s="18"/>
      <c r="T270" s="18"/>
      <c r="U270" s="18"/>
      <c r="V270" s="18"/>
      <c r="W270" s="18"/>
      <c r="X270" s="18"/>
      <c r="Y270" s="18"/>
      <c r="Z270" s="56"/>
      <c r="AA270" s="281"/>
      <c r="AB270" s="18"/>
    </row>
    <row r="271" spans="16:28" ht="12.75">
      <c r="P271" s="108"/>
      <c r="R271" s="57"/>
      <c r="S271" s="125" t="s">
        <v>91</v>
      </c>
      <c r="T271" s="334" t="s">
        <v>112</v>
      </c>
      <c r="U271" s="338"/>
      <c r="V271" s="290" t="s">
        <v>250</v>
      </c>
      <c r="W271" s="339" t="s">
        <v>83</v>
      </c>
      <c r="X271" s="337"/>
      <c r="Y271" s="144" t="s">
        <v>162</v>
      </c>
      <c r="Z271" s="154" t="s">
        <v>122</v>
      </c>
      <c r="AA271" s="276" t="s">
        <v>252</v>
      </c>
      <c r="AB271" s="145"/>
    </row>
    <row r="272" spans="16:28" ht="12.75">
      <c r="P272" s="108"/>
      <c r="R272" s="57"/>
      <c r="S272" s="126" t="s">
        <v>113</v>
      </c>
      <c r="T272" s="129" t="s">
        <v>88</v>
      </c>
      <c r="U272" s="18" t="s">
        <v>100</v>
      </c>
      <c r="V272" s="277" t="s">
        <v>251</v>
      </c>
      <c r="W272" s="289" t="s">
        <v>88</v>
      </c>
      <c r="X272" s="133" t="s">
        <v>100</v>
      </c>
      <c r="Y272" s="145" t="s">
        <v>86</v>
      </c>
      <c r="Z272" s="155" t="s">
        <v>86</v>
      </c>
      <c r="AA272" s="277" t="s">
        <v>253</v>
      </c>
      <c r="AB272" s="145"/>
    </row>
    <row r="273" spans="16:28" ht="13.5" thickBot="1">
      <c r="P273" s="108"/>
      <c r="R273" s="57"/>
      <c r="S273" s="127" t="s">
        <v>103</v>
      </c>
      <c r="T273" s="127" t="s">
        <v>104</v>
      </c>
      <c r="U273" s="288" t="s">
        <v>105</v>
      </c>
      <c r="V273" s="291" t="s">
        <v>254</v>
      </c>
      <c r="W273" s="146" t="s">
        <v>106</v>
      </c>
      <c r="X273" s="128" t="s">
        <v>107</v>
      </c>
      <c r="Y273" s="146" t="s">
        <v>108</v>
      </c>
      <c r="Z273" s="156" t="s">
        <v>163</v>
      </c>
      <c r="AA273" s="278" t="s">
        <v>254</v>
      </c>
      <c r="AB273" s="44"/>
    </row>
    <row r="274" spans="16:31" ht="12.75">
      <c r="P274" s="108"/>
      <c r="R274" s="57" t="s">
        <v>114</v>
      </c>
      <c r="S274" s="58">
        <v>120</v>
      </c>
      <c r="T274" s="59">
        <v>0</v>
      </c>
      <c r="U274" s="60">
        <f>S274*T274</f>
        <v>0</v>
      </c>
      <c r="V274" s="309"/>
      <c r="W274" s="59">
        <f>T274</f>
        <v>0</v>
      </c>
      <c r="X274" s="61">
        <f>W274*S274</f>
        <v>0</v>
      </c>
      <c r="Y274" s="33">
        <f aca="true" t="shared" si="26" ref="Y274:Y279">X274-U274</f>
        <v>0</v>
      </c>
      <c r="Z274" s="56"/>
      <c r="AA274" s="281"/>
      <c r="AB274" s="18"/>
      <c r="AE274" s="19">
        <f>Y274</f>
        <v>0</v>
      </c>
    </row>
    <row r="275" spans="16:29" ht="12.75">
      <c r="P275" s="108"/>
      <c r="R275" s="57" t="s">
        <v>150</v>
      </c>
      <c r="S275" s="25">
        <v>388974</v>
      </c>
      <c r="T275" s="112">
        <v>0.072</v>
      </c>
      <c r="U275" s="60">
        <f>S275*T275</f>
        <v>28006.127999999997</v>
      </c>
      <c r="V275" s="293">
        <f>U275/$U$280</f>
        <v>0.15917957918954276</v>
      </c>
      <c r="W275" s="62">
        <f>T275+AF495</f>
        <v>0.07585903375515206</v>
      </c>
      <c r="X275" s="61">
        <f>W275*S275</f>
        <v>29507.191795876515</v>
      </c>
      <c r="Y275" s="33">
        <f t="shared" si="26"/>
        <v>1501.0637958765183</v>
      </c>
      <c r="Z275" s="56"/>
      <c r="AA275" s="293">
        <f>X275/$X$280</f>
        <v>0.1594012370954857</v>
      </c>
      <c r="AB275" s="18"/>
      <c r="AC275" s="3">
        <f>S275</f>
        <v>388974</v>
      </c>
    </row>
    <row r="276" spans="16:29" ht="12.75">
      <c r="P276" s="108"/>
      <c r="R276" s="72" t="s">
        <v>149</v>
      </c>
      <c r="S276" s="25">
        <v>777948</v>
      </c>
      <c r="T276" s="113">
        <v>0.068</v>
      </c>
      <c r="U276" s="60">
        <f>S276*T276</f>
        <v>52900.46400000001</v>
      </c>
      <c r="V276" s="293">
        <f>U276/$U$280</f>
        <v>0.3006725384691364</v>
      </c>
      <c r="W276" s="62">
        <f>T276+AF495</f>
        <v>0.07185903375515207</v>
      </c>
      <c r="X276" s="61">
        <f>W276*S276</f>
        <v>55902.591591753044</v>
      </c>
      <c r="Y276" s="33">
        <f t="shared" si="26"/>
        <v>3002.1275917530365</v>
      </c>
      <c r="Z276" s="56"/>
      <c r="AA276" s="293">
        <f>X276/$X$280</f>
        <v>0.30199221661664166</v>
      </c>
      <c r="AB276" s="18"/>
      <c r="AC276" s="3">
        <f>S276</f>
        <v>777948</v>
      </c>
    </row>
    <row r="277" spans="16:29" ht="12.75">
      <c r="P277" s="108"/>
      <c r="R277" s="72" t="s">
        <v>148</v>
      </c>
      <c r="S277" s="25">
        <v>1209899</v>
      </c>
      <c r="T277" s="113">
        <v>0.0581</v>
      </c>
      <c r="U277" s="60">
        <f>S277*T277</f>
        <v>70295.1319</v>
      </c>
      <c r="V277" s="293">
        <f>U277/$U$280</f>
        <v>0.39953932635441086</v>
      </c>
      <c r="W277" s="62">
        <f>T277+AF495</f>
        <v>0.061959033755152056</v>
      </c>
      <c r="X277" s="61">
        <f>W277*S277</f>
        <v>74964.17298132472</v>
      </c>
      <c r="Y277" s="33">
        <f t="shared" si="26"/>
        <v>4669.041081324729</v>
      </c>
      <c r="Z277" s="56"/>
      <c r="AA277" s="293">
        <f>X277/$X$280</f>
        <v>0.4049650672868508</v>
      </c>
      <c r="AB277" s="18"/>
      <c r="AC277" s="3">
        <f>S277</f>
        <v>1209899</v>
      </c>
    </row>
    <row r="278" spans="16:30" ht="12.75">
      <c r="P278" s="108"/>
      <c r="R278" s="72" t="s">
        <v>131</v>
      </c>
      <c r="S278" s="78">
        <v>7779.476</v>
      </c>
      <c r="T278" s="20">
        <v>3.18</v>
      </c>
      <c r="U278" s="60">
        <f>S278*T278</f>
        <v>24738.73368</v>
      </c>
      <c r="V278" s="293">
        <f>U278/$U$280</f>
        <v>0.14060855598691005</v>
      </c>
      <c r="W278" s="80">
        <f>T278</f>
        <v>3.18</v>
      </c>
      <c r="X278" s="61">
        <f>W278*S278</f>
        <v>24738.73368</v>
      </c>
      <c r="Y278" s="33">
        <f t="shared" si="26"/>
        <v>0</v>
      </c>
      <c r="Z278" s="56"/>
      <c r="AA278" s="293">
        <f>X278/$X$280</f>
        <v>0.1336414790010219</v>
      </c>
      <c r="AB278" s="18"/>
      <c r="AD278" s="19">
        <f>Y278</f>
        <v>0</v>
      </c>
    </row>
    <row r="279" spans="16:28" ht="13.5" thickBot="1">
      <c r="P279" s="108"/>
      <c r="R279" s="57" t="s">
        <v>116</v>
      </c>
      <c r="S279" s="18"/>
      <c r="T279" s="18"/>
      <c r="U279" s="174"/>
      <c r="V279" s="293"/>
      <c r="W279" s="18"/>
      <c r="X279" s="135">
        <f>U279</f>
        <v>0</v>
      </c>
      <c r="Y279" s="169">
        <f t="shared" si="26"/>
        <v>0</v>
      </c>
      <c r="Z279" s="56"/>
      <c r="AA279" s="281"/>
      <c r="AB279" s="18"/>
    </row>
    <row r="280" spans="16:28" ht="13.5" thickBot="1">
      <c r="P280" s="108"/>
      <c r="R280" s="57" t="s">
        <v>117</v>
      </c>
      <c r="S280" s="18"/>
      <c r="T280" s="18"/>
      <c r="U280" s="60">
        <f>SUM(U274:U279)</f>
        <v>175940.45758</v>
      </c>
      <c r="V280" s="306">
        <f>SUM(V275:V278)</f>
        <v>1.0000000000000002</v>
      </c>
      <c r="W280" s="18"/>
      <c r="X280" s="63">
        <f>SUM(X274:X279)</f>
        <v>185112.69004895427</v>
      </c>
      <c r="Y280" s="63">
        <f>SUM(Y274:Y279)</f>
        <v>9172.232468954284</v>
      </c>
      <c r="Z280" s="56"/>
      <c r="AA280" s="306">
        <f>SUM(AA275:AA278)</f>
        <v>1</v>
      </c>
      <c r="AB280" s="18"/>
    </row>
    <row r="281" spans="16:28" ht="12.75">
      <c r="P281" s="108"/>
      <c r="R281" s="57" t="s">
        <v>118</v>
      </c>
      <c r="S281" s="18"/>
      <c r="T281" s="18"/>
      <c r="U281" s="60">
        <v>19495</v>
      </c>
      <c r="V281" s="307"/>
      <c r="W281" s="18"/>
      <c r="X281" s="63">
        <f>U281</f>
        <v>19495</v>
      </c>
      <c r="Y281" s="175">
        <f>X281-U281</f>
        <v>0</v>
      </c>
      <c r="Z281" s="56"/>
      <c r="AA281" s="281"/>
      <c r="AB281" s="18"/>
    </row>
    <row r="282" spans="16:28" ht="12.75">
      <c r="P282" s="108"/>
      <c r="R282" s="57" t="s">
        <v>119</v>
      </c>
      <c r="S282" s="18"/>
      <c r="T282" s="18"/>
      <c r="U282" s="174">
        <v>14380</v>
      </c>
      <c r="V282" s="301"/>
      <c r="W282" s="18"/>
      <c r="X282" s="120">
        <f>U282</f>
        <v>14380</v>
      </c>
      <c r="Y282" s="177">
        <f>X282-U282</f>
        <v>0</v>
      </c>
      <c r="Z282" s="56"/>
      <c r="AA282" s="281"/>
      <c r="AB282" s="18"/>
    </row>
    <row r="283" spans="16:28" ht="12.75">
      <c r="P283" s="108"/>
      <c r="R283" s="57" t="s">
        <v>121</v>
      </c>
      <c r="S283" s="18"/>
      <c r="T283" s="18"/>
      <c r="U283" s="63">
        <f>U280+U281+U282</f>
        <v>209815.45758</v>
      </c>
      <c r="V283" s="283"/>
      <c r="W283" s="18"/>
      <c r="X283" s="63">
        <f>X280+X281+X282</f>
        <v>218987.69004895427</v>
      </c>
      <c r="Y283" s="63">
        <f>Y280+Y281+Y282</f>
        <v>9172.232468954284</v>
      </c>
      <c r="Z283" s="56"/>
      <c r="AA283" s="281"/>
      <c r="AB283" s="18"/>
    </row>
    <row r="284" spans="16:28" ht="12.75">
      <c r="P284" s="108"/>
      <c r="R284" s="57"/>
      <c r="S284" s="18"/>
      <c r="T284" s="18"/>
      <c r="U284" s="18"/>
      <c r="V284" s="281"/>
      <c r="W284" s="18"/>
      <c r="X284" s="63"/>
      <c r="Y284" s="18"/>
      <c r="Z284" s="56"/>
      <c r="AA284" s="281"/>
      <c r="AB284" s="18"/>
    </row>
    <row r="285" spans="16:28" ht="12.75">
      <c r="P285" s="108"/>
      <c r="R285" s="57" t="s">
        <v>161</v>
      </c>
      <c r="S285" s="18"/>
      <c r="T285" s="18"/>
      <c r="U285" s="63">
        <f>U283/S274</f>
        <v>1748.4621464999998</v>
      </c>
      <c r="V285" s="283"/>
      <c r="W285" s="18"/>
      <c r="X285" s="60">
        <f>X283/S274</f>
        <v>1824.897417074619</v>
      </c>
      <c r="Y285" s="60">
        <f>X285-U285</f>
        <v>76.43527057461915</v>
      </c>
      <c r="Z285" s="56"/>
      <c r="AA285" s="281"/>
      <c r="AB285" s="18"/>
    </row>
    <row r="286" spans="16:28" ht="13.5" thickBot="1">
      <c r="P286" s="108"/>
      <c r="R286" s="64" t="s">
        <v>122</v>
      </c>
      <c r="S286" s="65"/>
      <c r="T286" s="65"/>
      <c r="U286" s="65"/>
      <c r="V286" s="308"/>
      <c r="W286" s="65"/>
      <c r="X286" s="65"/>
      <c r="Y286" s="147"/>
      <c r="Z286" s="124">
        <f>X283/U283-1</f>
        <v>0.04371571367880289</v>
      </c>
      <c r="AA286" s="282"/>
      <c r="AB286" s="18"/>
    </row>
    <row r="287" spans="16:28" ht="12.75">
      <c r="P287" s="10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</row>
    <row r="288" ht="13.5" thickBot="1">
      <c r="P288" s="108"/>
    </row>
    <row r="289" spans="16:28" ht="12.75">
      <c r="P289" s="108"/>
      <c r="R289" s="115" t="s">
        <v>81</v>
      </c>
      <c r="S289" s="53"/>
      <c r="T289" s="53"/>
      <c r="U289" s="53"/>
      <c r="V289" s="53"/>
      <c r="W289" s="53"/>
      <c r="X289" s="53"/>
      <c r="Y289" s="53"/>
      <c r="Z289" s="54"/>
      <c r="AA289" s="280"/>
      <c r="AB289" s="18"/>
    </row>
    <row r="290" spans="16:28" ht="13.5" thickBot="1">
      <c r="P290" s="108"/>
      <c r="R290" s="55" t="s">
        <v>216</v>
      </c>
      <c r="S290" s="18"/>
      <c r="T290" s="18"/>
      <c r="U290" s="18"/>
      <c r="V290" s="18"/>
      <c r="W290" s="18"/>
      <c r="X290" s="18"/>
      <c r="Y290" s="18"/>
      <c r="Z290" s="56"/>
      <c r="AA290" s="281"/>
      <c r="AB290" s="18"/>
    </row>
    <row r="291" spans="16:28" ht="12.75">
      <c r="P291" s="108"/>
      <c r="R291" s="57"/>
      <c r="S291" s="125" t="s">
        <v>91</v>
      </c>
      <c r="T291" s="334" t="s">
        <v>112</v>
      </c>
      <c r="U291" s="338"/>
      <c r="V291" s="290" t="s">
        <v>250</v>
      </c>
      <c r="W291" s="339" t="s">
        <v>83</v>
      </c>
      <c r="X291" s="337"/>
      <c r="Y291" s="144" t="s">
        <v>162</v>
      </c>
      <c r="Z291" s="154" t="s">
        <v>122</v>
      </c>
      <c r="AA291" s="290" t="s">
        <v>252</v>
      </c>
      <c r="AB291" s="145"/>
    </row>
    <row r="292" spans="16:28" ht="12.75">
      <c r="P292" s="108"/>
      <c r="R292" s="57"/>
      <c r="S292" s="126" t="s">
        <v>113</v>
      </c>
      <c r="T292" s="129" t="s">
        <v>88</v>
      </c>
      <c r="U292" s="18" t="s">
        <v>100</v>
      </c>
      <c r="V292" s="277" t="s">
        <v>251</v>
      </c>
      <c r="W292" s="289" t="s">
        <v>88</v>
      </c>
      <c r="X292" s="133" t="s">
        <v>100</v>
      </c>
      <c r="Y292" s="145" t="s">
        <v>86</v>
      </c>
      <c r="Z292" s="155" t="s">
        <v>86</v>
      </c>
      <c r="AA292" s="277" t="s">
        <v>253</v>
      </c>
      <c r="AB292" s="145"/>
    </row>
    <row r="293" spans="16:28" ht="13.5" thickBot="1">
      <c r="P293" s="108"/>
      <c r="R293" s="57"/>
      <c r="S293" s="127" t="s">
        <v>103</v>
      </c>
      <c r="T293" s="127" t="s">
        <v>104</v>
      </c>
      <c r="U293" s="288" t="s">
        <v>105</v>
      </c>
      <c r="V293" s="286" t="s">
        <v>254</v>
      </c>
      <c r="W293" s="146" t="s">
        <v>106</v>
      </c>
      <c r="X293" s="128" t="s">
        <v>107</v>
      </c>
      <c r="Y293" s="146" t="s">
        <v>108</v>
      </c>
      <c r="Z293" s="156" t="s">
        <v>163</v>
      </c>
      <c r="AA293" s="291" t="s">
        <v>254</v>
      </c>
      <c r="AB293" s="44"/>
    </row>
    <row r="294" spans="16:31" ht="12.75">
      <c r="P294" s="108"/>
      <c r="R294" s="57" t="s">
        <v>114</v>
      </c>
      <c r="S294" s="58">
        <v>25</v>
      </c>
      <c r="T294" s="59">
        <v>270</v>
      </c>
      <c r="U294" s="60">
        <f>S294*T294</f>
        <v>6750</v>
      </c>
      <c r="V294" s="292">
        <f>U294/$U$299</f>
        <v>0.04854728211952167</v>
      </c>
      <c r="W294" s="59">
        <f>T294</f>
        <v>270</v>
      </c>
      <c r="X294" s="61">
        <f>W294*S294</f>
        <v>6750</v>
      </c>
      <c r="Y294" s="33">
        <f>X294-U294</f>
        <v>0</v>
      </c>
      <c r="Z294" s="56"/>
      <c r="AA294" s="292">
        <f>X294/$X$299</f>
        <v>0.04559311235851291</v>
      </c>
      <c r="AB294" s="18"/>
      <c r="AD294" s="19"/>
      <c r="AE294" s="19">
        <f>Y294</f>
        <v>0</v>
      </c>
    </row>
    <row r="295" spans="16:29" ht="12.75">
      <c r="P295" s="108"/>
      <c r="R295" s="57" t="s">
        <v>151</v>
      </c>
      <c r="S295" s="25">
        <v>2334514</v>
      </c>
      <c r="T295" s="112">
        <v>0.04276</v>
      </c>
      <c r="U295" s="60">
        <f>S295*T295</f>
        <v>99823.81864</v>
      </c>
      <c r="V295" s="293">
        <f>U295/$U$299</f>
        <v>0.7179518645576364</v>
      </c>
      <c r="W295" s="62">
        <f>T295+AF495</f>
        <v>0.046619033755152056</v>
      </c>
      <c r="X295" s="61">
        <f>W295*S295</f>
        <v>108832.78696787504</v>
      </c>
      <c r="Y295" s="33">
        <f>X295-U295</f>
        <v>9008.968327875045</v>
      </c>
      <c r="Z295" s="56"/>
      <c r="AA295" s="293">
        <f>X295/$X$299</f>
        <v>0.7351148865950262</v>
      </c>
      <c r="AB295" s="18"/>
      <c r="AC295" s="3">
        <f>S295</f>
        <v>2334514</v>
      </c>
    </row>
    <row r="296" spans="16:29" ht="12.75">
      <c r="P296" s="108"/>
      <c r="R296" s="72" t="s">
        <v>152</v>
      </c>
      <c r="S296" s="18">
        <v>0</v>
      </c>
      <c r="T296" s="113">
        <v>0.03487</v>
      </c>
      <c r="U296" s="60">
        <f>S296*T296</f>
        <v>0</v>
      </c>
      <c r="V296" s="293">
        <f>U296/$U$299</f>
        <v>0</v>
      </c>
      <c r="W296" s="62">
        <f>T296+AF495</f>
        <v>0.038729033755152055</v>
      </c>
      <c r="X296" s="61">
        <f>W296*S296</f>
        <v>0</v>
      </c>
      <c r="Y296" s="33">
        <f>X296-U296</f>
        <v>0</v>
      </c>
      <c r="Z296" s="56"/>
      <c r="AA296" s="293">
        <f>X296/$X$299</f>
        <v>0</v>
      </c>
      <c r="AB296" s="18"/>
      <c r="AC296" s="3">
        <f>S296</f>
        <v>0</v>
      </c>
    </row>
    <row r="297" spans="16:30" ht="12.75">
      <c r="P297" s="108"/>
      <c r="R297" s="72" t="s">
        <v>131</v>
      </c>
      <c r="S297" s="78">
        <v>7480.62</v>
      </c>
      <c r="T297" s="20">
        <v>4.34</v>
      </c>
      <c r="U297" s="60">
        <f>S297*T297</f>
        <v>32465.890799999997</v>
      </c>
      <c r="V297" s="293">
        <f>U297/$U$299</f>
        <v>0.2335008533228419</v>
      </c>
      <c r="W297" s="80">
        <f>T297</f>
        <v>4.34</v>
      </c>
      <c r="X297" s="61">
        <f>W297*S297</f>
        <v>32465.890799999997</v>
      </c>
      <c r="Y297" s="33">
        <f>X297-U297</f>
        <v>0</v>
      </c>
      <c r="Z297" s="56"/>
      <c r="AA297" s="293">
        <f>X297/$X$299</f>
        <v>0.21929200104646082</v>
      </c>
      <c r="AB297" s="18"/>
      <c r="AD297" s="19">
        <f>Y297</f>
        <v>0</v>
      </c>
    </row>
    <row r="298" spans="16:28" ht="13.5" thickBot="1">
      <c r="P298" s="108"/>
      <c r="R298" s="57" t="s">
        <v>116</v>
      </c>
      <c r="S298" s="18"/>
      <c r="T298" s="18"/>
      <c r="U298" s="174"/>
      <c r="V298" s="294"/>
      <c r="W298" s="18"/>
      <c r="X298" s="135">
        <f>U298</f>
        <v>0</v>
      </c>
      <c r="Y298" s="169">
        <f>X298-U298</f>
        <v>0</v>
      </c>
      <c r="Z298" s="56"/>
      <c r="AA298" s="308"/>
      <c r="AB298" s="18"/>
    </row>
    <row r="299" spans="16:28" ht="13.5" thickBot="1">
      <c r="P299" s="108"/>
      <c r="R299" s="57" t="s">
        <v>117</v>
      </c>
      <c r="S299" s="18"/>
      <c r="T299" s="18"/>
      <c r="U299" s="60">
        <f>SUM(U294:U298)</f>
        <v>139039.70944</v>
      </c>
      <c r="V299" s="306">
        <f>SUM(V294:V297)</f>
        <v>0.9999999999999999</v>
      </c>
      <c r="W299" s="18"/>
      <c r="X299" s="63">
        <f>SUM(X294:X298)</f>
        <v>148048.67776787505</v>
      </c>
      <c r="Y299" s="63">
        <f>SUM(Y294:Y298)</f>
        <v>9008.968327875045</v>
      </c>
      <c r="Z299" s="56"/>
      <c r="AA299" s="306">
        <f>SUM(AA294:AA297)</f>
        <v>1</v>
      </c>
      <c r="AB299" s="18"/>
    </row>
    <row r="300" spans="16:28" ht="12.75">
      <c r="P300" s="108"/>
      <c r="R300" s="57" t="s">
        <v>118</v>
      </c>
      <c r="S300" s="18"/>
      <c r="T300" s="18"/>
      <c r="U300" s="60">
        <v>18154.47</v>
      </c>
      <c r="V300" s="307"/>
      <c r="W300" s="18"/>
      <c r="X300" s="63">
        <f>U300</f>
        <v>18154.47</v>
      </c>
      <c r="Y300" s="175">
        <f>X300-U300</f>
        <v>0</v>
      </c>
      <c r="Z300" s="56"/>
      <c r="AA300" s="281"/>
      <c r="AB300" s="18"/>
    </row>
    <row r="301" spans="16:28" ht="12.75">
      <c r="P301" s="108"/>
      <c r="R301" s="57" t="s">
        <v>119</v>
      </c>
      <c r="S301" s="18"/>
      <c r="T301" s="18"/>
      <c r="U301" s="174">
        <v>12257.73</v>
      </c>
      <c r="V301" s="301"/>
      <c r="W301" s="18"/>
      <c r="X301" s="120">
        <f>U301</f>
        <v>12257.73</v>
      </c>
      <c r="Y301" s="177">
        <f>X301-U301</f>
        <v>0</v>
      </c>
      <c r="Z301" s="56"/>
      <c r="AA301" s="281"/>
      <c r="AB301" s="18"/>
    </row>
    <row r="302" spans="16:28" ht="12.75">
      <c r="P302" s="108"/>
      <c r="R302" s="57" t="s">
        <v>121</v>
      </c>
      <c r="S302" s="18"/>
      <c r="T302" s="18"/>
      <c r="U302" s="63">
        <f>U299+U300+U301</f>
        <v>169451.90944000002</v>
      </c>
      <c r="V302" s="283"/>
      <c r="W302" s="18"/>
      <c r="X302" s="139">
        <f>X301+X300+X299</f>
        <v>178460.87776787506</v>
      </c>
      <c r="Y302" s="139">
        <f>Y301+Y300+Y299</f>
        <v>9008.968327875045</v>
      </c>
      <c r="Z302" s="56"/>
      <c r="AA302" s="281"/>
      <c r="AB302" s="18"/>
    </row>
    <row r="303" spans="16:28" ht="12.75">
      <c r="P303" s="108"/>
      <c r="R303" s="57"/>
      <c r="S303" s="18"/>
      <c r="T303" s="18"/>
      <c r="U303" s="18"/>
      <c r="V303" s="281"/>
      <c r="W303" s="18"/>
      <c r="X303" s="63"/>
      <c r="Y303" s="18"/>
      <c r="Z303" s="56"/>
      <c r="AA303" s="281"/>
      <c r="AB303" s="18"/>
    </row>
    <row r="304" spans="16:28" ht="12.75">
      <c r="P304" s="108"/>
      <c r="R304" s="57" t="s">
        <v>161</v>
      </c>
      <c r="S304" s="18"/>
      <c r="T304" s="18"/>
      <c r="U304" s="63">
        <f>U302/S294</f>
        <v>6778.0763776</v>
      </c>
      <c r="V304" s="283"/>
      <c r="W304" s="18"/>
      <c r="X304" s="60">
        <f>X302/S294</f>
        <v>7138.435110715002</v>
      </c>
      <c r="Y304" s="60">
        <f>X304-U304</f>
        <v>360.358733115002</v>
      </c>
      <c r="Z304" s="56"/>
      <c r="AA304" s="281"/>
      <c r="AB304" s="18"/>
    </row>
    <row r="305" spans="16:28" ht="13.5" thickBot="1">
      <c r="P305" s="108"/>
      <c r="R305" s="64" t="s">
        <v>122</v>
      </c>
      <c r="S305" s="65"/>
      <c r="T305" s="65"/>
      <c r="U305" s="65"/>
      <c r="V305" s="308"/>
      <c r="W305" s="65"/>
      <c r="X305" s="65"/>
      <c r="Y305" s="147"/>
      <c r="Z305" s="124">
        <f>X302/U302-1</f>
        <v>0.05316533969813397</v>
      </c>
      <c r="AA305" s="282"/>
      <c r="AB305" s="18"/>
    </row>
    <row r="306" spans="16:25" ht="13.5" thickBot="1">
      <c r="P306" s="108"/>
      <c r="R306" s="151"/>
      <c r="S306" s="151"/>
      <c r="T306" s="151"/>
      <c r="U306" s="151"/>
      <c r="V306" s="151"/>
      <c r="W306" s="151"/>
      <c r="X306" s="151"/>
      <c r="Y306" s="151"/>
    </row>
    <row r="307" spans="16:28" ht="12.75">
      <c r="P307" s="108"/>
      <c r="R307" s="52"/>
      <c r="S307" s="53"/>
      <c r="T307" s="53"/>
      <c r="U307" s="53"/>
      <c r="V307" s="53"/>
      <c r="W307" s="53"/>
      <c r="X307" s="53"/>
      <c r="Y307" s="53"/>
      <c r="Z307" s="54"/>
      <c r="AA307" s="280"/>
      <c r="AB307" s="18"/>
    </row>
    <row r="308" spans="16:28" ht="12.75">
      <c r="P308" s="108"/>
      <c r="R308" s="55" t="s">
        <v>81</v>
      </c>
      <c r="S308" s="18"/>
      <c r="T308" s="18"/>
      <c r="U308" s="18"/>
      <c r="V308" s="18"/>
      <c r="W308" s="18"/>
      <c r="X308" s="18"/>
      <c r="Y308" s="18"/>
      <c r="Z308" s="56"/>
      <c r="AA308" s="281"/>
      <c r="AB308" s="18"/>
    </row>
    <row r="309" spans="16:28" ht="12.75">
      <c r="P309" s="108"/>
      <c r="R309" s="55" t="s">
        <v>217</v>
      </c>
      <c r="S309" s="18"/>
      <c r="T309" s="18"/>
      <c r="U309" s="18"/>
      <c r="V309" s="18"/>
      <c r="W309" s="18"/>
      <c r="X309" s="18"/>
      <c r="Y309" s="18"/>
      <c r="Z309" s="56"/>
      <c r="AA309" s="281"/>
      <c r="AB309" s="18"/>
    </row>
    <row r="310" spans="16:28" ht="12.75">
      <c r="P310" s="108"/>
      <c r="R310" s="57"/>
      <c r="S310" s="125" t="s">
        <v>91</v>
      </c>
      <c r="T310" s="334" t="s">
        <v>112</v>
      </c>
      <c r="U310" s="335"/>
      <c r="V310" s="272" t="s">
        <v>250</v>
      </c>
      <c r="W310" s="336" t="s">
        <v>83</v>
      </c>
      <c r="X310" s="337"/>
      <c r="Y310" s="144" t="s">
        <v>162</v>
      </c>
      <c r="Z310" s="154" t="s">
        <v>122</v>
      </c>
      <c r="AA310" s="276" t="s">
        <v>252</v>
      </c>
      <c r="AB310" s="145"/>
    </row>
    <row r="311" spans="16:28" ht="12.75">
      <c r="P311" s="108"/>
      <c r="R311" s="57"/>
      <c r="S311" s="126" t="s">
        <v>113</v>
      </c>
      <c r="T311" s="129" t="s">
        <v>88</v>
      </c>
      <c r="U311" s="130" t="s">
        <v>100</v>
      </c>
      <c r="V311" s="273" t="s">
        <v>251</v>
      </c>
      <c r="W311" s="132" t="s">
        <v>88</v>
      </c>
      <c r="X311" s="133" t="s">
        <v>100</v>
      </c>
      <c r="Y311" s="145" t="s">
        <v>86</v>
      </c>
      <c r="Z311" s="155" t="s">
        <v>86</v>
      </c>
      <c r="AA311" s="277" t="s">
        <v>253</v>
      </c>
      <c r="AB311" s="145"/>
    </row>
    <row r="312" spans="16:28" ht="13.5" thickBot="1">
      <c r="P312" s="108"/>
      <c r="R312" s="57"/>
      <c r="S312" s="127" t="s">
        <v>103</v>
      </c>
      <c r="T312" s="127" t="s">
        <v>104</v>
      </c>
      <c r="U312" s="131" t="s">
        <v>105</v>
      </c>
      <c r="V312" s="285" t="s">
        <v>254</v>
      </c>
      <c r="W312" s="134" t="s">
        <v>106</v>
      </c>
      <c r="X312" s="128" t="s">
        <v>107</v>
      </c>
      <c r="Y312" s="146" t="s">
        <v>108</v>
      </c>
      <c r="Z312" s="156" t="s">
        <v>163</v>
      </c>
      <c r="AA312" s="286" t="s">
        <v>254</v>
      </c>
      <c r="AB312" s="44"/>
    </row>
    <row r="313" spans="16:31" ht="12.75">
      <c r="P313" s="108"/>
      <c r="R313" s="57" t="s">
        <v>114</v>
      </c>
      <c r="S313" s="58">
        <v>233</v>
      </c>
      <c r="T313" s="59">
        <v>28.68</v>
      </c>
      <c r="U313" s="60">
        <f>S313*T313</f>
        <v>6682.44</v>
      </c>
      <c r="V313" s="292">
        <f>U313/$U$317</f>
        <v>0.013947579025295588</v>
      </c>
      <c r="W313" s="59">
        <f>T313</f>
        <v>28.68</v>
      </c>
      <c r="X313" s="61">
        <f>W313*S313</f>
        <v>6682.44</v>
      </c>
      <c r="Y313" s="33">
        <f>X313-U313</f>
        <v>0</v>
      </c>
      <c r="Z313" s="56"/>
      <c r="AA313" s="292">
        <f>X313/X317</f>
        <v>0.013192350382044566</v>
      </c>
      <c r="AB313" s="18"/>
      <c r="AE313" s="19">
        <f>Y313</f>
        <v>0</v>
      </c>
    </row>
    <row r="314" spans="16:29" ht="12.75">
      <c r="P314" s="108"/>
      <c r="R314" s="57" t="s">
        <v>153</v>
      </c>
      <c r="S314" s="25">
        <v>7107452</v>
      </c>
      <c r="T314" s="112">
        <v>0.04329</v>
      </c>
      <c r="U314" s="60">
        <f>S314*T314</f>
        <v>307681.59708000004</v>
      </c>
      <c r="V314" s="293">
        <f>U314/$U$317</f>
        <v>0.6421925808391032</v>
      </c>
      <c r="W314" s="62">
        <f>T314+AF495</f>
        <v>0.04714903375515206</v>
      </c>
      <c r="X314" s="61">
        <f>W314*S314</f>
        <v>335109.494261123</v>
      </c>
      <c r="Y314" s="33">
        <f>X314-U314</f>
        <v>27427.89718112297</v>
      </c>
      <c r="Z314" s="56"/>
      <c r="AA314" s="293">
        <f>X314/$X$317</f>
        <v>0.6615670121456365</v>
      </c>
      <c r="AB314" s="18"/>
      <c r="AC314" s="3">
        <f>S314</f>
        <v>7107452</v>
      </c>
    </row>
    <row r="315" spans="16:30" ht="12.75">
      <c r="P315" s="108"/>
      <c r="R315" s="72" t="s">
        <v>131</v>
      </c>
      <c r="S315" s="25">
        <v>21067.4</v>
      </c>
      <c r="T315" s="20">
        <v>7.82</v>
      </c>
      <c r="U315" s="60">
        <f>S315*T315</f>
        <v>164747.06800000003</v>
      </c>
      <c r="V315" s="293">
        <f>U315/$U$317</f>
        <v>0.34385984013560117</v>
      </c>
      <c r="W315" s="80">
        <f>T315</f>
        <v>7.82</v>
      </c>
      <c r="X315" s="61">
        <f>W315*S315</f>
        <v>164747.06800000003</v>
      </c>
      <c r="Y315" s="33">
        <f>X315-U315</f>
        <v>0</v>
      </c>
      <c r="Z315" s="56"/>
      <c r="AA315" s="293">
        <f>X315/$X$317</f>
        <v>0.32524063747231885</v>
      </c>
      <c r="AB315" s="18"/>
      <c r="AD315" s="19">
        <f>Y315</f>
        <v>0</v>
      </c>
    </row>
    <row r="316" spans="16:28" ht="13.5" thickBot="1">
      <c r="P316" s="108"/>
      <c r="R316" s="57" t="s">
        <v>116</v>
      </c>
      <c r="S316" s="18"/>
      <c r="T316" s="18"/>
      <c r="U316" s="178"/>
      <c r="V316" s="321"/>
      <c r="W316" s="18"/>
      <c r="X316" s="135">
        <f>U316</f>
        <v>0</v>
      </c>
      <c r="Y316" s="169">
        <f>X316-U316</f>
        <v>0</v>
      </c>
      <c r="Z316" s="56"/>
      <c r="AA316" s="316"/>
      <c r="AB316" s="18"/>
    </row>
    <row r="317" spans="16:28" ht="13.5" thickBot="1">
      <c r="P317" s="108"/>
      <c r="R317" s="57" t="s">
        <v>117</v>
      </c>
      <c r="S317" s="18"/>
      <c r="T317" s="18"/>
      <c r="U317" s="60">
        <f>SUM(U313:U316)</f>
        <v>479111.10508000007</v>
      </c>
      <c r="V317" s="306">
        <f>SUM(V313:V315)</f>
        <v>1</v>
      </c>
      <c r="W317" s="18"/>
      <c r="X317" s="63">
        <f>SUM(X313:X316)</f>
        <v>506539.00226112304</v>
      </c>
      <c r="Y317" s="63">
        <f>SUM(Y313:Y316)</f>
        <v>27427.89718112297</v>
      </c>
      <c r="Z317" s="56"/>
      <c r="AA317" s="306">
        <f>SUM(AA313:AA315)</f>
        <v>1</v>
      </c>
      <c r="AB317" s="18"/>
    </row>
    <row r="318" spans="16:28" ht="12.75">
      <c r="P318" s="108"/>
      <c r="R318" s="57" t="s">
        <v>118</v>
      </c>
      <c r="S318" s="18"/>
      <c r="T318" s="18"/>
      <c r="U318" s="60">
        <v>58211</v>
      </c>
      <c r="V318" s="307"/>
      <c r="W318" s="18"/>
      <c r="X318" s="63">
        <f>U318</f>
        <v>58211</v>
      </c>
      <c r="Y318" s="175">
        <f>X318-U318</f>
        <v>0</v>
      </c>
      <c r="Z318" s="56"/>
      <c r="AA318" s="281"/>
      <c r="AB318" s="18"/>
    </row>
    <row r="319" spans="16:28" ht="12.75">
      <c r="P319" s="108"/>
      <c r="R319" s="57" t="s">
        <v>119</v>
      </c>
      <c r="S319" s="18"/>
      <c r="T319" s="18"/>
      <c r="U319" s="174">
        <v>39323.48</v>
      </c>
      <c r="V319" s="301"/>
      <c r="W319" s="18"/>
      <c r="X319" s="120">
        <f>U319</f>
        <v>39323.48</v>
      </c>
      <c r="Y319" s="177">
        <f>X319-U319</f>
        <v>0</v>
      </c>
      <c r="Z319" s="56"/>
      <c r="AA319" s="281"/>
      <c r="AB319" s="18"/>
    </row>
    <row r="320" spans="16:28" ht="12.75">
      <c r="P320" s="108"/>
      <c r="R320" s="57" t="s">
        <v>121</v>
      </c>
      <c r="S320" s="18"/>
      <c r="T320" s="18"/>
      <c r="U320" s="63">
        <f>U317+U318+U319</f>
        <v>576645.5850800001</v>
      </c>
      <c r="V320" s="283"/>
      <c r="W320" s="18"/>
      <c r="X320" s="139">
        <f>X319+X318+X317</f>
        <v>604073.482261123</v>
      </c>
      <c r="Y320" s="139">
        <f>Y319+Y318+Y317</f>
        <v>27427.89718112297</v>
      </c>
      <c r="Z320" s="56"/>
      <c r="AA320" s="281"/>
      <c r="AB320" s="18"/>
    </row>
    <row r="321" spans="16:28" ht="12.75">
      <c r="P321" s="108"/>
      <c r="R321" s="57"/>
      <c r="S321" s="18"/>
      <c r="T321" s="18"/>
      <c r="U321" s="18"/>
      <c r="V321" s="281"/>
      <c r="W321" s="18"/>
      <c r="X321" s="63"/>
      <c r="Y321" s="18"/>
      <c r="Z321" s="56"/>
      <c r="AA321" s="281"/>
      <c r="AB321" s="18"/>
    </row>
    <row r="322" spans="16:28" ht="12.75">
      <c r="P322" s="108"/>
      <c r="R322" s="57" t="s">
        <v>161</v>
      </c>
      <c r="S322" s="18"/>
      <c r="T322" s="18"/>
      <c r="U322" s="63">
        <f>U320/S313</f>
        <v>2474.873755708155</v>
      </c>
      <c r="V322" s="283"/>
      <c r="W322" s="18"/>
      <c r="X322" s="60">
        <f>X320/S313</f>
        <v>2592.5900526228456</v>
      </c>
      <c r="Y322" s="60">
        <f>X322-U322</f>
        <v>117.7162969146907</v>
      </c>
      <c r="Z322" s="56"/>
      <c r="AA322" s="281"/>
      <c r="AB322" s="18"/>
    </row>
    <row r="323" spans="16:28" ht="13.5" thickBot="1">
      <c r="P323" s="108"/>
      <c r="R323" s="64" t="s">
        <v>122</v>
      </c>
      <c r="S323" s="65"/>
      <c r="T323" s="65"/>
      <c r="U323" s="65"/>
      <c r="V323" s="308"/>
      <c r="W323" s="65"/>
      <c r="X323" s="65"/>
      <c r="Y323" s="147"/>
      <c r="Z323" s="124">
        <f>X320/U320-1</f>
        <v>0.04756456633118544</v>
      </c>
      <c r="AA323" s="282"/>
      <c r="AB323" s="18"/>
    </row>
    <row r="324" spans="16:28" ht="15.75">
      <c r="P324" s="108"/>
      <c r="R324" s="242" t="s">
        <v>81</v>
      </c>
      <c r="Z324" s="243"/>
      <c r="AA324" s="331" t="s">
        <v>259</v>
      </c>
      <c r="AB324" s="18"/>
    </row>
    <row r="325" spans="16:28" ht="15.75">
      <c r="P325" s="108"/>
      <c r="R325" s="242" t="s">
        <v>240</v>
      </c>
      <c r="Z325" s="243"/>
      <c r="AA325" s="331" t="s">
        <v>260</v>
      </c>
      <c r="AB325" s="18"/>
    </row>
    <row r="326" spans="16:27" ht="16.5" thickBot="1">
      <c r="P326" s="108"/>
      <c r="AA326" s="331" t="s">
        <v>249</v>
      </c>
    </row>
    <row r="327" spans="16:28" ht="12.75">
      <c r="P327" s="108"/>
      <c r="R327" s="52"/>
      <c r="S327" s="53"/>
      <c r="T327" s="53"/>
      <c r="U327" s="53"/>
      <c r="V327" s="53"/>
      <c r="W327" s="53"/>
      <c r="X327" s="53"/>
      <c r="Y327" s="53"/>
      <c r="Z327" s="54"/>
      <c r="AA327" s="280"/>
      <c r="AB327" s="18"/>
    </row>
    <row r="328" spans="16:28" ht="12.75">
      <c r="P328" s="108"/>
      <c r="R328" s="55" t="s">
        <v>81</v>
      </c>
      <c r="S328" s="18"/>
      <c r="T328" s="18"/>
      <c r="U328" s="18"/>
      <c r="V328" s="18"/>
      <c r="W328" s="18"/>
      <c r="X328" s="18"/>
      <c r="Y328" s="18"/>
      <c r="Z328" s="56"/>
      <c r="AA328" s="281"/>
      <c r="AB328" s="18"/>
    </row>
    <row r="329" spans="16:28" ht="13.5" thickBot="1">
      <c r="P329" s="108"/>
      <c r="R329" s="55" t="s">
        <v>218</v>
      </c>
      <c r="S329" s="18"/>
      <c r="T329" s="18"/>
      <c r="U329" s="18"/>
      <c r="V329" s="18"/>
      <c r="W329" s="18"/>
      <c r="X329" s="18"/>
      <c r="Y329" s="18"/>
      <c r="Z329" s="56"/>
      <c r="AA329" s="281"/>
      <c r="AB329" s="18"/>
    </row>
    <row r="330" spans="16:28" ht="12.75">
      <c r="P330" s="108"/>
      <c r="R330" s="57"/>
      <c r="S330" s="125" t="s">
        <v>91</v>
      </c>
      <c r="T330" s="334" t="s">
        <v>112</v>
      </c>
      <c r="U330" s="338"/>
      <c r="V330" s="290" t="s">
        <v>250</v>
      </c>
      <c r="W330" s="339" t="s">
        <v>83</v>
      </c>
      <c r="X330" s="337"/>
      <c r="Y330" s="144" t="s">
        <v>162</v>
      </c>
      <c r="Z330" s="154" t="s">
        <v>122</v>
      </c>
      <c r="AA330" s="290" t="s">
        <v>252</v>
      </c>
      <c r="AB330" s="145"/>
    </row>
    <row r="331" spans="16:28" ht="12.75">
      <c r="P331" s="108"/>
      <c r="R331" s="57"/>
      <c r="S331" s="126" t="s">
        <v>113</v>
      </c>
      <c r="T331" s="129" t="s">
        <v>88</v>
      </c>
      <c r="U331" s="18" t="s">
        <v>100</v>
      </c>
      <c r="V331" s="277" t="s">
        <v>251</v>
      </c>
      <c r="W331" s="289" t="s">
        <v>88</v>
      </c>
      <c r="X331" s="133" t="s">
        <v>100</v>
      </c>
      <c r="Y331" s="145" t="s">
        <v>86</v>
      </c>
      <c r="Z331" s="155" t="s">
        <v>86</v>
      </c>
      <c r="AA331" s="277" t="s">
        <v>253</v>
      </c>
      <c r="AB331" s="145"/>
    </row>
    <row r="332" spans="16:28" ht="13.5" thickBot="1">
      <c r="P332" s="108"/>
      <c r="R332" s="57"/>
      <c r="S332" s="127" t="s">
        <v>103</v>
      </c>
      <c r="T332" s="127" t="s">
        <v>104</v>
      </c>
      <c r="U332" s="288" t="s">
        <v>105</v>
      </c>
      <c r="V332" s="291" t="s">
        <v>254</v>
      </c>
      <c r="W332" s="146" t="s">
        <v>106</v>
      </c>
      <c r="X332" s="128" t="s">
        <v>107</v>
      </c>
      <c r="Y332" s="146" t="s">
        <v>108</v>
      </c>
      <c r="Z332" s="156" t="s">
        <v>163</v>
      </c>
      <c r="AA332" s="291" t="s">
        <v>254</v>
      </c>
      <c r="AB332" s="44"/>
    </row>
    <row r="333" spans="16:31" ht="12.75">
      <c r="P333" s="108"/>
      <c r="R333" s="57" t="s">
        <v>114</v>
      </c>
      <c r="S333" s="58">
        <v>24</v>
      </c>
      <c r="T333" s="59">
        <v>40.16</v>
      </c>
      <c r="U333" s="60">
        <f>S333*T333</f>
        <v>963.8399999999999</v>
      </c>
      <c r="V333" s="292">
        <f>U333/$U$337</f>
        <v>0.003600624439369281</v>
      </c>
      <c r="W333" s="59">
        <f>T333</f>
        <v>40.16</v>
      </c>
      <c r="X333" s="61">
        <f>W333*S333</f>
        <v>963.8399999999999</v>
      </c>
      <c r="Y333" s="33">
        <f>X333-U333</f>
        <v>0</v>
      </c>
      <c r="Z333" s="56"/>
      <c r="AA333" s="293">
        <f>X333/$X$337</f>
        <v>0.0033823152413619915</v>
      </c>
      <c r="AB333" s="18"/>
      <c r="AE333" s="19">
        <f>Y333</f>
        <v>0</v>
      </c>
    </row>
    <row r="334" spans="16:29" ht="12.75">
      <c r="P334" s="108"/>
      <c r="R334" s="57" t="s">
        <v>153</v>
      </c>
      <c r="S334" s="25">
        <v>4477200</v>
      </c>
      <c r="T334" s="112">
        <v>0.04077</v>
      </c>
      <c r="U334" s="60">
        <f>S334*T334</f>
        <v>182535.444</v>
      </c>
      <c r="V334" s="293">
        <f>U334/$U$337</f>
        <v>0.681899050379236</v>
      </c>
      <c r="W334" s="62">
        <f>T334+AF495</f>
        <v>0.04462903375515206</v>
      </c>
      <c r="X334" s="61">
        <f>W334*S334</f>
        <v>199813.1099285668</v>
      </c>
      <c r="Y334" s="33">
        <f>X334-U334</f>
        <v>17277.6659285668</v>
      </c>
      <c r="Z334" s="56"/>
      <c r="AA334" s="293">
        <f>X334/$X$337</f>
        <v>0.7011858058757995</v>
      </c>
      <c r="AB334" s="18"/>
      <c r="AC334" s="3">
        <f>S334</f>
        <v>4477200</v>
      </c>
    </row>
    <row r="335" spans="16:30" ht="12.75">
      <c r="P335" s="108"/>
      <c r="R335" s="72" t="s">
        <v>131</v>
      </c>
      <c r="S335" s="78">
        <v>10765.68</v>
      </c>
      <c r="T335" s="20">
        <v>7.82</v>
      </c>
      <c r="U335" s="60">
        <f>S335*T335</f>
        <v>84187.61760000001</v>
      </c>
      <c r="V335" s="293">
        <f>U335/$U$337</f>
        <v>0.31450032518139476</v>
      </c>
      <c r="W335" s="80">
        <f>T335</f>
        <v>7.82</v>
      </c>
      <c r="X335" s="61">
        <f>W335*S335</f>
        <v>84187.61760000001</v>
      </c>
      <c r="Y335" s="33">
        <f>X335-U335</f>
        <v>0</v>
      </c>
      <c r="Z335" s="56"/>
      <c r="AA335" s="293">
        <f>X335/$X$337</f>
        <v>0.2954318788828385</v>
      </c>
      <c r="AB335" s="18"/>
      <c r="AD335" s="19">
        <f>Y335</f>
        <v>0</v>
      </c>
    </row>
    <row r="336" spans="16:28" ht="13.5" thickBot="1">
      <c r="P336" s="108"/>
      <c r="R336" s="57" t="s">
        <v>116</v>
      </c>
      <c r="S336" s="18"/>
      <c r="T336" s="18"/>
      <c r="U336" s="178"/>
      <c r="V336" s="321"/>
      <c r="W336" s="18"/>
      <c r="X336" s="135">
        <f>U336</f>
        <v>0</v>
      </c>
      <c r="Y336" s="169">
        <f>X336-U336</f>
        <v>0</v>
      </c>
      <c r="Z336" s="56"/>
      <c r="AA336" s="310"/>
      <c r="AB336" s="18"/>
    </row>
    <row r="337" spans="16:28" ht="13.5" thickBot="1">
      <c r="P337" s="108"/>
      <c r="R337" s="57" t="s">
        <v>117</v>
      </c>
      <c r="S337" s="18"/>
      <c r="T337" s="18"/>
      <c r="U337" s="60">
        <f>SUM(U333:U336)</f>
        <v>267686.9016</v>
      </c>
      <c r="V337" s="306">
        <f>V333+V334+V335</f>
        <v>1</v>
      </c>
      <c r="W337" s="18"/>
      <c r="X337" s="63">
        <f>SUM(X333:X335)</f>
        <v>284964.5675285668</v>
      </c>
      <c r="Y337" s="63">
        <f>SUM(Y333:Y335)</f>
        <v>17277.6659285668</v>
      </c>
      <c r="Z337" s="56"/>
      <c r="AA337" s="306">
        <f>AA333+AA334+AA335</f>
        <v>1</v>
      </c>
      <c r="AB337" s="18"/>
    </row>
    <row r="338" spans="16:28" ht="12.75">
      <c r="P338" s="108"/>
      <c r="R338" s="57" t="s">
        <v>118</v>
      </c>
      <c r="S338" s="18"/>
      <c r="T338" s="18"/>
      <c r="U338" s="60">
        <v>35722.2</v>
      </c>
      <c r="V338" s="307"/>
      <c r="W338" s="18"/>
      <c r="X338" s="63">
        <f>U338</f>
        <v>35722.2</v>
      </c>
      <c r="Y338" s="175">
        <f>X338-U338</f>
        <v>0</v>
      </c>
      <c r="Z338" s="56"/>
      <c r="AA338" s="281"/>
      <c r="AB338" s="18"/>
    </row>
    <row r="339" spans="16:28" ht="12.75">
      <c r="P339" s="108"/>
      <c r="R339" s="57" t="s">
        <v>119</v>
      </c>
      <c r="S339" s="18"/>
      <c r="T339" s="18"/>
      <c r="U339" s="174">
        <v>22449.34</v>
      </c>
      <c r="V339" s="301"/>
      <c r="W339" s="18"/>
      <c r="X339" s="120">
        <f>U339</f>
        <v>22449.34</v>
      </c>
      <c r="Y339" s="177">
        <f>X339-U339</f>
        <v>0</v>
      </c>
      <c r="Z339" s="56"/>
      <c r="AA339" s="281"/>
      <c r="AB339" s="18"/>
    </row>
    <row r="340" spans="16:28" ht="12.75">
      <c r="P340" s="108"/>
      <c r="R340" s="57" t="s">
        <v>121</v>
      </c>
      <c r="S340" s="18"/>
      <c r="T340" s="18"/>
      <c r="U340" s="63">
        <f>U337+U338+U339</f>
        <v>325858.4416</v>
      </c>
      <c r="V340" s="283"/>
      <c r="W340" s="18"/>
      <c r="X340" s="139">
        <f>X339+X338+X337</f>
        <v>343136.1075285668</v>
      </c>
      <c r="Y340" s="139">
        <f>Y339+Y338+Y337</f>
        <v>17277.6659285668</v>
      </c>
      <c r="Z340" s="56"/>
      <c r="AA340" s="281"/>
      <c r="AB340" s="18"/>
    </row>
    <row r="341" spans="16:28" ht="12.75">
      <c r="P341" s="108"/>
      <c r="R341" s="57"/>
      <c r="S341" s="18"/>
      <c r="T341" s="18"/>
      <c r="U341" s="18"/>
      <c r="V341" s="281"/>
      <c r="W341" s="18"/>
      <c r="X341" s="63"/>
      <c r="Y341" s="18"/>
      <c r="Z341" s="56"/>
      <c r="AA341" s="281"/>
      <c r="AB341" s="18"/>
    </row>
    <row r="342" spans="16:28" ht="12.75">
      <c r="P342" s="108"/>
      <c r="R342" s="57" t="s">
        <v>161</v>
      </c>
      <c r="S342" s="18"/>
      <c r="T342" s="18"/>
      <c r="U342" s="63">
        <f>U340/S333</f>
        <v>13577.435066666667</v>
      </c>
      <c r="V342" s="283"/>
      <c r="W342" s="18"/>
      <c r="X342" s="60">
        <f>X340/S333</f>
        <v>14297.337813690283</v>
      </c>
      <c r="Y342" s="60">
        <f>X342-U342</f>
        <v>719.902747023616</v>
      </c>
      <c r="Z342" s="56"/>
      <c r="AA342" s="281"/>
      <c r="AB342" s="18"/>
    </row>
    <row r="343" spans="16:28" ht="13.5" thickBot="1">
      <c r="P343" s="108"/>
      <c r="R343" s="64" t="s">
        <v>122</v>
      </c>
      <c r="S343" s="65"/>
      <c r="T343" s="65"/>
      <c r="U343" s="65"/>
      <c r="V343" s="308"/>
      <c r="W343" s="65"/>
      <c r="X343" s="65"/>
      <c r="Y343" s="147"/>
      <c r="Z343" s="124">
        <f>X340/U340-1</f>
        <v>0.05302199888924641</v>
      </c>
      <c r="AA343" s="282"/>
      <c r="AB343" s="18"/>
    </row>
    <row r="344" ht="13.5" thickBot="1">
      <c r="P344" s="108"/>
    </row>
    <row r="345" spans="16:28" ht="12.75">
      <c r="P345" s="108"/>
      <c r="R345" s="52"/>
      <c r="S345" s="53"/>
      <c r="T345" s="53"/>
      <c r="U345" s="53"/>
      <c r="V345" s="53"/>
      <c r="W345" s="53"/>
      <c r="X345" s="53"/>
      <c r="Y345" s="53"/>
      <c r="Z345" s="54"/>
      <c r="AA345" s="280"/>
      <c r="AB345" s="18"/>
    </row>
    <row r="346" spans="16:28" ht="12.75">
      <c r="P346" s="108"/>
      <c r="R346" s="55" t="s">
        <v>81</v>
      </c>
      <c r="S346" s="18"/>
      <c r="T346" s="18"/>
      <c r="U346" s="18"/>
      <c r="V346" s="18"/>
      <c r="W346" s="18"/>
      <c r="X346" s="18"/>
      <c r="Y346" s="18"/>
      <c r="Z346" s="56"/>
      <c r="AA346" s="281"/>
      <c r="AB346" s="18"/>
    </row>
    <row r="347" spans="16:28" ht="13.5" thickBot="1">
      <c r="P347" s="108"/>
      <c r="R347" s="55" t="s">
        <v>219</v>
      </c>
      <c r="S347" s="18"/>
      <c r="T347" s="18"/>
      <c r="U347" s="18"/>
      <c r="V347" s="18"/>
      <c r="W347" s="18"/>
      <c r="X347" s="18"/>
      <c r="Y347" s="18"/>
      <c r="Z347" s="56"/>
      <c r="AA347" s="281"/>
      <c r="AB347" s="18"/>
    </row>
    <row r="348" spans="16:28" ht="12.75">
      <c r="P348" s="108"/>
      <c r="R348" s="57"/>
      <c r="S348" s="125" t="s">
        <v>91</v>
      </c>
      <c r="T348" s="334" t="s">
        <v>112</v>
      </c>
      <c r="U348" s="338"/>
      <c r="V348" s="290" t="s">
        <v>250</v>
      </c>
      <c r="W348" s="339" t="s">
        <v>83</v>
      </c>
      <c r="X348" s="337"/>
      <c r="Y348" s="144" t="s">
        <v>162</v>
      </c>
      <c r="Z348" s="154" t="s">
        <v>122</v>
      </c>
      <c r="AA348" s="276" t="s">
        <v>252</v>
      </c>
      <c r="AB348" s="145"/>
    </row>
    <row r="349" spans="16:28" ht="12.75">
      <c r="P349" s="108"/>
      <c r="R349" s="57"/>
      <c r="S349" s="126" t="s">
        <v>113</v>
      </c>
      <c r="T349" s="129" t="s">
        <v>88</v>
      </c>
      <c r="U349" s="18" t="s">
        <v>100</v>
      </c>
      <c r="V349" s="277" t="s">
        <v>251</v>
      </c>
      <c r="W349" s="289" t="s">
        <v>88</v>
      </c>
      <c r="X349" s="133" t="s">
        <v>100</v>
      </c>
      <c r="Y349" s="145" t="s">
        <v>86</v>
      </c>
      <c r="Z349" s="155" t="s">
        <v>86</v>
      </c>
      <c r="AA349" s="277" t="s">
        <v>253</v>
      </c>
      <c r="AB349" s="145"/>
    </row>
    <row r="350" spans="16:28" ht="12.75">
      <c r="P350" s="108"/>
      <c r="R350" s="57"/>
      <c r="S350" s="127" t="s">
        <v>103</v>
      </c>
      <c r="T350" s="127" t="s">
        <v>104</v>
      </c>
      <c r="U350" s="288" t="s">
        <v>105</v>
      </c>
      <c r="V350" s="278" t="s">
        <v>254</v>
      </c>
      <c r="W350" s="146" t="s">
        <v>106</v>
      </c>
      <c r="X350" s="128" t="s">
        <v>107</v>
      </c>
      <c r="Y350" s="146" t="s">
        <v>108</v>
      </c>
      <c r="Z350" s="156" t="s">
        <v>163</v>
      </c>
      <c r="AA350" s="278" t="s">
        <v>254</v>
      </c>
      <c r="AB350" s="44"/>
    </row>
    <row r="351" spans="16:31" ht="12.75">
      <c r="P351" s="108"/>
      <c r="R351" s="57" t="s">
        <v>114</v>
      </c>
      <c r="S351" s="58">
        <v>12</v>
      </c>
      <c r="T351" s="182">
        <v>1069</v>
      </c>
      <c r="U351" s="60">
        <f>S351*T351</f>
        <v>12828</v>
      </c>
      <c r="V351" s="293">
        <f>U351/$U$356</f>
        <v>0.01455436970647771</v>
      </c>
      <c r="W351" s="182">
        <f>T351</f>
        <v>1069</v>
      </c>
      <c r="X351" s="61">
        <f>W351*S351</f>
        <v>12828</v>
      </c>
      <c r="Y351" s="33">
        <f>X351-U351</f>
        <v>0</v>
      </c>
      <c r="Z351" s="56"/>
      <c r="AA351" s="293">
        <f>X351/$X$356</f>
        <v>0.013189595612674113</v>
      </c>
      <c r="AB351" s="18"/>
      <c r="AE351" s="19">
        <f>Y351</f>
        <v>0</v>
      </c>
    </row>
    <row r="352" spans="16:28" ht="12.75">
      <c r="P352" s="108"/>
      <c r="R352" s="57" t="s">
        <v>153</v>
      </c>
      <c r="S352" s="25">
        <v>19819200</v>
      </c>
      <c r="T352" s="112">
        <v>0.03077</v>
      </c>
      <c r="U352" s="60">
        <f>S352*T352</f>
        <v>609836.784</v>
      </c>
      <c r="V352" s="293">
        <f>U352/$U$356</f>
        <v>0.6919075471582001</v>
      </c>
      <c r="W352" s="62">
        <f>T352</f>
        <v>0.03077</v>
      </c>
      <c r="X352" s="61">
        <f>W352*S352</f>
        <v>609836.784</v>
      </c>
      <c r="Y352" s="33">
        <f>X352-U352</f>
        <v>0</v>
      </c>
      <c r="Z352" s="56"/>
      <c r="AA352" s="293">
        <f>X352/$X$356</f>
        <v>0.6270268608273847</v>
      </c>
      <c r="AB352" s="18"/>
    </row>
    <row r="353" spans="16:30" ht="12.75">
      <c r="P353" s="108"/>
      <c r="R353" s="72" t="s">
        <v>154</v>
      </c>
      <c r="S353" s="25">
        <v>48000</v>
      </c>
      <c r="T353" s="20">
        <v>5.39</v>
      </c>
      <c r="U353" s="60">
        <f>S353*T353</f>
        <v>258719.99999999997</v>
      </c>
      <c r="V353" s="293">
        <f>U353/$U$356</f>
        <v>0.29353808313532215</v>
      </c>
      <c r="W353" s="80">
        <v>7.29</v>
      </c>
      <c r="X353" s="61">
        <f>W353*S353</f>
        <v>349920</v>
      </c>
      <c r="Y353" s="33">
        <f>X353-U353</f>
        <v>91200.00000000003</v>
      </c>
      <c r="Z353" s="56"/>
      <c r="AA353" s="293">
        <f>X353/$X$356</f>
        <v>0.3597835435599412</v>
      </c>
      <c r="AB353" s="18"/>
      <c r="AD353" s="19">
        <f>Y353</f>
        <v>91200.00000000003</v>
      </c>
    </row>
    <row r="354" spans="16:28" ht="12.75">
      <c r="P354" s="108"/>
      <c r="R354" s="57" t="s">
        <v>155</v>
      </c>
      <c r="S354" s="18">
        <v>0</v>
      </c>
      <c r="T354" s="18">
        <v>7.82</v>
      </c>
      <c r="U354" s="60">
        <f>S354*T354</f>
        <v>0</v>
      </c>
      <c r="V354" s="301"/>
      <c r="W354" s="20">
        <v>9.72</v>
      </c>
      <c r="X354" s="61">
        <f>W354*S354</f>
        <v>0</v>
      </c>
      <c r="Y354" s="33">
        <f>X354-U354</f>
        <v>0</v>
      </c>
      <c r="Z354" s="56"/>
      <c r="AA354" s="287"/>
      <c r="AB354" s="18"/>
    </row>
    <row r="355" spans="16:28" ht="13.5" thickBot="1">
      <c r="P355" s="108"/>
      <c r="R355" s="72" t="s">
        <v>116</v>
      </c>
      <c r="S355" s="18"/>
      <c r="T355" s="18"/>
      <c r="U355" s="174"/>
      <c r="V355" s="301"/>
      <c r="W355" s="60"/>
      <c r="X355" s="174">
        <f>U355</f>
        <v>0</v>
      </c>
      <c r="Y355" s="169">
        <f>X355-U355</f>
        <v>0</v>
      </c>
      <c r="Z355" s="56"/>
      <c r="AA355" s="281"/>
      <c r="AB355" s="18"/>
    </row>
    <row r="356" spans="16:28" ht="13.5" thickBot="1">
      <c r="P356" s="108"/>
      <c r="R356" s="57" t="s">
        <v>117</v>
      </c>
      <c r="S356" s="18"/>
      <c r="T356" s="18"/>
      <c r="U356" s="60">
        <f>SUM(U351:U355)</f>
        <v>881384.784</v>
      </c>
      <c r="V356" s="306">
        <f>SUM(V351:V355)</f>
        <v>1</v>
      </c>
      <c r="W356" s="18"/>
      <c r="X356" s="63">
        <f>SUM(X351:X355)</f>
        <v>972584.784</v>
      </c>
      <c r="Y356" s="63">
        <f>SUM(Y351:Y355)</f>
        <v>91200.00000000003</v>
      </c>
      <c r="Z356" s="56"/>
      <c r="AA356" s="306">
        <f>SUM(AA351:AA355)</f>
        <v>1</v>
      </c>
      <c r="AB356" s="18"/>
    </row>
    <row r="357" spans="16:28" ht="12.75">
      <c r="P357" s="108"/>
      <c r="R357" s="57" t="s">
        <v>118</v>
      </c>
      <c r="S357" s="18"/>
      <c r="T357" s="18"/>
      <c r="U357" s="60">
        <v>160484.1</v>
      </c>
      <c r="V357" s="301"/>
      <c r="W357" s="18"/>
      <c r="X357" s="63">
        <f>U357</f>
        <v>160484.1</v>
      </c>
      <c r="Y357" s="175">
        <f>X357-U357</f>
        <v>0</v>
      </c>
      <c r="Z357" s="56"/>
      <c r="AA357" s="281"/>
      <c r="AB357" s="18"/>
    </row>
    <row r="358" spans="16:28" ht="12.75">
      <c r="P358" s="108"/>
      <c r="R358" s="57" t="s">
        <v>119</v>
      </c>
      <c r="S358" s="18"/>
      <c r="T358" s="18"/>
      <c r="U358" s="174">
        <v>85842.03</v>
      </c>
      <c r="V358" s="301"/>
      <c r="W358" s="18"/>
      <c r="X358" s="120">
        <f>U358</f>
        <v>85842.03</v>
      </c>
      <c r="Y358" s="177">
        <f>X358-U358</f>
        <v>0</v>
      </c>
      <c r="Z358" s="56"/>
      <c r="AA358" s="281"/>
      <c r="AB358" s="18"/>
    </row>
    <row r="359" spans="16:28" ht="12.75">
      <c r="P359" s="108"/>
      <c r="R359" s="57" t="s">
        <v>121</v>
      </c>
      <c r="S359" s="18"/>
      <c r="T359" s="18"/>
      <c r="U359" s="63">
        <f>U356+U357+U358</f>
        <v>1127710.9139999999</v>
      </c>
      <c r="V359" s="283"/>
      <c r="W359" s="18"/>
      <c r="X359" s="139">
        <f>X358+X357+X356</f>
        <v>1218910.9139999999</v>
      </c>
      <c r="Y359" s="139">
        <f>Y358+Y357+Y356</f>
        <v>91200.00000000003</v>
      </c>
      <c r="Z359" s="56"/>
      <c r="AA359" s="281"/>
      <c r="AB359" s="18"/>
    </row>
    <row r="360" spans="16:28" ht="12.75">
      <c r="P360" s="108"/>
      <c r="R360" s="57"/>
      <c r="S360" s="18"/>
      <c r="T360" s="18"/>
      <c r="U360" s="18"/>
      <c r="V360" s="281"/>
      <c r="W360" s="18"/>
      <c r="X360" s="63"/>
      <c r="Y360" s="18"/>
      <c r="Z360" s="56"/>
      <c r="AA360" s="281"/>
      <c r="AB360" s="18"/>
    </row>
    <row r="361" spans="16:28" ht="12.75">
      <c r="P361" s="108"/>
      <c r="R361" s="57" t="s">
        <v>161</v>
      </c>
      <c r="S361" s="18"/>
      <c r="T361" s="18"/>
      <c r="U361" s="63">
        <f>U359/S351</f>
        <v>93975.9095</v>
      </c>
      <c r="V361" s="283"/>
      <c r="W361" s="18"/>
      <c r="X361" s="60">
        <f>X359/S351</f>
        <v>101575.9095</v>
      </c>
      <c r="Y361" s="60">
        <f>X361-U361</f>
        <v>7600</v>
      </c>
      <c r="Z361" s="56"/>
      <c r="AA361" s="281"/>
      <c r="AB361" s="18"/>
    </row>
    <row r="362" spans="16:28" ht="13.5" thickBot="1">
      <c r="P362" s="108"/>
      <c r="R362" s="64" t="s">
        <v>122</v>
      </c>
      <c r="S362" s="65"/>
      <c r="T362" s="65"/>
      <c r="U362" s="65"/>
      <c r="V362" s="308"/>
      <c r="W362" s="65"/>
      <c r="X362" s="65"/>
      <c r="Y362" s="147"/>
      <c r="Z362" s="124">
        <f>X361/U361-1</f>
        <v>0.08087178980693976</v>
      </c>
      <c r="AA362" s="282"/>
      <c r="AB362" s="18"/>
    </row>
    <row r="363" ht="13.5" thickBot="1">
      <c r="P363" s="108"/>
    </row>
    <row r="364" spans="16:28" ht="12.75">
      <c r="P364" s="108"/>
      <c r="R364" s="52"/>
      <c r="S364" s="53"/>
      <c r="T364" s="53"/>
      <c r="U364" s="53"/>
      <c r="V364" s="53"/>
      <c r="W364" s="53"/>
      <c r="X364" s="53"/>
      <c r="Y364" s="53"/>
      <c r="Z364" s="54"/>
      <c r="AA364" s="280"/>
      <c r="AB364" s="18"/>
    </row>
    <row r="365" spans="16:28" ht="12.75">
      <c r="P365" s="108"/>
      <c r="R365" s="55" t="s">
        <v>81</v>
      </c>
      <c r="S365" s="18"/>
      <c r="T365" s="18"/>
      <c r="U365" s="18"/>
      <c r="V365" s="18"/>
      <c r="W365" s="18"/>
      <c r="X365" s="18"/>
      <c r="Y365" s="18"/>
      <c r="Z365" s="56"/>
      <c r="AA365" s="281"/>
      <c r="AB365" s="18"/>
    </row>
    <row r="366" spans="16:28" ht="13.5" thickBot="1">
      <c r="P366" s="108"/>
      <c r="R366" s="55" t="s">
        <v>220</v>
      </c>
      <c r="S366" s="18"/>
      <c r="T366" s="18"/>
      <c r="U366" s="18"/>
      <c r="V366" s="18"/>
      <c r="W366" s="18"/>
      <c r="X366" s="18"/>
      <c r="Y366" s="18"/>
      <c r="Z366" s="56"/>
      <c r="AA366" s="281"/>
      <c r="AB366" s="18"/>
    </row>
    <row r="367" spans="16:29" ht="12.75">
      <c r="P367" s="108"/>
      <c r="R367" s="57"/>
      <c r="S367" s="125" t="s">
        <v>91</v>
      </c>
      <c r="T367" s="334" t="s">
        <v>112</v>
      </c>
      <c r="U367" s="338"/>
      <c r="V367" s="290" t="s">
        <v>250</v>
      </c>
      <c r="W367" s="339" t="s">
        <v>83</v>
      </c>
      <c r="X367" s="337"/>
      <c r="Y367" s="144" t="s">
        <v>162</v>
      </c>
      <c r="Z367" s="154" t="s">
        <v>122</v>
      </c>
      <c r="AA367" s="290" t="s">
        <v>252</v>
      </c>
      <c r="AB367" s="145"/>
      <c r="AC367" s="322"/>
    </row>
    <row r="368" spans="16:28" ht="12.75">
      <c r="P368" s="108"/>
      <c r="R368" s="57"/>
      <c r="S368" s="126" t="s">
        <v>113</v>
      </c>
      <c r="T368" s="129" t="s">
        <v>88</v>
      </c>
      <c r="U368" s="18" t="s">
        <v>100</v>
      </c>
      <c r="V368" s="277" t="s">
        <v>251</v>
      </c>
      <c r="W368" s="289" t="s">
        <v>88</v>
      </c>
      <c r="X368" s="133" t="s">
        <v>100</v>
      </c>
      <c r="Y368" s="145" t="s">
        <v>86</v>
      </c>
      <c r="Z368" s="155" t="s">
        <v>86</v>
      </c>
      <c r="AA368" s="277" t="s">
        <v>253</v>
      </c>
      <c r="AB368" s="145"/>
    </row>
    <row r="369" spans="16:28" ht="13.5" thickBot="1">
      <c r="P369" s="108"/>
      <c r="R369" s="57"/>
      <c r="S369" s="127" t="s">
        <v>103</v>
      </c>
      <c r="T369" s="127" t="s">
        <v>104</v>
      </c>
      <c r="U369" s="288" t="s">
        <v>105</v>
      </c>
      <c r="V369" s="286" t="s">
        <v>254</v>
      </c>
      <c r="W369" s="146" t="s">
        <v>106</v>
      </c>
      <c r="X369" s="128" t="s">
        <v>107</v>
      </c>
      <c r="Y369" s="146" t="s">
        <v>108</v>
      </c>
      <c r="Z369" s="156" t="s">
        <v>163</v>
      </c>
      <c r="AA369" s="291" t="s">
        <v>254</v>
      </c>
      <c r="AB369" s="44"/>
    </row>
    <row r="370" spans="16:31" ht="12.75">
      <c r="P370" s="108"/>
      <c r="R370" s="57" t="s">
        <v>114</v>
      </c>
      <c r="S370" s="58">
        <v>12</v>
      </c>
      <c r="T370" s="59">
        <v>1069</v>
      </c>
      <c r="U370" s="60">
        <f>S370*T370</f>
        <v>12828</v>
      </c>
      <c r="V370" s="292">
        <f>U370/$U$375</f>
        <v>0.00831478423888079</v>
      </c>
      <c r="W370" s="182">
        <f>T370</f>
        <v>1069</v>
      </c>
      <c r="X370" s="61">
        <f>W370*S370</f>
        <v>12828</v>
      </c>
      <c r="Y370" s="33">
        <f>X370-U370</f>
        <v>0</v>
      </c>
      <c r="Z370" s="56"/>
      <c r="AA370" s="292">
        <f>X370/$X$375</f>
        <v>0.007723175329568446</v>
      </c>
      <c r="AB370" s="18"/>
      <c r="AE370" s="19">
        <f>Y370</f>
        <v>0</v>
      </c>
    </row>
    <row r="371" spans="16:28" ht="12.75">
      <c r="P371" s="108"/>
      <c r="R371" s="57" t="s">
        <v>153</v>
      </c>
      <c r="S371" s="25">
        <v>38653200</v>
      </c>
      <c r="T371" s="112">
        <v>0.03077</v>
      </c>
      <c r="U371" s="60">
        <f>S371*T371</f>
        <v>1189358.964</v>
      </c>
      <c r="V371" s="293">
        <f>U371/$U$375</f>
        <v>0.7709123143310559</v>
      </c>
      <c r="W371" s="62">
        <f>T371</f>
        <v>0.03077</v>
      </c>
      <c r="X371" s="61">
        <f>W371*S371</f>
        <v>1189358.964</v>
      </c>
      <c r="Y371" s="33">
        <f>X371-U371</f>
        <v>0</v>
      </c>
      <c r="Z371" s="56"/>
      <c r="AA371" s="293">
        <f>X371/$X$375</f>
        <v>0.7160607895826228</v>
      </c>
      <c r="AB371" s="18"/>
    </row>
    <row r="372" spans="16:30" ht="12.75">
      <c r="P372" s="108"/>
      <c r="R372" s="72" t="s">
        <v>154</v>
      </c>
      <c r="S372" s="78">
        <v>60000</v>
      </c>
      <c r="T372" s="20">
        <v>5.39</v>
      </c>
      <c r="U372" s="60">
        <f>S372*T372</f>
        <v>323400</v>
      </c>
      <c r="V372" s="293">
        <f>U372/$U$375</f>
        <v>0.209619677490961</v>
      </c>
      <c r="W372" s="80">
        <v>7.29</v>
      </c>
      <c r="X372" s="61">
        <f>W372*S372</f>
        <v>437400</v>
      </c>
      <c r="Y372" s="33">
        <f>X372-U372</f>
        <v>114000</v>
      </c>
      <c r="Z372" s="56"/>
      <c r="AA372" s="293">
        <f>X372/$X$375</f>
        <v>0.2633393271868754</v>
      </c>
      <c r="AB372" s="18"/>
      <c r="AD372" s="19">
        <f>Y372</f>
        <v>114000</v>
      </c>
    </row>
    <row r="373" spans="16:30" ht="12.75">
      <c r="P373" s="108"/>
      <c r="R373" s="57" t="s">
        <v>155</v>
      </c>
      <c r="S373" s="78">
        <v>2200.4</v>
      </c>
      <c r="T373" s="18">
        <v>7.82</v>
      </c>
      <c r="U373" s="60">
        <f>S373*T373</f>
        <v>17207.128</v>
      </c>
      <c r="V373" s="293">
        <f>U373/$U$375</f>
        <v>0.011153223939102303</v>
      </c>
      <c r="W373" s="20">
        <v>9.72</v>
      </c>
      <c r="X373" s="61">
        <f>W373*S373</f>
        <v>21387.888000000003</v>
      </c>
      <c r="Y373" s="33">
        <f>X373-U373</f>
        <v>4180.760000000002</v>
      </c>
      <c r="Z373" s="56"/>
      <c r="AA373" s="293">
        <f>X373/$X$375</f>
        <v>0.012876707900933352</v>
      </c>
      <c r="AB373" s="18"/>
      <c r="AD373" s="19">
        <f>Y373</f>
        <v>4180.760000000002</v>
      </c>
    </row>
    <row r="374" spans="16:28" ht="13.5" thickBot="1">
      <c r="P374" s="108"/>
      <c r="R374" s="72" t="s">
        <v>116</v>
      </c>
      <c r="S374" s="18"/>
      <c r="T374" s="18"/>
      <c r="U374" s="174"/>
      <c r="V374" s="320"/>
      <c r="W374" s="18"/>
      <c r="X374" s="120">
        <f>U374</f>
        <v>0</v>
      </c>
      <c r="Y374" s="169">
        <f>X374-U374</f>
        <v>0</v>
      </c>
      <c r="Z374" s="56"/>
      <c r="AA374" s="310"/>
      <c r="AB374" s="18"/>
    </row>
    <row r="375" spans="16:28" ht="13.5" thickBot="1">
      <c r="P375" s="108"/>
      <c r="R375" s="57" t="s">
        <v>117</v>
      </c>
      <c r="S375" s="18"/>
      <c r="T375" s="18"/>
      <c r="U375" s="60">
        <f>SUM(U370:U374)</f>
        <v>1542794.092</v>
      </c>
      <c r="V375" s="306">
        <f>SUM(V370:V374)</f>
        <v>1</v>
      </c>
      <c r="W375" s="18"/>
      <c r="X375" s="61">
        <f>SUM(X370:X374)</f>
        <v>1660974.852</v>
      </c>
      <c r="Y375" s="61">
        <f>SUM(Y370:Y374)</f>
        <v>118180.76000000001</v>
      </c>
      <c r="Z375" s="56"/>
      <c r="AA375" s="323">
        <f>SUM(AA370:AA374)</f>
        <v>1</v>
      </c>
      <c r="AB375" s="18"/>
    </row>
    <row r="376" spans="16:28" ht="12.75">
      <c r="P376" s="108"/>
      <c r="R376" s="57" t="s">
        <v>118</v>
      </c>
      <c r="S376" s="18"/>
      <c r="T376" s="18"/>
      <c r="U376" s="60">
        <v>313835</v>
      </c>
      <c r="V376" s="301"/>
      <c r="W376" s="18"/>
      <c r="X376" s="63">
        <f>U376</f>
        <v>313835</v>
      </c>
      <c r="Y376" s="175">
        <f>X376-U376</f>
        <v>0</v>
      </c>
      <c r="Z376" s="56"/>
      <c r="AA376" s="281"/>
      <c r="AB376" s="18"/>
    </row>
    <row r="377" spans="16:28" ht="12.75">
      <c r="P377" s="108"/>
      <c r="R377" s="57" t="s">
        <v>119</v>
      </c>
      <c r="S377" s="18"/>
      <c r="T377" s="18"/>
      <c r="U377" s="174">
        <v>134625.35</v>
      </c>
      <c r="V377" s="301"/>
      <c r="W377" s="18"/>
      <c r="X377" s="120">
        <f>U377</f>
        <v>134625.35</v>
      </c>
      <c r="Y377" s="177">
        <f>X377-U377</f>
        <v>0</v>
      </c>
      <c r="Z377" s="56"/>
      <c r="AA377" s="281"/>
      <c r="AB377" s="18"/>
    </row>
    <row r="378" spans="16:28" ht="12.75">
      <c r="P378" s="108"/>
      <c r="R378" s="57" t="s">
        <v>121</v>
      </c>
      <c r="S378" s="18"/>
      <c r="T378" s="18"/>
      <c r="U378" s="63">
        <f>U375+U376+U377</f>
        <v>1991254.442</v>
      </c>
      <c r="V378" s="283"/>
      <c r="W378" s="18"/>
      <c r="X378" s="139">
        <f>X377+X376+X375</f>
        <v>2109435.202</v>
      </c>
      <c r="Y378" s="139">
        <f>Y377+Y376+Y375</f>
        <v>118180.76000000001</v>
      </c>
      <c r="Z378" s="56"/>
      <c r="AA378" s="281"/>
      <c r="AB378" s="18"/>
    </row>
    <row r="379" spans="16:28" ht="12.75">
      <c r="P379" s="108"/>
      <c r="R379" s="57"/>
      <c r="S379" s="18"/>
      <c r="T379" s="18"/>
      <c r="U379" s="18"/>
      <c r="V379" s="281"/>
      <c r="W379" s="18"/>
      <c r="X379" s="63"/>
      <c r="Y379" s="18"/>
      <c r="Z379" s="56"/>
      <c r="AA379" s="281"/>
      <c r="AB379" s="18"/>
    </row>
    <row r="380" spans="16:28" ht="12.75">
      <c r="P380" s="108"/>
      <c r="R380" s="57" t="s">
        <v>161</v>
      </c>
      <c r="S380" s="18"/>
      <c r="T380" s="18"/>
      <c r="U380" s="63">
        <f>U378/S370</f>
        <v>165937.87016666666</v>
      </c>
      <c r="V380" s="283"/>
      <c r="W380" s="18"/>
      <c r="X380" s="60">
        <f>X378/S370</f>
        <v>175786.26683333333</v>
      </c>
      <c r="Y380" s="60">
        <f>X380-U380</f>
        <v>9848.396666666667</v>
      </c>
      <c r="Z380" s="56"/>
      <c r="AA380" s="281"/>
      <c r="AB380" s="18"/>
    </row>
    <row r="381" spans="16:28" ht="13.5" thickBot="1">
      <c r="P381" s="108"/>
      <c r="R381" s="64" t="s">
        <v>122</v>
      </c>
      <c r="S381" s="65"/>
      <c r="T381" s="65"/>
      <c r="U381" s="65"/>
      <c r="V381" s="308"/>
      <c r="W381" s="65"/>
      <c r="X381" s="65"/>
      <c r="Y381" s="147"/>
      <c r="Z381" s="124">
        <f>X378/U378-1</f>
        <v>0.05934990401392404</v>
      </c>
      <c r="AA381" s="282"/>
      <c r="AB381" s="18"/>
    </row>
    <row r="382" ht="13.5" thickBot="1">
      <c r="P382" s="108"/>
    </row>
    <row r="383" spans="16:28" ht="12.75">
      <c r="P383" s="108"/>
      <c r="R383" s="52"/>
      <c r="S383" s="53"/>
      <c r="T383" s="53"/>
      <c r="U383" s="53"/>
      <c r="V383" s="53"/>
      <c r="W383" s="53"/>
      <c r="X383" s="53"/>
      <c r="Y383" s="53"/>
      <c r="Z383" s="54"/>
      <c r="AA383" s="280"/>
      <c r="AB383" s="18"/>
    </row>
    <row r="384" spans="16:28" ht="12.75">
      <c r="P384" s="108"/>
      <c r="R384" s="55" t="s">
        <v>81</v>
      </c>
      <c r="S384" s="18"/>
      <c r="T384" s="18"/>
      <c r="U384" s="18"/>
      <c r="V384" s="18"/>
      <c r="W384" s="18"/>
      <c r="X384" s="18"/>
      <c r="Y384" s="18"/>
      <c r="Z384" s="56"/>
      <c r="AA384" s="281"/>
      <c r="AB384" s="18"/>
    </row>
    <row r="385" spans="16:28" ht="13.5" thickBot="1">
      <c r="P385" s="108"/>
      <c r="R385" s="55" t="s">
        <v>222</v>
      </c>
      <c r="S385" s="18"/>
      <c r="T385" s="18"/>
      <c r="U385" s="18"/>
      <c r="V385" s="18"/>
      <c r="W385" s="18"/>
      <c r="X385" s="18"/>
      <c r="Y385" s="18"/>
      <c r="Z385" s="56"/>
      <c r="AA385" s="281"/>
      <c r="AB385" s="18"/>
    </row>
    <row r="386" spans="16:28" ht="12.75">
      <c r="P386" s="108"/>
      <c r="R386" s="57"/>
      <c r="S386" s="125" t="s">
        <v>91</v>
      </c>
      <c r="T386" s="334" t="s">
        <v>112</v>
      </c>
      <c r="U386" s="338"/>
      <c r="V386" s="290" t="s">
        <v>250</v>
      </c>
      <c r="W386" s="339" t="s">
        <v>83</v>
      </c>
      <c r="X386" s="337"/>
      <c r="Y386" s="144" t="s">
        <v>162</v>
      </c>
      <c r="Z386" s="154" t="s">
        <v>122</v>
      </c>
      <c r="AA386" s="290" t="s">
        <v>252</v>
      </c>
      <c r="AB386" s="145"/>
    </row>
    <row r="387" spans="16:28" ht="12.75">
      <c r="P387" s="108"/>
      <c r="R387" s="57"/>
      <c r="S387" s="126" t="s">
        <v>113</v>
      </c>
      <c r="T387" s="129" t="s">
        <v>88</v>
      </c>
      <c r="U387" s="18" t="s">
        <v>100</v>
      </c>
      <c r="V387" s="277" t="s">
        <v>251</v>
      </c>
      <c r="W387" s="289" t="s">
        <v>88</v>
      </c>
      <c r="X387" s="133" t="s">
        <v>100</v>
      </c>
      <c r="Y387" s="145" t="s">
        <v>86</v>
      </c>
      <c r="Z387" s="155" t="s">
        <v>86</v>
      </c>
      <c r="AA387" s="277" t="s">
        <v>253</v>
      </c>
      <c r="AB387" s="145"/>
    </row>
    <row r="388" spans="16:28" ht="13.5" thickBot="1">
      <c r="P388" s="108"/>
      <c r="R388" s="57"/>
      <c r="S388" s="127" t="s">
        <v>103</v>
      </c>
      <c r="T388" s="127" t="s">
        <v>104</v>
      </c>
      <c r="U388" s="288" t="s">
        <v>105</v>
      </c>
      <c r="V388" s="291" t="s">
        <v>254</v>
      </c>
      <c r="W388" s="146" t="s">
        <v>106</v>
      </c>
      <c r="X388" s="128" t="s">
        <v>107</v>
      </c>
      <c r="Y388" s="146" t="s">
        <v>108</v>
      </c>
      <c r="Z388" s="156" t="s">
        <v>163</v>
      </c>
      <c r="AA388" s="291" t="s">
        <v>254</v>
      </c>
      <c r="AB388" s="44"/>
    </row>
    <row r="389" spans="16:31" ht="12.75">
      <c r="P389" s="108"/>
      <c r="R389" s="57" t="s">
        <v>114</v>
      </c>
      <c r="S389" s="58">
        <v>12</v>
      </c>
      <c r="T389" s="59">
        <v>565</v>
      </c>
      <c r="U389" s="60">
        <f>S389*T389</f>
        <v>6780</v>
      </c>
      <c r="V389" s="292">
        <f>U389/$U$394</f>
        <v>0.006996416815961471</v>
      </c>
      <c r="W389" s="182">
        <f>T389</f>
        <v>565</v>
      </c>
      <c r="X389" s="61">
        <f>W389*S389</f>
        <v>6780</v>
      </c>
      <c r="Y389" s="33">
        <f>X389-U389</f>
        <v>0</v>
      </c>
      <c r="Z389" s="56"/>
      <c r="AA389" s="292">
        <f>X389/$X$394</f>
        <v>0.0065430966175066205</v>
      </c>
      <c r="AB389" s="18"/>
      <c r="AE389" s="19">
        <f>Y389</f>
        <v>0</v>
      </c>
    </row>
    <row r="390" spans="16:28" ht="12.75">
      <c r="P390" s="108"/>
      <c r="R390" s="57" t="s">
        <v>153</v>
      </c>
      <c r="S390" s="25">
        <v>21805200</v>
      </c>
      <c r="T390" s="112">
        <v>0.03537</v>
      </c>
      <c r="U390" s="60">
        <f>S390*T390</f>
        <v>771249.924</v>
      </c>
      <c r="V390" s="293">
        <f>U390/$U$394</f>
        <v>0.7958681323868151</v>
      </c>
      <c r="W390" s="62">
        <f>T390</f>
        <v>0.03537</v>
      </c>
      <c r="X390" s="61">
        <f>W390*S390</f>
        <v>771249.924</v>
      </c>
      <c r="Y390" s="33">
        <f>X390-U390</f>
        <v>0</v>
      </c>
      <c r="Z390" s="56"/>
      <c r="AA390" s="293">
        <f>X390/$X$394</f>
        <v>0.7443012933593861</v>
      </c>
      <c r="AB390" s="18"/>
    </row>
    <row r="391" spans="16:30" ht="12.75">
      <c r="P391" s="108"/>
      <c r="R391" s="72" t="s">
        <v>154</v>
      </c>
      <c r="S391" s="78">
        <v>35100</v>
      </c>
      <c r="T391" s="20">
        <v>5.39</v>
      </c>
      <c r="U391" s="60">
        <f>S391*T391</f>
        <v>189189</v>
      </c>
      <c r="V391" s="293">
        <f>U391/$U$394</f>
        <v>0.19522789100220275</v>
      </c>
      <c r="W391" s="80">
        <v>7.29</v>
      </c>
      <c r="X391" s="61">
        <f>W391*S391</f>
        <v>255879</v>
      </c>
      <c r="Y391" s="33">
        <f>X391-U391</f>
        <v>66690</v>
      </c>
      <c r="Z391" s="56"/>
      <c r="AA391" s="293">
        <f>X391/$X$394</f>
        <v>0.24693820344999654</v>
      </c>
      <c r="AB391" s="18"/>
      <c r="AD391" s="19">
        <f>Y391</f>
        <v>66690</v>
      </c>
    </row>
    <row r="392" spans="16:30" ht="12.75">
      <c r="P392" s="108"/>
      <c r="R392" s="57" t="s">
        <v>155</v>
      </c>
      <c r="S392" s="18">
        <v>236.388</v>
      </c>
      <c r="T392" s="18">
        <v>7.82</v>
      </c>
      <c r="U392" s="60">
        <f>S392*T392</f>
        <v>1848.5541600000001</v>
      </c>
      <c r="V392" s="293">
        <f>U392/$U$394</f>
        <v>0.00190755979502058</v>
      </c>
      <c r="W392" s="20">
        <v>9.72</v>
      </c>
      <c r="X392" s="61">
        <f>W392*S392</f>
        <v>2297.6913600000003</v>
      </c>
      <c r="Y392" s="33">
        <f>X392-U392</f>
        <v>449.1372000000001</v>
      </c>
      <c r="Z392" s="56"/>
      <c r="AA392" s="293">
        <f>X392/$X$394</f>
        <v>0.0022174065731106474</v>
      </c>
      <c r="AB392" s="18"/>
      <c r="AD392" s="19">
        <f>Y392</f>
        <v>449.1372000000001</v>
      </c>
    </row>
    <row r="393" spans="16:28" ht="13.5" thickBot="1">
      <c r="P393" s="108"/>
      <c r="R393" s="72" t="s">
        <v>116</v>
      </c>
      <c r="S393" s="18"/>
      <c r="T393" s="18"/>
      <c r="U393" s="174"/>
      <c r="V393" s="320"/>
      <c r="W393" s="60"/>
      <c r="X393" s="174">
        <f>U393</f>
        <v>0</v>
      </c>
      <c r="Y393" s="169">
        <f>X393-U393</f>
        <v>0</v>
      </c>
      <c r="Z393" s="56"/>
      <c r="AA393" s="308"/>
      <c r="AB393" s="18"/>
    </row>
    <row r="394" spans="16:28" ht="13.5" thickBot="1">
      <c r="P394" s="108"/>
      <c r="R394" s="57" t="s">
        <v>117</v>
      </c>
      <c r="S394" s="18"/>
      <c r="T394" s="18"/>
      <c r="U394" s="60">
        <f>SUM(U389:U393)</f>
        <v>969067.47816</v>
      </c>
      <c r="V394" s="306">
        <f>SUM(V389:V393)</f>
        <v>0.9999999999999999</v>
      </c>
      <c r="W394" s="18"/>
      <c r="X394" s="63">
        <f>SUM(X389:X393)</f>
        <v>1036206.61536</v>
      </c>
      <c r="Y394" s="63">
        <f>SUM(Y389:Y393)</f>
        <v>67139.1372</v>
      </c>
      <c r="Z394" s="56"/>
      <c r="AA394" s="323">
        <f>SUM(AA389:AA393)</f>
        <v>0.9999999999999999</v>
      </c>
      <c r="AB394" s="18"/>
    </row>
    <row r="395" spans="16:28" ht="12.75">
      <c r="P395" s="108"/>
      <c r="R395" s="57" t="s">
        <v>118</v>
      </c>
      <c r="S395" s="18"/>
      <c r="T395" s="18"/>
      <c r="U395" s="60">
        <v>167966.8</v>
      </c>
      <c r="V395" s="307"/>
      <c r="W395" s="18"/>
      <c r="X395" s="63">
        <f>U395</f>
        <v>167966.8</v>
      </c>
      <c r="Y395" s="175">
        <f>X395-U395</f>
        <v>0</v>
      </c>
      <c r="Z395" s="56"/>
      <c r="AA395" s="280"/>
      <c r="AB395" s="18"/>
    </row>
    <row r="396" spans="16:28" ht="12.75">
      <c r="P396" s="108"/>
      <c r="R396" s="57" t="s">
        <v>119</v>
      </c>
      <c r="S396" s="18"/>
      <c r="T396" s="18"/>
      <c r="U396" s="174">
        <v>80355.85</v>
      </c>
      <c r="V396" s="301"/>
      <c r="W396" s="18"/>
      <c r="X396" s="120">
        <f>U396</f>
        <v>80355.85</v>
      </c>
      <c r="Y396" s="177">
        <f>X396-U396</f>
        <v>0</v>
      </c>
      <c r="Z396" s="56"/>
      <c r="AA396" s="281"/>
      <c r="AB396" s="18"/>
    </row>
    <row r="397" spans="16:28" ht="12.75">
      <c r="P397" s="108"/>
      <c r="R397" s="57" t="s">
        <v>121</v>
      </c>
      <c r="S397" s="18"/>
      <c r="T397" s="18"/>
      <c r="U397" s="63">
        <f>U394+U395+U396</f>
        <v>1217390.12816</v>
      </c>
      <c r="V397" s="283"/>
      <c r="W397" s="18"/>
      <c r="X397" s="139">
        <f>SUM(X394:X396)</f>
        <v>1284529.26536</v>
      </c>
      <c r="Y397" s="139">
        <f>SUM(Y394:Y396)</f>
        <v>67139.1372</v>
      </c>
      <c r="Z397" s="56"/>
      <c r="AA397" s="281"/>
      <c r="AB397" s="18"/>
    </row>
    <row r="398" spans="16:28" ht="12.75">
      <c r="P398" s="108"/>
      <c r="R398" s="57"/>
      <c r="S398" s="18"/>
      <c r="T398" s="18"/>
      <c r="U398" s="18"/>
      <c r="V398" s="281"/>
      <c r="W398" s="18"/>
      <c r="X398" s="63"/>
      <c r="Y398" s="18"/>
      <c r="Z398" s="56"/>
      <c r="AA398" s="281"/>
      <c r="AB398" s="18"/>
    </row>
    <row r="399" spans="16:28" ht="12.75">
      <c r="P399" s="108"/>
      <c r="R399" s="57" t="s">
        <v>161</v>
      </c>
      <c r="S399" s="18"/>
      <c r="T399" s="18"/>
      <c r="U399" s="63">
        <f>U397/S389</f>
        <v>101449.17734666668</v>
      </c>
      <c r="V399" s="283"/>
      <c r="W399" s="18"/>
      <c r="X399" s="60">
        <f>X397/S389</f>
        <v>107044.10544666667</v>
      </c>
      <c r="Y399" s="60">
        <f>X399-U399</f>
        <v>5594.92809999999</v>
      </c>
      <c r="Z399" s="56"/>
      <c r="AA399" s="281"/>
      <c r="AB399" s="18"/>
    </row>
    <row r="400" spans="16:28" ht="13.5" thickBot="1">
      <c r="P400" s="108"/>
      <c r="R400" s="64" t="s">
        <v>122</v>
      </c>
      <c r="S400" s="65"/>
      <c r="T400" s="65"/>
      <c r="U400" s="65"/>
      <c r="V400" s="308"/>
      <c r="W400" s="65"/>
      <c r="X400" s="65"/>
      <c r="Y400" s="147"/>
      <c r="Z400" s="124">
        <f>X397/U397-1</f>
        <v>0.05515005884060864</v>
      </c>
      <c r="AA400" s="282"/>
      <c r="AB400" s="18"/>
    </row>
    <row r="401" spans="16:28" ht="15.75">
      <c r="P401" s="108"/>
      <c r="R401" s="242" t="s">
        <v>81</v>
      </c>
      <c r="Z401" s="243"/>
      <c r="AA401" s="331" t="s">
        <v>259</v>
      </c>
      <c r="AB401" s="18"/>
    </row>
    <row r="402" spans="16:28" ht="15.75">
      <c r="P402" s="108"/>
      <c r="R402" s="242" t="s">
        <v>240</v>
      </c>
      <c r="Z402" s="243"/>
      <c r="AA402" s="331" t="s">
        <v>260</v>
      </c>
      <c r="AB402" s="18"/>
    </row>
    <row r="403" spans="16:27" ht="16.5" thickBot="1">
      <c r="P403" s="108"/>
      <c r="AA403" s="331" t="s">
        <v>245</v>
      </c>
    </row>
    <row r="404" spans="16:28" ht="12.75">
      <c r="P404" s="108"/>
      <c r="R404" s="52"/>
      <c r="S404" s="53"/>
      <c r="T404" s="53"/>
      <c r="U404" s="53"/>
      <c r="V404" s="53"/>
      <c r="W404" s="53"/>
      <c r="X404" s="53"/>
      <c r="Y404" s="53"/>
      <c r="Z404" s="54"/>
      <c r="AA404" s="280"/>
      <c r="AB404" s="18"/>
    </row>
    <row r="405" spans="16:28" ht="12.75">
      <c r="P405" s="108"/>
      <c r="R405" s="55" t="s">
        <v>81</v>
      </c>
      <c r="S405" s="18"/>
      <c r="T405" s="18"/>
      <c r="U405" s="18"/>
      <c r="V405" s="18"/>
      <c r="W405" s="18"/>
      <c r="X405" s="18"/>
      <c r="Y405" s="18"/>
      <c r="Z405" s="56"/>
      <c r="AA405" s="281"/>
      <c r="AB405" s="18"/>
    </row>
    <row r="406" spans="16:28" ht="13.5" thickBot="1">
      <c r="P406" s="108"/>
      <c r="R406" s="55" t="s">
        <v>221</v>
      </c>
      <c r="S406" s="18"/>
      <c r="T406" s="18"/>
      <c r="U406" s="18"/>
      <c r="V406" s="18"/>
      <c r="W406" s="18"/>
      <c r="X406" s="18"/>
      <c r="Y406" s="18"/>
      <c r="Z406" s="56"/>
      <c r="AA406" s="281"/>
      <c r="AB406" s="18"/>
    </row>
    <row r="407" spans="16:28" ht="12.75">
      <c r="P407" s="108"/>
      <c r="R407" s="57"/>
      <c r="S407" s="125" t="s">
        <v>91</v>
      </c>
      <c r="T407" s="334" t="s">
        <v>112</v>
      </c>
      <c r="U407" s="338"/>
      <c r="V407" s="290" t="s">
        <v>250</v>
      </c>
      <c r="W407" s="339" t="s">
        <v>83</v>
      </c>
      <c r="X407" s="337"/>
      <c r="Y407" s="144" t="s">
        <v>162</v>
      </c>
      <c r="Z407" s="154" t="s">
        <v>122</v>
      </c>
      <c r="AA407" s="290" t="s">
        <v>252</v>
      </c>
      <c r="AB407" s="145"/>
    </row>
    <row r="408" spans="16:28" ht="12.75">
      <c r="P408" s="108"/>
      <c r="R408" s="57"/>
      <c r="S408" s="126" t="s">
        <v>113</v>
      </c>
      <c r="T408" s="129" t="s">
        <v>88</v>
      </c>
      <c r="U408" s="18" t="s">
        <v>100</v>
      </c>
      <c r="V408" s="277" t="s">
        <v>251</v>
      </c>
      <c r="W408" s="289" t="s">
        <v>88</v>
      </c>
      <c r="X408" s="133" t="s">
        <v>100</v>
      </c>
      <c r="Y408" s="145" t="s">
        <v>86</v>
      </c>
      <c r="Z408" s="155" t="s">
        <v>86</v>
      </c>
      <c r="AA408" s="277" t="s">
        <v>253</v>
      </c>
      <c r="AB408" s="145"/>
    </row>
    <row r="409" spans="16:28" ht="13.5" thickBot="1">
      <c r="P409" s="108"/>
      <c r="R409" s="57"/>
      <c r="S409" s="127" t="s">
        <v>103</v>
      </c>
      <c r="T409" s="127" t="s">
        <v>104</v>
      </c>
      <c r="U409" s="288" t="s">
        <v>105</v>
      </c>
      <c r="V409" s="291" t="s">
        <v>254</v>
      </c>
      <c r="W409" s="146" t="s">
        <v>106</v>
      </c>
      <c r="X409" s="128" t="s">
        <v>107</v>
      </c>
      <c r="Y409" s="146" t="s">
        <v>108</v>
      </c>
      <c r="Z409" s="156" t="s">
        <v>163</v>
      </c>
      <c r="AA409" s="291" t="s">
        <v>254</v>
      </c>
      <c r="AB409" s="44"/>
    </row>
    <row r="410" spans="16:31" ht="12.75">
      <c r="P410" s="108"/>
      <c r="R410" s="57" t="s">
        <v>114</v>
      </c>
      <c r="S410" s="58">
        <v>12</v>
      </c>
      <c r="T410" s="182">
        <v>1069</v>
      </c>
      <c r="U410" s="60">
        <f>S410*T410</f>
        <v>12828</v>
      </c>
      <c r="V410" s="292">
        <f>U410/$U$415</f>
        <v>0.01411147910082025</v>
      </c>
      <c r="W410" s="182">
        <f>T410</f>
        <v>1069</v>
      </c>
      <c r="X410" s="61">
        <f>W410*S410</f>
        <v>12828</v>
      </c>
      <c r="Y410" s="33">
        <f>X410-U410</f>
        <v>0</v>
      </c>
      <c r="Z410" s="56"/>
      <c r="AA410" s="293">
        <f>X410/$X$415</f>
        <v>0.012795663311505697</v>
      </c>
      <c r="AB410" s="18"/>
      <c r="AE410" s="19">
        <f>Y410</f>
        <v>0</v>
      </c>
    </row>
    <row r="411" spans="16:28" ht="12.75">
      <c r="P411" s="108"/>
      <c r="R411" s="57" t="s">
        <v>153</v>
      </c>
      <c r="S411" s="25">
        <v>20508000</v>
      </c>
      <c r="T411" s="112">
        <v>0.03077</v>
      </c>
      <c r="U411" s="60">
        <f>S411*T411</f>
        <v>631031.1599999999</v>
      </c>
      <c r="V411" s="293">
        <f>U411/$U$415</f>
        <v>0.6941676821255346</v>
      </c>
      <c r="W411" s="62">
        <f>T411</f>
        <v>0.03077</v>
      </c>
      <c r="X411" s="61">
        <f>W411*S411</f>
        <v>631031.1599999999</v>
      </c>
      <c r="Y411" s="33">
        <f>X411-U411</f>
        <v>0</v>
      </c>
      <c r="Z411" s="56"/>
      <c r="AA411" s="293">
        <f>X411/$X$415</f>
        <v>0.6294404632389211</v>
      </c>
      <c r="AB411" s="18"/>
    </row>
    <row r="412" spans="16:30" ht="12.75">
      <c r="P412" s="108"/>
      <c r="R412" s="72" t="s">
        <v>154</v>
      </c>
      <c r="S412" s="78">
        <v>49200</v>
      </c>
      <c r="T412" s="20">
        <v>5.39</v>
      </c>
      <c r="U412" s="60">
        <f>S412*T412</f>
        <v>265188</v>
      </c>
      <c r="V412" s="293">
        <f>U412/$U$415</f>
        <v>0.2917208387736452</v>
      </c>
      <c r="W412" s="80">
        <v>7.29</v>
      </c>
      <c r="X412" s="61">
        <f>W412*S412</f>
        <v>358668</v>
      </c>
      <c r="Y412" s="33">
        <f>X412-U412</f>
        <v>93480</v>
      </c>
      <c r="Z412" s="56"/>
      <c r="AA412" s="293">
        <f>X412/$X$415</f>
        <v>0.3577638734495732</v>
      </c>
      <c r="AB412" s="18"/>
      <c r="AD412" s="19">
        <f>Y412</f>
        <v>93480</v>
      </c>
    </row>
    <row r="413" spans="16:30" ht="12.75">
      <c r="P413" s="108"/>
      <c r="R413" s="57" t="s">
        <v>155</v>
      </c>
      <c r="S413" s="18"/>
      <c r="T413" s="18">
        <v>7.82</v>
      </c>
      <c r="U413" s="60">
        <f>S413*T413</f>
        <v>0</v>
      </c>
      <c r="V413" s="293"/>
      <c r="W413" s="20">
        <v>9.72</v>
      </c>
      <c r="X413" s="61">
        <f>W413*S413</f>
        <v>0</v>
      </c>
      <c r="Y413" s="33">
        <f>X413-U413</f>
        <v>0</v>
      </c>
      <c r="Z413" s="56"/>
      <c r="AA413" s="293"/>
      <c r="AB413" s="18"/>
      <c r="AD413" s="19">
        <f>Y413</f>
        <v>0</v>
      </c>
    </row>
    <row r="414" spans="16:28" ht="13.5" thickBot="1">
      <c r="P414" s="108"/>
      <c r="R414" s="72" t="s">
        <v>116</v>
      </c>
      <c r="S414" s="18"/>
      <c r="T414" s="18"/>
      <c r="U414" s="174"/>
      <c r="V414" s="320"/>
      <c r="W414" s="60"/>
      <c r="X414" s="174">
        <f>U414</f>
        <v>0</v>
      </c>
      <c r="Y414" s="169">
        <f>X414-U414</f>
        <v>0</v>
      </c>
      <c r="Z414" s="56"/>
      <c r="AA414" s="310"/>
      <c r="AB414" s="18"/>
    </row>
    <row r="415" spans="16:28" ht="13.5" thickBot="1">
      <c r="P415" s="108"/>
      <c r="R415" s="57" t="s">
        <v>117</v>
      </c>
      <c r="S415" s="18"/>
      <c r="T415" s="18"/>
      <c r="U415" s="60">
        <f>SUM(U410:U414)</f>
        <v>909047.1599999999</v>
      </c>
      <c r="V415" s="306">
        <f>SUM(V410:V414)</f>
        <v>1</v>
      </c>
      <c r="W415" s="18"/>
      <c r="X415" s="63">
        <f>SUM(X410:X414)</f>
        <v>1002527.1599999999</v>
      </c>
      <c r="Y415" s="63">
        <f>SUM(Y410:Y414)</f>
        <v>93480</v>
      </c>
      <c r="Z415" s="56"/>
      <c r="AA415" s="323">
        <f>SUM(AA410:AA414)</f>
        <v>1</v>
      </c>
      <c r="AB415" s="18"/>
    </row>
    <row r="416" spans="16:28" ht="12.75">
      <c r="P416" s="108"/>
      <c r="R416" s="57" t="s">
        <v>118</v>
      </c>
      <c r="S416" s="18"/>
      <c r="T416" s="18"/>
      <c r="U416" s="60">
        <v>165770.9</v>
      </c>
      <c r="V416" s="307"/>
      <c r="W416" s="18"/>
      <c r="X416" s="63">
        <f>U416</f>
        <v>165770.9</v>
      </c>
      <c r="Y416" s="175">
        <f>X416-U416</f>
        <v>0</v>
      </c>
      <c r="Z416" s="56"/>
      <c r="AA416" s="281"/>
      <c r="AB416" s="18"/>
    </row>
    <row r="417" spans="16:28" ht="12.75">
      <c r="P417" s="108"/>
      <c r="R417" s="57" t="s">
        <v>119</v>
      </c>
      <c r="S417" s="18"/>
      <c r="T417" s="18"/>
      <c r="U417" s="174">
        <v>88104.92</v>
      </c>
      <c r="V417" s="301"/>
      <c r="W417" s="18"/>
      <c r="X417" s="120">
        <f>U417</f>
        <v>88104.92</v>
      </c>
      <c r="Y417" s="177">
        <f>X417-U417</f>
        <v>0</v>
      </c>
      <c r="Z417" s="56"/>
      <c r="AA417" s="281"/>
      <c r="AB417" s="18"/>
    </row>
    <row r="418" spans="16:28" ht="12.75">
      <c r="P418" s="108"/>
      <c r="R418" s="57" t="s">
        <v>121</v>
      </c>
      <c r="S418" s="18"/>
      <c r="T418" s="18"/>
      <c r="U418" s="63">
        <f>U415+U416+U417</f>
        <v>1162922.9799999997</v>
      </c>
      <c r="V418" s="283"/>
      <c r="W418" s="18"/>
      <c r="X418" s="139">
        <f>X417+X416+X415</f>
        <v>1256402.98</v>
      </c>
      <c r="Y418" s="139">
        <f>Y417+Y416+Y415</f>
        <v>93480</v>
      </c>
      <c r="Z418" s="56"/>
      <c r="AA418" s="281"/>
      <c r="AB418" s="18"/>
    </row>
    <row r="419" spans="16:28" ht="12.75">
      <c r="P419" s="108"/>
      <c r="R419" s="57"/>
      <c r="S419" s="18"/>
      <c r="T419" s="18"/>
      <c r="U419" s="18"/>
      <c r="V419" s="281"/>
      <c r="W419" s="18"/>
      <c r="X419" s="63"/>
      <c r="Y419" s="18"/>
      <c r="Z419" s="56"/>
      <c r="AA419" s="281"/>
      <c r="AB419" s="18"/>
    </row>
    <row r="420" spans="16:28" ht="12.75">
      <c r="P420" s="108"/>
      <c r="R420" s="57" t="s">
        <v>161</v>
      </c>
      <c r="S420" s="18"/>
      <c r="T420" s="18"/>
      <c r="U420" s="63">
        <f>U418/S410</f>
        <v>96910.24833333331</v>
      </c>
      <c r="V420" s="283"/>
      <c r="W420" s="18"/>
      <c r="X420" s="60">
        <f>X418/S410</f>
        <v>104700.24833333334</v>
      </c>
      <c r="Y420" s="60">
        <f>X420-U420</f>
        <v>7790.000000000029</v>
      </c>
      <c r="Z420" s="56"/>
      <c r="AA420" s="281"/>
      <c r="AB420" s="18"/>
    </row>
    <row r="421" spans="16:27" ht="13.5" thickBot="1">
      <c r="P421" s="108"/>
      <c r="R421" s="64" t="s">
        <v>122</v>
      </c>
      <c r="S421" s="65"/>
      <c r="T421" s="65"/>
      <c r="U421" s="65"/>
      <c r="V421" s="308"/>
      <c r="W421" s="65"/>
      <c r="X421" s="65"/>
      <c r="Y421" s="147"/>
      <c r="Z421" s="124">
        <f>X418/U418-1</f>
        <v>0.08038365533029568</v>
      </c>
      <c r="AA421" s="282"/>
    </row>
    <row r="422" ht="13.5" thickBot="1">
      <c r="P422" s="108"/>
    </row>
    <row r="423" spans="16:28" ht="12.75">
      <c r="P423" s="108"/>
      <c r="R423" s="52"/>
      <c r="S423" s="53"/>
      <c r="T423" s="53"/>
      <c r="U423" s="53"/>
      <c r="V423" s="53"/>
      <c r="W423" s="53"/>
      <c r="X423" s="53"/>
      <c r="Y423" s="53"/>
      <c r="Z423" s="54"/>
      <c r="AA423" s="280"/>
      <c r="AB423" s="18"/>
    </row>
    <row r="424" spans="16:28" ht="12.75">
      <c r="P424" s="108"/>
      <c r="R424" s="55" t="s">
        <v>81</v>
      </c>
      <c r="S424" s="18"/>
      <c r="T424" s="18"/>
      <c r="U424" s="18"/>
      <c r="V424" s="18"/>
      <c r="W424" s="18"/>
      <c r="X424" s="18"/>
      <c r="Y424" s="18"/>
      <c r="Z424" s="56"/>
      <c r="AA424" s="281"/>
      <c r="AB424" s="18"/>
    </row>
    <row r="425" spans="16:28" ht="13.5" thickBot="1">
      <c r="P425" s="108"/>
      <c r="R425" s="55" t="s">
        <v>223</v>
      </c>
      <c r="S425" s="18"/>
      <c r="T425" s="18"/>
      <c r="U425" s="18"/>
      <c r="V425" s="18"/>
      <c r="W425" s="18"/>
      <c r="X425" s="18"/>
      <c r="Y425" s="18"/>
      <c r="Z425" s="56"/>
      <c r="AA425" s="281"/>
      <c r="AB425" s="18"/>
    </row>
    <row r="426" spans="16:28" ht="12.75">
      <c r="P426" s="108"/>
      <c r="R426" s="57"/>
      <c r="S426" s="125" t="s">
        <v>91</v>
      </c>
      <c r="T426" s="334" t="s">
        <v>112</v>
      </c>
      <c r="U426" s="338"/>
      <c r="V426" s="290" t="s">
        <v>250</v>
      </c>
      <c r="W426" s="339" t="s">
        <v>83</v>
      </c>
      <c r="X426" s="337"/>
      <c r="Y426" s="144" t="s">
        <v>162</v>
      </c>
      <c r="Z426" s="154" t="s">
        <v>122</v>
      </c>
      <c r="AA426" s="290" t="s">
        <v>252</v>
      </c>
      <c r="AB426" s="145"/>
    </row>
    <row r="427" spans="16:28" ht="12.75">
      <c r="P427" s="108"/>
      <c r="R427" s="57"/>
      <c r="S427" s="126" t="s">
        <v>113</v>
      </c>
      <c r="T427" s="129" t="s">
        <v>88</v>
      </c>
      <c r="U427" s="18" t="s">
        <v>100</v>
      </c>
      <c r="V427" s="277" t="s">
        <v>251</v>
      </c>
      <c r="W427" s="289" t="s">
        <v>88</v>
      </c>
      <c r="X427" s="133" t="s">
        <v>100</v>
      </c>
      <c r="Y427" s="145" t="s">
        <v>86</v>
      </c>
      <c r="Z427" s="155" t="s">
        <v>86</v>
      </c>
      <c r="AA427" s="277" t="s">
        <v>253</v>
      </c>
      <c r="AB427" s="145"/>
    </row>
    <row r="428" spans="16:28" ht="13.5" thickBot="1">
      <c r="P428" s="108"/>
      <c r="R428" s="57"/>
      <c r="S428" s="127" t="s">
        <v>103</v>
      </c>
      <c r="T428" s="127" t="s">
        <v>104</v>
      </c>
      <c r="U428" s="288" t="s">
        <v>105</v>
      </c>
      <c r="V428" s="291" t="s">
        <v>254</v>
      </c>
      <c r="W428" s="146" t="s">
        <v>106</v>
      </c>
      <c r="X428" s="128" t="s">
        <v>107</v>
      </c>
      <c r="Y428" s="146" t="s">
        <v>108</v>
      </c>
      <c r="Z428" s="156" t="s">
        <v>163</v>
      </c>
      <c r="AA428" s="286" t="s">
        <v>254</v>
      </c>
      <c r="AB428" s="44"/>
    </row>
    <row r="429" spans="16:31" ht="12.75">
      <c r="P429" s="108"/>
      <c r="R429" s="57" t="s">
        <v>114</v>
      </c>
      <c r="S429" s="58">
        <v>12</v>
      </c>
      <c r="T429" s="182">
        <v>1069</v>
      </c>
      <c r="U429" s="60">
        <f>S429*T429</f>
        <v>12828</v>
      </c>
      <c r="V429" s="292">
        <f>U429/$U$434</f>
        <v>0.008516927225549767</v>
      </c>
      <c r="W429" s="182">
        <f>T429</f>
        <v>1069</v>
      </c>
      <c r="X429" s="61">
        <f>W429*S429</f>
        <v>12828</v>
      </c>
      <c r="Y429" s="33">
        <f>X429-U429</f>
        <v>0</v>
      </c>
      <c r="Z429" s="18"/>
      <c r="AA429" s="292">
        <f>X429/$X$434</f>
        <v>0.007809539233094188</v>
      </c>
      <c r="AB429" s="18"/>
      <c r="AE429" s="19">
        <f>Y429</f>
        <v>0</v>
      </c>
    </row>
    <row r="430" spans="16:28" ht="12.75">
      <c r="P430" s="108"/>
      <c r="R430" s="57" t="s">
        <v>153</v>
      </c>
      <c r="S430" s="25">
        <v>35685600</v>
      </c>
      <c r="T430" s="112">
        <v>0.03077</v>
      </c>
      <c r="U430" s="60">
        <f>S430*T430</f>
        <v>1098045.912</v>
      </c>
      <c r="V430" s="293">
        <f>U430/$U$434</f>
        <v>0.729028462957314</v>
      </c>
      <c r="W430" s="62">
        <f>T430</f>
        <v>0.03077</v>
      </c>
      <c r="X430" s="61">
        <f>W430*S430</f>
        <v>1098045.912</v>
      </c>
      <c r="Y430" s="33">
        <f>X430-U430</f>
        <v>0</v>
      </c>
      <c r="Z430" s="18"/>
      <c r="AA430" s="293">
        <f>X430/$X$434</f>
        <v>0.6684777540928195</v>
      </c>
      <c r="AB430" s="18"/>
    </row>
    <row r="431" spans="16:30" ht="12.75">
      <c r="P431" s="108"/>
      <c r="R431" s="72" t="s">
        <v>154</v>
      </c>
      <c r="S431" s="78">
        <v>68400</v>
      </c>
      <c r="T431" s="20">
        <v>5.39</v>
      </c>
      <c r="U431" s="60">
        <f>S431*T431</f>
        <v>368676</v>
      </c>
      <c r="V431" s="293">
        <f>U431/$U$434</f>
        <v>0.24477601043083771</v>
      </c>
      <c r="W431" s="80">
        <v>7.29</v>
      </c>
      <c r="X431" s="61">
        <f>W431*S431</f>
        <v>498636</v>
      </c>
      <c r="Y431" s="33">
        <f>X431-U431</f>
        <v>129960</v>
      </c>
      <c r="Z431" s="18"/>
      <c r="AA431" s="293">
        <f>X431/$X$434</f>
        <v>0.3035638762888333</v>
      </c>
      <c r="AB431" s="18"/>
      <c r="AD431" s="19">
        <f>Y431</f>
        <v>129960</v>
      </c>
    </row>
    <row r="432" spans="16:30" ht="12.75">
      <c r="P432" s="108"/>
      <c r="R432" s="57" t="s">
        <v>155</v>
      </c>
      <c r="S432" s="18">
        <v>3405</v>
      </c>
      <c r="T432" s="18">
        <v>7.82</v>
      </c>
      <c r="U432" s="60">
        <f>S432*T432</f>
        <v>26627.100000000002</v>
      </c>
      <c r="V432" s="293">
        <f>U432/$U$434</f>
        <v>0.017678599386298427</v>
      </c>
      <c r="W432" s="20">
        <v>9.72</v>
      </c>
      <c r="X432" s="61">
        <f>W432*S432</f>
        <v>33096.6</v>
      </c>
      <c r="Y432" s="33">
        <f>X432-U432</f>
        <v>6469.499999999996</v>
      </c>
      <c r="Z432" s="18"/>
      <c r="AA432" s="293">
        <f>X432/$X$434</f>
        <v>0.020148830385252968</v>
      </c>
      <c r="AB432" s="18"/>
      <c r="AD432" s="19">
        <f>Y432</f>
        <v>6469.499999999996</v>
      </c>
    </row>
    <row r="433" spans="16:28" ht="13.5" thickBot="1">
      <c r="P433" s="108"/>
      <c r="R433" s="72" t="s">
        <v>116</v>
      </c>
      <c r="S433" s="18"/>
      <c r="T433" s="18"/>
      <c r="U433" s="167"/>
      <c r="V433" s="318"/>
      <c r="W433" s="18"/>
      <c r="X433" s="167">
        <f>U433</f>
        <v>0</v>
      </c>
      <c r="Y433" s="169">
        <f>X433-U433</f>
        <v>0</v>
      </c>
      <c r="Z433" s="18"/>
      <c r="AA433" s="316"/>
      <c r="AB433" s="18"/>
    </row>
    <row r="434" spans="16:28" ht="13.5" thickBot="1">
      <c r="P434" s="108"/>
      <c r="R434" s="57" t="s">
        <v>117</v>
      </c>
      <c r="S434" s="18"/>
      <c r="T434" s="18"/>
      <c r="U434" s="60">
        <f>SUM(U429:U433)</f>
        <v>1506177.012</v>
      </c>
      <c r="V434" s="306">
        <f>SUM(V429:V433)</f>
        <v>1</v>
      </c>
      <c r="W434" s="18"/>
      <c r="X434" s="63">
        <f>SUM(X429:X433)</f>
        <v>1642606.512</v>
      </c>
      <c r="Y434" s="63">
        <f>SUM(Y429:Y433)</f>
        <v>136429.5</v>
      </c>
      <c r="Z434" s="56"/>
      <c r="AA434" s="323">
        <f>SUM(AA429:AA433)</f>
        <v>1</v>
      </c>
      <c r="AB434" s="18"/>
    </row>
    <row r="435" spans="16:28" ht="12.75">
      <c r="P435" s="108"/>
      <c r="R435" s="57" t="s">
        <v>118</v>
      </c>
      <c r="S435" s="18"/>
      <c r="T435" s="18"/>
      <c r="U435" s="60">
        <v>285662.29</v>
      </c>
      <c r="V435" s="307"/>
      <c r="W435" s="18"/>
      <c r="X435" s="63">
        <f>U435</f>
        <v>285662.29</v>
      </c>
      <c r="Y435" s="175">
        <f>X435-U435</f>
        <v>0</v>
      </c>
      <c r="Z435" s="56"/>
      <c r="AA435" s="281"/>
      <c r="AB435" s="18"/>
    </row>
    <row r="436" spans="16:28" ht="12.75">
      <c r="P436" s="108"/>
      <c r="R436" s="57" t="s">
        <v>119</v>
      </c>
      <c r="S436" s="18"/>
      <c r="T436" s="18"/>
      <c r="U436" s="174">
        <v>130516.87</v>
      </c>
      <c r="V436" s="301"/>
      <c r="W436" s="18"/>
      <c r="X436" s="120">
        <f>U436</f>
        <v>130516.87</v>
      </c>
      <c r="Y436" s="177">
        <f>X436-U436</f>
        <v>0</v>
      </c>
      <c r="Z436" s="56"/>
      <c r="AA436" s="281"/>
      <c r="AB436" s="18"/>
    </row>
    <row r="437" spans="16:28" ht="12.75">
      <c r="P437" s="108"/>
      <c r="R437" s="57" t="s">
        <v>121</v>
      </c>
      <c r="S437" s="18"/>
      <c r="T437" s="18"/>
      <c r="U437" s="63">
        <f>U434+U435+U436</f>
        <v>1922356.1720000003</v>
      </c>
      <c r="V437" s="283"/>
      <c r="W437" s="18"/>
      <c r="X437" s="63">
        <f>X434+X435+X436</f>
        <v>2058785.6720000003</v>
      </c>
      <c r="Y437" s="63">
        <f>Y434+Y435+Y436</f>
        <v>136429.5</v>
      </c>
      <c r="Z437" s="56"/>
      <c r="AA437" s="281"/>
      <c r="AB437" s="18"/>
    </row>
    <row r="438" spans="16:28" ht="12.75">
      <c r="P438" s="108"/>
      <c r="R438" s="57"/>
      <c r="S438" s="18"/>
      <c r="T438" s="18"/>
      <c r="U438" s="18"/>
      <c r="V438" s="281"/>
      <c r="W438" s="18"/>
      <c r="X438" s="63"/>
      <c r="Y438" s="18"/>
      <c r="Z438" s="56"/>
      <c r="AA438" s="281"/>
      <c r="AB438" s="18"/>
    </row>
    <row r="439" spans="16:28" ht="12.75">
      <c r="P439" s="108"/>
      <c r="R439" s="57" t="s">
        <v>161</v>
      </c>
      <c r="S439" s="18"/>
      <c r="T439" s="18"/>
      <c r="U439" s="63">
        <f>U437/S429</f>
        <v>160196.3476666667</v>
      </c>
      <c r="V439" s="283"/>
      <c r="W439" s="18"/>
      <c r="X439" s="60">
        <f>X437/S429</f>
        <v>171565.4726666667</v>
      </c>
      <c r="Y439" s="60">
        <f>X439-U439</f>
        <v>11369.125</v>
      </c>
      <c r="Z439" s="56"/>
      <c r="AA439" s="281"/>
      <c r="AB439" s="18"/>
    </row>
    <row r="440" spans="16:28" ht="13.5" thickBot="1">
      <c r="P440" s="108"/>
      <c r="R440" s="64" t="s">
        <v>122</v>
      </c>
      <c r="S440" s="65"/>
      <c r="T440" s="65"/>
      <c r="U440" s="65"/>
      <c r="V440" s="308"/>
      <c r="W440" s="65"/>
      <c r="X440" s="65"/>
      <c r="Y440" s="147"/>
      <c r="Z440" s="124">
        <f>X437/U437-1</f>
        <v>0.07096993886312974</v>
      </c>
      <c r="AA440" s="282"/>
      <c r="AB440" s="18"/>
    </row>
    <row r="441" ht="13.5" thickBot="1">
      <c r="P441" s="108"/>
    </row>
    <row r="442" spans="16:41" ht="12.75">
      <c r="P442" s="108"/>
      <c r="R442" s="115" t="s">
        <v>81</v>
      </c>
      <c r="S442" s="53"/>
      <c r="T442" s="53"/>
      <c r="U442" s="53"/>
      <c r="V442" s="53"/>
      <c r="W442" s="53"/>
      <c r="X442" s="53"/>
      <c r="Y442" s="53"/>
      <c r="Z442" s="54"/>
      <c r="AA442" s="280"/>
      <c r="AB442" s="18"/>
      <c r="AH442" s="115" t="s">
        <v>81</v>
      </c>
      <c r="AI442" s="53"/>
      <c r="AJ442" s="53"/>
      <c r="AK442" s="53"/>
      <c r="AL442" s="53"/>
      <c r="AM442" s="53"/>
      <c r="AN442" s="53"/>
      <c r="AO442" s="54"/>
    </row>
    <row r="443" spans="16:41" ht="13.5" thickBot="1">
      <c r="P443" s="108"/>
      <c r="R443" s="55" t="s">
        <v>224</v>
      </c>
      <c r="S443" s="18"/>
      <c r="T443" s="18"/>
      <c r="U443" s="18"/>
      <c r="V443" s="18"/>
      <c r="W443" s="18"/>
      <c r="X443" s="18"/>
      <c r="Y443" s="18"/>
      <c r="Z443" s="119"/>
      <c r="AA443" s="283"/>
      <c r="AB443" s="63"/>
      <c r="AH443" s="55" t="s">
        <v>238</v>
      </c>
      <c r="AI443" s="18"/>
      <c r="AJ443" s="18"/>
      <c r="AK443" s="18"/>
      <c r="AL443" s="18"/>
      <c r="AM443" s="18"/>
      <c r="AN443" s="18"/>
      <c r="AO443" s="119"/>
    </row>
    <row r="444" spans="16:41" ht="12.75">
      <c r="P444" s="108"/>
      <c r="R444" s="57"/>
      <c r="S444" s="125" t="s">
        <v>91</v>
      </c>
      <c r="T444" s="334" t="s">
        <v>112</v>
      </c>
      <c r="U444" s="338"/>
      <c r="V444" s="290" t="s">
        <v>250</v>
      </c>
      <c r="W444" s="339" t="s">
        <v>83</v>
      </c>
      <c r="X444" s="337"/>
      <c r="Y444" s="144" t="s">
        <v>162</v>
      </c>
      <c r="Z444" s="154" t="s">
        <v>122</v>
      </c>
      <c r="AA444" s="290" t="s">
        <v>252</v>
      </c>
      <c r="AB444" s="145"/>
      <c r="AH444" s="57" t="s">
        <v>239</v>
      </c>
      <c r="AI444" s="125" t="s">
        <v>91</v>
      </c>
      <c r="AJ444" s="334" t="s">
        <v>112</v>
      </c>
      <c r="AK444" s="335"/>
      <c r="AL444" s="336" t="s">
        <v>83</v>
      </c>
      <c r="AM444" s="337"/>
      <c r="AN444" s="144" t="s">
        <v>162</v>
      </c>
      <c r="AO444" s="154" t="s">
        <v>122</v>
      </c>
    </row>
    <row r="445" spans="16:41" ht="12.75">
      <c r="P445" s="108"/>
      <c r="R445" s="57"/>
      <c r="S445" s="126" t="s">
        <v>113</v>
      </c>
      <c r="T445" s="129" t="s">
        <v>88</v>
      </c>
      <c r="U445" s="18" t="s">
        <v>100</v>
      </c>
      <c r="V445" s="277" t="s">
        <v>251</v>
      </c>
      <c r="W445" s="289" t="s">
        <v>88</v>
      </c>
      <c r="X445" s="133" t="s">
        <v>100</v>
      </c>
      <c r="Y445" s="145" t="s">
        <v>86</v>
      </c>
      <c r="Z445" s="155" t="s">
        <v>86</v>
      </c>
      <c r="AA445" s="277" t="s">
        <v>253</v>
      </c>
      <c r="AB445" s="145"/>
      <c r="AH445" s="57"/>
      <c r="AI445" s="126" t="s">
        <v>113</v>
      </c>
      <c r="AJ445" s="129" t="s">
        <v>88</v>
      </c>
      <c r="AK445" s="130" t="s">
        <v>100</v>
      </c>
      <c r="AL445" s="132" t="s">
        <v>88</v>
      </c>
      <c r="AM445" s="133" t="s">
        <v>100</v>
      </c>
      <c r="AN445" s="145" t="s">
        <v>86</v>
      </c>
      <c r="AO445" s="155" t="s">
        <v>86</v>
      </c>
    </row>
    <row r="446" spans="16:41" ht="13.5" thickBot="1">
      <c r="P446" s="108"/>
      <c r="R446" s="57"/>
      <c r="S446" s="127" t="s">
        <v>103</v>
      </c>
      <c r="T446" s="127" t="s">
        <v>104</v>
      </c>
      <c r="U446" s="288" t="s">
        <v>105</v>
      </c>
      <c r="V446" s="291" t="s">
        <v>254</v>
      </c>
      <c r="W446" s="146" t="s">
        <v>106</v>
      </c>
      <c r="X446" s="128" t="s">
        <v>107</v>
      </c>
      <c r="Y446" s="146" t="s">
        <v>108</v>
      </c>
      <c r="Z446" s="156" t="s">
        <v>163</v>
      </c>
      <c r="AA446" s="291" t="s">
        <v>254</v>
      </c>
      <c r="AB446" s="44"/>
      <c r="AH446" s="57"/>
      <c r="AI446" s="127" t="s">
        <v>103</v>
      </c>
      <c r="AJ446" s="127" t="s">
        <v>104</v>
      </c>
      <c r="AK446" s="131" t="s">
        <v>105</v>
      </c>
      <c r="AL446" s="134" t="s">
        <v>106</v>
      </c>
      <c r="AM446" s="128" t="s">
        <v>107</v>
      </c>
      <c r="AN446" s="146" t="s">
        <v>108</v>
      </c>
      <c r="AO446" s="156" t="s">
        <v>163</v>
      </c>
    </row>
    <row r="447" spans="16:41" ht="12.75">
      <c r="P447" s="108"/>
      <c r="R447" s="57" t="s">
        <v>114</v>
      </c>
      <c r="S447" s="58">
        <v>12</v>
      </c>
      <c r="T447" s="182">
        <v>1069</v>
      </c>
      <c r="U447" s="60">
        <f>S447*T447</f>
        <v>12828</v>
      </c>
      <c r="V447" s="292">
        <f>U447/$U$452</f>
        <v>0.007386252425704258</v>
      </c>
      <c r="W447" s="182">
        <f>T447</f>
        <v>1069</v>
      </c>
      <c r="X447" s="61">
        <f>W447*S447</f>
        <v>12828</v>
      </c>
      <c r="Y447" s="33">
        <f>X447-U447</f>
        <v>0</v>
      </c>
      <c r="Z447" s="56"/>
      <c r="AA447" s="292">
        <f>X447/$X$452</f>
        <v>0.006824452736358948</v>
      </c>
      <c r="AB447" s="18"/>
      <c r="AE447" s="19">
        <f>Y447</f>
        <v>0</v>
      </c>
      <c r="AH447" s="57" t="s">
        <v>114</v>
      </c>
      <c r="AI447" s="58">
        <f>S351+S370+S410+S429+S447</f>
        <v>60</v>
      </c>
      <c r="AJ447" s="182">
        <v>1069</v>
      </c>
      <c r="AK447" s="60">
        <f>AI447*AJ447</f>
        <v>64140</v>
      </c>
      <c r="AL447" s="182">
        <f>AJ447</f>
        <v>1069</v>
      </c>
      <c r="AM447" s="61">
        <f>AI447*AL447</f>
        <v>64140</v>
      </c>
      <c r="AN447" s="33">
        <f>AM447-AK447</f>
        <v>0</v>
      </c>
      <c r="AO447" s="56"/>
    </row>
    <row r="448" spans="16:41" ht="12.75">
      <c r="P448" s="108"/>
      <c r="R448" s="57" t="s">
        <v>153</v>
      </c>
      <c r="S448" s="25">
        <v>42588000</v>
      </c>
      <c r="T448" s="112">
        <v>0.03077</v>
      </c>
      <c r="U448" s="60">
        <f>S448*T448</f>
        <v>1310432.76</v>
      </c>
      <c r="V448" s="293">
        <f>U448/$U$452</f>
        <v>0.7545359488830937</v>
      </c>
      <c r="W448" s="62">
        <f>T448</f>
        <v>0.03077</v>
      </c>
      <c r="X448" s="61">
        <f>W448*S448</f>
        <v>1310432.76</v>
      </c>
      <c r="Y448" s="33">
        <f>X448-U448</f>
        <v>0</v>
      </c>
      <c r="Z448" s="56"/>
      <c r="AA448" s="293">
        <f>X448/$X$452</f>
        <v>0.697145808761803</v>
      </c>
      <c r="AB448" s="18"/>
      <c r="AH448" s="57" t="s">
        <v>153</v>
      </c>
      <c r="AI448" s="58">
        <f>S352+S371+S411+S430+S448</f>
        <v>157254000</v>
      </c>
      <c r="AJ448" s="112">
        <v>0.03077</v>
      </c>
      <c r="AK448" s="60">
        <f>AI448*AJ448</f>
        <v>4838705.58</v>
      </c>
      <c r="AL448" s="62">
        <f>AJ448</f>
        <v>0.03077</v>
      </c>
      <c r="AM448" s="61">
        <f>AL448*AI448</f>
        <v>4838705.58</v>
      </c>
      <c r="AN448" s="33">
        <f>AM448-AK448</f>
        <v>0</v>
      </c>
      <c r="AO448" s="56"/>
    </row>
    <row r="449" spans="16:41" ht="12.75">
      <c r="P449" s="108"/>
      <c r="R449" s="72" t="s">
        <v>154</v>
      </c>
      <c r="S449" s="78">
        <v>72000</v>
      </c>
      <c r="T449" s="20">
        <v>5.39</v>
      </c>
      <c r="U449" s="60">
        <f>S449*T449</f>
        <v>388080</v>
      </c>
      <c r="V449" s="293">
        <f>U449/$U$452</f>
        <v>0.2234531369946452</v>
      </c>
      <c r="W449" s="80">
        <v>7.29</v>
      </c>
      <c r="X449" s="61">
        <f>W449*S449</f>
        <v>524880</v>
      </c>
      <c r="Y449" s="33">
        <f>X449-U449</f>
        <v>136800</v>
      </c>
      <c r="Z449" s="56"/>
      <c r="AA449" s="293">
        <f>X449/$X$452</f>
        <v>0.2792343897926477</v>
      </c>
      <c r="AB449" s="18"/>
      <c r="AD449" s="19">
        <f>Y449</f>
        <v>136800</v>
      </c>
      <c r="AH449" s="72" t="s">
        <v>154</v>
      </c>
      <c r="AI449" s="58">
        <f>S353+S372+S412+S431+S449</f>
        <v>297600</v>
      </c>
      <c r="AJ449" s="20">
        <v>5.39</v>
      </c>
      <c r="AK449" s="60">
        <f>AI449*AJ449</f>
        <v>1604064</v>
      </c>
      <c r="AL449" s="80">
        <v>7.29</v>
      </c>
      <c r="AM449" s="61">
        <f>AL449*AI449</f>
        <v>2169504</v>
      </c>
      <c r="AN449" s="33">
        <f>AM449-AK449</f>
        <v>565440</v>
      </c>
      <c r="AO449" s="56"/>
    </row>
    <row r="450" spans="16:41" ht="12.75">
      <c r="P450" s="108"/>
      <c r="R450" s="57" t="s">
        <v>155</v>
      </c>
      <c r="S450" s="18">
        <v>3247.984</v>
      </c>
      <c r="T450" s="18">
        <v>7.82</v>
      </c>
      <c r="U450" s="60">
        <f>S450*T450</f>
        <v>25399.23488</v>
      </c>
      <c r="V450" s="293">
        <f>U450/$U$452</f>
        <v>0.014624661696556922</v>
      </c>
      <c r="W450" s="20">
        <v>9.72</v>
      </c>
      <c r="X450" s="61">
        <f>W450*S450</f>
        <v>31570.40448</v>
      </c>
      <c r="Y450" s="33">
        <f>X450-U450</f>
        <v>6171.169600000001</v>
      </c>
      <c r="Z450" s="56"/>
      <c r="AA450" s="293">
        <f>X450/$X$452</f>
        <v>0.016795348709190427</v>
      </c>
      <c r="AB450" s="18"/>
      <c r="AD450" s="19">
        <f>Y450</f>
        <v>6171.169600000001</v>
      </c>
      <c r="AH450" s="57" t="s">
        <v>155</v>
      </c>
      <c r="AI450" s="58">
        <f>S354+S373+S413+S432+S450</f>
        <v>8853.384</v>
      </c>
      <c r="AJ450" s="18">
        <v>7.82</v>
      </c>
      <c r="AK450" s="60">
        <f>AI450*AJ450</f>
        <v>69233.46288</v>
      </c>
      <c r="AL450" s="20">
        <v>9.72</v>
      </c>
      <c r="AM450" s="61">
        <f>AL450*AI450</f>
        <v>86054.89248000001</v>
      </c>
      <c r="AN450" s="33">
        <f>AM450-AK450</f>
        <v>16821.429600000003</v>
      </c>
      <c r="AO450" s="56"/>
    </row>
    <row r="451" spans="16:41" ht="13.5" thickBot="1">
      <c r="P451" s="108"/>
      <c r="R451" s="72" t="s">
        <v>116</v>
      </c>
      <c r="S451" s="18"/>
      <c r="T451" s="18"/>
      <c r="U451" s="174"/>
      <c r="V451" s="313"/>
      <c r="W451" s="60"/>
      <c r="X451" s="174">
        <f>U451</f>
        <v>0</v>
      </c>
      <c r="Y451" s="169">
        <f>X451-U451</f>
        <v>0</v>
      </c>
      <c r="Z451" s="56"/>
      <c r="AA451" s="316"/>
      <c r="AB451" s="18"/>
      <c r="AH451" s="72" t="s">
        <v>116</v>
      </c>
      <c r="AI451" s="18"/>
      <c r="AJ451" s="18"/>
      <c r="AK451" s="174"/>
      <c r="AL451" s="60"/>
      <c r="AM451" s="174">
        <f>AK451</f>
        <v>0</v>
      </c>
      <c r="AN451" s="169">
        <f>AM451-AK451</f>
        <v>0</v>
      </c>
      <c r="AO451" s="56"/>
    </row>
    <row r="452" spans="16:41" ht="13.5" thickBot="1">
      <c r="P452" s="108"/>
      <c r="R452" s="57" t="s">
        <v>117</v>
      </c>
      <c r="S452" s="18"/>
      <c r="T452" s="18"/>
      <c r="U452" s="60">
        <f>SUM(U447:U451)</f>
        <v>1736739.99488</v>
      </c>
      <c r="V452" s="306">
        <f>SUM(V447:V451)</f>
        <v>1</v>
      </c>
      <c r="W452" s="18"/>
      <c r="X452" s="63">
        <f>SUM(X447:X451)</f>
        <v>1879711.16448</v>
      </c>
      <c r="Y452" s="63">
        <f>SUM(Y447:Y451)</f>
        <v>142971.1696</v>
      </c>
      <c r="Z452" s="56"/>
      <c r="AA452" s="323">
        <f>SUM(AA447:AA451)</f>
        <v>1</v>
      </c>
      <c r="AB452" s="18"/>
      <c r="AH452" s="57" t="s">
        <v>117</v>
      </c>
      <c r="AI452" s="18"/>
      <c r="AJ452" s="18"/>
      <c r="AK452" s="60">
        <f>SUM(AK447:AK451)</f>
        <v>6576143.042880001</v>
      </c>
      <c r="AL452" s="18"/>
      <c r="AM452" s="63">
        <f>SUM(AM447:AM451)</f>
        <v>7158404.47248</v>
      </c>
      <c r="AN452" s="63">
        <f>SUM(AN447:AN451)</f>
        <v>582261.4296</v>
      </c>
      <c r="AO452" s="56"/>
    </row>
    <row r="453" spans="16:41" ht="12.75">
      <c r="P453" s="108"/>
      <c r="R453" s="57" t="s">
        <v>118</v>
      </c>
      <c r="S453" s="18"/>
      <c r="T453" s="18"/>
      <c r="U453" s="60">
        <v>349035.91</v>
      </c>
      <c r="V453" s="301"/>
      <c r="W453" s="18"/>
      <c r="X453" s="63">
        <f>U453</f>
        <v>349035.91</v>
      </c>
      <c r="Y453" s="175">
        <f>X453-U453</f>
        <v>0</v>
      </c>
      <c r="Z453" s="56"/>
      <c r="AA453" s="281"/>
      <c r="AB453" s="18"/>
      <c r="AH453" s="57" t="s">
        <v>118</v>
      </c>
      <c r="AI453" s="18"/>
      <c r="AJ453" s="18"/>
      <c r="AK453" s="60">
        <f>U357+U376+U416+U435+U453</f>
        <v>1274788.2</v>
      </c>
      <c r="AL453" s="18"/>
      <c r="AM453" s="63">
        <f>AK453</f>
        <v>1274788.2</v>
      </c>
      <c r="AN453" s="175">
        <f>AM453-AK453</f>
        <v>0</v>
      </c>
      <c r="AO453" s="56"/>
    </row>
    <row r="454" spans="16:41" ht="12.75">
      <c r="P454" s="108"/>
      <c r="R454" s="57" t="s">
        <v>119</v>
      </c>
      <c r="S454" s="18"/>
      <c r="T454" s="18"/>
      <c r="U454" s="174">
        <v>150224.39</v>
      </c>
      <c r="V454" s="301"/>
      <c r="W454" s="18"/>
      <c r="X454" s="120">
        <f>U454</f>
        <v>150224.39</v>
      </c>
      <c r="Y454" s="177">
        <f>X454-U454</f>
        <v>0</v>
      </c>
      <c r="Z454" s="56"/>
      <c r="AA454" s="281"/>
      <c r="AB454" s="18"/>
      <c r="AH454" s="57" t="s">
        <v>119</v>
      </c>
      <c r="AI454" s="18"/>
      <c r="AJ454" s="18"/>
      <c r="AK454" s="174">
        <f>U358+U377+U417+U436+U454</f>
        <v>589313.56</v>
      </c>
      <c r="AL454" s="18"/>
      <c r="AM454" s="120">
        <f>AK454</f>
        <v>589313.56</v>
      </c>
      <c r="AN454" s="177">
        <f>AM454-AK454</f>
        <v>0</v>
      </c>
      <c r="AO454" s="56"/>
    </row>
    <row r="455" spans="16:41" ht="12.75">
      <c r="P455" s="108"/>
      <c r="R455" s="57" t="s">
        <v>121</v>
      </c>
      <c r="S455" s="18"/>
      <c r="T455" s="18"/>
      <c r="U455" s="63">
        <f>U452+U453+U454</f>
        <v>2236000.29488</v>
      </c>
      <c r="V455" s="283"/>
      <c r="W455" s="18"/>
      <c r="X455" s="63">
        <f>X452+X453+X454</f>
        <v>2378971.46448</v>
      </c>
      <c r="Y455" s="63">
        <f>Y452+Y453+Y454</f>
        <v>142971.1696</v>
      </c>
      <c r="Z455" s="56"/>
      <c r="AA455" s="281"/>
      <c r="AB455" s="18"/>
      <c r="AH455" s="57" t="s">
        <v>121</v>
      </c>
      <c r="AI455" s="18"/>
      <c r="AJ455" s="18"/>
      <c r="AK455" s="63">
        <f>AK452+AK453+AK454</f>
        <v>8440244.80288</v>
      </c>
      <c r="AL455" s="18"/>
      <c r="AM455" s="63">
        <f>AM452+AM453+AM454</f>
        <v>9022506.23248</v>
      </c>
      <c r="AN455" s="63">
        <f>AN452+AN453+AN454</f>
        <v>582261.4296</v>
      </c>
      <c r="AO455" s="56"/>
    </row>
    <row r="456" spans="16:41" ht="12.75">
      <c r="P456" s="108"/>
      <c r="R456" s="57"/>
      <c r="S456" s="18"/>
      <c r="T456" s="18"/>
      <c r="U456" s="18"/>
      <c r="V456" s="281"/>
      <c r="W456" s="18"/>
      <c r="X456" s="63"/>
      <c r="Y456" s="18"/>
      <c r="Z456" s="56"/>
      <c r="AA456" s="281"/>
      <c r="AB456" s="18"/>
      <c r="AH456" s="57"/>
      <c r="AI456" s="18"/>
      <c r="AJ456" s="18"/>
      <c r="AK456" s="18"/>
      <c r="AL456" s="18"/>
      <c r="AM456" s="63"/>
      <c r="AN456" s="18"/>
      <c r="AO456" s="56"/>
    </row>
    <row r="457" spans="16:41" ht="12.75">
      <c r="P457" s="108"/>
      <c r="R457" s="57" t="s">
        <v>161</v>
      </c>
      <c r="S457" s="18"/>
      <c r="T457" s="18"/>
      <c r="U457" s="63">
        <f>U455/S447</f>
        <v>186333.35790666667</v>
      </c>
      <c r="V457" s="283"/>
      <c r="W457" s="18"/>
      <c r="X457" s="60">
        <f>X455/S447</f>
        <v>198247.62204000002</v>
      </c>
      <c r="Y457" s="60">
        <f>X457-U457</f>
        <v>11914.264133333345</v>
      </c>
      <c r="Z457" s="56"/>
      <c r="AA457" s="281"/>
      <c r="AB457" s="18"/>
      <c r="AH457" s="57" t="s">
        <v>161</v>
      </c>
      <c r="AI457" s="18"/>
      <c r="AJ457" s="18"/>
      <c r="AK457" s="63">
        <f>AK455/AI447</f>
        <v>140670.74671466666</v>
      </c>
      <c r="AL457" s="18"/>
      <c r="AM457" s="60">
        <f>AM455/AI447</f>
        <v>150375.10387466667</v>
      </c>
      <c r="AN457" s="60">
        <f>AM457-AK457</f>
        <v>9704.357160000014</v>
      </c>
      <c r="AO457" s="56"/>
    </row>
    <row r="458" spans="16:41" ht="13.5" thickBot="1">
      <c r="P458" s="108"/>
      <c r="R458" s="64" t="s">
        <v>122</v>
      </c>
      <c r="S458" s="65"/>
      <c r="T458" s="65"/>
      <c r="U458" s="65"/>
      <c r="V458" s="308"/>
      <c r="W458" s="65"/>
      <c r="X458" s="65"/>
      <c r="Y458" s="147">
        <f>X455/U455-1</f>
        <v>0.0639405862008946</v>
      </c>
      <c r="Z458" s="124">
        <f>X455/U455-1</f>
        <v>0.0639405862008946</v>
      </c>
      <c r="AA458" s="282"/>
      <c r="AB458" s="18"/>
      <c r="AH458" s="64" t="s">
        <v>122</v>
      </c>
      <c r="AI458" s="65"/>
      <c r="AJ458" s="65"/>
      <c r="AK458" s="65"/>
      <c r="AL458" s="65"/>
      <c r="AM458" s="65"/>
      <c r="AN458" s="147">
        <f>AM455/AK455-1</f>
        <v>0.06898632008888184</v>
      </c>
      <c r="AO458" s="124">
        <f>AM455/AK455-1</f>
        <v>0.06898632008888184</v>
      </c>
    </row>
    <row r="459" ht="13.5" thickBot="1">
      <c r="P459" s="108"/>
    </row>
    <row r="460" spans="16:28" ht="12.75">
      <c r="P460" s="108"/>
      <c r="R460" s="115" t="s">
        <v>81</v>
      </c>
      <c r="S460" s="53"/>
      <c r="T460" s="53"/>
      <c r="U460" s="53"/>
      <c r="V460" s="53"/>
      <c r="W460" s="53"/>
      <c r="X460" s="53"/>
      <c r="Y460" s="53"/>
      <c r="Z460" s="164"/>
      <c r="AA460" s="284"/>
      <c r="AB460" s="63"/>
    </row>
    <row r="461" spans="16:28" ht="13.5" thickBot="1">
      <c r="P461" s="108"/>
      <c r="R461" s="55" t="s">
        <v>225</v>
      </c>
      <c r="S461" s="18"/>
      <c r="T461" s="18"/>
      <c r="U461" s="18"/>
      <c r="V461" s="18"/>
      <c r="W461" s="18"/>
      <c r="X461" s="18"/>
      <c r="Y461" s="18"/>
      <c r="Z461" s="56"/>
      <c r="AA461" s="281"/>
      <c r="AB461" s="18"/>
    </row>
    <row r="462" spans="16:28" ht="12.75">
      <c r="P462" s="108"/>
      <c r="R462" s="57" t="s">
        <v>191</v>
      </c>
      <c r="S462" s="125" t="s">
        <v>91</v>
      </c>
      <c r="T462" s="334" t="s">
        <v>112</v>
      </c>
      <c r="U462" s="338"/>
      <c r="V462" s="290" t="s">
        <v>250</v>
      </c>
      <c r="W462" s="339" t="s">
        <v>83</v>
      </c>
      <c r="X462" s="337"/>
      <c r="Y462" s="144" t="s">
        <v>162</v>
      </c>
      <c r="Z462" s="154" t="s">
        <v>122</v>
      </c>
      <c r="AA462" s="290" t="s">
        <v>252</v>
      </c>
      <c r="AB462" s="145"/>
    </row>
    <row r="463" spans="16:28" ht="12.75">
      <c r="P463" s="108"/>
      <c r="R463" s="57"/>
      <c r="S463" s="126" t="s">
        <v>113</v>
      </c>
      <c r="T463" s="129" t="s">
        <v>88</v>
      </c>
      <c r="U463" s="18" t="s">
        <v>100</v>
      </c>
      <c r="V463" s="277" t="s">
        <v>251</v>
      </c>
      <c r="W463" s="289" t="s">
        <v>88</v>
      </c>
      <c r="X463" s="133" t="s">
        <v>100</v>
      </c>
      <c r="Y463" s="145" t="s">
        <v>86</v>
      </c>
      <c r="Z463" s="155" t="s">
        <v>86</v>
      </c>
      <c r="AA463" s="277" t="s">
        <v>253</v>
      </c>
      <c r="AB463" s="145"/>
    </row>
    <row r="464" spans="16:28" ht="13.5" thickBot="1">
      <c r="P464" s="108"/>
      <c r="R464" s="57"/>
      <c r="S464" s="127" t="s">
        <v>103</v>
      </c>
      <c r="T464" s="127" t="s">
        <v>104</v>
      </c>
      <c r="U464" s="288" t="s">
        <v>105</v>
      </c>
      <c r="V464" s="291" t="s">
        <v>254</v>
      </c>
      <c r="W464" s="146" t="s">
        <v>106</v>
      </c>
      <c r="X464" s="128" t="s">
        <v>107</v>
      </c>
      <c r="Y464" s="146" t="s">
        <v>108</v>
      </c>
      <c r="Z464" s="156" t="s">
        <v>163</v>
      </c>
      <c r="AA464" s="291" t="s">
        <v>254</v>
      </c>
      <c r="AB464" s="44"/>
    </row>
    <row r="465" spans="16:31" ht="12.75">
      <c r="P465" s="108"/>
      <c r="R465" s="57" t="s">
        <v>114</v>
      </c>
      <c r="S465" s="58">
        <v>12</v>
      </c>
      <c r="T465" s="182">
        <v>2373</v>
      </c>
      <c r="U465" s="60">
        <f>S465*T465</f>
        <v>28476</v>
      </c>
      <c r="V465" s="292">
        <f>U465/$U$470</f>
        <v>0.011557647082148197</v>
      </c>
      <c r="W465" s="182">
        <f>T465</f>
        <v>2373</v>
      </c>
      <c r="X465" s="61">
        <f>W465*S465</f>
        <v>28476</v>
      </c>
      <c r="Y465" s="33">
        <f>X465-U465</f>
        <v>0</v>
      </c>
      <c r="Z465" s="56"/>
      <c r="AA465" s="293">
        <f>X465/$X$470</f>
        <v>0.01075302748899537</v>
      </c>
      <c r="AB465" s="18"/>
      <c r="AE465" s="19">
        <f>+Y465</f>
        <v>0</v>
      </c>
    </row>
    <row r="466" spans="16:28" ht="12.75">
      <c r="P466" s="108"/>
      <c r="R466" s="57" t="s">
        <v>156</v>
      </c>
      <c r="S466" s="25">
        <v>41238678</v>
      </c>
      <c r="T466" s="112">
        <v>0.03735</v>
      </c>
      <c r="U466" s="60">
        <f>S466*T466</f>
        <v>1540264.6233</v>
      </c>
      <c r="V466" s="293">
        <f>U466/$U$470</f>
        <v>0.6251522309741304</v>
      </c>
      <c r="W466" s="62">
        <f>T466</f>
        <v>0.03735</v>
      </c>
      <c r="X466" s="61">
        <f>W466*S466</f>
        <v>1540264.6233</v>
      </c>
      <c r="Y466" s="33">
        <f>X466-U466</f>
        <v>0</v>
      </c>
      <c r="Z466" s="56"/>
      <c r="AA466" s="293">
        <f>X466/$X$470</f>
        <v>0.5816304198157044</v>
      </c>
      <c r="AB466" s="18"/>
    </row>
    <row r="467" spans="16:28" ht="12.75">
      <c r="P467" s="108"/>
      <c r="R467" s="72" t="s">
        <v>157</v>
      </c>
      <c r="S467" s="25">
        <v>12473322</v>
      </c>
      <c r="T467" s="113">
        <v>0.02983</v>
      </c>
      <c r="U467" s="60">
        <f>S467*T467</f>
        <v>372079.19526</v>
      </c>
      <c r="V467" s="293">
        <f>U467/$U$470</f>
        <v>0.15101699766205887</v>
      </c>
      <c r="W467" s="112">
        <f>T467</f>
        <v>0.02983</v>
      </c>
      <c r="X467" s="61">
        <f>W467*S467</f>
        <v>372079.19526</v>
      </c>
      <c r="Y467" s="33">
        <f>X467-U467</f>
        <v>0</v>
      </c>
      <c r="Z467" s="56"/>
      <c r="AA467" s="293">
        <f>X467/$X$470</f>
        <v>0.1405035052224349</v>
      </c>
      <c r="AB467" s="18"/>
    </row>
    <row r="468" spans="16:30" ht="12.75">
      <c r="P468" s="108"/>
      <c r="R468" s="57" t="s">
        <v>158</v>
      </c>
      <c r="S468" s="78">
        <v>97032.183</v>
      </c>
      <c r="T468" s="20">
        <v>5.39</v>
      </c>
      <c r="U468" s="60">
        <f>S468*T468</f>
        <v>523003.46637</v>
      </c>
      <c r="V468" s="293">
        <f>U468/$U$470</f>
        <v>0.21227312428166253</v>
      </c>
      <c r="W468" s="80">
        <v>7.29</v>
      </c>
      <c r="X468" s="61">
        <f>W468*S468</f>
        <v>707364.61407</v>
      </c>
      <c r="Y468" s="33">
        <f>X468-U468</f>
        <v>184361.14770000003</v>
      </c>
      <c r="Z468" s="56"/>
      <c r="AA468" s="293">
        <f>X468/$X$470</f>
        <v>0.2671130474728653</v>
      </c>
      <c r="AB468" s="18"/>
      <c r="AD468" s="19">
        <f>Y468</f>
        <v>184361.14770000003</v>
      </c>
    </row>
    <row r="469" spans="16:28" ht="13.5" thickBot="1">
      <c r="P469" s="108"/>
      <c r="R469" s="72" t="s">
        <v>116</v>
      </c>
      <c r="S469" s="18"/>
      <c r="T469" s="18"/>
      <c r="U469" s="187"/>
      <c r="V469" s="312"/>
      <c r="W469" s="60"/>
      <c r="X469" s="174">
        <f>U469</f>
        <v>0</v>
      </c>
      <c r="Y469" s="169">
        <f>X469-U469</f>
        <v>0</v>
      </c>
      <c r="Z469" s="56"/>
      <c r="AA469" s="281"/>
      <c r="AB469" s="18"/>
    </row>
    <row r="470" spans="16:28" ht="13.5" thickBot="1">
      <c r="P470" s="108"/>
      <c r="R470" s="57" t="s">
        <v>117</v>
      </c>
      <c r="S470" s="18"/>
      <c r="T470" s="18"/>
      <c r="U470" s="60">
        <f>SUM(U465:U469)</f>
        <v>2463823.28493</v>
      </c>
      <c r="V470" s="306">
        <f>SUM(V465:V469)</f>
        <v>1</v>
      </c>
      <c r="W470" s="18"/>
      <c r="X470" s="63">
        <f>SUM(X465:X469)</f>
        <v>2648184.43263</v>
      </c>
      <c r="Y470" s="63">
        <f>SUM(Y465:Y469)</f>
        <v>184361.14770000003</v>
      </c>
      <c r="Z470" s="56"/>
      <c r="AA470" s="323">
        <f>SUM(AA465:AA469)</f>
        <v>1</v>
      </c>
      <c r="AB470" s="18"/>
    </row>
    <row r="471" spans="16:28" ht="12.75">
      <c r="P471" s="108"/>
      <c r="R471" s="57" t="s">
        <v>118</v>
      </c>
      <c r="S471" s="18"/>
      <c r="T471" s="18"/>
      <c r="U471" s="60">
        <v>434809.83</v>
      </c>
      <c r="V471" s="307"/>
      <c r="W471" s="18"/>
      <c r="X471" s="63">
        <f>U471</f>
        <v>434809.83</v>
      </c>
      <c r="Y471" s="175">
        <f>X471-U471</f>
        <v>0</v>
      </c>
      <c r="Z471" s="56"/>
      <c r="AA471" s="281"/>
      <c r="AB471" s="18"/>
    </row>
    <row r="472" spans="16:28" ht="12.75">
      <c r="P472" s="108"/>
      <c r="R472" s="57" t="s">
        <v>119</v>
      </c>
      <c r="S472" s="18"/>
      <c r="T472" s="18"/>
      <c r="U472" s="174">
        <v>213594.44</v>
      </c>
      <c r="V472" s="301"/>
      <c r="W472" s="18"/>
      <c r="X472" s="120">
        <f>U472</f>
        <v>213594.44</v>
      </c>
      <c r="Y472" s="177">
        <f>X472-U472</f>
        <v>0</v>
      </c>
      <c r="Z472" s="56"/>
      <c r="AA472" s="281"/>
      <c r="AB472" s="18"/>
    </row>
    <row r="473" spans="16:28" ht="12.75">
      <c r="P473" s="108"/>
      <c r="R473" s="57" t="s">
        <v>121</v>
      </c>
      <c r="S473" s="18"/>
      <c r="T473" s="18"/>
      <c r="U473" s="63">
        <f>U470+U471+U472</f>
        <v>3112227.55493</v>
      </c>
      <c r="V473" s="283"/>
      <c r="W473" s="18"/>
      <c r="X473" s="139">
        <f>X472+X471+X470</f>
        <v>3296588.70263</v>
      </c>
      <c r="Y473" s="139">
        <f>Y472+Y471+Y470</f>
        <v>184361.14770000003</v>
      </c>
      <c r="Z473" s="56"/>
      <c r="AA473" s="281"/>
      <c r="AB473" s="18"/>
    </row>
    <row r="474" spans="16:28" ht="12.75">
      <c r="P474" s="108"/>
      <c r="R474" s="57"/>
      <c r="S474" s="18"/>
      <c r="T474" s="18"/>
      <c r="U474" s="18"/>
      <c r="V474" s="281"/>
      <c r="W474" s="18"/>
      <c r="X474" s="63"/>
      <c r="Y474" s="18"/>
      <c r="Z474" s="56"/>
      <c r="AA474" s="281"/>
      <c r="AB474" s="18"/>
    </row>
    <row r="475" spans="16:28" ht="12.75">
      <c r="P475" s="108"/>
      <c r="R475" s="57" t="s">
        <v>161</v>
      </c>
      <c r="S475" s="18"/>
      <c r="T475" s="18"/>
      <c r="U475" s="63">
        <f>U473/S465</f>
        <v>259352.29624416668</v>
      </c>
      <c r="V475" s="283"/>
      <c r="W475" s="18"/>
      <c r="X475" s="60">
        <f>X473/S465</f>
        <v>274715.72521916666</v>
      </c>
      <c r="Y475" s="60">
        <f>X475-U475</f>
        <v>15363.428974999988</v>
      </c>
      <c r="Z475" s="56"/>
      <c r="AA475" s="281"/>
      <c r="AB475" s="18"/>
    </row>
    <row r="476" spans="16:28" ht="13.5" thickBot="1">
      <c r="P476" s="108"/>
      <c r="R476" s="123" t="s">
        <v>122</v>
      </c>
      <c r="S476" s="65"/>
      <c r="T476" s="65"/>
      <c r="U476" s="65"/>
      <c r="V476" s="308"/>
      <c r="W476" s="65"/>
      <c r="X476" s="65"/>
      <c r="Y476" s="65"/>
      <c r="Z476" s="170">
        <f>X473/U473-1</f>
        <v>0.059237682478570086</v>
      </c>
      <c r="AA476" s="279"/>
      <c r="AB476" s="163"/>
    </row>
    <row r="477" ht="12.75">
      <c r="P477" s="108"/>
    </row>
    <row r="478" spans="16:29" ht="12.75">
      <c r="P478" s="108"/>
      <c r="AC478" s="26" t="s">
        <v>164</v>
      </c>
    </row>
    <row r="479" spans="16:32" ht="12.75">
      <c r="P479" s="108"/>
      <c r="AC479" s="165" t="s">
        <v>84</v>
      </c>
      <c r="AD479" s="171" t="s">
        <v>158</v>
      </c>
      <c r="AE479" s="172" t="s">
        <v>165</v>
      </c>
      <c r="AF479" s="173" t="s">
        <v>166</v>
      </c>
    </row>
    <row r="480" spans="16:29" ht="12.75">
      <c r="P480" s="108"/>
      <c r="Y480" t="s">
        <v>232</v>
      </c>
      <c r="Z480" t="s">
        <v>172</v>
      </c>
      <c r="AC480" s="3">
        <f>SUM(AC11:AC467)</f>
        <v>922784523</v>
      </c>
    </row>
    <row r="481" spans="16:29" ht="12.75">
      <c r="P481" s="108"/>
      <c r="Y481" t="s">
        <v>232</v>
      </c>
      <c r="Z481" t="s">
        <v>173</v>
      </c>
      <c r="AC481" s="168">
        <f>'Request 3a (2)'!X36</f>
        <v>9737065</v>
      </c>
    </row>
    <row r="482" spans="16:29" ht="12.75">
      <c r="P482" s="108"/>
      <c r="Y482" t="s">
        <v>175</v>
      </c>
      <c r="Z482" t="s">
        <v>233</v>
      </c>
      <c r="AC482" s="3">
        <f>AC480+AC481</f>
        <v>932521588</v>
      </c>
    </row>
    <row r="483" ht="12.75">
      <c r="P483" s="108"/>
    </row>
    <row r="484" spans="16:29" ht="12.75">
      <c r="P484" s="108"/>
      <c r="Z484" s="185" t="s">
        <v>167</v>
      </c>
      <c r="AA484" s="185"/>
      <c r="AC484" s="19">
        <v>4432394</v>
      </c>
    </row>
    <row r="485" spans="16:27" ht="12.75">
      <c r="P485" s="108"/>
      <c r="Z485" s="185"/>
      <c r="AA485" s="185"/>
    </row>
    <row r="486" spans="16:30" ht="12.75">
      <c r="P486" s="108"/>
      <c r="Z486" s="185" t="s">
        <v>230</v>
      </c>
      <c r="AA486" s="185"/>
      <c r="AD486" s="183">
        <f>SUM(AD10:AD476)</f>
        <v>833761.7145</v>
      </c>
    </row>
    <row r="487" spans="16:27" ht="12.75">
      <c r="P487" s="108"/>
      <c r="Z487" s="185"/>
      <c r="AA487" s="185"/>
    </row>
    <row r="488" spans="16:31" ht="12.75">
      <c r="P488" s="108"/>
      <c r="Z488" s="185" t="s">
        <v>168</v>
      </c>
      <c r="AA488" s="185"/>
      <c r="AE488" s="184">
        <f>SUM(AE10:AE476)</f>
        <v>0</v>
      </c>
    </row>
    <row r="489" spans="16:27" ht="12.75">
      <c r="P489" s="108"/>
      <c r="Z489" s="185"/>
      <c r="AA489" s="185"/>
    </row>
    <row r="490" spans="16:30" ht="12.75">
      <c r="P490" s="108"/>
      <c r="Z490" s="185" t="s">
        <v>231</v>
      </c>
      <c r="AA490" s="185"/>
      <c r="AD490" s="19">
        <f>AC484-AD486</f>
        <v>3598632.2855</v>
      </c>
    </row>
    <row r="491" ht="12.75">
      <c r="P491" s="108"/>
    </row>
    <row r="492" spans="16:31" ht="12.75">
      <c r="P492" s="108"/>
      <c r="Z492" s="185" t="s">
        <v>169</v>
      </c>
      <c r="AA492" s="185"/>
      <c r="AE492" s="19">
        <f>AD490-AE488</f>
        <v>3598632.2855</v>
      </c>
    </row>
    <row r="493" spans="16:27" ht="12.75">
      <c r="P493" s="108"/>
      <c r="Z493" s="185" t="s">
        <v>170</v>
      </c>
      <c r="AA493" s="185"/>
    </row>
    <row r="494" ht="12.75">
      <c r="P494" s="108"/>
    </row>
    <row r="495" spans="16:32" ht="12.75">
      <c r="P495" s="108"/>
      <c r="Z495" s="185" t="s">
        <v>171</v>
      </c>
      <c r="AA495" s="185"/>
      <c r="AF495" s="237">
        <f>AE492/AC482</f>
        <v>0.003859033755152058</v>
      </c>
    </row>
    <row r="496" spans="16:27" ht="12.75">
      <c r="P496" s="108"/>
      <c r="Z496" s="185" t="s">
        <v>228</v>
      </c>
      <c r="AA496" s="185"/>
    </row>
    <row r="497" ht="12.75">
      <c r="P497" s="108"/>
    </row>
    <row r="498" spans="16:25" ht="12.75">
      <c r="P498" s="108"/>
      <c r="R498" s="185" t="s">
        <v>174</v>
      </c>
      <c r="Y498" s="19">
        <f>AC484</f>
        <v>4432394</v>
      </c>
    </row>
    <row r="499" spans="16:25" ht="12.75">
      <c r="P499" s="108"/>
      <c r="R499" s="185" t="s">
        <v>178</v>
      </c>
      <c r="Y499" s="19">
        <f>Y17+Y33+Y49+Y66+Y83+Y101+Y119+Y138+Y157+Y178+Y197+Y216+Y238+Y263+Y283+Y302+Y320+Y340+Y359+Y378+Y397+Y418+Y437+Y455+Y473</f>
        <v>4394818.598780318</v>
      </c>
    </row>
    <row r="500" spans="16:25" ht="12.75">
      <c r="P500" s="108"/>
      <c r="R500" s="185" t="s">
        <v>179</v>
      </c>
      <c r="Y500" s="169">
        <f>'Request 3a (2)'!AA36</f>
        <v>37575.66251110968</v>
      </c>
    </row>
    <row r="501" spans="16:25" ht="12.75">
      <c r="P501" s="108"/>
      <c r="R501" s="185" t="s">
        <v>180</v>
      </c>
      <c r="Y501" s="19">
        <f>Y498-Y499-Y500</f>
        <v>-0.2612914278433891</v>
      </c>
    </row>
    <row r="502" ht="12.75">
      <c r="P502" s="108"/>
    </row>
    <row r="503" ht="12.75">
      <c r="P503" s="108"/>
    </row>
    <row r="504" ht="12.75">
      <c r="P504" s="108"/>
    </row>
    <row r="505" ht="12.75">
      <c r="P505" s="108"/>
    </row>
    <row r="506" ht="12.75">
      <c r="P506" s="108"/>
    </row>
    <row r="507" ht="12.75">
      <c r="P507" s="108"/>
    </row>
    <row r="508" ht="12.75">
      <c r="P508" s="108"/>
    </row>
    <row r="509" ht="12.75">
      <c r="P509" s="108"/>
    </row>
    <row r="510" ht="12.75">
      <c r="P510" s="108"/>
    </row>
    <row r="511" ht="12.75">
      <c r="P511" s="108"/>
    </row>
    <row r="512" ht="12.75">
      <c r="P512" s="108"/>
    </row>
    <row r="513" ht="12.75">
      <c r="P513" s="108"/>
    </row>
    <row r="514" ht="12.75">
      <c r="P514" s="108"/>
    </row>
    <row r="515" ht="12.75">
      <c r="P515" s="108"/>
    </row>
    <row r="516" ht="12.75">
      <c r="P516" s="108"/>
    </row>
    <row r="517" ht="12.75">
      <c r="P517" s="108"/>
    </row>
    <row r="518" ht="12.75">
      <c r="P518" s="108"/>
    </row>
    <row r="519" ht="12.75">
      <c r="P519" s="108"/>
    </row>
    <row r="520" ht="12.75">
      <c r="P520" s="108"/>
    </row>
    <row r="521" ht="12.75">
      <c r="P521" s="108"/>
    </row>
    <row r="522" ht="12.75">
      <c r="P522" s="108"/>
    </row>
    <row r="523" ht="12.75">
      <c r="P523" s="108"/>
    </row>
    <row r="524" ht="12.75">
      <c r="P524" s="108"/>
    </row>
    <row r="525" ht="12.75">
      <c r="P525" s="108"/>
    </row>
    <row r="526" ht="12.75">
      <c r="P526" s="108"/>
    </row>
    <row r="527" ht="12.75">
      <c r="P527" s="108"/>
    </row>
    <row r="528" ht="12.75">
      <c r="P528" s="108"/>
    </row>
    <row r="529" ht="12.75">
      <c r="P529" s="108"/>
    </row>
    <row r="530" ht="12.75">
      <c r="P530" s="108"/>
    </row>
    <row r="531" ht="12.75">
      <c r="P531" s="108"/>
    </row>
    <row r="532" ht="12.75">
      <c r="P532" s="108"/>
    </row>
    <row r="533" ht="12.75">
      <c r="P533" s="108"/>
    </row>
    <row r="534" ht="12.75">
      <c r="P534" s="108"/>
    </row>
    <row r="535" ht="12.75">
      <c r="P535" s="108"/>
    </row>
    <row r="536" ht="12.75">
      <c r="P536" s="108"/>
    </row>
    <row r="537" ht="12.75">
      <c r="P537" s="108"/>
    </row>
    <row r="538" ht="12.75">
      <c r="P538" s="108"/>
    </row>
    <row r="539" ht="12.75">
      <c r="P539" s="108"/>
    </row>
    <row r="540" ht="12.75">
      <c r="P540" s="108"/>
    </row>
    <row r="541" ht="12.75">
      <c r="P541" s="108"/>
    </row>
    <row r="542" ht="12.75">
      <c r="P542" s="108"/>
    </row>
    <row r="543" ht="12.75">
      <c r="P543" s="108"/>
    </row>
    <row r="544" ht="12.75">
      <c r="P544" s="108"/>
    </row>
    <row r="545" ht="12.75">
      <c r="P545" s="108"/>
    </row>
    <row r="546" ht="12.75">
      <c r="P546" s="108"/>
    </row>
    <row r="547" ht="12.75">
      <c r="P547" s="108"/>
    </row>
    <row r="548" ht="12.75">
      <c r="P548" s="108"/>
    </row>
    <row r="549" ht="12.75">
      <c r="P549" s="108"/>
    </row>
    <row r="550" ht="12.75">
      <c r="P550" s="108"/>
    </row>
    <row r="551" ht="12.75">
      <c r="P551" s="108"/>
    </row>
    <row r="552" ht="12.75">
      <c r="P552" s="108"/>
    </row>
    <row r="553" ht="12.75">
      <c r="P553" s="108"/>
    </row>
    <row r="554" ht="12.75">
      <c r="P554" s="108"/>
    </row>
    <row r="555" ht="12.75">
      <c r="P555" s="108"/>
    </row>
    <row r="556" ht="12.75">
      <c r="P556" s="108"/>
    </row>
    <row r="557" ht="12.75">
      <c r="P557" s="108"/>
    </row>
    <row r="558" ht="12.75">
      <c r="P558" s="108"/>
    </row>
    <row r="559" ht="12.75">
      <c r="P559" s="108"/>
    </row>
    <row r="560" ht="12.75">
      <c r="P560" s="108"/>
    </row>
    <row r="561" ht="12.75">
      <c r="P561" s="108"/>
    </row>
    <row r="562" ht="12.75">
      <c r="P562" s="108"/>
    </row>
    <row r="563" ht="12.75">
      <c r="P563" s="108"/>
    </row>
    <row r="564" ht="12.75">
      <c r="P564" s="108"/>
    </row>
    <row r="565" ht="12.75">
      <c r="P565" s="108"/>
    </row>
    <row r="566" ht="12.75">
      <c r="P566" s="108"/>
    </row>
    <row r="567" ht="12.75">
      <c r="P567" s="108"/>
    </row>
    <row r="568" ht="12.75">
      <c r="P568" s="108"/>
    </row>
    <row r="569" ht="12.75">
      <c r="P569" s="108"/>
    </row>
    <row r="570" ht="12.75">
      <c r="P570" s="108"/>
    </row>
    <row r="571" ht="12.75">
      <c r="P571" s="108"/>
    </row>
    <row r="572" ht="12.75">
      <c r="P572" s="108"/>
    </row>
    <row r="573" ht="12.75">
      <c r="P573" s="108"/>
    </row>
    <row r="574" ht="12.75">
      <c r="P574" s="108"/>
    </row>
    <row r="575" ht="12.75">
      <c r="P575" s="108"/>
    </row>
    <row r="576" ht="12.75">
      <c r="P576" s="108"/>
    </row>
    <row r="577" ht="12.75">
      <c r="P577" s="108"/>
    </row>
    <row r="578" ht="12.75">
      <c r="P578" s="108"/>
    </row>
    <row r="579" ht="12.75">
      <c r="P579" s="108"/>
    </row>
  </sheetData>
  <mergeCells count="58">
    <mergeCell ref="AJ205:AK205"/>
    <mergeCell ref="AL205:AM205"/>
    <mergeCell ref="AJ127:AK127"/>
    <mergeCell ref="AL127:AM127"/>
    <mergeCell ref="AJ167:AK167"/>
    <mergeCell ref="AL167:AM167"/>
    <mergeCell ref="T407:U407"/>
    <mergeCell ref="W407:X407"/>
    <mergeCell ref="T462:U462"/>
    <mergeCell ref="W462:X462"/>
    <mergeCell ref="T426:U426"/>
    <mergeCell ref="W426:X426"/>
    <mergeCell ref="T444:U444"/>
    <mergeCell ref="W444:X444"/>
    <mergeCell ref="T367:U367"/>
    <mergeCell ref="W367:X367"/>
    <mergeCell ref="T386:U386"/>
    <mergeCell ref="W386:X386"/>
    <mergeCell ref="T205:U205"/>
    <mergeCell ref="W205:X205"/>
    <mergeCell ref="T224:U224"/>
    <mergeCell ref="W224:X224"/>
    <mergeCell ref="T91:U91"/>
    <mergeCell ref="W91:X91"/>
    <mergeCell ref="T108:U108"/>
    <mergeCell ref="W108:X108"/>
    <mergeCell ref="T56:U56"/>
    <mergeCell ref="W56:X56"/>
    <mergeCell ref="T73:U73"/>
    <mergeCell ref="W73:X73"/>
    <mergeCell ref="T39:U39"/>
    <mergeCell ref="W39:X39"/>
    <mergeCell ref="T7:U7"/>
    <mergeCell ref="W7:X7"/>
    <mergeCell ref="T23:U23"/>
    <mergeCell ref="W23:X23"/>
    <mergeCell ref="T127:U127"/>
    <mergeCell ref="W127:X127"/>
    <mergeCell ref="T186:U186"/>
    <mergeCell ref="W186:X186"/>
    <mergeCell ref="T146:U146"/>
    <mergeCell ref="W146:X146"/>
    <mergeCell ref="T167:U167"/>
    <mergeCell ref="W167:X167"/>
    <mergeCell ref="T247:U247"/>
    <mergeCell ref="W247:X247"/>
    <mergeCell ref="T271:U271"/>
    <mergeCell ref="W271:X271"/>
    <mergeCell ref="AJ444:AK444"/>
    <mergeCell ref="AL444:AM444"/>
    <mergeCell ref="T291:U291"/>
    <mergeCell ref="W291:X291"/>
    <mergeCell ref="T310:U310"/>
    <mergeCell ref="W310:X310"/>
    <mergeCell ref="T330:U330"/>
    <mergeCell ref="W330:X330"/>
    <mergeCell ref="T348:U348"/>
    <mergeCell ref="W348:X348"/>
  </mergeCells>
  <printOptions horizontalCentered="1"/>
  <pageMargins left="0.75" right="0.75" top="0.84" bottom="0.52" header="0.5" footer="0.5"/>
  <pageSetup horizontalDpi="600" verticalDpi="600" orientation="portrait" scale="56" r:id="rId1"/>
  <rowBreaks count="8" manualBreakCount="8">
    <brk id="41" max="14" man="1"/>
    <brk id="71" max="14" man="1"/>
    <brk id="85" min="17" max="26" man="1"/>
    <brk id="110" max="14" man="1"/>
    <brk id="160" min="17" max="26" man="1"/>
    <brk id="241" min="17" max="26" man="1"/>
    <brk id="323" min="17" max="26" man="1"/>
    <brk id="400" min="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4:AD50"/>
  <sheetViews>
    <sheetView tabSelected="1" workbookViewId="0" topLeftCell="W1">
      <selection activeCell="AA13" sqref="AA13"/>
    </sheetView>
  </sheetViews>
  <sheetFormatPr defaultColWidth="9.140625" defaultRowHeight="12.75"/>
  <cols>
    <col min="4" max="4" width="55.8515625" style="0" customWidth="1"/>
    <col min="10" max="10" width="12.8515625" style="0" customWidth="1"/>
    <col min="15" max="15" width="2.140625" style="0" customWidth="1"/>
    <col min="16" max="16" width="2.7109375" style="0" customWidth="1"/>
    <col min="17" max="17" width="52.7109375" style="0" customWidth="1"/>
    <col min="18" max="18" width="6.421875" style="0" bestFit="1" customWidth="1"/>
    <col min="21" max="21" width="12.140625" style="0" customWidth="1"/>
    <col min="22" max="22" width="13.8515625" style="0" customWidth="1"/>
    <col min="24" max="24" width="12.8515625" style="0" customWidth="1"/>
    <col min="25" max="25" width="9.140625" style="250" customWidth="1"/>
    <col min="26" max="26" width="10.140625" style="250" bestFit="1" customWidth="1"/>
    <col min="27" max="27" width="10.8515625" style="250" customWidth="1"/>
    <col min="28" max="28" width="15.140625" style="250" customWidth="1"/>
    <col min="29" max="29" width="11.57421875" style="0" customWidth="1"/>
    <col min="30" max="30" width="21.57421875" style="0" customWidth="1"/>
  </cols>
  <sheetData>
    <row r="4" spans="18:30" ht="15.75">
      <c r="R4" s="242"/>
      <c r="AB4" s="251"/>
      <c r="AD4" s="331" t="s">
        <v>259</v>
      </c>
    </row>
    <row r="5" spans="18:30" ht="15.75">
      <c r="R5" s="242"/>
      <c r="AB5" s="251"/>
      <c r="AD5" s="331" t="s">
        <v>260</v>
      </c>
    </row>
    <row r="6" spans="15:30" ht="15.75">
      <c r="O6" s="108"/>
      <c r="Q6" t="s">
        <v>111</v>
      </c>
      <c r="AD6" s="331" t="s">
        <v>244</v>
      </c>
    </row>
    <row r="7" ht="13.5" thickBot="1">
      <c r="O7" s="108"/>
    </row>
    <row r="8" spans="4:29" ht="12.75">
      <c r="D8" t="s">
        <v>109</v>
      </c>
      <c r="O8" s="108"/>
      <c r="Q8" s="244"/>
      <c r="R8" s="247"/>
      <c r="S8" s="26" t="s">
        <v>87</v>
      </c>
      <c r="T8" s="26" t="s">
        <v>88</v>
      </c>
      <c r="U8" s="264" t="s">
        <v>110</v>
      </c>
      <c r="V8" s="290" t="s">
        <v>242</v>
      </c>
      <c r="W8" s="265" t="s">
        <v>89</v>
      </c>
      <c r="X8" s="26" t="s">
        <v>90</v>
      </c>
      <c r="Y8" s="252" t="s">
        <v>83</v>
      </c>
      <c r="Z8" s="252" t="s">
        <v>83</v>
      </c>
      <c r="AA8" s="252"/>
      <c r="AB8" s="252"/>
      <c r="AC8" s="290" t="s">
        <v>242</v>
      </c>
    </row>
    <row r="9" spans="15:29" ht="12.75">
      <c r="O9" s="108"/>
      <c r="Q9" s="245"/>
      <c r="R9" s="248" t="s">
        <v>241</v>
      </c>
      <c r="S9" s="27" t="s">
        <v>91</v>
      </c>
      <c r="T9" s="27" t="s">
        <v>92</v>
      </c>
      <c r="U9" s="129" t="s">
        <v>87</v>
      </c>
      <c r="V9" s="277" t="s">
        <v>112</v>
      </c>
      <c r="W9" s="324" t="s">
        <v>84</v>
      </c>
      <c r="X9" s="27" t="s">
        <v>93</v>
      </c>
      <c r="Y9" s="253" t="s">
        <v>94</v>
      </c>
      <c r="Z9" s="253" t="s">
        <v>95</v>
      </c>
      <c r="AA9" s="253" t="s">
        <v>162</v>
      </c>
      <c r="AB9" s="253" t="s">
        <v>85</v>
      </c>
      <c r="AC9" s="277" t="s">
        <v>83</v>
      </c>
    </row>
    <row r="10" spans="4:29" ht="12.75">
      <c r="D10" t="s">
        <v>57</v>
      </c>
      <c r="E10" s="4"/>
      <c r="F10" s="4"/>
      <c r="G10" s="15"/>
      <c r="H10" s="4" t="s">
        <v>14</v>
      </c>
      <c r="I10" s="4" t="s">
        <v>14</v>
      </c>
      <c r="J10" s="4" t="s">
        <v>14</v>
      </c>
      <c r="L10" s="1"/>
      <c r="M10" s="1"/>
      <c r="O10" s="108"/>
      <c r="P10" s="18"/>
      <c r="Q10" s="246"/>
      <c r="R10" s="249" t="s">
        <v>88</v>
      </c>
      <c r="S10" s="28" t="s">
        <v>96</v>
      </c>
      <c r="T10" s="28" t="s">
        <v>97</v>
      </c>
      <c r="U10" s="31" t="s">
        <v>82</v>
      </c>
      <c r="V10" s="286" t="s">
        <v>255</v>
      </c>
      <c r="W10" s="325" t="s">
        <v>98</v>
      </c>
      <c r="X10" s="28" t="s">
        <v>99</v>
      </c>
      <c r="Y10" s="193" t="s">
        <v>95</v>
      </c>
      <c r="Z10" s="193" t="s">
        <v>100</v>
      </c>
      <c r="AA10" s="193" t="s">
        <v>101</v>
      </c>
      <c r="AB10" s="193" t="s">
        <v>101</v>
      </c>
      <c r="AC10" s="286" t="s">
        <v>255</v>
      </c>
    </row>
    <row r="11" spans="4:29" ht="13.5" thickBot="1">
      <c r="D11" s="21" t="s">
        <v>59</v>
      </c>
      <c r="E11" s="16" t="s">
        <v>58</v>
      </c>
      <c r="F11" s="16" t="s">
        <v>9</v>
      </c>
      <c r="G11" s="22" t="s">
        <v>23</v>
      </c>
      <c r="H11" s="16" t="s">
        <v>20</v>
      </c>
      <c r="I11" s="16" t="s">
        <v>9</v>
      </c>
      <c r="J11" s="16" t="s">
        <v>23</v>
      </c>
      <c r="K11" s="21"/>
      <c r="L11" s="23"/>
      <c r="M11" s="23"/>
      <c r="N11" s="21"/>
      <c r="O11" s="109"/>
      <c r="P11" s="18"/>
      <c r="Q11" s="31" t="s">
        <v>102</v>
      </c>
      <c r="R11" s="16"/>
      <c r="S11" s="29" t="s">
        <v>103</v>
      </c>
      <c r="T11" s="29" t="s">
        <v>104</v>
      </c>
      <c r="U11" s="127" t="s">
        <v>105</v>
      </c>
      <c r="V11" s="291" t="s">
        <v>100</v>
      </c>
      <c r="W11" s="131" t="s">
        <v>106</v>
      </c>
      <c r="X11" s="29" t="s">
        <v>107</v>
      </c>
      <c r="Y11" s="254" t="s">
        <v>108</v>
      </c>
      <c r="Z11" s="254" t="s">
        <v>129</v>
      </c>
      <c r="AA11" s="254" t="s">
        <v>177</v>
      </c>
      <c r="AB11" s="254" t="s">
        <v>176</v>
      </c>
      <c r="AC11" s="291" t="s">
        <v>100</v>
      </c>
    </row>
    <row r="12" spans="4:29" ht="12.75">
      <c r="D12" s="18"/>
      <c r="E12" s="17"/>
      <c r="F12" s="17"/>
      <c r="G12" s="24"/>
      <c r="H12" s="17"/>
      <c r="I12" s="17"/>
      <c r="J12" s="17"/>
      <c r="K12" s="18"/>
      <c r="L12" s="20"/>
      <c r="M12" s="20"/>
      <c r="N12" s="18"/>
      <c r="O12" s="109"/>
      <c r="P12" s="18"/>
      <c r="Q12" s="17"/>
      <c r="R12" s="17"/>
      <c r="S12" s="30"/>
      <c r="T12" s="30"/>
      <c r="U12" s="30"/>
      <c r="V12" s="326"/>
      <c r="W12" s="30"/>
      <c r="X12" s="30"/>
      <c r="Y12" s="255"/>
      <c r="Z12" s="255"/>
      <c r="AB12" s="255"/>
      <c r="AC12" s="280"/>
    </row>
    <row r="13" spans="4:29" ht="12.75">
      <c r="D13" t="s">
        <v>60</v>
      </c>
      <c r="E13">
        <v>11</v>
      </c>
      <c r="F13">
        <v>70</v>
      </c>
      <c r="G13" s="1">
        <v>5.06</v>
      </c>
      <c r="H13" s="3">
        <v>5320</v>
      </c>
      <c r="I13" s="3">
        <v>369269</v>
      </c>
      <c r="J13" s="1">
        <v>26596.51</v>
      </c>
      <c r="K13" t="s">
        <v>80</v>
      </c>
      <c r="L13" s="1"/>
      <c r="M13" s="1"/>
      <c r="O13" s="109"/>
      <c r="P13" s="18"/>
      <c r="Q13" t="s">
        <v>60</v>
      </c>
      <c r="R13">
        <v>11</v>
      </c>
      <c r="S13" s="3">
        <v>5320</v>
      </c>
      <c r="T13" s="1">
        <v>5.06</v>
      </c>
      <c r="U13" s="32">
        <f>S13*T13</f>
        <v>26919.199999999997</v>
      </c>
      <c r="V13" s="293">
        <f>U13/$U$36</f>
        <v>0.021659854954799634</v>
      </c>
      <c r="W13">
        <v>70</v>
      </c>
      <c r="X13" s="3">
        <f>W13*S13</f>
        <v>372400</v>
      </c>
      <c r="Y13" s="240">
        <f>T13+W13*'Request3a(2)'!$AF$495</f>
        <v>5.330132362860644</v>
      </c>
      <c r="Z13" s="256">
        <f>Y13*S13</f>
        <v>28356.304170418625</v>
      </c>
      <c r="AA13" s="257">
        <f>Z13-U13</f>
        <v>1437.1041704186282</v>
      </c>
      <c r="AB13" s="241">
        <f aca="true" t="shared" si="0" ref="AB13:AB21">Z13/U13-1</f>
        <v>0.05338584246257794</v>
      </c>
      <c r="AC13" s="293">
        <f>Z13/$Z$36</f>
        <v>0.022146597496238322</v>
      </c>
    </row>
    <row r="14" spans="4:29" ht="12.75">
      <c r="D14" t="s">
        <v>60</v>
      </c>
      <c r="E14">
        <v>14</v>
      </c>
      <c r="F14">
        <v>73</v>
      </c>
      <c r="G14" s="1">
        <v>8.81</v>
      </c>
      <c r="H14" s="3">
        <v>53842</v>
      </c>
      <c r="I14" s="3">
        <v>3849069</v>
      </c>
      <c r="J14" s="1">
        <v>464499.16</v>
      </c>
      <c r="K14" t="s">
        <v>79</v>
      </c>
      <c r="L14" s="1"/>
      <c r="M14" s="1"/>
      <c r="O14" s="108"/>
      <c r="P14" s="18"/>
      <c r="Q14" t="s">
        <v>60</v>
      </c>
      <c r="R14">
        <v>14</v>
      </c>
      <c r="S14" s="3">
        <v>53842</v>
      </c>
      <c r="T14" s="1">
        <v>8.81</v>
      </c>
      <c r="U14" s="32">
        <f aca="true" t="shared" si="1" ref="U14:U34">S14*T14</f>
        <v>474348.02</v>
      </c>
      <c r="V14" s="293">
        <f aca="true" t="shared" si="2" ref="V14:V34">U14/$U$36</f>
        <v>0.3816721637825937</v>
      </c>
      <c r="W14">
        <v>73</v>
      </c>
      <c r="X14" s="3">
        <f aca="true" t="shared" si="3" ref="X14:X34">W14*S14</f>
        <v>3930466</v>
      </c>
      <c r="Y14" s="240">
        <f>T14+W14*'Request3a(2)'!$AF$495</f>
        <v>9.091709464126101</v>
      </c>
      <c r="Z14" s="256">
        <f aca="true" t="shared" si="4" ref="Z14:Z34">Y14*S14</f>
        <v>489515.8209674775</v>
      </c>
      <c r="AA14" s="257">
        <f aca="true" t="shared" si="5" ref="AA14:AA34">Z14-U14</f>
        <v>15167.800967477495</v>
      </c>
      <c r="AB14" s="241">
        <f t="shared" si="0"/>
        <v>0.03197610262498296</v>
      </c>
      <c r="AC14" s="293">
        <f aca="true" t="shared" si="6" ref="AC14:AC34">Z14/$Z$36</f>
        <v>0.3823174483477596</v>
      </c>
    </row>
    <row r="15" spans="4:29" ht="12.75">
      <c r="D15" t="s">
        <v>61</v>
      </c>
      <c r="E15">
        <v>21</v>
      </c>
      <c r="F15">
        <v>159</v>
      </c>
      <c r="G15" s="1">
        <v>7.69</v>
      </c>
      <c r="H15" s="3">
        <v>803</v>
      </c>
      <c r="I15" s="3">
        <v>128059</v>
      </c>
      <c r="J15" s="1">
        <v>6193.52</v>
      </c>
      <c r="K15" t="s">
        <v>80</v>
      </c>
      <c r="L15" s="1"/>
      <c r="M15" s="1"/>
      <c r="O15" s="108"/>
      <c r="P15" s="18"/>
      <c r="Q15" t="s">
        <v>61</v>
      </c>
      <c r="R15">
        <v>21</v>
      </c>
      <c r="S15" s="3">
        <v>803</v>
      </c>
      <c r="T15" s="1">
        <v>7.69</v>
      </c>
      <c r="U15" s="32">
        <f t="shared" si="1"/>
        <v>6175.070000000001</v>
      </c>
      <c r="V15" s="293">
        <f t="shared" si="2"/>
        <v>0.004968614243206878</v>
      </c>
      <c r="W15">
        <v>159</v>
      </c>
      <c r="X15" s="3">
        <f t="shared" si="3"/>
        <v>127677</v>
      </c>
      <c r="Y15" s="240">
        <f>T15+W15*'Request3a(2)'!$AF$495</f>
        <v>8.303586367069178</v>
      </c>
      <c r="Z15" s="256">
        <f t="shared" si="4"/>
        <v>6667.77985275655</v>
      </c>
      <c r="AA15" s="257">
        <f t="shared" si="5"/>
        <v>492.7098527565495</v>
      </c>
      <c r="AB15" s="241">
        <f t="shared" si="0"/>
        <v>0.0797901647684236</v>
      </c>
      <c r="AC15" s="293">
        <f t="shared" si="6"/>
        <v>0.0052076122369492306</v>
      </c>
    </row>
    <row r="16" spans="4:29" ht="12.75">
      <c r="D16" t="s">
        <v>61</v>
      </c>
      <c r="E16">
        <v>24</v>
      </c>
      <c r="F16">
        <v>154</v>
      </c>
      <c r="G16" s="1">
        <v>14.02</v>
      </c>
      <c r="H16" s="3">
        <v>765</v>
      </c>
      <c r="I16" s="3">
        <v>116844</v>
      </c>
      <c r="J16" s="1">
        <v>10637.45</v>
      </c>
      <c r="K16" t="s">
        <v>79</v>
      </c>
      <c r="L16" s="1"/>
      <c r="M16" s="1"/>
      <c r="O16" s="108"/>
      <c r="P16" s="18"/>
      <c r="Q16" t="s">
        <v>61</v>
      </c>
      <c r="R16">
        <v>24</v>
      </c>
      <c r="S16" s="3">
        <v>765</v>
      </c>
      <c r="T16" s="1">
        <v>14.02</v>
      </c>
      <c r="U16" s="32">
        <f t="shared" si="1"/>
        <v>10725.3</v>
      </c>
      <c r="V16" s="293">
        <f t="shared" si="2"/>
        <v>0.008629841984409362</v>
      </c>
      <c r="W16">
        <v>154</v>
      </c>
      <c r="X16" s="3">
        <f t="shared" si="3"/>
        <v>117810</v>
      </c>
      <c r="Y16" s="240">
        <f>T16+W16*'Request3a(2)'!$AF$495</f>
        <v>14.614291198293417</v>
      </c>
      <c r="Z16" s="256">
        <f t="shared" si="4"/>
        <v>11179.932766694465</v>
      </c>
      <c r="AA16" s="257">
        <f t="shared" si="5"/>
        <v>454.6327666944653</v>
      </c>
      <c r="AB16" s="241">
        <f t="shared" si="0"/>
        <v>0.04238881585545062</v>
      </c>
      <c r="AC16" s="293">
        <f t="shared" si="6"/>
        <v>0.008731655209048108</v>
      </c>
    </row>
    <row r="17" spans="4:29" ht="12.75">
      <c r="D17" t="s">
        <v>63</v>
      </c>
      <c r="E17">
        <v>31</v>
      </c>
      <c r="F17">
        <v>37</v>
      </c>
      <c r="G17" s="1">
        <v>5.13</v>
      </c>
      <c r="H17" s="3">
        <v>90038</v>
      </c>
      <c r="I17" s="3">
        <v>3290090</v>
      </c>
      <c r="J17" s="1">
        <v>455867.22</v>
      </c>
      <c r="K17" t="s">
        <v>80</v>
      </c>
      <c r="L17" s="1"/>
      <c r="M17" s="1"/>
      <c r="O17" s="108"/>
      <c r="P17" s="18"/>
      <c r="Q17" t="s">
        <v>63</v>
      </c>
      <c r="R17">
        <v>31</v>
      </c>
      <c r="S17" s="3">
        <v>90038</v>
      </c>
      <c r="T17" s="1">
        <v>5.13</v>
      </c>
      <c r="U17" s="32">
        <f t="shared" si="1"/>
        <v>461894.94</v>
      </c>
      <c r="V17" s="293">
        <f t="shared" si="2"/>
        <v>0.37165210722294423</v>
      </c>
      <c r="W17">
        <v>37</v>
      </c>
      <c r="X17" s="3">
        <f t="shared" si="3"/>
        <v>3331406</v>
      </c>
      <c r="Y17" s="240">
        <f>T17+W17*'Request3a(2)'!$AF$495</f>
        <v>5.272784248940626</v>
      </c>
      <c r="Z17" s="256">
        <f t="shared" si="4"/>
        <v>474750.9482061161</v>
      </c>
      <c r="AA17" s="257">
        <f t="shared" si="5"/>
        <v>12856.008206116094</v>
      </c>
      <c r="AB17" s="241">
        <f t="shared" si="0"/>
        <v>0.0278331869279973</v>
      </c>
      <c r="AC17" s="293">
        <f t="shared" si="6"/>
        <v>0.37078591404893646</v>
      </c>
    </row>
    <row r="18" spans="4:29" ht="12.75">
      <c r="D18" t="s">
        <v>62</v>
      </c>
      <c r="E18">
        <v>34</v>
      </c>
      <c r="F18">
        <v>73</v>
      </c>
      <c r="G18" s="1">
        <v>9.81</v>
      </c>
      <c r="H18" s="3">
        <v>153</v>
      </c>
      <c r="I18" s="3">
        <v>11160</v>
      </c>
      <c r="J18" s="1">
        <v>1499.62</v>
      </c>
      <c r="K18" t="s">
        <v>79</v>
      </c>
      <c r="L18" s="1"/>
      <c r="M18" s="1"/>
      <c r="O18" s="108"/>
      <c r="P18" s="18"/>
      <c r="Q18" t="s">
        <v>62</v>
      </c>
      <c r="R18">
        <v>34</v>
      </c>
      <c r="S18" s="3">
        <v>153</v>
      </c>
      <c r="T18" s="1">
        <v>9.81</v>
      </c>
      <c r="U18" s="32">
        <f t="shared" si="1"/>
        <v>1500.93</v>
      </c>
      <c r="V18" s="293">
        <f t="shared" si="2"/>
        <v>0.0012076854474615672</v>
      </c>
      <c r="W18">
        <v>73</v>
      </c>
      <c r="X18" s="3">
        <f t="shared" si="3"/>
        <v>11169</v>
      </c>
      <c r="Y18" s="240">
        <f>T18+W18*'Request3a(2)'!$AF$495</f>
        <v>10.091709464126101</v>
      </c>
      <c r="Z18" s="256">
        <f t="shared" si="4"/>
        <v>1544.0315480112934</v>
      </c>
      <c r="AA18" s="257">
        <f t="shared" si="5"/>
        <v>43.10154801129329</v>
      </c>
      <c r="AB18" s="241">
        <f t="shared" si="0"/>
        <v>0.028716561072996916</v>
      </c>
      <c r="AC18" s="293">
        <f t="shared" si="6"/>
        <v>0.0012059062778347629</v>
      </c>
    </row>
    <row r="19" spans="4:29" ht="12.75">
      <c r="D19" t="s">
        <v>75</v>
      </c>
      <c r="E19">
        <v>41</v>
      </c>
      <c r="F19">
        <v>23</v>
      </c>
      <c r="G19" s="1">
        <v>5.21</v>
      </c>
      <c r="H19" s="3">
        <v>8376</v>
      </c>
      <c r="I19" s="3">
        <v>192648</v>
      </c>
      <c r="J19" s="1">
        <v>43638.96</v>
      </c>
      <c r="K19" t="s">
        <v>80</v>
      </c>
      <c r="L19" s="1"/>
      <c r="M19" s="1"/>
      <c r="O19" s="108"/>
      <c r="P19" s="18"/>
      <c r="Q19" t="s">
        <v>75</v>
      </c>
      <c r="R19">
        <v>41</v>
      </c>
      <c r="S19" s="3">
        <v>8376</v>
      </c>
      <c r="T19" s="1">
        <v>5.21</v>
      </c>
      <c r="U19" s="32">
        <f t="shared" si="1"/>
        <v>43638.96</v>
      </c>
      <c r="V19" s="293">
        <f t="shared" si="2"/>
        <v>0.035112987903737965</v>
      </c>
      <c r="W19">
        <v>23</v>
      </c>
      <c r="X19" s="3">
        <f t="shared" si="3"/>
        <v>192648</v>
      </c>
      <c r="Y19" s="240">
        <f>T19+W19*'Request3a(2)'!$AF$495</f>
        <v>5.298757776368498</v>
      </c>
      <c r="Z19" s="256">
        <f t="shared" si="4"/>
        <v>44382.395134862534</v>
      </c>
      <c r="AA19" s="257">
        <f t="shared" si="5"/>
        <v>743.435134862535</v>
      </c>
      <c r="AB19" s="241">
        <f t="shared" si="0"/>
        <v>0.017036041529462143</v>
      </c>
      <c r="AC19" s="293">
        <f t="shared" si="6"/>
        <v>0.03466315761967987</v>
      </c>
    </row>
    <row r="20" spans="4:29" ht="12.75">
      <c r="D20" t="s">
        <v>64</v>
      </c>
      <c r="E20">
        <v>44</v>
      </c>
      <c r="F20">
        <v>154</v>
      </c>
      <c r="G20" s="1">
        <v>15.02</v>
      </c>
      <c r="H20" s="3">
        <v>36</v>
      </c>
      <c r="I20" s="3">
        <v>5544</v>
      </c>
      <c r="J20" s="1">
        <v>540.72</v>
      </c>
      <c r="K20" t="s">
        <v>79</v>
      </c>
      <c r="L20" s="1"/>
      <c r="M20" s="1"/>
      <c r="O20" s="108"/>
      <c r="P20" s="18"/>
      <c r="Q20" t="s">
        <v>64</v>
      </c>
      <c r="R20">
        <v>44</v>
      </c>
      <c r="S20" s="3">
        <v>36</v>
      </c>
      <c r="T20" s="1">
        <v>15.02</v>
      </c>
      <c r="U20" s="32">
        <f t="shared" si="1"/>
        <v>540.72</v>
      </c>
      <c r="V20" s="293">
        <f t="shared" si="2"/>
        <v>0.0004350767025453676</v>
      </c>
      <c r="W20">
        <v>154</v>
      </c>
      <c r="X20" s="3">
        <f t="shared" si="3"/>
        <v>5544</v>
      </c>
      <c r="Y20" s="240">
        <f>T20+W20*'Request3a(2)'!$AF$495</f>
        <v>15.614291198293417</v>
      </c>
      <c r="Z20" s="256">
        <f t="shared" si="4"/>
        <v>562.1144831385631</v>
      </c>
      <c r="AA20" s="257">
        <f t="shared" si="5"/>
        <v>21.394483138563032</v>
      </c>
      <c r="AB20" s="241">
        <f t="shared" si="0"/>
        <v>0.03956665767599321</v>
      </c>
      <c r="AC20" s="293">
        <f t="shared" si="6"/>
        <v>0.000439017832862103</v>
      </c>
    </row>
    <row r="21" spans="4:29" ht="12.75">
      <c r="D21" t="s">
        <v>74</v>
      </c>
      <c r="E21">
        <v>51</v>
      </c>
      <c r="F21">
        <v>37</v>
      </c>
      <c r="G21" s="1">
        <v>6.74</v>
      </c>
      <c r="H21" s="3">
        <v>6876</v>
      </c>
      <c r="I21" s="3">
        <v>254412</v>
      </c>
      <c r="J21" s="1">
        <v>46343.84</v>
      </c>
      <c r="K21" t="s">
        <v>80</v>
      </c>
      <c r="L21" s="1"/>
      <c r="M21" s="1"/>
      <c r="O21" s="108"/>
      <c r="P21" s="18"/>
      <c r="Q21" t="s">
        <v>74</v>
      </c>
      <c r="R21">
        <v>51</v>
      </c>
      <c r="S21" s="3">
        <v>6876</v>
      </c>
      <c r="T21" s="1">
        <v>6.74</v>
      </c>
      <c r="U21" s="32">
        <f t="shared" si="1"/>
        <v>46344.24</v>
      </c>
      <c r="V21" s="293">
        <f t="shared" si="2"/>
        <v>0.0372897231860688</v>
      </c>
      <c r="W21">
        <v>37</v>
      </c>
      <c r="X21" s="3">
        <f t="shared" si="3"/>
        <v>254412</v>
      </c>
      <c r="Y21" s="240">
        <f>T21+W21*'Request3a(2)'!$AF$495</f>
        <v>6.882784248940626</v>
      </c>
      <c r="Z21" s="256">
        <f t="shared" si="4"/>
        <v>47326.02449571575</v>
      </c>
      <c r="AA21" s="257">
        <f t="shared" si="5"/>
        <v>981.7844957157504</v>
      </c>
      <c r="AB21" s="241">
        <f t="shared" si="0"/>
        <v>0.021184606667748795</v>
      </c>
      <c r="AC21" s="293">
        <f t="shared" si="6"/>
        <v>0.03696216577818782</v>
      </c>
    </row>
    <row r="22" spans="4:29" ht="12.75">
      <c r="D22" t="s">
        <v>61</v>
      </c>
      <c r="E22">
        <v>54</v>
      </c>
      <c r="F22">
        <v>154</v>
      </c>
      <c r="G22" s="1">
        <v>19.26</v>
      </c>
      <c r="H22" s="3">
        <v>120</v>
      </c>
      <c r="I22" s="3">
        <v>18480</v>
      </c>
      <c r="J22" s="1">
        <v>2311.2</v>
      </c>
      <c r="K22" t="s">
        <v>79</v>
      </c>
      <c r="L22" s="1"/>
      <c r="M22" s="1"/>
      <c r="O22" s="108"/>
      <c r="P22" s="18"/>
      <c r="S22" s="3"/>
      <c r="T22" s="1"/>
      <c r="U22" s="32"/>
      <c r="V22" s="293"/>
      <c r="X22" s="3"/>
      <c r="Y22" s="240"/>
      <c r="Z22" s="256"/>
      <c r="AA22" s="257"/>
      <c r="AB22" s="241"/>
      <c r="AC22" s="293"/>
    </row>
    <row r="23" spans="4:29" ht="12.75">
      <c r="D23" t="s">
        <v>76</v>
      </c>
      <c r="E23">
        <v>61</v>
      </c>
      <c r="F23">
        <v>102</v>
      </c>
      <c r="G23" s="1">
        <v>9.25</v>
      </c>
      <c r="H23" s="3">
        <v>2409</v>
      </c>
      <c r="I23" s="3">
        <v>245722</v>
      </c>
      <c r="J23" s="1">
        <v>22283.56</v>
      </c>
      <c r="K23" t="s">
        <v>80</v>
      </c>
      <c r="O23" s="108"/>
      <c r="P23" s="18"/>
      <c r="Q23" t="s">
        <v>76</v>
      </c>
      <c r="R23">
        <v>61</v>
      </c>
      <c r="S23" s="3">
        <v>2409</v>
      </c>
      <c r="T23" s="1">
        <v>9.25</v>
      </c>
      <c r="U23" s="32">
        <f t="shared" si="1"/>
        <v>22283.25</v>
      </c>
      <c r="V23" s="293">
        <f t="shared" si="2"/>
        <v>0.017929654778802453</v>
      </c>
      <c r="W23">
        <v>102</v>
      </c>
      <c r="X23" s="3">
        <f t="shared" si="3"/>
        <v>245718</v>
      </c>
      <c r="Y23" s="240">
        <f>T23+W23*'Request3a(2)'!$AF$495</f>
        <v>9.64362144302551</v>
      </c>
      <c r="Z23" s="256">
        <f t="shared" si="4"/>
        <v>23231.484056248453</v>
      </c>
      <c r="AA23" s="257">
        <f t="shared" si="5"/>
        <v>948.2340562484533</v>
      </c>
      <c r="AB23" s="241">
        <f>Z23/U23-1</f>
        <v>0.042553669516271375</v>
      </c>
      <c r="AC23" s="293">
        <f t="shared" si="6"/>
        <v>0.018144054441718765</v>
      </c>
    </row>
    <row r="24" spans="4:29" ht="12.75">
      <c r="D24" t="s">
        <v>66</v>
      </c>
      <c r="E24">
        <v>64</v>
      </c>
      <c r="F24">
        <v>154</v>
      </c>
      <c r="G24" s="1">
        <v>24.78</v>
      </c>
      <c r="H24" s="3">
        <v>107</v>
      </c>
      <c r="I24" s="3">
        <v>16149</v>
      </c>
      <c r="J24" s="1">
        <v>2598.6</v>
      </c>
      <c r="K24" t="s">
        <v>79</v>
      </c>
      <c r="O24" s="108"/>
      <c r="P24" s="18"/>
      <c r="S24" s="3"/>
      <c r="T24" s="1"/>
      <c r="U24" s="32"/>
      <c r="V24" s="293"/>
      <c r="X24" s="3"/>
      <c r="Y24" s="240"/>
      <c r="Z24" s="256"/>
      <c r="AA24" s="257"/>
      <c r="AB24" s="241"/>
      <c r="AC24" s="293"/>
    </row>
    <row r="25" spans="4:29" ht="12.75">
      <c r="D25" t="s">
        <v>65</v>
      </c>
      <c r="E25">
        <v>71</v>
      </c>
      <c r="F25">
        <v>102</v>
      </c>
      <c r="G25" s="1">
        <v>7.51</v>
      </c>
      <c r="H25" s="3">
        <v>2136</v>
      </c>
      <c r="I25" s="3">
        <v>216383</v>
      </c>
      <c r="J25" s="1">
        <v>15931.7</v>
      </c>
      <c r="K25" t="s">
        <v>80</v>
      </c>
      <c r="O25" s="108"/>
      <c r="P25" s="18"/>
      <c r="Q25" t="s">
        <v>65</v>
      </c>
      <c r="R25">
        <v>71</v>
      </c>
      <c r="S25" s="3">
        <v>2136</v>
      </c>
      <c r="T25" s="1">
        <v>7.51</v>
      </c>
      <c r="U25" s="32">
        <f t="shared" si="1"/>
        <v>16041.359999999999</v>
      </c>
      <c r="V25" s="293">
        <f t="shared" si="2"/>
        <v>0.012907275508845904</v>
      </c>
      <c r="W25">
        <v>102</v>
      </c>
      <c r="X25" s="3">
        <f t="shared" si="3"/>
        <v>217872</v>
      </c>
      <c r="Y25" s="240">
        <f>T25+W25*'Request3a(2)'!$AF$495</f>
        <v>7.90362144302551</v>
      </c>
      <c r="Z25" s="256">
        <f t="shared" si="4"/>
        <v>16882.13540230249</v>
      </c>
      <c r="AA25" s="257">
        <f t="shared" si="5"/>
        <v>840.7754023024918</v>
      </c>
      <c r="AB25" s="241">
        <f aca="true" t="shared" si="7" ref="AB25:AB34">Z25/U25-1</f>
        <v>0.052412975103263815</v>
      </c>
      <c r="AC25" s="293">
        <f t="shared" si="6"/>
        <v>0.013185140608761815</v>
      </c>
    </row>
    <row r="26" spans="4:29" ht="12.75">
      <c r="D26" t="s">
        <v>77</v>
      </c>
      <c r="E26">
        <v>74</v>
      </c>
      <c r="F26">
        <v>84</v>
      </c>
      <c r="G26" s="1">
        <v>11.37</v>
      </c>
      <c r="H26" s="3">
        <v>902</v>
      </c>
      <c r="I26" s="3">
        <v>74312</v>
      </c>
      <c r="J26" s="1">
        <v>10058.67</v>
      </c>
      <c r="O26" s="108"/>
      <c r="P26" s="18"/>
      <c r="Q26" t="s">
        <v>77</v>
      </c>
      <c r="R26">
        <v>74</v>
      </c>
      <c r="S26" s="3">
        <v>902</v>
      </c>
      <c r="T26" s="1">
        <v>11.37</v>
      </c>
      <c r="U26" s="32">
        <f t="shared" si="1"/>
        <v>10255.74</v>
      </c>
      <c r="V26" s="293">
        <f t="shared" si="2"/>
        <v>0.008252022380090672</v>
      </c>
      <c r="W26">
        <v>84</v>
      </c>
      <c r="X26" s="3">
        <f t="shared" si="3"/>
        <v>75768</v>
      </c>
      <c r="Y26" s="240">
        <f>T26+W26*'Request3a(2)'!$AF$495</f>
        <v>11.694158835432772</v>
      </c>
      <c r="Z26" s="256">
        <f t="shared" si="4"/>
        <v>10548.13126956036</v>
      </c>
      <c r="AA26" s="257">
        <f t="shared" si="5"/>
        <v>292.39126956035943</v>
      </c>
      <c r="AB26" s="241">
        <f t="shared" si="7"/>
        <v>0.028510011911413446</v>
      </c>
      <c r="AC26" s="293">
        <f t="shared" si="6"/>
        <v>0.008238211022159093</v>
      </c>
    </row>
    <row r="27" spans="4:29" ht="12.75">
      <c r="D27" t="s">
        <v>73</v>
      </c>
      <c r="E27">
        <v>81</v>
      </c>
      <c r="F27">
        <v>23</v>
      </c>
      <c r="G27" s="1">
        <v>7.99</v>
      </c>
      <c r="H27" s="3">
        <v>5604</v>
      </c>
      <c r="I27" s="3">
        <v>128864</v>
      </c>
      <c r="J27" s="1">
        <v>44766.37</v>
      </c>
      <c r="K27" t="s">
        <v>80</v>
      </c>
      <c r="O27" s="108"/>
      <c r="P27" s="18"/>
      <c r="Q27" t="s">
        <v>73</v>
      </c>
      <c r="R27">
        <v>81</v>
      </c>
      <c r="S27" s="3">
        <v>5604</v>
      </c>
      <c r="T27" s="1">
        <v>7.99</v>
      </c>
      <c r="U27" s="32">
        <f t="shared" si="1"/>
        <v>44775.96</v>
      </c>
      <c r="V27" s="293">
        <f t="shared" si="2"/>
        <v>0.0360278462607325</v>
      </c>
      <c r="W27">
        <v>23</v>
      </c>
      <c r="X27" s="3">
        <f t="shared" si="3"/>
        <v>128892</v>
      </c>
      <c r="Y27" s="240">
        <f>T27+W27*'Request3a(2)'!$AF$495</f>
        <v>8.078757776368498</v>
      </c>
      <c r="Z27" s="256">
        <f t="shared" si="4"/>
        <v>45273.35857876906</v>
      </c>
      <c r="AA27" s="257">
        <f t="shared" si="5"/>
        <v>497.3985787690617</v>
      </c>
      <c r="AB27" s="241">
        <f t="shared" si="7"/>
        <v>0.01110860780581957</v>
      </c>
      <c r="AC27" s="293">
        <f t="shared" si="6"/>
        <v>0.03535901024763427</v>
      </c>
    </row>
    <row r="28" spans="4:29" ht="12.75">
      <c r="D28" t="s">
        <v>67</v>
      </c>
      <c r="E28">
        <v>91</v>
      </c>
      <c r="F28">
        <v>159</v>
      </c>
      <c r="G28" s="1">
        <v>11.41</v>
      </c>
      <c r="H28" s="3">
        <v>3294</v>
      </c>
      <c r="I28" s="3">
        <v>518161</v>
      </c>
      <c r="J28" s="1">
        <v>36662.58</v>
      </c>
      <c r="K28" t="s">
        <v>80</v>
      </c>
      <c r="O28" s="108"/>
      <c r="P28" s="18"/>
      <c r="Q28" t="s">
        <v>67</v>
      </c>
      <c r="R28">
        <v>91</v>
      </c>
      <c r="S28" s="3">
        <v>3294</v>
      </c>
      <c r="T28" s="1">
        <v>11.41</v>
      </c>
      <c r="U28" s="32">
        <f t="shared" si="1"/>
        <v>37584.54</v>
      </c>
      <c r="V28" s="293">
        <f t="shared" si="2"/>
        <v>0.03024145163834234</v>
      </c>
      <c r="W28">
        <v>159</v>
      </c>
      <c r="X28" s="3">
        <f t="shared" si="3"/>
        <v>523746</v>
      </c>
      <c r="Y28" s="240">
        <f>T28+W28*'Request3a(2)'!$AF$495</f>
        <v>12.023586367069177</v>
      </c>
      <c r="Z28" s="256">
        <f t="shared" si="4"/>
        <v>39605.693493125866</v>
      </c>
      <c r="AA28" s="257">
        <f t="shared" si="5"/>
        <v>2021.1534931258648</v>
      </c>
      <c r="AB28" s="241">
        <f t="shared" si="7"/>
        <v>0.053776193432881314</v>
      </c>
      <c r="AC28" s="293">
        <f t="shared" si="6"/>
        <v>0.030932499068996075</v>
      </c>
    </row>
    <row r="29" spans="4:29" ht="12.75">
      <c r="D29" t="s">
        <v>68</v>
      </c>
      <c r="E29">
        <v>111</v>
      </c>
      <c r="F29">
        <v>159</v>
      </c>
      <c r="G29" s="1">
        <v>12.44</v>
      </c>
      <c r="H29" s="3">
        <v>533</v>
      </c>
      <c r="I29" s="3">
        <v>84323</v>
      </c>
      <c r="J29" s="1">
        <v>6597.35</v>
      </c>
      <c r="K29" t="s">
        <v>80</v>
      </c>
      <c r="O29" s="108"/>
      <c r="P29" s="18"/>
      <c r="Q29" t="s">
        <v>68</v>
      </c>
      <c r="R29">
        <v>111</v>
      </c>
      <c r="S29" s="3">
        <v>533</v>
      </c>
      <c r="T29" s="1">
        <v>12.44</v>
      </c>
      <c r="U29" s="32">
        <f t="shared" si="1"/>
        <v>6630.5199999999995</v>
      </c>
      <c r="V29" s="293">
        <f t="shared" si="2"/>
        <v>0.005335080592101476</v>
      </c>
      <c r="W29">
        <v>159</v>
      </c>
      <c r="X29" s="3">
        <f t="shared" si="3"/>
        <v>84747</v>
      </c>
      <c r="Y29" s="240">
        <f>T29+W29*'Request3a(2)'!$AF$495</f>
        <v>13.053586367069176</v>
      </c>
      <c r="Z29" s="256">
        <f t="shared" si="4"/>
        <v>6957.56153364787</v>
      </c>
      <c r="AA29" s="257">
        <f t="shared" si="5"/>
        <v>327.0415336478709</v>
      </c>
      <c r="AB29" s="241">
        <f t="shared" si="7"/>
        <v>0.04932366294768298</v>
      </c>
      <c r="AC29" s="293">
        <f t="shared" si="6"/>
        <v>0.005433935040157781</v>
      </c>
    </row>
    <row r="30" spans="4:29" ht="12.75">
      <c r="D30" t="s">
        <v>78</v>
      </c>
      <c r="E30">
        <v>124</v>
      </c>
      <c r="F30">
        <v>37</v>
      </c>
      <c r="G30" s="1">
        <v>8.47</v>
      </c>
      <c r="H30" s="3">
        <v>1882</v>
      </c>
      <c r="I30" s="3">
        <v>69351</v>
      </c>
      <c r="J30" s="1">
        <v>15875.61</v>
      </c>
      <c r="O30" s="108"/>
      <c r="P30" s="18"/>
      <c r="Q30" t="s">
        <v>78</v>
      </c>
      <c r="R30">
        <v>124</v>
      </c>
      <c r="S30" s="3">
        <v>1882</v>
      </c>
      <c r="T30" s="1">
        <v>8.47</v>
      </c>
      <c r="U30" s="32">
        <f t="shared" si="1"/>
        <v>15940.54</v>
      </c>
      <c r="V30" s="293">
        <f t="shared" si="2"/>
        <v>0.012826153240110471</v>
      </c>
      <c r="W30">
        <v>37</v>
      </c>
      <c r="X30" s="3">
        <f t="shared" si="3"/>
        <v>69634</v>
      </c>
      <c r="Y30" s="240">
        <f>T30+W30*'Request3a(2)'!$AF$495</f>
        <v>8.612784248940628</v>
      </c>
      <c r="Z30" s="256">
        <f t="shared" si="4"/>
        <v>16209.259956506261</v>
      </c>
      <c r="AA30" s="257">
        <f t="shared" si="5"/>
        <v>268.71995650626013</v>
      </c>
      <c r="AB30" s="241">
        <f t="shared" si="7"/>
        <v>0.016857644503025737</v>
      </c>
      <c r="AC30" s="293">
        <f t="shared" si="6"/>
        <v>0.01265961719874364</v>
      </c>
    </row>
    <row r="31" spans="4:29" ht="12.75">
      <c r="D31" t="s">
        <v>69</v>
      </c>
      <c r="E31">
        <v>133</v>
      </c>
      <c r="F31">
        <v>37</v>
      </c>
      <c r="G31" s="1">
        <v>16.14</v>
      </c>
      <c r="H31" s="3">
        <v>123</v>
      </c>
      <c r="I31" s="3">
        <v>4535</v>
      </c>
      <c r="J31" s="1">
        <v>1978.23</v>
      </c>
      <c r="O31" s="108"/>
      <c r="P31" s="18"/>
      <c r="Q31" t="s">
        <v>69</v>
      </c>
      <c r="R31">
        <v>133</v>
      </c>
      <c r="S31" s="3">
        <v>123</v>
      </c>
      <c r="T31" s="1">
        <v>16.14</v>
      </c>
      <c r="U31" s="32">
        <f t="shared" si="1"/>
        <v>1985.22</v>
      </c>
      <c r="V31" s="293">
        <f t="shared" si="2"/>
        <v>0.0015973571745582088</v>
      </c>
      <c r="W31">
        <v>37</v>
      </c>
      <c r="X31" s="3">
        <f t="shared" si="3"/>
        <v>4551</v>
      </c>
      <c r="Y31" s="240">
        <f>T31+W31*'Request3a(2)'!$AF$495</f>
        <v>16.282784248940626</v>
      </c>
      <c r="Z31" s="256">
        <f t="shared" si="4"/>
        <v>2002.782462619697</v>
      </c>
      <c r="AA31" s="257">
        <f t="shared" si="5"/>
        <v>17.562462619697044</v>
      </c>
      <c r="AB31" s="241">
        <f t="shared" si="7"/>
        <v>0.008846607741054946</v>
      </c>
      <c r="AC31" s="293">
        <f t="shared" si="6"/>
        <v>0.0015641959828613515</v>
      </c>
    </row>
    <row r="32" spans="4:29" ht="12.75">
      <c r="D32" t="s">
        <v>70</v>
      </c>
      <c r="E32">
        <v>143</v>
      </c>
      <c r="F32">
        <v>37</v>
      </c>
      <c r="G32" s="1">
        <v>15.62</v>
      </c>
      <c r="H32" s="3">
        <v>108</v>
      </c>
      <c r="I32" s="3">
        <v>3996</v>
      </c>
      <c r="J32" s="1">
        <v>1686.96</v>
      </c>
      <c r="O32" s="108"/>
      <c r="P32" s="18"/>
      <c r="Q32" t="s">
        <v>70</v>
      </c>
      <c r="R32">
        <v>143</v>
      </c>
      <c r="S32" s="3">
        <v>108</v>
      </c>
      <c r="T32" s="1">
        <v>15.62</v>
      </c>
      <c r="U32" s="32">
        <f t="shared" si="1"/>
        <v>1686.9599999999998</v>
      </c>
      <c r="V32" s="293">
        <f t="shared" si="2"/>
        <v>0.0013573697923619122</v>
      </c>
      <c r="W32">
        <v>37</v>
      </c>
      <c r="X32" s="3">
        <f t="shared" si="3"/>
        <v>3996</v>
      </c>
      <c r="Y32" s="240">
        <f>T32+W32*'Request3a(2)'!$AF$495</f>
        <v>15.762784248940626</v>
      </c>
      <c r="Z32" s="256">
        <f t="shared" si="4"/>
        <v>1702.3806988855877</v>
      </c>
      <c r="AA32" s="257">
        <f t="shared" si="5"/>
        <v>15.420698885587854</v>
      </c>
      <c r="AB32" s="241">
        <f t="shared" si="7"/>
        <v>0.009141117089668915</v>
      </c>
      <c r="AC32" s="293">
        <f t="shared" si="6"/>
        <v>0.001329578773629984</v>
      </c>
    </row>
    <row r="33" spans="4:29" ht="12.75">
      <c r="D33" t="s">
        <v>71</v>
      </c>
      <c r="E33">
        <v>153</v>
      </c>
      <c r="F33">
        <v>37</v>
      </c>
      <c r="G33" s="1">
        <v>13.16</v>
      </c>
      <c r="H33" s="3">
        <v>1022</v>
      </c>
      <c r="I33" s="3">
        <v>37537</v>
      </c>
      <c r="J33" s="1">
        <v>13350.82</v>
      </c>
      <c r="O33" s="108"/>
      <c r="P33" s="18"/>
      <c r="Q33" t="s">
        <v>71</v>
      </c>
      <c r="R33">
        <v>153</v>
      </c>
      <c r="S33" s="3">
        <v>1022</v>
      </c>
      <c r="T33" s="1">
        <v>13.16</v>
      </c>
      <c r="U33" s="32">
        <f t="shared" si="1"/>
        <v>13449.52</v>
      </c>
      <c r="V33" s="293">
        <f t="shared" si="2"/>
        <v>0.010821816859775802</v>
      </c>
      <c r="W33">
        <v>37</v>
      </c>
      <c r="X33" s="3">
        <f t="shared" si="3"/>
        <v>37814</v>
      </c>
      <c r="Y33" s="240">
        <f>T33+W33*'Request3a(2)'!$AF$495</f>
        <v>13.302784248940625</v>
      </c>
      <c r="Z33" s="256">
        <f t="shared" si="4"/>
        <v>13595.445502417318</v>
      </c>
      <c r="AA33" s="257">
        <f t="shared" si="5"/>
        <v>145.92550241731806</v>
      </c>
      <c r="AB33" s="241">
        <f t="shared" si="7"/>
        <v>0.010849866940776831</v>
      </c>
      <c r="AC33" s="293">
        <f t="shared" si="6"/>
        <v>0.010618198250185961</v>
      </c>
    </row>
    <row r="34" spans="4:29" ht="13.5" thickBot="1">
      <c r="D34" t="s">
        <v>72</v>
      </c>
      <c r="E34">
        <v>163</v>
      </c>
      <c r="F34">
        <v>159</v>
      </c>
      <c r="G34" s="1">
        <v>18.87</v>
      </c>
      <c r="H34" s="34">
        <v>5</v>
      </c>
      <c r="I34" s="34">
        <v>716</v>
      </c>
      <c r="J34" s="36">
        <v>84.92</v>
      </c>
      <c r="O34" s="108"/>
      <c r="P34" s="18"/>
      <c r="Q34" t="s">
        <v>192</v>
      </c>
      <c r="R34">
        <v>163</v>
      </c>
      <c r="S34" s="34">
        <v>5</v>
      </c>
      <c r="T34" s="1">
        <v>18.87</v>
      </c>
      <c r="U34" s="180">
        <f t="shared" si="1"/>
        <v>94.35000000000001</v>
      </c>
      <c r="V34" s="294">
        <f t="shared" si="2"/>
        <v>7.591634651049607E-05</v>
      </c>
      <c r="W34">
        <v>159</v>
      </c>
      <c r="X34" s="181">
        <f t="shared" si="3"/>
        <v>795</v>
      </c>
      <c r="Y34" s="240">
        <f>T34+W34*'Request3a(2)'!$AF$495</f>
        <v>19.48358636706918</v>
      </c>
      <c r="Z34" s="258">
        <f t="shared" si="4"/>
        <v>97.4179318353459</v>
      </c>
      <c r="AA34" s="180">
        <f t="shared" si="5"/>
        <v>3.067931835345888</v>
      </c>
      <c r="AB34" s="259">
        <f t="shared" si="7"/>
        <v>0.03251650063959599</v>
      </c>
      <c r="AC34" s="294">
        <f t="shared" si="6"/>
        <v>7.608451765459871E-05</v>
      </c>
    </row>
    <row r="35" spans="8:29" ht="12.75">
      <c r="H35" s="3"/>
      <c r="I35" s="3"/>
      <c r="J35" s="1"/>
      <c r="O35" s="108"/>
      <c r="P35" s="18"/>
      <c r="S35" s="18"/>
      <c r="T35" s="20"/>
      <c r="U35" s="25"/>
      <c r="V35" s="327"/>
      <c r="W35" s="25"/>
      <c r="X35" s="20"/>
      <c r="Y35" s="260"/>
      <c r="Z35" s="260"/>
      <c r="AB35" s="260"/>
      <c r="AC35" s="280"/>
    </row>
    <row r="36" spans="4:29" ht="13.5" thickBot="1">
      <c r="D36" t="s">
        <v>14</v>
      </c>
      <c r="H36" s="3">
        <f>SUM(H13:H34)</f>
        <v>184454</v>
      </c>
      <c r="I36" s="3">
        <f>SUM(I13:I34)</f>
        <v>9635624</v>
      </c>
      <c r="J36" s="1">
        <f>SUM(J13:J34)</f>
        <v>1230003.5700000003</v>
      </c>
      <c r="O36" s="108"/>
      <c r="P36" s="18"/>
      <c r="Q36" t="s">
        <v>14</v>
      </c>
      <c r="R36" s="18"/>
      <c r="S36" s="25">
        <f>SUM(S13:S34)</f>
        <v>184227</v>
      </c>
      <c r="T36" s="18"/>
      <c r="U36" s="33">
        <f>SUM(U13:U34)</f>
        <v>1242815.3400000003</v>
      </c>
      <c r="V36" s="294">
        <f>SUM(V13:V34)</f>
        <v>0.9999999999999998</v>
      </c>
      <c r="W36" s="25"/>
      <c r="X36" s="25">
        <f>SUM(X13:X34)</f>
        <v>9737065</v>
      </c>
      <c r="Y36" s="261"/>
      <c r="Z36" s="262">
        <f>SUM(Z13:Z34)</f>
        <v>1280391.0025111102</v>
      </c>
      <c r="AA36" s="262">
        <f>SUM(AA13:AA34)</f>
        <v>37575.66251110968</v>
      </c>
      <c r="AB36" s="263">
        <f>Z36/U36-1</f>
        <v>0.030234308590936676</v>
      </c>
      <c r="AC36" s="294">
        <f>SUM(AC13:AC34)</f>
        <v>0.9999999999999996</v>
      </c>
    </row>
    <row r="37" spans="15:28" ht="12.75">
      <c r="O37" s="108"/>
      <c r="P37" s="18"/>
      <c r="Q37" s="18"/>
      <c r="R37" s="18"/>
      <c r="S37" s="18"/>
      <c r="T37" s="18"/>
      <c r="U37" s="25"/>
      <c r="V37" s="25"/>
      <c r="W37" s="25"/>
      <c r="X37" s="20"/>
      <c r="Y37" s="260"/>
      <c r="Z37" s="260"/>
      <c r="AA37" s="260"/>
      <c r="AB37" s="260"/>
    </row>
    <row r="38" spans="15:28" ht="12.75">
      <c r="O38" s="108"/>
      <c r="Q38" s="35" t="s">
        <v>161</v>
      </c>
      <c r="U38" s="240">
        <f>U36/S36</f>
        <v>6.746108550863881</v>
      </c>
      <c r="V38" s="240"/>
      <c r="X38" s="34"/>
      <c r="Z38" s="240">
        <f>Z36/S36</f>
        <v>6.950072478578656</v>
      </c>
      <c r="AA38" s="240">
        <f>Z38-U38</f>
        <v>0.20396392771477512</v>
      </c>
      <c r="AB38" s="241">
        <f>Z38/U38-1</f>
        <v>0.030234308590936676</v>
      </c>
    </row>
    <row r="39" ht="12.75">
      <c r="O39" s="108"/>
    </row>
    <row r="40" spans="21:24" ht="12.75">
      <c r="U40" s="19"/>
      <c r="V40" s="19"/>
      <c r="X40" s="3"/>
    </row>
    <row r="48" ht="12.75">
      <c r="AD48" s="329"/>
    </row>
    <row r="49" ht="12.75">
      <c r="AD49" s="329"/>
    </row>
    <row r="50" ht="12.75">
      <c r="AD50" s="329"/>
    </row>
  </sheetData>
  <printOptions/>
  <pageMargins left="0.75" right="0.21" top="1" bottom="1" header="0.5" footer="0.5"/>
  <pageSetup fitToHeight="1" fitToWidth="1" horizontalDpi="600" verticalDpi="600" orientation="portrait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:N61"/>
  <sheetViews>
    <sheetView workbookViewId="0" topLeftCell="F16">
      <selection activeCell="F11" sqref="F11"/>
    </sheetView>
  </sheetViews>
  <sheetFormatPr defaultColWidth="9.140625" defaultRowHeight="12.75"/>
  <cols>
    <col min="6" max="6" width="53.7109375" style="0" customWidth="1"/>
    <col min="7" max="7" width="1.7109375" style="0" customWidth="1"/>
    <col min="8" max="8" width="13.00390625" style="0" customWidth="1"/>
    <col min="9" max="9" width="1.7109375" style="0" customWidth="1"/>
    <col min="10" max="10" width="13.00390625" style="0" customWidth="1"/>
    <col min="11" max="11" width="1.7109375" style="0" customWidth="1"/>
    <col min="12" max="12" width="13.00390625" style="0" customWidth="1"/>
    <col min="13" max="13" width="1.7109375" style="0" customWidth="1"/>
    <col min="14" max="14" width="13.00390625" style="0" customWidth="1"/>
  </cols>
  <sheetData>
    <row r="1" spans="6:14" ht="12.75">
      <c r="F1" s="332" t="s">
        <v>81</v>
      </c>
      <c r="G1" s="332"/>
      <c r="H1" s="332"/>
      <c r="I1" s="332"/>
      <c r="J1" s="332"/>
      <c r="K1" s="332"/>
      <c r="L1" s="332"/>
      <c r="M1" s="332"/>
      <c r="N1" s="332"/>
    </row>
    <row r="3" spans="6:14" ht="12.75">
      <c r="F3" s="332" t="s">
        <v>181</v>
      </c>
      <c r="G3" s="332"/>
      <c r="H3" s="332"/>
      <c r="I3" s="332"/>
      <c r="J3" s="332"/>
      <c r="K3" s="332"/>
      <c r="L3" s="332"/>
      <c r="M3" s="332"/>
      <c r="N3" s="332"/>
    </row>
    <row r="5" spans="6:14" ht="12.75">
      <c r="F5" s="332" t="s">
        <v>200</v>
      </c>
      <c r="G5" s="332"/>
      <c r="H5" s="332"/>
      <c r="I5" s="332"/>
      <c r="J5" s="332"/>
      <c r="K5" s="332"/>
      <c r="L5" s="332"/>
      <c r="M5" s="332"/>
      <c r="N5" s="332"/>
    </row>
    <row r="7" spans="6:14" ht="12.75">
      <c r="F7" s="233"/>
      <c r="H7" s="26" t="s">
        <v>198</v>
      </c>
      <c r="J7" s="26" t="s">
        <v>175</v>
      </c>
      <c r="L7" s="196"/>
      <c r="N7" s="196"/>
    </row>
    <row r="8" spans="6:14" ht="12.75">
      <c r="F8" s="234"/>
      <c r="H8" s="27" t="s">
        <v>199</v>
      </c>
      <c r="J8" s="27" t="s">
        <v>83</v>
      </c>
      <c r="L8" s="197"/>
      <c r="N8" s="197"/>
    </row>
    <row r="9" spans="6:14" ht="12.75">
      <c r="F9" s="202" t="s">
        <v>226</v>
      </c>
      <c r="H9" s="28" t="s">
        <v>100</v>
      </c>
      <c r="J9" s="28" t="s">
        <v>100</v>
      </c>
      <c r="L9" s="29" t="s">
        <v>188</v>
      </c>
      <c r="N9" s="28" t="s">
        <v>189</v>
      </c>
    </row>
    <row r="10" spans="6:14" ht="12.75">
      <c r="F10" s="196"/>
      <c r="H10" s="26"/>
      <c r="J10" s="26"/>
      <c r="L10" s="209"/>
      <c r="N10" s="196"/>
    </row>
    <row r="11" spans="6:14" ht="12.75">
      <c r="F11" s="203" t="str">
        <f>'Detailed Summary'!F16</f>
        <v>Rate 11: GS-1</v>
      </c>
      <c r="H11" s="205">
        <f>'Detailed Summary'!N16</f>
        <v>31326257.15596</v>
      </c>
      <c r="J11" s="205">
        <f>'Detailed Summary'!W16</f>
        <v>32879817.00974173</v>
      </c>
      <c r="L11" s="205">
        <f>J11-H11</f>
        <v>1553559.85378173</v>
      </c>
      <c r="N11" s="210">
        <f>J11/H11-1</f>
        <v>0.049592897295301475</v>
      </c>
    </row>
    <row r="12" spans="6:14" ht="12.75">
      <c r="F12" s="203" t="str">
        <f>'Detailed Summary'!F17</f>
        <v>Rate 12: Schedule R</v>
      </c>
      <c r="H12" s="205">
        <f>'Detailed Summary'!N17</f>
        <v>14018608.15461</v>
      </c>
      <c r="J12" s="205">
        <f>'Detailed Summary'!W17</f>
        <v>14669641.856386416</v>
      </c>
      <c r="L12" s="205">
        <f aca="true" t="shared" si="0" ref="L12:L35">J12-H12</f>
        <v>651033.7017764151</v>
      </c>
      <c r="N12" s="210">
        <f aca="true" t="shared" si="1" ref="N12:N35">J12/H12-1</f>
        <v>0.04644068045816119</v>
      </c>
    </row>
    <row r="13" spans="6:14" ht="12.75">
      <c r="F13" s="203" t="str">
        <f>'Detailed Summary'!F18</f>
        <v>Rate 13: Schedule A - Rate 1</v>
      </c>
      <c r="H13" s="205">
        <f>'Detailed Summary'!N18</f>
        <v>16223639.492800003</v>
      </c>
      <c r="J13" s="205">
        <f>'Detailed Summary'!W18</f>
        <v>16928384.820821285</v>
      </c>
      <c r="L13" s="205">
        <f t="shared" si="0"/>
        <v>704745.3280212823</v>
      </c>
      <c r="N13" s="210">
        <f t="shared" si="1"/>
        <v>0.04343941002473861</v>
      </c>
    </row>
    <row r="14" spans="6:14" ht="12.75">
      <c r="F14" s="203" t="str">
        <f>'Detailed Summary'!F19</f>
        <v>Rate 16: GS-2</v>
      </c>
      <c r="H14" s="205">
        <f>'Detailed Summary'!N19</f>
        <v>34727.10172</v>
      </c>
      <c r="J14" s="205">
        <f>'Detailed Summary'!W19</f>
        <v>36396.0799047427</v>
      </c>
      <c r="L14" s="205">
        <f t="shared" si="0"/>
        <v>1668.9781847427003</v>
      </c>
      <c r="N14" s="210">
        <f t="shared" si="1"/>
        <v>0.04805981789668046</v>
      </c>
    </row>
    <row r="15" spans="6:14" ht="12.75">
      <c r="F15" s="203" t="str">
        <f>'Detailed Summary'!F20</f>
        <v>Rate 17: Schedule R-2</v>
      </c>
      <c r="H15" s="205">
        <f>'Detailed Summary'!N20</f>
        <v>8617.7216</v>
      </c>
      <c r="J15" s="205">
        <f>'Detailed Summary'!W20</f>
        <v>9015.626799708125</v>
      </c>
      <c r="L15" s="205">
        <f t="shared" si="0"/>
        <v>397.9051997081242</v>
      </c>
      <c r="N15" s="210">
        <f t="shared" si="1"/>
        <v>0.046172900237125836</v>
      </c>
    </row>
    <row r="16" spans="6:14" ht="12.75">
      <c r="F16" s="203" t="str">
        <f>'Detailed Summary'!F21</f>
        <v>Rate 18: Rate 1 ETS</v>
      </c>
      <c r="H16" s="205">
        <f>'Detailed Summary'!N21</f>
        <v>110057.03873999999</v>
      </c>
      <c r="J16" s="205">
        <f>'Detailed Summary'!W21</f>
        <v>114967.82771447994</v>
      </c>
      <c r="L16" s="205">
        <f t="shared" si="0"/>
        <v>4910.788974479947</v>
      </c>
      <c r="N16" s="210">
        <f t="shared" si="1"/>
        <v>0.044620398937693206</v>
      </c>
    </row>
    <row r="17" spans="6:14" ht="12.75">
      <c r="F17" s="203" t="str">
        <f>'Detailed Summary'!F22</f>
        <v>Rate 21: C1</v>
      </c>
      <c r="H17" s="205">
        <f>'Detailed Summary'!N22</f>
        <v>2434233.84787</v>
      </c>
      <c r="J17" s="205">
        <f>'Detailed Summary'!W22</f>
        <v>2523852.304536909</v>
      </c>
      <c r="L17" s="205">
        <f t="shared" si="0"/>
        <v>89618.45666690869</v>
      </c>
      <c r="N17" s="210">
        <f t="shared" si="1"/>
        <v>0.03681587812334741</v>
      </c>
    </row>
    <row r="18" spans="6:14" ht="12.75">
      <c r="F18" s="203" t="str">
        <f>'Detailed Summary'!F23</f>
        <v>Rate 22: C-1</v>
      </c>
      <c r="H18" s="205">
        <f>'Detailed Summary'!N23</f>
        <v>769428.1330300001</v>
      </c>
      <c r="J18" s="205">
        <f>'Detailed Summary'!W23</f>
        <v>804031.0506323685</v>
      </c>
      <c r="L18" s="205">
        <f t="shared" si="0"/>
        <v>34602.9176023684</v>
      </c>
      <c r="N18" s="210">
        <f t="shared" si="1"/>
        <v>0.04497225421964024</v>
      </c>
    </row>
    <row r="19" spans="6:14" ht="12.75">
      <c r="F19" s="203" t="str">
        <f>'Detailed Summary'!F24</f>
        <v>Rate 23: Schedule C</v>
      </c>
      <c r="H19" s="205">
        <f>'Detailed Summary'!N24</f>
        <v>528468.02348</v>
      </c>
      <c r="J19" s="205">
        <f>'Detailed Summary'!W24</f>
        <v>549786.128622481</v>
      </c>
      <c r="L19" s="205">
        <f t="shared" si="0"/>
        <v>21318.105142481043</v>
      </c>
      <c r="N19" s="210">
        <f t="shared" si="1"/>
        <v>0.04033944192517036</v>
      </c>
    </row>
    <row r="20" spans="6:14" ht="12.75">
      <c r="F20" s="203" t="str">
        <f>'Detailed Summary'!F25</f>
        <v>Rate 24: Schedule C</v>
      </c>
      <c r="H20" s="205">
        <f>'Detailed Summary'!N25</f>
        <v>285980.83167</v>
      </c>
      <c r="J20" s="205">
        <f>'Detailed Summary'!W25</f>
        <v>298258.4749101302</v>
      </c>
      <c r="L20" s="205">
        <f t="shared" si="0"/>
        <v>12277.643240130215</v>
      </c>
      <c r="N20" s="210">
        <f t="shared" si="1"/>
        <v>0.04293169989203216</v>
      </c>
    </row>
    <row r="21" spans="6:14" ht="12.75">
      <c r="F21" s="203" t="str">
        <f>'Detailed Summary'!F26</f>
        <v>Rate 25: Comm &amp; Sm Pwr - Rate 2</v>
      </c>
      <c r="H21" s="205">
        <f>'Detailed Summary'!N26</f>
        <v>298364.06427000003</v>
      </c>
      <c r="J21" s="205">
        <f>'Detailed Summary'!W26</f>
        <v>311124.12531986175</v>
      </c>
      <c r="L21" s="205">
        <f t="shared" si="0"/>
        <v>12760.061049861717</v>
      </c>
      <c r="N21" s="210">
        <f t="shared" si="1"/>
        <v>0.04276674900873689</v>
      </c>
    </row>
    <row r="22" spans="6:14" ht="12.75">
      <c r="F22" s="203" t="str">
        <f>'Detailed Summary'!F27</f>
        <v>Rate 26: Comm &amp; Sm Pwr - Rate 2</v>
      </c>
      <c r="H22" s="205">
        <f>'Detailed Summary'!N27</f>
        <v>287237.52184000006</v>
      </c>
      <c r="J22" s="205">
        <f>'Detailed Summary'!W27</f>
        <v>297414.00995822623</v>
      </c>
      <c r="L22" s="205">
        <f t="shared" si="0"/>
        <v>10176.488118226174</v>
      </c>
      <c r="N22" s="210">
        <f t="shared" si="1"/>
        <v>0.035428825778182294</v>
      </c>
    </row>
    <row r="23" spans="6:14" ht="12.75">
      <c r="F23" s="203" t="str">
        <f>'Detailed Summary'!F28</f>
        <v>Rate 31: LP1</v>
      </c>
      <c r="H23" s="205">
        <f>'Detailed Summary'!N28</f>
        <v>3012827.06624</v>
      </c>
      <c r="J23" s="205">
        <f>'Detailed Summary'!W28</f>
        <v>3174371.1935251756</v>
      </c>
      <c r="L23" s="205">
        <f t="shared" si="0"/>
        <v>161544.1272851755</v>
      </c>
      <c r="N23" s="210">
        <f t="shared" si="1"/>
        <v>0.053618785191936746</v>
      </c>
    </row>
    <row r="24" spans="6:14" ht="12.75">
      <c r="F24" s="203" t="str">
        <f>'Detailed Summary'!F29</f>
        <v>Rate 32: LP2</v>
      </c>
      <c r="H24" s="205">
        <f>'Detailed Summary'!N29</f>
        <v>3919596.7104400005</v>
      </c>
      <c r="J24" s="205">
        <f>'Detailed Summary'!W29</f>
        <v>4159152.5441702874</v>
      </c>
      <c r="L24" s="205">
        <f t="shared" si="0"/>
        <v>239555.83373028692</v>
      </c>
      <c r="N24" s="210">
        <f t="shared" si="1"/>
        <v>0.061117469838726235</v>
      </c>
    </row>
    <row r="25" spans="6:14" ht="12.75">
      <c r="F25" s="203" t="str">
        <f>'Detailed Summary'!F30</f>
        <v>Rate 33: Schedule L</v>
      </c>
      <c r="H25" s="205">
        <f>'Detailed Summary'!N30</f>
        <v>209815.45758</v>
      </c>
      <c r="J25" s="205">
        <f>'Detailed Summary'!W30</f>
        <v>218987.69004895427</v>
      </c>
      <c r="L25" s="205">
        <f t="shared" si="0"/>
        <v>9172.232468954287</v>
      </c>
      <c r="N25" s="210">
        <f t="shared" si="1"/>
        <v>0.04371571367880289</v>
      </c>
    </row>
    <row r="26" spans="6:14" ht="12.75">
      <c r="F26" s="203" t="str">
        <f>'Detailed Summary'!F31</f>
        <v>Rate 35: Schedule N</v>
      </c>
      <c r="H26" s="205">
        <f>'Detailed Summary'!N31</f>
        <v>169451.90944000002</v>
      </c>
      <c r="J26" s="205">
        <f>'Detailed Summary'!W31</f>
        <v>178460.87776787506</v>
      </c>
      <c r="L26" s="205">
        <f t="shared" si="0"/>
        <v>9008.968327875045</v>
      </c>
      <c r="N26" s="210">
        <f t="shared" si="1"/>
        <v>0.05316533969813397</v>
      </c>
    </row>
    <row r="27" spans="6:14" ht="12.75">
      <c r="F27" s="203" t="str">
        <f>'Detailed Summary'!F32</f>
        <v>Rate 39: Lrg Pwr Srvc - Rate 8</v>
      </c>
      <c r="H27" s="205">
        <f>'Detailed Summary'!N32</f>
        <v>576645.5850800001</v>
      </c>
      <c r="J27" s="205">
        <f>'Detailed Summary'!W32</f>
        <v>604073.482261123</v>
      </c>
      <c r="L27" s="205">
        <f t="shared" si="0"/>
        <v>27427.897181122913</v>
      </c>
      <c r="N27" s="210">
        <f t="shared" si="1"/>
        <v>0.04756456633118544</v>
      </c>
    </row>
    <row r="28" spans="6:14" ht="12.75">
      <c r="F28" s="203" t="str">
        <f>'Detailed Summary'!F33</f>
        <v>Rate 40: Large Ind  - Rate 8</v>
      </c>
      <c r="H28" s="205">
        <f>'Detailed Summary'!N33</f>
        <v>325858.4416</v>
      </c>
      <c r="J28" s="205">
        <f>'Detailed Summary'!W33</f>
        <v>343136.10752856685</v>
      </c>
      <c r="L28" s="205">
        <f t="shared" si="0"/>
        <v>17277.66592856683</v>
      </c>
      <c r="N28" s="210">
        <f t="shared" si="1"/>
        <v>0.053021998889246635</v>
      </c>
    </row>
    <row r="29" spans="6:14" ht="12.75">
      <c r="F29" s="203" t="str">
        <f>'Detailed Summary'!F34</f>
        <v>Rate 44: Large Ind - Rate B-2</v>
      </c>
      <c r="H29" s="205">
        <f>'Detailed Summary'!N34</f>
        <v>1127710.9139999999</v>
      </c>
      <c r="J29" s="205">
        <f>'Detailed Summary'!W34</f>
        <v>1218910.914</v>
      </c>
      <c r="L29" s="205">
        <f t="shared" si="0"/>
        <v>91200.00000000023</v>
      </c>
      <c r="N29" s="210">
        <f t="shared" si="1"/>
        <v>0.08087178980693999</v>
      </c>
    </row>
    <row r="30" spans="6:14" ht="12.75">
      <c r="F30" s="203" t="str">
        <f>'Detailed Summary'!F35</f>
        <v>Rate 45: Large Ind - Rate B-2</v>
      </c>
      <c r="H30" s="205">
        <f>'Detailed Summary'!N35</f>
        <v>1991254.442</v>
      </c>
      <c r="J30" s="205">
        <f>'Detailed Summary'!W35</f>
        <v>2109435.202</v>
      </c>
      <c r="L30" s="205">
        <f t="shared" si="0"/>
        <v>118180.76000000001</v>
      </c>
      <c r="N30" s="210">
        <f t="shared" si="1"/>
        <v>0.05934990401392404</v>
      </c>
    </row>
    <row r="31" spans="6:14" ht="12.75">
      <c r="F31" s="203" t="str">
        <f>'Detailed Summary'!F36</f>
        <v>Rate 46: B-1</v>
      </c>
      <c r="H31" s="205">
        <f>'Detailed Summary'!N36</f>
        <v>1217390.12816</v>
      </c>
      <c r="J31" s="205">
        <f>'Detailed Summary'!W36</f>
        <v>1284529.26536</v>
      </c>
      <c r="L31" s="205">
        <f t="shared" si="0"/>
        <v>67139.1372</v>
      </c>
      <c r="N31" s="210">
        <f t="shared" si="1"/>
        <v>0.05515005884060864</v>
      </c>
    </row>
    <row r="32" spans="6:14" ht="12.75">
      <c r="F32" s="203" t="str">
        <f>'Detailed Summary'!F37</f>
        <v>Rate 47: Large Ind B-2</v>
      </c>
      <c r="H32" s="205">
        <f>'Detailed Summary'!N37</f>
        <v>1162922.9799999997</v>
      </c>
      <c r="J32" s="205">
        <f>'Detailed Summary'!W37</f>
        <v>1256402.9799999997</v>
      </c>
      <c r="L32" s="205">
        <f t="shared" si="0"/>
        <v>93480</v>
      </c>
      <c r="N32" s="210">
        <f t="shared" si="1"/>
        <v>0.08038365533029546</v>
      </c>
    </row>
    <row r="33" spans="6:14" ht="12.75">
      <c r="F33" s="203" t="str">
        <f>'Detailed Summary'!F38</f>
        <v>Rate 48: Large Ind Rate B-2</v>
      </c>
      <c r="H33" s="205">
        <f>'Detailed Summary'!N38</f>
        <v>1922356.1720000003</v>
      </c>
      <c r="J33" s="205">
        <f>'Detailed Summary'!W38</f>
        <v>2058785.6720000003</v>
      </c>
      <c r="L33" s="205">
        <f t="shared" si="0"/>
        <v>136429.5</v>
      </c>
      <c r="N33" s="210">
        <f t="shared" si="1"/>
        <v>0.07096993886312974</v>
      </c>
    </row>
    <row r="34" spans="6:14" ht="12.75">
      <c r="F34" s="203" t="str">
        <f>'Detailed Summary'!F39</f>
        <v>Rate 49: Large Ind Rate B-2</v>
      </c>
      <c r="H34" s="205">
        <f>'Detailed Summary'!N39</f>
        <v>2236000.29488</v>
      </c>
      <c r="J34" s="205">
        <f>'Detailed Summary'!W39</f>
        <v>2378971.46448</v>
      </c>
      <c r="L34" s="205">
        <f t="shared" si="0"/>
        <v>142971.16960000014</v>
      </c>
      <c r="N34" s="210">
        <f t="shared" si="1"/>
        <v>0.0639405862008946</v>
      </c>
    </row>
    <row r="35" spans="6:14" ht="12.75">
      <c r="F35" s="207" t="str">
        <f>'Detailed Summary'!F40</f>
        <v>Rate 50: Large Pwr Srvc, LPR 2 - Rate 8</v>
      </c>
      <c r="H35" s="206">
        <f>'Detailed Summary'!N40</f>
        <v>3112227.55493</v>
      </c>
      <c r="J35" s="206">
        <f>'Detailed Summary'!W40</f>
        <v>3296588.70263</v>
      </c>
      <c r="L35" s="206">
        <f t="shared" si="0"/>
        <v>184361.1477000001</v>
      </c>
      <c r="N35" s="211">
        <f t="shared" si="1"/>
        <v>0.059237682478570086</v>
      </c>
    </row>
    <row r="36" spans="6:14" ht="12.75">
      <c r="F36" s="204" t="str">
        <f>'Detailed Summary'!F41</f>
        <v>Total - Excluding Lights</v>
      </c>
      <c r="H36" s="206">
        <f>SUM(H11:H35)</f>
        <v>87309676.74394001</v>
      </c>
      <c r="J36" s="208">
        <f>SUM(J11:J35)</f>
        <v>91704495.41112036</v>
      </c>
      <c r="L36" s="206">
        <f>SUM(L11:L35)</f>
        <v>4394818.6671803165</v>
      </c>
      <c r="N36" s="212">
        <f>J36/H36-1</f>
        <v>0.05033598601068445</v>
      </c>
    </row>
    <row r="37" spans="6:14" ht="5.25" customHeight="1">
      <c r="F37" s="216"/>
      <c r="H37" s="217"/>
      <c r="J37" s="217"/>
      <c r="L37" s="217"/>
      <c r="N37" s="217"/>
    </row>
    <row r="38" spans="6:14" ht="12.75">
      <c r="F38" s="213" t="str">
        <f>'Detailed Summary'!F43</f>
        <v>Lights:</v>
      </c>
      <c r="H38" s="196"/>
      <c r="J38" s="196"/>
      <c r="L38" s="196"/>
      <c r="N38" s="196"/>
    </row>
    <row r="39" spans="6:14" ht="12.75">
      <c r="F39" s="203" t="str">
        <f>'Detailed Summary'!F44</f>
        <v>175 WATT MERCURY VAPOR</v>
      </c>
      <c r="H39" s="205">
        <f>'Detailed Summary'!N44</f>
        <v>26919.199999999997</v>
      </c>
      <c r="J39" s="205">
        <f>'Detailed Summary'!W44</f>
        <v>28356.304170418625</v>
      </c>
      <c r="L39" s="205">
        <f>J39-H39</f>
        <v>1437.1041704186282</v>
      </c>
      <c r="N39" s="210">
        <f>J39/H39-1</f>
        <v>0.05338584246257794</v>
      </c>
    </row>
    <row r="40" spans="6:14" ht="12.75">
      <c r="F40" s="203" t="str">
        <f>'Detailed Summary'!F45</f>
        <v>175 WATT MERCURY VAPOR</v>
      </c>
      <c r="H40" s="205">
        <f>'Detailed Summary'!N45</f>
        <v>474348.02</v>
      </c>
      <c r="J40" s="205">
        <f>'Detailed Summary'!W45</f>
        <v>489515.8209674775</v>
      </c>
      <c r="L40" s="205">
        <f aca="true" t="shared" si="2" ref="L40:L58">J40-H40</f>
        <v>15167.800967477495</v>
      </c>
      <c r="N40" s="210">
        <f aca="true" t="shared" si="3" ref="N40:N58">J40/H40-1</f>
        <v>0.03197610262498296</v>
      </c>
    </row>
    <row r="41" spans="6:14" ht="12.75">
      <c r="F41" s="203" t="str">
        <f>'Detailed Summary'!F46</f>
        <v>400 WATT MERCURY VAPOR</v>
      </c>
      <c r="H41" s="205">
        <f>'Detailed Summary'!N46</f>
        <v>6175.070000000001</v>
      </c>
      <c r="J41" s="205">
        <f>'Detailed Summary'!W46</f>
        <v>6667.77985275655</v>
      </c>
      <c r="L41" s="205">
        <f t="shared" si="2"/>
        <v>492.7098527565495</v>
      </c>
      <c r="N41" s="210">
        <f t="shared" si="3"/>
        <v>0.0797901647684236</v>
      </c>
    </row>
    <row r="42" spans="6:14" ht="12.75">
      <c r="F42" s="203" t="str">
        <f>'Detailed Summary'!F47</f>
        <v>400 WATT MERCURY VAPOR</v>
      </c>
      <c r="H42" s="205">
        <f>'Detailed Summary'!N47</f>
        <v>10725.3</v>
      </c>
      <c r="J42" s="205">
        <f>'Detailed Summary'!W47</f>
        <v>11179.932766694465</v>
      </c>
      <c r="L42" s="205">
        <f t="shared" si="2"/>
        <v>454.6327666944653</v>
      </c>
      <c r="N42" s="210">
        <f t="shared" si="3"/>
        <v>0.04238881585545062</v>
      </c>
    </row>
    <row r="43" spans="6:14" ht="12.75">
      <c r="F43" s="203" t="str">
        <f>'Detailed Summary'!F48</f>
        <v>100 WATT HIGH PRESSURE SODIUM</v>
      </c>
      <c r="H43" s="205">
        <f>'Detailed Summary'!N48</f>
        <v>461894.94</v>
      </c>
      <c r="J43" s="205">
        <f>'Detailed Summary'!W48</f>
        <v>474750.9482061161</v>
      </c>
      <c r="L43" s="205">
        <f t="shared" si="2"/>
        <v>12856.008206116094</v>
      </c>
      <c r="N43" s="210">
        <f t="shared" si="3"/>
        <v>0.0278331869279973</v>
      </c>
    </row>
    <row r="44" spans="6:14" ht="12.75">
      <c r="F44" s="203" t="str">
        <f>'Detailed Summary'!F49</f>
        <v>175 WATT MERCURY VAPOR -SEPARATE TRANSFORMER</v>
      </c>
      <c r="H44" s="205">
        <f>'Detailed Summary'!N49</f>
        <v>1500.93</v>
      </c>
      <c r="J44" s="205">
        <f>'Detailed Summary'!W49</f>
        <v>1544.0315480112934</v>
      </c>
      <c r="L44" s="205">
        <f t="shared" si="2"/>
        <v>43.10154801129329</v>
      </c>
      <c r="N44" s="210">
        <f t="shared" si="3"/>
        <v>0.028716561072996916</v>
      </c>
    </row>
    <row r="45" spans="6:14" ht="12.75">
      <c r="F45" s="203" t="str">
        <f>'Detailed Summary'!F50</f>
        <v>70 WATT HIGH PRESSURE SODIUM - ORNAMENTAL</v>
      </c>
      <c r="H45" s="205">
        <f>'Detailed Summary'!N50</f>
        <v>43638.96</v>
      </c>
      <c r="J45" s="205">
        <f>'Detailed Summary'!W50</f>
        <v>44382.395134862534</v>
      </c>
      <c r="L45" s="205">
        <f t="shared" si="2"/>
        <v>743.435134862535</v>
      </c>
      <c r="N45" s="210">
        <f t="shared" si="3"/>
        <v>0.017036041529462143</v>
      </c>
    </row>
    <row r="46" spans="6:14" ht="12.75">
      <c r="F46" s="203" t="str">
        <f>'Detailed Summary'!F51</f>
        <v>400 WATT MERCURY VAPOR -SEPARATE TRANSFORMER</v>
      </c>
      <c r="H46" s="205">
        <f>'Detailed Summary'!N51</f>
        <v>540.72</v>
      </c>
      <c r="J46" s="205">
        <f>'Detailed Summary'!W51</f>
        <v>562.1144831385631</v>
      </c>
      <c r="L46" s="205">
        <f t="shared" si="2"/>
        <v>21.394483138563032</v>
      </c>
      <c r="N46" s="210">
        <f t="shared" si="3"/>
        <v>0.03956665767599321</v>
      </c>
    </row>
    <row r="47" spans="6:14" ht="12.75">
      <c r="F47" s="203" t="str">
        <f>'Detailed Summary'!F52</f>
        <v>100 WATT HIGH PRESSURE SODIUM - ORNAMENTAL</v>
      </c>
      <c r="H47" s="205">
        <f>'Detailed Summary'!N52</f>
        <v>46344.24</v>
      </c>
      <c r="J47" s="205">
        <f>'Detailed Summary'!W52</f>
        <v>47326.02449571575</v>
      </c>
      <c r="L47" s="205">
        <f t="shared" si="2"/>
        <v>981.7844957157504</v>
      </c>
      <c r="N47" s="210">
        <f t="shared" si="3"/>
        <v>0.021184606667748795</v>
      </c>
    </row>
    <row r="48" spans="6:14" ht="12.75">
      <c r="F48" s="203" t="str">
        <f>'Detailed Summary'!F53</f>
        <v>250 WATT HIGH PRESSURE SODIUM - ORNAMENTAL</v>
      </c>
      <c r="H48" s="205">
        <f>'Detailed Summary'!N53</f>
        <v>22283.25</v>
      </c>
      <c r="J48" s="205">
        <f>'Detailed Summary'!W53</f>
        <v>23231.484056248453</v>
      </c>
      <c r="L48" s="205">
        <f t="shared" si="2"/>
        <v>948.2340562484533</v>
      </c>
      <c r="N48" s="210">
        <f t="shared" si="3"/>
        <v>0.042553669516271375</v>
      </c>
    </row>
    <row r="49" spans="6:14" ht="12.75">
      <c r="F49" s="203" t="str">
        <f>'Detailed Summary'!F54</f>
        <v>250 WATT HIGH PRESSURE SODIUM</v>
      </c>
      <c r="H49" s="205">
        <f>'Detailed Summary'!N54</f>
        <v>16041.359999999999</v>
      </c>
      <c r="J49" s="205">
        <f>'Detailed Summary'!W54</f>
        <v>16882.13540230249</v>
      </c>
      <c r="L49" s="205">
        <f t="shared" si="2"/>
        <v>840.7754023024918</v>
      </c>
      <c r="N49" s="210">
        <f t="shared" si="3"/>
        <v>0.052412975103263815</v>
      </c>
    </row>
    <row r="50" spans="6:14" ht="12.75">
      <c r="F50" s="203" t="str">
        <f>'Detailed Summary'!F55</f>
        <v>200 WATT HIGH PRESSURE SODIUM - COBRA HEAD</v>
      </c>
      <c r="H50" s="205">
        <f>'Detailed Summary'!N55</f>
        <v>10255.74</v>
      </c>
      <c r="J50" s="205">
        <f>'Detailed Summary'!W55</f>
        <v>10548.13126956036</v>
      </c>
      <c r="L50" s="205">
        <f t="shared" si="2"/>
        <v>292.39126956035943</v>
      </c>
      <c r="N50" s="210">
        <f t="shared" si="3"/>
        <v>0.028510011911413446</v>
      </c>
    </row>
    <row r="51" spans="6:14" ht="12.75">
      <c r="F51" s="203" t="str">
        <f>'Detailed Summary'!F56</f>
        <v>70 WATT HIGH PRESSURE SODIUM - COLONIAL</v>
      </c>
      <c r="H51" s="205">
        <f>'Detailed Summary'!N56</f>
        <v>44775.96</v>
      </c>
      <c r="J51" s="205">
        <f>'Detailed Summary'!W56</f>
        <v>45273.35857876906</v>
      </c>
      <c r="L51" s="205">
        <f t="shared" si="2"/>
        <v>497.3985787690617</v>
      </c>
      <c r="N51" s="210">
        <f t="shared" si="3"/>
        <v>0.01110860780581957</v>
      </c>
    </row>
    <row r="52" spans="6:14" ht="12.75">
      <c r="F52" s="203" t="str">
        <f>'Detailed Summary'!F57</f>
        <v>400 WATT METAL HALIDE DIRECTIONAL FLOOD</v>
      </c>
      <c r="H52" s="205">
        <f>'Detailed Summary'!N57</f>
        <v>37584.54</v>
      </c>
      <c r="J52" s="205">
        <f>'Detailed Summary'!W57</f>
        <v>39605.693493125866</v>
      </c>
      <c r="L52" s="205">
        <f t="shared" si="2"/>
        <v>2021.1534931258648</v>
      </c>
      <c r="N52" s="210">
        <f t="shared" si="3"/>
        <v>0.053776193432881314</v>
      </c>
    </row>
    <row r="53" spans="6:14" ht="12.75">
      <c r="F53" s="203" t="str">
        <f>'Detailed Summary'!F58</f>
        <v>400 WATT HIGH PRESSURE SODIUM DIRECTIONAL FLOOD</v>
      </c>
      <c r="H53" s="205">
        <f>'Detailed Summary'!N58</f>
        <v>6630.5199999999995</v>
      </c>
      <c r="J53" s="205">
        <f>'Detailed Summary'!W58</f>
        <v>6957.56153364787</v>
      </c>
      <c r="L53" s="205">
        <f t="shared" si="2"/>
        <v>327.0415336478709</v>
      </c>
      <c r="N53" s="210">
        <f t="shared" si="3"/>
        <v>0.04932366294768298</v>
      </c>
    </row>
    <row r="54" spans="6:14" ht="12.75">
      <c r="F54" s="203" t="str">
        <f>'Detailed Summary'!F59</f>
        <v>100 WATT HIGH PRESSURE SODIUM - COBRA HEAD</v>
      </c>
      <c r="H54" s="205">
        <f>'Detailed Summary'!N59</f>
        <v>15940.54</v>
      </c>
      <c r="J54" s="205">
        <f>'Detailed Summary'!W59</f>
        <v>16209.259956506261</v>
      </c>
      <c r="L54" s="205">
        <f t="shared" si="2"/>
        <v>268.71995650626013</v>
      </c>
      <c r="N54" s="210">
        <f t="shared" si="3"/>
        <v>0.016857644503025737</v>
      </c>
    </row>
    <row r="55" spans="6:14" ht="12.75">
      <c r="F55" s="203" t="str">
        <f>'Detailed Summary'!F60</f>
        <v>100 WATT HIGH PRESSURE SODIUM - SHOEBOX FIXTURE</v>
      </c>
      <c r="H55" s="205">
        <f>'Detailed Summary'!N60</f>
        <v>1985.22</v>
      </c>
      <c r="J55" s="205">
        <f>'Detailed Summary'!W60</f>
        <v>2002.782462619697</v>
      </c>
      <c r="L55" s="205">
        <f t="shared" si="2"/>
        <v>17.562462619697044</v>
      </c>
      <c r="N55" s="210">
        <f t="shared" si="3"/>
        <v>0.008846607741054946</v>
      </c>
    </row>
    <row r="56" spans="6:14" ht="12.75">
      <c r="F56" s="203" t="str">
        <f>'Detailed Summary'!F61</f>
        <v>100 WATT HIGH PRESSURE SODIUM - ACORN FIXTURE</v>
      </c>
      <c r="H56" s="205">
        <f>'Detailed Summary'!N61</f>
        <v>1686.9599999999998</v>
      </c>
      <c r="J56" s="205">
        <f>'Detailed Summary'!W61</f>
        <v>1702.3806988855877</v>
      </c>
      <c r="L56" s="205">
        <f t="shared" si="2"/>
        <v>15.420698885587854</v>
      </c>
      <c r="N56" s="210">
        <f t="shared" si="3"/>
        <v>0.009141117089668915</v>
      </c>
    </row>
    <row r="57" spans="6:14" ht="12.75">
      <c r="F57" s="203" t="str">
        <f>'Detailed Summary'!F62</f>
        <v>100 WATT HIGH PRESSURE SODIUM - COLONIAL FIXTURE</v>
      </c>
      <c r="H57" s="205">
        <f>'Detailed Summary'!N62</f>
        <v>13449.52</v>
      </c>
      <c r="J57" s="205">
        <f>'Detailed Summary'!W62</f>
        <v>13595.445502417318</v>
      </c>
      <c r="L57" s="205">
        <f t="shared" si="2"/>
        <v>145.92550241731806</v>
      </c>
      <c r="N57" s="210">
        <f t="shared" si="3"/>
        <v>0.010849866940776831</v>
      </c>
    </row>
    <row r="58" spans="6:14" ht="12.75">
      <c r="F58" s="207" t="str">
        <f>'Detailed Summary'!F63</f>
        <v>400 WATT HIGH PRESSURE SODIUM - COBRA HEAD</v>
      </c>
      <c r="H58" s="206">
        <f>'Detailed Summary'!N63</f>
        <v>94.35000000000001</v>
      </c>
      <c r="J58" s="206">
        <f>'Detailed Summary'!W63</f>
        <v>97.4179318353459</v>
      </c>
      <c r="L58" s="206">
        <f t="shared" si="2"/>
        <v>3.067931835345888</v>
      </c>
      <c r="N58" s="211">
        <f t="shared" si="3"/>
        <v>0.03251650063959599</v>
      </c>
    </row>
    <row r="59" spans="6:14" ht="12.75">
      <c r="F59" s="214" t="str">
        <f>'Detailed Summary'!F64</f>
        <v>Total - Lights</v>
      </c>
      <c r="H59" s="208">
        <f>SUM(H39:H58)</f>
        <v>1242815.3400000003</v>
      </c>
      <c r="J59" s="208">
        <f>SUM(J39:J58)</f>
        <v>1280391.0025111102</v>
      </c>
      <c r="L59" s="208">
        <f>SUM(L39:L58)</f>
        <v>37575.66251110968</v>
      </c>
      <c r="N59" s="215">
        <f>J59/H59-1</f>
        <v>0.030234308590936676</v>
      </c>
    </row>
    <row r="60" spans="6:14" ht="6" customHeight="1">
      <c r="F60" s="196"/>
      <c r="H60" s="196"/>
      <c r="J60" s="196"/>
      <c r="L60" s="196"/>
      <c r="N60" s="26"/>
    </row>
    <row r="61" spans="6:14" ht="12.75">
      <c r="F61" s="204" t="str">
        <f>'Detailed Summary'!F66</f>
        <v>Grand Total</v>
      </c>
      <c r="H61" s="206">
        <f>H36+H59</f>
        <v>88552492.08394001</v>
      </c>
      <c r="J61" s="206">
        <f>J36+J59</f>
        <v>92984886.41363147</v>
      </c>
      <c r="L61" s="206">
        <f>L36+L59</f>
        <v>4432394.329691426</v>
      </c>
      <c r="N61" s="211">
        <f>J61/H61-1</f>
        <v>0.050053863255366426</v>
      </c>
    </row>
  </sheetData>
  <mergeCells count="3">
    <mergeCell ref="F1:N1"/>
    <mergeCell ref="F3:N3"/>
    <mergeCell ref="F5:N5"/>
  </mergeCells>
  <printOptions horizontalCentered="1"/>
  <pageMargins left="0.75" right="0.75" top="1" bottom="1" header="0.5" footer="0.5"/>
  <pageSetup horizontalDpi="600" verticalDpi="600" orientation="portrait" scale="80" r:id="rId1"/>
  <headerFooter alignWithMargins="0">
    <oddHeader>&amp;REXHIBIT III
Page 1 of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9:AI66"/>
  <sheetViews>
    <sheetView workbookViewId="0" topLeftCell="F7">
      <selection activeCell="F9" sqref="F9:Z9"/>
    </sheetView>
  </sheetViews>
  <sheetFormatPr defaultColWidth="9.140625" defaultRowHeight="12.75"/>
  <cols>
    <col min="6" max="6" width="42.421875" style="0" customWidth="1"/>
    <col min="7" max="7" width="10.140625" style="0" bestFit="1" customWidth="1"/>
    <col min="8" max="8" width="10.28125" style="0" customWidth="1"/>
    <col min="9" max="9" width="11.140625" style="0" bestFit="1" customWidth="1"/>
    <col min="10" max="10" width="11.57421875" style="0" customWidth="1"/>
    <col min="11" max="12" width="10.140625" style="0" bestFit="1" customWidth="1"/>
    <col min="14" max="14" width="11.140625" style="0" bestFit="1" customWidth="1"/>
    <col min="15" max="15" width="2.140625" style="0" customWidth="1"/>
    <col min="16" max="17" width="10.140625" style="0" bestFit="1" customWidth="1"/>
    <col min="18" max="18" width="11.8515625" style="0" customWidth="1"/>
    <col min="19" max="19" width="12.00390625" style="0" customWidth="1"/>
    <col min="20" max="20" width="10.140625" style="0" bestFit="1" customWidth="1"/>
    <col min="21" max="21" width="10.57421875" style="0" customWidth="1"/>
    <col min="23" max="23" width="11.140625" style="0" bestFit="1" customWidth="1"/>
    <col min="24" max="24" width="1.28515625" style="0" customWidth="1"/>
    <col min="25" max="25" width="11.57421875" style="0" customWidth="1"/>
    <col min="26" max="26" width="10.421875" style="0" customWidth="1"/>
    <col min="35" max="35" width="10.8515625" style="0" customWidth="1"/>
  </cols>
  <sheetData>
    <row r="9" spans="6:26" ht="12.75">
      <c r="F9" s="333" t="s">
        <v>81</v>
      </c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</row>
    <row r="10" spans="6:26" ht="12.75">
      <c r="F10" s="333" t="s">
        <v>181</v>
      </c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</row>
    <row r="11" spans="6:26" ht="12.75">
      <c r="F11" s="333" t="s">
        <v>182</v>
      </c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</row>
    <row r="12" spans="6:26" ht="12.75"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6:26" ht="12.75"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6:26" ht="12.75">
      <c r="F14" s="189"/>
      <c r="G14" s="190" t="s">
        <v>183</v>
      </c>
      <c r="H14" s="190"/>
      <c r="I14" s="191"/>
      <c r="J14" s="190"/>
      <c r="K14" s="191"/>
      <c r="L14" s="190"/>
      <c r="M14" s="191"/>
      <c r="N14" s="190"/>
      <c r="O14" s="188"/>
      <c r="P14" s="190" t="s">
        <v>83</v>
      </c>
      <c r="Q14" s="190"/>
      <c r="R14" s="190"/>
      <c r="S14" s="190"/>
      <c r="T14" s="190"/>
      <c r="U14" s="190"/>
      <c r="V14" s="190"/>
      <c r="W14" s="190"/>
      <c r="X14" s="188"/>
      <c r="Y14" s="190"/>
      <c r="Z14" s="190"/>
    </row>
    <row r="15" spans="6:26" ht="12.75">
      <c r="F15" s="235" t="s">
        <v>226</v>
      </c>
      <c r="G15" s="193" t="s">
        <v>165</v>
      </c>
      <c r="H15" s="193" t="s">
        <v>158</v>
      </c>
      <c r="I15" s="194" t="s">
        <v>166</v>
      </c>
      <c r="J15" s="192" t="s">
        <v>184</v>
      </c>
      <c r="K15" s="194" t="s">
        <v>185</v>
      </c>
      <c r="L15" s="192" t="s">
        <v>186</v>
      </c>
      <c r="M15" s="194" t="s">
        <v>187</v>
      </c>
      <c r="N15" s="192" t="s">
        <v>175</v>
      </c>
      <c r="O15" s="188"/>
      <c r="P15" s="193" t="s">
        <v>165</v>
      </c>
      <c r="Q15" s="193" t="s">
        <v>158</v>
      </c>
      <c r="R15" s="192" t="s">
        <v>166</v>
      </c>
      <c r="S15" s="192" t="s">
        <v>184</v>
      </c>
      <c r="T15" s="192" t="s">
        <v>185</v>
      </c>
      <c r="U15" s="192" t="s">
        <v>186</v>
      </c>
      <c r="V15" s="192" t="s">
        <v>187</v>
      </c>
      <c r="W15" s="192" t="s">
        <v>175</v>
      </c>
      <c r="X15" s="188"/>
      <c r="Y15" s="192" t="s">
        <v>188</v>
      </c>
      <c r="Z15" s="192" t="s">
        <v>189</v>
      </c>
    </row>
    <row r="16" spans="6:35" ht="12.75">
      <c r="F16" s="213" t="str">
        <f>'Request3a(2)'!R6</f>
        <v>Rate 11: GS-1</v>
      </c>
      <c r="G16" s="218">
        <f>'Request3a(2)'!U10</f>
        <v>1576755.3</v>
      </c>
      <c r="H16" s="219"/>
      <c r="I16" s="218">
        <f>'Request3a(2)'!U11</f>
        <v>24249984.35596</v>
      </c>
      <c r="J16" s="219">
        <f>G16+H16+I16</f>
        <v>25826739.65596</v>
      </c>
      <c r="K16" s="218">
        <f>'Request3a(2)'!U14</f>
        <v>3363258.75</v>
      </c>
      <c r="L16" s="219">
        <f>'Request3a(2)'!U15</f>
        <v>2136258.75</v>
      </c>
      <c r="M16" s="218"/>
      <c r="N16" s="219">
        <f>J16+K16+L16+M16</f>
        <v>31326257.15596</v>
      </c>
      <c r="O16" s="19"/>
      <c r="P16" s="222">
        <f>'Request3a(2)'!X10</f>
        <v>1576755.3</v>
      </c>
      <c r="Q16" s="219"/>
      <c r="R16" s="218">
        <f>'Request3a(2)'!X11</f>
        <v>25803544.20974173</v>
      </c>
      <c r="S16" s="219">
        <f>R16+Q16+P16</f>
        <v>27380299.50974173</v>
      </c>
      <c r="T16" s="218">
        <f>K16</f>
        <v>3363258.75</v>
      </c>
      <c r="U16" s="219">
        <f>L16</f>
        <v>2136258.75</v>
      </c>
      <c r="V16" s="218">
        <f>M16</f>
        <v>0</v>
      </c>
      <c r="W16" s="219">
        <f>S16+T16+U16+V16</f>
        <v>32879817.00974173</v>
      </c>
      <c r="Y16" s="219">
        <f>W16-N16</f>
        <v>1553559.85378173</v>
      </c>
      <c r="Z16" s="225">
        <f>W16/N16-1</f>
        <v>0.049592897295301475</v>
      </c>
      <c r="AI16" s="19">
        <v>1553560</v>
      </c>
    </row>
    <row r="17" spans="6:35" ht="12.75">
      <c r="F17" s="203" t="str">
        <f>'Request3a(2)'!R22</f>
        <v>Rate 12: Schedule R</v>
      </c>
      <c r="G17" s="33">
        <f>'Request3a(2)'!U26</f>
        <v>758071.1599999999</v>
      </c>
      <c r="H17" s="205"/>
      <c r="I17" s="33">
        <f>'Request3a(2)'!U27</f>
        <v>10905637.284610001</v>
      </c>
      <c r="J17" s="205">
        <f aca="true" t="shared" si="0" ref="J17:J40">G17+H17+I17</f>
        <v>11663708.444610002</v>
      </c>
      <c r="K17" s="33">
        <f>'Request3a(2)'!U30</f>
        <v>1414264.18</v>
      </c>
      <c r="L17" s="205">
        <f>'Request3a(2)'!U31</f>
        <v>940635.53</v>
      </c>
      <c r="M17" s="33"/>
      <c r="N17" s="205">
        <f aca="true" t="shared" si="1" ref="N17:N40">J17+K17+L17+M17</f>
        <v>14018608.15461</v>
      </c>
      <c r="O17" s="19"/>
      <c r="P17" s="223">
        <f>'Request3a(2)'!X26</f>
        <v>758071.1599999999</v>
      </c>
      <c r="Q17" s="205"/>
      <c r="R17" s="33">
        <f>'Request3a(2)'!X27</f>
        <v>11556670.986386416</v>
      </c>
      <c r="S17" s="205">
        <f aca="true" t="shared" si="2" ref="S17:S40">R17+Q17+P17</f>
        <v>12314742.146386417</v>
      </c>
      <c r="T17" s="33">
        <f aca="true" t="shared" si="3" ref="T17:T39">K17</f>
        <v>1414264.18</v>
      </c>
      <c r="U17" s="205">
        <f aca="true" t="shared" si="4" ref="U17:U39">L17</f>
        <v>940635.53</v>
      </c>
      <c r="V17" s="33">
        <f aca="true" t="shared" si="5" ref="V17:V39">M17</f>
        <v>0</v>
      </c>
      <c r="W17" s="205">
        <f aca="true" t="shared" si="6" ref="W17:W40">S17+T17+U17+V17</f>
        <v>14669641.856386416</v>
      </c>
      <c r="Y17" s="205">
        <f aca="true" t="shared" si="7" ref="Y17:Y39">W17-N17</f>
        <v>651033.7017764151</v>
      </c>
      <c r="Z17" s="226">
        <f aca="true" t="shared" si="8" ref="Z17:Z39">W17/N17-1</f>
        <v>0.04644068045816119</v>
      </c>
      <c r="AI17" s="19">
        <v>1669</v>
      </c>
    </row>
    <row r="18" spans="6:35" ht="12.75">
      <c r="F18" s="203" t="str">
        <f>'Request3a(2)'!R38</f>
        <v>Rate 13: Schedule A - Rate 1</v>
      </c>
      <c r="G18" s="33">
        <f>'Request3a(2)'!U42</f>
        <v>1494708.5799999998</v>
      </c>
      <c r="H18" s="205"/>
      <c r="I18" s="33">
        <f>'Request3a(2)'!U43</f>
        <v>12048495.052800002</v>
      </c>
      <c r="J18" s="205">
        <f t="shared" si="0"/>
        <v>13543203.632800002</v>
      </c>
      <c r="K18" s="33">
        <f>'Request3a(2)'!U46</f>
        <v>1555281.62</v>
      </c>
      <c r="L18" s="205">
        <f>'Request3a(2)'!U47</f>
        <v>1125154.24</v>
      </c>
      <c r="M18" s="33"/>
      <c r="N18" s="205">
        <f t="shared" si="1"/>
        <v>16223639.492800003</v>
      </c>
      <c r="O18" s="19"/>
      <c r="P18" s="223">
        <f>'Request3a(2)'!X42</f>
        <v>1494708.5799999998</v>
      </c>
      <c r="Q18" s="205"/>
      <c r="R18" s="33">
        <f>'Request3a(2)'!X43</f>
        <v>12753240.380821286</v>
      </c>
      <c r="S18" s="205">
        <f t="shared" si="2"/>
        <v>14247948.960821286</v>
      </c>
      <c r="T18" s="33">
        <f t="shared" si="3"/>
        <v>1555281.62</v>
      </c>
      <c r="U18" s="205">
        <f t="shared" si="4"/>
        <v>1125154.24</v>
      </c>
      <c r="V18" s="33">
        <f t="shared" si="5"/>
        <v>0</v>
      </c>
      <c r="W18" s="205">
        <f t="shared" si="6"/>
        <v>16928384.820821285</v>
      </c>
      <c r="Y18" s="205">
        <f t="shared" si="7"/>
        <v>704745.3280212823</v>
      </c>
      <c r="Z18" s="226">
        <f t="shared" si="8"/>
        <v>0.04343941002473861</v>
      </c>
      <c r="AI18" s="19">
        <v>124221</v>
      </c>
    </row>
    <row r="19" spans="6:35" ht="12.75">
      <c r="F19" s="203" t="str">
        <f>'Request3a(2)'!R55</f>
        <v>Rate 16: GS-2</v>
      </c>
      <c r="G19" s="33">
        <f>'Request3a(2)'!U59</f>
        <v>0</v>
      </c>
      <c r="H19" s="205"/>
      <c r="I19" s="33">
        <f>'Request3a(2)'!U60</f>
        <v>26075.53172</v>
      </c>
      <c r="J19" s="205">
        <f t="shared" si="0"/>
        <v>26075.53172</v>
      </c>
      <c r="K19" s="33">
        <f>'Request3a(2)'!U63</f>
        <v>6484.39</v>
      </c>
      <c r="L19" s="205">
        <f>'Request3a(2)'!U64</f>
        <v>2167.18</v>
      </c>
      <c r="M19" s="33"/>
      <c r="N19" s="205">
        <f t="shared" si="1"/>
        <v>34727.10172</v>
      </c>
      <c r="O19" s="19"/>
      <c r="P19" s="223">
        <f>'Request3a(2)'!X59</f>
        <v>0</v>
      </c>
      <c r="Q19" s="205"/>
      <c r="R19" s="33">
        <f>'Request3a(2)'!X60</f>
        <v>27744.509904742696</v>
      </c>
      <c r="S19" s="205">
        <f t="shared" si="2"/>
        <v>27744.509904742696</v>
      </c>
      <c r="T19" s="33">
        <f t="shared" si="3"/>
        <v>6484.39</v>
      </c>
      <c r="U19" s="205">
        <f t="shared" si="4"/>
        <v>2167.18</v>
      </c>
      <c r="V19" s="33">
        <f t="shared" si="5"/>
        <v>0</v>
      </c>
      <c r="W19" s="205">
        <f t="shared" si="6"/>
        <v>36396.0799047427</v>
      </c>
      <c r="Y19" s="205">
        <f t="shared" si="7"/>
        <v>1668.9781847427003</v>
      </c>
      <c r="Z19" s="226">
        <f t="shared" si="8"/>
        <v>0.04805981789668046</v>
      </c>
      <c r="AI19" s="19">
        <v>161544</v>
      </c>
    </row>
    <row r="20" spans="6:35" ht="12.75">
      <c r="F20" s="203" t="str">
        <f>'Request3a(2)'!R72</f>
        <v>Rate 17: Schedule R-2</v>
      </c>
      <c r="G20" s="33">
        <f>'Request3a(2)'!U76</f>
        <v>0</v>
      </c>
      <c r="H20" s="205"/>
      <c r="I20" s="33">
        <f>'Request3a(2)'!U77</f>
        <v>6659.3216</v>
      </c>
      <c r="J20" s="205">
        <f t="shared" si="0"/>
        <v>6659.3216</v>
      </c>
      <c r="K20" s="33">
        <f>'Request3a(2)'!U80</f>
        <v>1439.39</v>
      </c>
      <c r="L20" s="205">
        <f>'Request3a(2)'!U81</f>
        <v>519.01</v>
      </c>
      <c r="M20" s="33"/>
      <c r="N20" s="205">
        <f t="shared" si="1"/>
        <v>8617.7216</v>
      </c>
      <c r="O20" s="19"/>
      <c r="P20" s="223">
        <f>'Request3a(2)'!X76</f>
        <v>0</v>
      </c>
      <c r="Q20" s="205"/>
      <c r="R20" s="33">
        <f>'Request3a(2)'!X77</f>
        <v>7057.226799708125</v>
      </c>
      <c r="S20" s="205">
        <f t="shared" si="2"/>
        <v>7057.226799708125</v>
      </c>
      <c r="T20" s="33">
        <f t="shared" si="3"/>
        <v>1439.39</v>
      </c>
      <c r="U20" s="205">
        <f t="shared" si="4"/>
        <v>519.01</v>
      </c>
      <c r="V20" s="33">
        <f t="shared" si="5"/>
        <v>0</v>
      </c>
      <c r="W20" s="205">
        <f t="shared" si="6"/>
        <v>9015.626799708125</v>
      </c>
      <c r="Y20" s="205">
        <f t="shared" si="7"/>
        <v>397.9051997081242</v>
      </c>
      <c r="Z20" s="226">
        <f t="shared" si="8"/>
        <v>0.046172900237125836</v>
      </c>
      <c r="AI20" s="19">
        <v>239556</v>
      </c>
    </row>
    <row r="21" spans="6:35" ht="12.75">
      <c r="F21" s="203" t="str">
        <f>'Request3a(2)'!R90</f>
        <v>Rate 18: Rate 1 ETS</v>
      </c>
      <c r="G21" s="33">
        <f>'Request3a(2)'!U94</f>
        <v>0</v>
      </c>
      <c r="H21" s="205"/>
      <c r="I21" s="33">
        <f>'Request3a(2)'!U95</f>
        <v>84032.49874</v>
      </c>
      <c r="J21" s="205">
        <f t="shared" si="0"/>
        <v>84032.49874</v>
      </c>
      <c r="K21" s="33">
        <f>'Request3a(2)'!U98</f>
        <v>19120.67</v>
      </c>
      <c r="L21" s="205">
        <f>'Request3a(2)'!U99</f>
        <v>6903.87</v>
      </c>
      <c r="M21" s="33"/>
      <c r="N21" s="205">
        <f t="shared" si="1"/>
        <v>110057.03873999999</v>
      </c>
      <c r="O21" s="19"/>
      <c r="P21" s="223">
        <f>'Request3a(2)'!X94</f>
        <v>0</v>
      </c>
      <c r="Q21" s="205"/>
      <c r="R21" s="33">
        <f>'Request3a(2)'!X95</f>
        <v>88943.28771447994</v>
      </c>
      <c r="S21" s="205">
        <f t="shared" si="2"/>
        <v>88943.28771447994</v>
      </c>
      <c r="T21" s="33">
        <f t="shared" si="3"/>
        <v>19120.67</v>
      </c>
      <c r="U21" s="205">
        <f t="shared" si="4"/>
        <v>6903.87</v>
      </c>
      <c r="V21" s="33">
        <f t="shared" si="5"/>
        <v>0</v>
      </c>
      <c r="W21" s="205">
        <f t="shared" si="6"/>
        <v>114967.82771447994</v>
      </c>
      <c r="Y21" s="205">
        <f t="shared" si="7"/>
        <v>4910.788974479947</v>
      </c>
      <c r="Z21" s="226">
        <f t="shared" si="8"/>
        <v>0.044620398937693206</v>
      </c>
      <c r="AI21" s="19">
        <v>582261</v>
      </c>
    </row>
    <row r="22" spans="6:35" ht="12.75">
      <c r="F22" s="203" t="str">
        <f>'Request3a(2)'!R107</f>
        <v>Rate 21: C1</v>
      </c>
      <c r="G22" s="33">
        <f>'Request3a(2)'!U111</f>
        <v>37126.9</v>
      </c>
      <c r="H22" s="205">
        <f>'Request3a(2)'!U114</f>
        <v>618699.67397</v>
      </c>
      <c r="I22" s="33">
        <f>'Request3a(2)'!U112+'Request3a(2)'!U113</f>
        <v>1436935.5339000002</v>
      </c>
      <c r="J22" s="205">
        <f t="shared" si="0"/>
        <v>2092762.1078700002</v>
      </c>
      <c r="K22" s="33">
        <f>'Request3a(2)'!U117</f>
        <v>190358.99</v>
      </c>
      <c r="L22" s="205">
        <f>'Request3a(2)'!U118</f>
        <v>151112.75</v>
      </c>
      <c r="M22" s="33"/>
      <c r="N22" s="205">
        <f t="shared" si="1"/>
        <v>2434233.84787</v>
      </c>
      <c r="O22" s="19"/>
      <c r="P22" s="223">
        <f>'Request3a(2)'!X111</f>
        <v>37126.9</v>
      </c>
      <c r="Q22" s="205">
        <f>'Request3a(2)'!X114</f>
        <v>618699.67397</v>
      </c>
      <c r="R22" s="33">
        <f>'Request3a(2)'!X113+'Request3a(2)'!X112</f>
        <v>1526553.9905669088</v>
      </c>
      <c r="S22" s="205">
        <f t="shared" si="2"/>
        <v>2182380.5645369086</v>
      </c>
      <c r="T22" s="33">
        <f t="shared" si="3"/>
        <v>190358.99</v>
      </c>
      <c r="U22" s="205">
        <f t="shared" si="4"/>
        <v>151112.75</v>
      </c>
      <c r="V22" s="33">
        <f t="shared" si="5"/>
        <v>0</v>
      </c>
      <c r="W22" s="205">
        <f t="shared" si="6"/>
        <v>2523852.304536909</v>
      </c>
      <c r="Y22" s="205">
        <f t="shared" si="7"/>
        <v>89618.45666690869</v>
      </c>
      <c r="Z22" s="226">
        <f t="shared" si="8"/>
        <v>0.03681587812334741</v>
      </c>
      <c r="AI22" s="19">
        <v>651034</v>
      </c>
    </row>
    <row r="23" spans="6:35" ht="12.75">
      <c r="F23" s="203" t="str">
        <f>'Request3a(2)'!R126</f>
        <v>Rate 22: C-1</v>
      </c>
      <c r="G23" s="33">
        <f>'Request3a(2)'!U130</f>
        <v>67102.25</v>
      </c>
      <c r="H23" s="205">
        <f>'Request3a(2)'!U133</f>
        <v>0</v>
      </c>
      <c r="I23" s="33">
        <f>'Request3a(2)'!U131+'Request3a(2)'!U132</f>
        <v>572348.4330300001</v>
      </c>
      <c r="J23" s="205">
        <f t="shared" si="0"/>
        <v>639450.6830300001</v>
      </c>
      <c r="K23" s="33">
        <f>'Request3a(2)'!U136</f>
        <v>76107.65</v>
      </c>
      <c r="L23" s="205">
        <f>'Request3a(2)'!U137</f>
        <v>53869.8</v>
      </c>
      <c r="M23" s="33"/>
      <c r="N23" s="205">
        <f t="shared" si="1"/>
        <v>769428.1330300001</v>
      </c>
      <c r="O23" s="19"/>
      <c r="P23" s="223">
        <f>'Request3a(2)'!X130</f>
        <v>67102.25</v>
      </c>
      <c r="Q23" s="205">
        <f>'Request3a(2)'!X133</f>
        <v>0</v>
      </c>
      <c r="R23" s="33">
        <f>'Request3a(2)'!X131+'Request3a(2)'!X132</f>
        <v>606951.3506323685</v>
      </c>
      <c r="S23" s="205">
        <f t="shared" si="2"/>
        <v>674053.6006323685</v>
      </c>
      <c r="T23" s="33">
        <f t="shared" si="3"/>
        <v>76107.65</v>
      </c>
      <c r="U23" s="205">
        <f t="shared" si="4"/>
        <v>53869.8</v>
      </c>
      <c r="V23" s="33">
        <f t="shared" si="5"/>
        <v>0</v>
      </c>
      <c r="W23" s="205">
        <f t="shared" si="6"/>
        <v>804031.0506323685</v>
      </c>
      <c r="Y23" s="205">
        <f t="shared" si="7"/>
        <v>34602.9176023684</v>
      </c>
      <c r="Z23" s="226">
        <f t="shared" si="8"/>
        <v>0.04497225421964024</v>
      </c>
      <c r="AI23" s="19">
        <v>398</v>
      </c>
    </row>
    <row r="24" spans="6:35" ht="12.75">
      <c r="F24" s="203" t="str">
        <f>'Request3a(2)'!R145</f>
        <v>Rate 23: Schedule C</v>
      </c>
      <c r="G24" s="33">
        <f>'Request3a(2)'!U149</f>
        <v>5584.04</v>
      </c>
      <c r="H24" s="205">
        <f>'Request3a(2)'!U152</f>
        <v>61758.91356000001</v>
      </c>
      <c r="I24" s="33">
        <f>'Request3a(2)'!U150+'Request3a(2)'!U151</f>
        <v>381115.10991999996</v>
      </c>
      <c r="J24" s="205">
        <f t="shared" si="0"/>
        <v>448458.06347999995</v>
      </c>
      <c r="K24" s="33">
        <f>'Request3a(2)'!U155</f>
        <v>45248.48</v>
      </c>
      <c r="L24" s="205">
        <f>'Request3a(2)'!U156</f>
        <v>34761.48</v>
      </c>
      <c r="M24" s="33"/>
      <c r="N24" s="205">
        <f t="shared" si="1"/>
        <v>528468.02348</v>
      </c>
      <c r="O24" s="19"/>
      <c r="P24" s="223">
        <f>'Request3a(2)'!X149</f>
        <v>5584.04</v>
      </c>
      <c r="Q24" s="205">
        <f>'Request3a(2)'!X152</f>
        <v>61758.91356000001</v>
      </c>
      <c r="R24" s="33">
        <f>'Request3a(2)'!X150+'Request3a(2)'!X151</f>
        <v>402433.21506248106</v>
      </c>
      <c r="S24" s="205">
        <f t="shared" si="2"/>
        <v>469776.16862248105</v>
      </c>
      <c r="T24" s="33">
        <f t="shared" si="3"/>
        <v>45248.48</v>
      </c>
      <c r="U24" s="205">
        <f t="shared" si="4"/>
        <v>34761.48</v>
      </c>
      <c r="V24" s="33">
        <f t="shared" si="5"/>
        <v>0</v>
      </c>
      <c r="W24" s="205">
        <f t="shared" si="6"/>
        <v>549786.128622481</v>
      </c>
      <c r="Y24" s="205">
        <f t="shared" si="7"/>
        <v>21318.105142481043</v>
      </c>
      <c r="Z24" s="226">
        <f t="shared" si="8"/>
        <v>0.04033944192517036</v>
      </c>
      <c r="AI24" s="19">
        <v>33595</v>
      </c>
    </row>
    <row r="25" spans="6:35" ht="12.75">
      <c r="F25" s="203" t="str">
        <f>'Request3a(2)'!R166</f>
        <v>Rate 24: Schedule C</v>
      </c>
      <c r="G25" s="33">
        <f>'Request3a(2)'!U170</f>
        <v>20826.96</v>
      </c>
      <c r="H25" s="205">
        <f>'Request3a(2)'!U173</f>
        <v>0</v>
      </c>
      <c r="I25" s="33">
        <f>'Request3a(2)'!U171+'Request3a(2)'!U172</f>
        <v>219493.96167</v>
      </c>
      <c r="J25" s="205">
        <f t="shared" si="0"/>
        <v>240320.92166999998</v>
      </c>
      <c r="K25" s="33">
        <f>'Request3a(2)'!U176</f>
        <v>26424.04</v>
      </c>
      <c r="L25" s="205">
        <f>'Request3a(2)'!U177</f>
        <v>19235.87</v>
      </c>
      <c r="M25" s="33"/>
      <c r="N25" s="205">
        <f t="shared" si="1"/>
        <v>285980.83167</v>
      </c>
      <c r="O25" s="19"/>
      <c r="P25" s="223">
        <f>'Request3a(2)'!X170</f>
        <v>20826.96</v>
      </c>
      <c r="Q25" s="205">
        <f>'Request3a(2)'!X173</f>
        <v>0</v>
      </c>
      <c r="R25" s="33">
        <f>'Request3a(2)'!X171+'Request3a(2)'!X172</f>
        <v>231771.6049101302</v>
      </c>
      <c r="S25" s="205">
        <f t="shared" si="2"/>
        <v>252598.5649101302</v>
      </c>
      <c r="T25" s="33">
        <f t="shared" si="3"/>
        <v>26424.04</v>
      </c>
      <c r="U25" s="205">
        <f t="shared" si="4"/>
        <v>19235.87</v>
      </c>
      <c r="V25" s="33">
        <f t="shared" si="5"/>
        <v>0</v>
      </c>
      <c r="W25" s="205">
        <f t="shared" si="6"/>
        <v>298258.4749101302</v>
      </c>
      <c r="Y25" s="205">
        <f t="shared" si="7"/>
        <v>12277.643240130215</v>
      </c>
      <c r="Z25" s="226">
        <f t="shared" si="8"/>
        <v>0.04293169989203216</v>
      </c>
      <c r="AI25" s="19">
        <v>9172</v>
      </c>
    </row>
    <row r="26" spans="6:35" ht="12.75">
      <c r="F26" s="203" t="str">
        <f>'Request3a(2)'!R185</f>
        <v>Rate 25: Comm &amp; Sm Pwr - Rate 2</v>
      </c>
      <c r="G26" s="33">
        <f>'Request3a(2)'!U189</f>
        <v>25946.690000000002</v>
      </c>
      <c r="H26" s="205">
        <f>'Request3a(2)'!U192</f>
        <v>0</v>
      </c>
      <c r="I26" s="33">
        <f>'Request3a(2)'!U190+'Request3a(2)'!U191</f>
        <v>224481.20427000002</v>
      </c>
      <c r="J26" s="205">
        <f t="shared" si="0"/>
        <v>250427.89427000002</v>
      </c>
      <c r="K26" s="33">
        <f>'Request3a(2)'!U195</f>
        <v>27369.17</v>
      </c>
      <c r="L26" s="205">
        <f>'Request3a(2)'!U196</f>
        <v>20567</v>
      </c>
      <c r="M26" s="33"/>
      <c r="N26" s="205">
        <f t="shared" si="1"/>
        <v>298364.06427000003</v>
      </c>
      <c r="O26" s="19"/>
      <c r="P26" s="223">
        <f>'Request3a(2)'!X189</f>
        <v>25946.690000000002</v>
      </c>
      <c r="Q26" s="205">
        <f>'Request3a(2)'!X192</f>
        <v>0</v>
      </c>
      <c r="R26" s="33">
        <f>'Request3a(2)'!X190+'Request3a(2)'!X191</f>
        <v>237241.2653198618</v>
      </c>
      <c r="S26" s="205">
        <f t="shared" si="2"/>
        <v>263187.95531986177</v>
      </c>
      <c r="T26" s="33">
        <f t="shared" si="3"/>
        <v>27369.17</v>
      </c>
      <c r="U26" s="205">
        <f t="shared" si="4"/>
        <v>20567</v>
      </c>
      <c r="V26" s="33">
        <f t="shared" si="5"/>
        <v>0</v>
      </c>
      <c r="W26" s="205">
        <f t="shared" si="6"/>
        <v>311124.12531986175</v>
      </c>
      <c r="Y26" s="205">
        <f t="shared" si="7"/>
        <v>12760.061049861717</v>
      </c>
      <c r="Z26" s="226">
        <f t="shared" si="8"/>
        <v>0.04276674900873689</v>
      </c>
      <c r="AI26" s="19">
        <v>9009</v>
      </c>
    </row>
    <row r="27" spans="6:35" ht="12.75">
      <c r="F27" s="203" t="str">
        <f>'Request3a(2)'!R204</f>
        <v>Rate 26: Comm &amp; Sm Pwr - Rate 2</v>
      </c>
      <c r="G27" s="33">
        <f>'Request3a(2)'!U208</f>
        <v>66143.77</v>
      </c>
      <c r="H27" s="205">
        <f>'Request3a(2)'!U211</f>
        <v>0</v>
      </c>
      <c r="I27" s="33">
        <f>'Request3a(2)'!U209+'Request3a(2)'!U210</f>
        <v>179029.73184000002</v>
      </c>
      <c r="J27" s="205">
        <f t="shared" si="0"/>
        <v>245173.50184000004</v>
      </c>
      <c r="K27" s="33">
        <f>'Request3a(2)'!U214</f>
        <v>22042.74</v>
      </c>
      <c r="L27" s="205">
        <f>'Request3a(2)'!U215</f>
        <v>20021.28</v>
      </c>
      <c r="M27" s="33"/>
      <c r="N27" s="205">
        <f t="shared" si="1"/>
        <v>287237.52184000006</v>
      </c>
      <c r="O27" s="19"/>
      <c r="P27" s="223">
        <f>'Request3a(2)'!X208</f>
        <v>66143.77</v>
      </c>
      <c r="Q27" s="205">
        <f>'Request3a(2)'!X211</f>
        <v>0</v>
      </c>
      <c r="R27" s="33">
        <f>'Request3a(2)'!X209+'Request3a(2)'!X210</f>
        <v>189206.21995822628</v>
      </c>
      <c r="S27" s="205">
        <f t="shared" si="2"/>
        <v>255349.98995822627</v>
      </c>
      <c r="T27" s="33">
        <f t="shared" si="3"/>
        <v>22042.74</v>
      </c>
      <c r="U27" s="205">
        <f t="shared" si="4"/>
        <v>20021.28</v>
      </c>
      <c r="V27" s="33">
        <f t="shared" si="5"/>
        <v>0</v>
      </c>
      <c r="W27" s="205">
        <f t="shared" si="6"/>
        <v>297414.00995822623</v>
      </c>
      <c r="Y27" s="205">
        <f t="shared" si="7"/>
        <v>10176.488118226174</v>
      </c>
      <c r="Z27" s="226">
        <f t="shared" si="8"/>
        <v>0.035428825778182294</v>
      </c>
      <c r="AI27" s="19">
        <v>67139</v>
      </c>
    </row>
    <row r="28" spans="6:35" ht="12.75">
      <c r="F28" s="203" t="str">
        <f>'Request3a(2)'!R223</f>
        <v>Rate 31: LP1</v>
      </c>
      <c r="G28" s="33">
        <f>'Request3a(2)'!U227</f>
        <v>23904</v>
      </c>
      <c r="H28" s="205">
        <f>'Request3a(2)'!U233</f>
        <v>734741.98399</v>
      </c>
      <c r="I28" s="33">
        <f>'Request3a(2)'!U228+'Request3a(2)'!U229+'Request3a(2)'!U230+'Request3a(2)'!U231+'Request3a(2)'!U232</f>
        <v>1708353.7322500001</v>
      </c>
      <c r="J28" s="205">
        <f t="shared" si="0"/>
        <v>2466999.71624</v>
      </c>
      <c r="K28" s="33">
        <f>'Request3a(2)'!U236</f>
        <v>340667.21</v>
      </c>
      <c r="L28" s="205">
        <f>'Request3a(2)'!U237</f>
        <v>205160.14</v>
      </c>
      <c r="M28" s="33"/>
      <c r="N28" s="205">
        <f t="shared" si="1"/>
        <v>3012827.06624</v>
      </c>
      <c r="O28" s="19"/>
      <c r="P28" s="223">
        <f>'Request3a(2)'!X227</f>
        <v>23904</v>
      </c>
      <c r="Q28" s="205">
        <f>'Request3a(2)'!X233</f>
        <v>734741.98399</v>
      </c>
      <c r="R28" s="33">
        <f>'Request3a(2)'!X228+'Request3a(2)'!X229+'Request3a(2)'!X230+'Request3a(2)'!X231+'Request3a(2)'!X232</f>
        <v>1869897.8595351756</v>
      </c>
      <c r="S28" s="205">
        <f t="shared" si="2"/>
        <v>2628543.8435251755</v>
      </c>
      <c r="T28" s="33">
        <f t="shared" si="3"/>
        <v>340667.21</v>
      </c>
      <c r="U28" s="205">
        <f t="shared" si="4"/>
        <v>205160.14</v>
      </c>
      <c r="V28" s="33">
        <f t="shared" si="5"/>
        <v>0</v>
      </c>
      <c r="W28" s="205">
        <f t="shared" si="6"/>
        <v>3174371.1935251756</v>
      </c>
      <c r="Y28" s="205">
        <f t="shared" si="7"/>
        <v>161544.1272851755</v>
      </c>
      <c r="Z28" s="226">
        <f t="shared" si="8"/>
        <v>0.053618785191936746</v>
      </c>
      <c r="AI28" s="19">
        <v>704745</v>
      </c>
    </row>
    <row r="29" spans="6:35" ht="12.75">
      <c r="F29" s="203" t="str">
        <f>'Request3a(2)'!R246</f>
        <v>Rate 32: LP2</v>
      </c>
      <c r="G29" s="33">
        <f>'Request3a(2)'!U250</f>
        <v>3912</v>
      </c>
      <c r="H29" s="205">
        <f>'Request3a(2)'!U258</f>
        <v>947226.3948000001</v>
      </c>
      <c r="I29" s="33">
        <f>'Request3a(2)'!U251+'Request3a(2)'!U252+'Request3a(2)'!U253+'Request3a(2)'!U254+'Request3a(2)'!U255+'Request3a(2)'!U256+'Request3a(2)'!U257</f>
        <v>2201754.9556400003</v>
      </c>
      <c r="J29" s="205">
        <f t="shared" si="0"/>
        <v>3152893.35044</v>
      </c>
      <c r="K29" s="33">
        <f>'Request3a(2)'!U261</f>
        <v>498851.68</v>
      </c>
      <c r="L29" s="205">
        <f>'Request3a(2)'!U262</f>
        <v>267851.68</v>
      </c>
      <c r="M29" s="33"/>
      <c r="N29" s="205">
        <f t="shared" si="1"/>
        <v>3919596.7104400005</v>
      </c>
      <c r="O29" s="19"/>
      <c r="P29" s="223">
        <f>'Request3a(2)'!X250</f>
        <v>3912</v>
      </c>
      <c r="Q29" s="205">
        <f>'Request3a(2)'!X258</f>
        <v>947226.3948000001</v>
      </c>
      <c r="R29" s="33">
        <f>'Request3a(2)'!X251+'Request3a(2)'!X252+'Request3a(2)'!X253+'Request3a(2)'!X254+'Request3a(2)'!X255+'Request3a(2)'!X256+'Request3a(2)'!X257</f>
        <v>2441310.789370287</v>
      </c>
      <c r="S29" s="205">
        <f t="shared" si="2"/>
        <v>3392449.184170287</v>
      </c>
      <c r="T29" s="33">
        <f t="shared" si="3"/>
        <v>498851.68</v>
      </c>
      <c r="U29" s="205">
        <f t="shared" si="4"/>
        <v>267851.68</v>
      </c>
      <c r="V29" s="33">
        <f t="shared" si="5"/>
        <v>0</v>
      </c>
      <c r="W29" s="205">
        <f t="shared" si="6"/>
        <v>4159152.5441702874</v>
      </c>
      <c r="Y29" s="205">
        <f t="shared" si="7"/>
        <v>239555.83373028692</v>
      </c>
      <c r="Z29" s="226">
        <f t="shared" si="8"/>
        <v>0.061117469838726235</v>
      </c>
      <c r="AI29" s="19">
        <v>4911</v>
      </c>
    </row>
    <row r="30" spans="6:35" ht="12.75">
      <c r="F30" s="203" t="str">
        <f>'Request3a(2)'!R270</f>
        <v>Rate 33: Schedule L</v>
      </c>
      <c r="G30" s="33">
        <f>'Request3a(2)'!U274</f>
        <v>0</v>
      </c>
      <c r="H30" s="205">
        <f>'Request3a(2)'!U278</f>
        <v>24738.73368</v>
      </c>
      <c r="I30" s="33">
        <f>'Request3a(2)'!U275+'Request3a(2)'!U276+'Request3a(2)'!U277</f>
        <v>151201.72389999998</v>
      </c>
      <c r="J30" s="205">
        <f t="shared" si="0"/>
        <v>175940.45758</v>
      </c>
      <c r="K30" s="33">
        <f>'Request3a(2)'!U281</f>
        <v>19495</v>
      </c>
      <c r="L30" s="205">
        <f>'Request3a(2)'!U282</f>
        <v>14380</v>
      </c>
      <c r="M30" s="33"/>
      <c r="N30" s="205">
        <f t="shared" si="1"/>
        <v>209815.45758</v>
      </c>
      <c r="O30" s="19"/>
      <c r="P30" s="223">
        <f>'Request3a(2)'!X274</f>
        <v>0</v>
      </c>
      <c r="Q30" s="205">
        <f>'Request3a(2)'!X278</f>
        <v>24738.73368</v>
      </c>
      <c r="R30" s="33">
        <f>'Request3a(2)'!X275+'Request3a(2)'!X276+'Request3a(2)'!X277</f>
        <v>160373.95636895427</v>
      </c>
      <c r="S30" s="205">
        <f t="shared" si="2"/>
        <v>185112.69004895427</v>
      </c>
      <c r="T30" s="33">
        <f t="shared" si="3"/>
        <v>19495</v>
      </c>
      <c r="U30" s="205">
        <f t="shared" si="4"/>
        <v>14380</v>
      </c>
      <c r="V30" s="33">
        <f t="shared" si="5"/>
        <v>0</v>
      </c>
      <c r="W30" s="205">
        <f t="shared" si="6"/>
        <v>218987.69004895427</v>
      </c>
      <c r="Y30" s="205">
        <f t="shared" si="7"/>
        <v>9172.232468954287</v>
      </c>
      <c r="Z30" s="226">
        <f t="shared" si="8"/>
        <v>0.04371571367880289</v>
      </c>
      <c r="AI30" s="19">
        <v>22937</v>
      </c>
    </row>
    <row r="31" spans="6:35" ht="12.75">
      <c r="F31" s="203" t="str">
        <f>'Request3a(2)'!R290</f>
        <v>Rate 35: Schedule N</v>
      </c>
      <c r="G31" s="33">
        <f>'Request3a(2)'!U294</f>
        <v>6750</v>
      </c>
      <c r="H31" s="205">
        <f>'Request3a(2)'!U297</f>
        <v>32465.890799999997</v>
      </c>
      <c r="I31" s="33">
        <f>'Request3a(2)'!U295+'Request3a(2)'!U296</f>
        <v>99823.81864</v>
      </c>
      <c r="J31" s="205">
        <f t="shared" si="0"/>
        <v>139039.70944</v>
      </c>
      <c r="K31" s="33">
        <f>'Request3a(2)'!U300</f>
        <v>18154.47</v>
      </c>
      <c r="L31" s="205">
        <f>'Request3a(2)'!U301</f>
        <v>12257.73</v>
      </c>
      <c r="M31" s="33"/>
      <c r="N31" s="205">
        <f t="shared" si="1"/>
        <v>169451.90944000002</v>
      </c>
      <c r="O31" s="19"/>
      <c r="P31" s="223">
        <f>'Request3a(2)'!X294</f>
        <v>6750</v>
      </c>
      <c r="Q31" s="205">
        <f>'Request3a(2)'!X297</f>
        <v>32465.890799999997</v>
      </c>
      <c r="R31" s="33">
        <f>'Request3a(2)'!X295+'Request3a(2)'!X296</f>
        <v>108832.78696787504</v>
      </c>
      <c r="S31" s="205">
        <f t="shared" si="2"/>
        <v>148048.67776787505</v>
      </c>
      <c r="T31" s="33">
        <f t="shared" si="3"/>
        <v>18154.47</v>
      </c>
      <c r="U31" s="205">
        <f t="shared" si="4"/>
        <v>12257.73</v>
      </c>
      <c r="V31" s="33">
        <f t="shared" si="5"/>
        <v>0</v>
      </c>
      <c r="W31" s="205">
        <f t="shared" si="6"/>
        <v>178460.87776787506</v>
      </c>
      <c r="Y31" s="205">
        <f t="shared" si="7"/>
        <v>9008.968327875045</v>
      </c>
      <c r="Z31" s="226">
        <f t="shared" si="8"/>
        <v>0.05316533969813397</v>
      </c>
      <c r="AI31" s="19">
        <v>27428</v>
      </c>
    </row>
    <row r="32" spans="6:35" ht="12.75">
      <c r="F32" s="203" t="str">
        <f>'Request3a(2)'!R309</f>
        <v>Rate 39: Lrg Pwr Srvc - Rate 8</v>
      </c>
      <c r="G32" s="33">
        <f>'Request3a(2)'!U313</f>
        <v>6682.44</v>
      </c>
      <c r="H32" s="205">
        <f>'Request3a(2)'!U315</f>
        <v>164747.06800000003</v>
      </c>
      <c r="I32" s="33">
        <f>'Request3a(2)'!U314</f>
        <v>307681.59708000004</v>
      </c>
      <c r="J32" s="205">
        <f t="shared" si="0"/>
        <v>479111.10508000007</v>
      </c>
      <c r="K32" s="33">
        <f>'Request3a(2)'!U318</f>
        <v>58211</v>
      </c>
      <c r="L32" s="205">
        <f>'Request3a(2)'!U319</f>
        <v>39323.48</v>
      </c>
      <c r="M32" s="33"/>
      <c r="N32" s="205">
        <f t="shared" si="1"/>
        <v>576645.5850800001</v>
      </c>
      <c r="O32" s="19"/>
      <c r="P32" s="223">
        <f>'Request3a(2)'!X313</f>
        <v>6682.44</v>
      </c>
      <c r="Q32" s="205">
        <f>'Request3a(2)'!X315</f>
        <v>164747.06800000003</v>
      </c>
      <c r="R32" s="33">
        <f>'Request3a(2)'!X314</f>
        <v>335109.494261123</v>
      </c>
      <c r="S32" s="205">
        <f t="shared" si="2"/>
        <v>506539.00226112304</v>
      </c>
      <c r="T32" s="33">
        <f t="shared" si="3"/>
        <v>58211</v>
      </c>
      <c r="U32" s="205">
        <f t="shared" si="4"/>
        <v>39323.48</v>
      </c>
      <c r="V32" s="33">
        <f t="shared" si="5"/>
        <v>0</v>
      </c>
      <c r="W32" s="205">
        <f t="shared" si="6"/>
        <v>604073.482261123</v>
      </c>
      <c r="Y32" s="205">
        <f t="shared" si="7"/>
        <v>27427.897181122913</v>
      </c>
      <c r="Z32" s="226">
        <f t="shared" si="8"/>
        <v>0.04756456633118544</v>
      </c>
      <c r="AI32" s="19">
        <v>17278</v>
      </c>
    </row>
    <row r="33" spans="6:35" ht="12.75">
      <c r="F33" s="203" t="str">
        <f>'Request3a(2)'!R329</f>
        <v>Rate 40: Large Ind  - Rate 8</v>
      </c>
      <c r="G33" s="33">
        <f>'Request3a(2)'!U333</f>
        <v>963.8399999999999</v>
      </c>
      <c r="H33" s="205">
        <f>'Request3a(2)'!U335</f>
        <v>84187.61760000001</v>
      </c>
      <c r="I33" s="33">
        <f>'Request3a(2)'!U334</f>
        <v>182535.444</v>
      </c>
      <c r="J33" s="205">
        <f t="shared" si="0"/>
        <v>267686.9016</v>
      </c>
      <c r="K33" s="33">
        <f>'Request3a(2)'!U338</f>
        <v>35722.2</v>
      </c>
      <c r="L33" s="205">
        <f>'Request3a(2)'!U339</f>
        <v>22449.34</v>
      </c>
      <c r="M33" s="33"/>
      <c r="N33" s="205">
        <f t="shared" si="1"/>
        <v>325858.4416</v>
      </c>
      <c r="O33" s="19"/>
      <c r="P33" s="223">
        <f>'Request3a(2)'!X333</f>
        <v>963.8399999999999</v>
      </c>
      <c r="Q33" s="205">
        <f>'Request3a(2)'!X335</f>
        <v>84187.61760000001</v>
      </c>
      <c r="R33" s="33">
        <f>'Request3a(2)'!X334</f>
        <v>199813.1099285668</v>
      </c>
      <c r="S33" s="205">
        <f t="shared" si="2"/>
        <v>284964.5675285668</v>
      </c>
      <c r="T33" s="33">
        <f t="shared" si="3"/>
        <v>35722.2</v>
      </c>
      <c r="U33" s="205">
        <f t="shared" si="4"/>
        <v>22449.34</v>
      </c>
      <c r="V33" s="33">
        <f t="shared" si="5"/>
        <v>0</v>
      </c>
      <c r="W33" s="205">
        <f t="shared" si="6"/>
        <v>343136.10752856685</v>
      </c>
      <c r="Y33" s="205">
        <f t="shared" si="7"/>
        <v>17277.66592856683</v>
      </c>
      <c r="Z33" s="226">
        <f t="shared" si="8"/>
        <v>0.053021998889246635</v>
      </c>
      <c r="AI33" s="19">
        <v>184361</v>
      </c>
    </row>
    <row r="34" spans="6:35" ht="12.75">
      <c r="F34" s="203" t="str">
        <f>'Request3a(2)'!R347</f>
        <v>Rate 44: Large Ind - Rate B-2</v>
      </c>
      <c r="G34" s="33">
        <f>'Request3a(2)'!U351</f>
        <v>12828</v>
      </c>
      <c r="H34" s="205">
        <f>'Request3a(2)'!U353+'Request3a(2)'!U354</f>
        <v>258719.99999999997</v>
      </c>
      <c r="I34" s="33">
        <f>'Request3a(2)'!U352</f>
        <v>609836.784</v>
      </c>
      <c r="J34" s="205">
        <f t="shared" si="0"/>
        <v>881384.784</v>
      </c>
      <c r="K34" s="33">
        <f>'Request3a(2)'!U357</f>
        <v>160484.1</v>
      </c>
      <c r="L34" s="205">
        <f>'Request3a(2)'!U358</f>
        <v>85842.03</v>
      </c>
      <c r="M34" s="33"/>
      <c r="N34" s="205">
        <f t="shared" si="1"/>
        <v>1127710.9139999999</v>
      </c>
      <c r="O34" s="19"/>
      <c r="P34" s="223">
        <f>'Request3a(2)'!X351</f>
        <v>12828</v>
      </c>
      <c r="Q34" s="205">
        <f>'Request3a(2)'!X353+'Request3a(2)'!X354</f>
        <v>349920</v>
      </c>
      <c r="R34" s="33">
        <f>'Request3a(2)'!X352</f>
        <v>609836.784</v>
      </c>
      <c r="S34" s="205">
        <f t="shared" si="2"/>
        <v>972584.784</v>
      </c>
      <c r="T34" s="33">
        <f t="shared" si="3"/>
        <v>160484.1</v>
      </c>
      <c r="U34" s="205">
        <f t="shared" si="4"/>
        <v>85842.03</v>
      </c>
      <c r="V34" s="33">
        <f t="shared" si="5"/>
        <v>0</v>
      </c>
      <c r="W34" s="205">
        <f t="shared" si="6"/>
        <v>1218910.914</v>
      </c>
      <c r="Y34" s="205">
        <f t="shared" si="7"/>
        <v>91200.00000000023</v>
      </c>
      <c r="Z34" s="226">
        <f t="shared" si="8"/>
        <v>0.08087178980693999</v>
      </c>
      <c r="AI34" s="169">
        <v>37576</v>
      </c>
    </row>
    <row r="35" spans="6:35" ht="12.75">
      <c r="F35" s="203" t="str">
        <f>'Request3a(2)'!R366</f>
        <v>Rate 45: Large Ind - Rate B-2</v>
      </c>
      <c r="G35" s="33">
        <f>'Request3a(2)'!U370</f>
        <v>12828</v>
      </c>
      <c r="H35" s="205">
        <f>'Request3a(2)'!U372+'Request3a(2)'!U373</f>
        <v>340607.128</v>
      </c>
      <c r="I35" s="33">
        <f>'Request3a(2)'!U371</f>
        <v>1189358.964</v>
      </c>
      <c r="J35" s="205">
        <f t="shared" si="0"/>
        <v>1542794.092</v>
      </c>
      <c r="K35" s="33">
        <f>'Request3a(2)'!U376</f>
        <v>313835</v>
      </c>
      <c r="L35" s="205">
        <f>'Request3a(2)'!U377</f>
        <v>134625.35</v>
      </c>
      <c r="M35" s="33"/>
      <c r="N35" s="205">
        <f t="shared" si="1"/>
        <v>1991254.442</v>
      </c>
      <c r="O35" s="19"/>
      <c r="P35" s="223">
        <f>'Request3a(2)'!X370</f>
        <v>12828</v>
      </c>
      <c r="Q35" s="205">
        <f>'Request3a(2)'!X372+'Request3a(2)'!X373</f>
        <v>458787.888</v>
      </c>
      <c r="R35" s="33">
        <f>'Request3a(2)'!X371</f>
        <v>1189358.964</v>
      </c>
      <c r="S35" s="205">
        <f t="shared" si="2"/>
        <v>1660974.852</v>
      </c>
      <c r="T35" s="33">
        <f t="shared" si="3"/>
        <v>313835</v>
      </c>
      <c r="U35" s="205">
        <f t="shared" si="4"/>
        <v>134625.35</v>
      </c>
      <c r="V35" s="33">
        <f t="shared" si="5"/>
        <v>0</v>
      </c>
      <c r="W35" s="205">
        <f t="shared" si="6"/>
        <v>2109435.202</v>
      </c>
      <c r="Y35" s="205">
        <f t="shared" si="7"/>
        <v>118180.76000000001</v>
      </c>
      <c r="Z35" s="226">
        <f t="shared" si="8"/>
        <v>0.05934990401392404</v>
      </c>
      <c r="AI35" s="19">
        <f>SUM(AI16:AI34)</f>
        <v>4432394</v>
      </c>
    </row>
    <row r="36" spans="6:26" ht="12.75">
      <c r="F36" s="203" t="str">
        <f>'Request3a(2)'!R385</f>
        <v>Rate 46: B-1</v>
      </c>
      <c r="G36" s="33">
        <f>'Request3a(2)'!U389</f>
        <v>6780</v>
      </c>
      <c r="H36" s="205">
        <f>'Request3a(2)'!U391+'Request3a(2)'!U392</f>
        <v>191037.55416</v>
      </c>
      <c r="I36" s="33">
        <f>'Request3a(2)'!U390</f>
        <v>771249.924</v>
      </c>
      <c r="J36" s="205">
        <f t="shared" si="0"/>
        <v>969067.4781599999</v>
      </c>
      <c r="K36" s="33">
        <f>'Request3a(2)'!U395</f>
        <v>167966.8</v>
      </c>
      <c r="L36" s="205">
        <f>'Request3a(2)'!U396</f>
        <v>80355.85</v>
      </c>
      <c r="M36" s="33"/>
      <c r="N36" s="205">
        <f t="shared" si="1"/>
        <v>1217390.12816</v>
      </c>
      <c r="O36" s="19"/>
      <c r="P36" s="223">
        <f>'Request3a(2)'!X389</f>
        <v>6780</v>
      </c>
      <c r="Q36" s="205">
        <f>'Request3a(2)'!X391+'Request3a(2)'!X392</f>
        <v>258176.69136</v>
      </c>
      <c r="R36" s="33">
        <f>'Request3a(2)'!X390</f>
        <v>771249.924</v>
      </c>
      <c r="S36" s="205">
        <f t="shared" si="2"/>
        <v>1036206.6153599999</v>
      </c>
      <c r="T36" s="33">
        <f t="shared" si="3"/>
        <v>167966.8</v>
      </c>
      <c r="U36" s="205">
        <f t="shared" si="4"/>
        <v>80355.85</v>
      </c>
      <c r="V36" s="33">
        <f t="shared" si="5"/>
        <v>0</v>
      </c>
      <c r="W36" s="205">
        <f t="shared" si="6"/>
        <v>1284529.26536</v>
      </c>
      <c r="Y36" s="205">
        <f t="shared" si="7"/>
        <v>67139.1372</v>
      </c>
      <c r="Z36" s="226">
        <f t="shared" si="8"/>
        <v>0.05515005884060864</v>
      </c>
    </row>
    <row r="37" spans="6:26" ht="12.75">
      <c r="F37" s="203" t="str">
        <f>'Request3a(2)'!R406</f>
        <v>Rate 47: Large Ind B-2</v>
      </c>
      <c r="G37" s="33">
        <f>'Request3a(2)'!U410</f>
        <v>12828</v>
      </c>
      <c r="H37" s="205">
        <f>'Request3a(2)'!U412+'Request3a(2)'!U413</f>
        <v>265188</v>
      </c>
      <c r="I37" s="33">
        <f>'Request3a(2)'!U411</f>
        <v>631031.1599999999</v>
      </c>
      <c r="J37" s="205">
        <f t="shared" si="0"/>
        <v>909047.1599999999</v>
      </c>
      <c r="K37" s="33">
        <f>'Request3a(2)'!U416</f>
        <v>165770.9</v>
      </c>
      <c r="L37" s="205">
        <f>'Request3a(2)'!U417</f>
        <v>88104.92</v>
      </c>
      <c r="M37" s="33"/>
      <c r="N37" s="205">
        <f t="shared" si="1"/>
        <v>1162922.9799999997</v>
      </c>
      <c r="O37" s="19"/>
      <c r="P37" s="223">
        <f>'Request3a(2)'!X410</f>
        <v>12828</v>
      </c>
      <c r="Q37" s="205">
        <f>'Request3a(2)'!X412+'Request3a(2)'!X413</f>
        <v>358668</v>
      </c>
      <c r="R37" s="33">
        <f>'Request3a(2)'!X411</f>
        <v>631031.1599999999</v>
      </c>
      <c r="S37" s="205">
        <f t="shared" si="2"/>
        <v>1002527.1599999999</v>
      </c>
      <c r="T37" s="33">
        <f t="shared" si="3"/>
        <v>165770.9</v>
      </c>
      <c r="U37" s="205">
        <f t="shared" si="4"/>
        <v>88104.92</v>
      </c>
      <c r="V37" s="33">
        <f t="shared" si="5"/>
        <v>0</v>
      </c>
      <c r="W37" s="205">
        <f t="shared" si="6"/>
        <v>1256402.9799999997</v>
      </c>
      <c r="Y37" s="205">
        <f t="shared" si="7"/>
        <v>93480</v>
      </c>
      <c r="Z37" s="226">
        <f t="shared" si="8"/>
        <v>0.08038365533029546</v>
      </c>
    </row>
    <row r="38" spans="6:26" ht="12.75">
      <c r="F38" s="203" t="str">
        <f>'Request3a(2)'!R425</f>
        <v>Rate 48: Large Ind Rate B-2</v>
      </c>
      <c r="G38" s="33">
        <f>'Request3a(2)'!U429</f>
        <v>12828</v>
      </c>
      <c r="H38" s="205">
        <f>'Request3a(2)'!U431+'Request3a(2)'!U432</f>
        <v>395303.1</v>
      </c>
      <c r="I38" s="33">
        <f>'Request3a(2)'!U430</f>
        <v>1098045.912</v>
      </c>
      <c r="J38" s="205">
        <f t="shared" si="0"/>
        <v>1506177.012</v>
      </c>
      <c r="K38" s="33">
        <f>'Request3a(2)'!U435</f>
        <v>285662.29</v>
      </c>
      <c r="L38" s="205">
        <f>'Request3a(2)'!U436</f>
        <v>130516.87</v>
      </c>
      <c r="M38" s="33"/>
      <c r="N38" s="205">
        <f t="shared" si="1"/>
        <v>1922356.1720000003</v>
      </c>
      <c r="O38" s="19"/>
      <c r="P38" s="223">
        <f>'Request3a(2)'!X429</f>
        <v>12828</v>
      </c>
      <c r="Q38" s="205">
        <f>'Request3a(2)'!X431+'Request3a(2)'!X432</f>
        <v>531732.6</v>
      </c>
      <c r="R38" s="33">
        <f>'Request3a(2)'!X430</f>
        <v>1098045.912</v>
      </c>
      <c r="S38" s="205">
        <f t="shared" si="2"/>
        <v>1642606.512</v>
      </c>
      <c r="T38" s="33">
        <f t="shared" si="3"/>
        <v>285662.29</v>
      </c>
      <c r="U38" s="205">
        <f t="shared" si="4"/>
        <v>130516.87</v>
      </c>
      <c r="V38" s="33">
        <f t="shared" si="5"/>
        <v>0</v>
      </c>
      <c r="W38" s="205">
        <f t="shared" si="6"/>
        <v>2058785.6720000003</v>
      </c>
      <c r="Y38" s="205">
        <f t="shared" si="7"/>
        <v>136429.5</v>
      </c>
      <c r="Z38" s="226">
        <f t="shared" si="8"/>
        <v>0.07096993886312974</v>
      </c>
    </row>
    <row r="39" spans="6:26" ht="12.75">
      <c r="F39" s="203" t="str">
        <f>'Request3a(2)'!R443</f>
        <v>Rate 49: Large Ind Rate B-2</v>
      </c>
      <c r="G39" s="33">
        <f>'Request3a(2)'!U447</f>
        <v>12828</v>
      </c>
      <c r="H39" s="205">
        <f>'Request3a(2)'!U449+'Request3a(2)'!U450</f>
        <v>413479.23488</v>
      </c>
      <c r="I39" s="33">
        <f>'Request3a(2)'!U448</f>
        <v>1310432.76</v>
      </c>
      <c r="J39" s="205">
        <f t="shared" si="0"/>
        <v>1736739.9948800001</v>
      </c>
      <c r="K39" s="33">
        <f>'Request3a(2)'!U453</f>
        <v>349035.91</v>
      </c>
      <c r="L39" s="205">
        <f>'Request3a(2)'!U454</f>
        <v>150224.39</v>
      </c>
      <c r="M39" s="33"/>
      <c r="N39" s="205">
        <f t="shared" si="1"/>
        <v>2236000.29488</v>
      </c>
      <c r="O39" s="19"/>
      <c r="P39" s="223">
        <f>'Request3a(2)'!X447</f>
        <v>12828</v>
      </c>
      <c r="Q39" s="205">
        <f>'Request3a(2)'!X449+'Request3a(2)'!X450</f>
        <v>556450.40448</v>
      </c>
      <c r="R39" s="33">
        <f>'Request3a(2)'!X448</f>
        <v>1310432.76</v>
      </c>
      <c r="S39" s="205">
        <f t="shared" si="2"/>
        <v>1879711.16448</v>
      </c>
      <c r="T39" s="33">
        <f t="shared" si="3"/>
        <v>349035.91</v>
      </c>
      <c r="U39" s="205">
        <f t="shared" si="4"/>
        <v>150224.39</v>
      </c>
      <c r="V39" s="33">
        <f t="shared" si="5"/>
        <v>0</v>
      </c>
      <c r="W39" s="205">
        <f t="shared" si="6"/>
        <v>2378971.46448</v>
      </c>
      <c r="Y39" s="205">
        <f t="shared" si="7"/>
        <v>142971.16960000014</v>
      </c>
      <c r="Z39" s="226">
        <f t="shared" si="8"/>
        <v>0.0639405862008946</v>
      </c>
    </row>
    <row r="40" spans="6:26" ht="12.75">
      <c r="F40" s="207" t="str">
        <f>'Request3a(2)'!R461</f>
        <v>Rate 50: Large Pwr Srvc, LPR 2 - Rate 8</v>
      </c>
      <c r="G40" s="169">
        <f>'Request3a(2)'!U465</f>
        <v>28476</v>
      </c>
      <c r="H40" s="206">
        <f>'Request3a(2)'!U468</f>
        <v>523003.46637</v>
      </c>
      <c r="I40" s="169">
        <f>'Request3a(2)'!U466+'Request3a(2)'!U467</f>
        <v>1912343.81856</v>
      </c>
      <c r="J40" s="206">
        <f t="shared" si="0"/>
        <v>2463823.28493</v>
      </c>
      <c r="K40" s="169">
        <f>'Request3a(2)'!U471</f>
        <v>434809.83</v>
      </c>
      <c r="L40" s="206">
        <f>'Request3a(2)'!U472</f>
        <v>213594.44</v>
      </c>
      <c r="M40" s="169"/>
      <c r="N40" s="206">
        <f t="shared" si="1"/>
        <v>3112227.55493</v>
      </c>
      <c r="O40" s="19"/>
      <c r="P40" s="224">
        <f>'Request3a(2)'!X465</f>
        <v>28476</v>
      </c>
      <c r="Q40" s="206">
        <f>'Request3a(2)'!X468</f>
        <v>707364.61407</v>
      </c>
      <c r="R40" s="169">
        <f>'Request3a(2)'!X466+'Request3a(2)'!X467</f>
        <v>1912343.81856</v>
      </c>
      <c r="S40" s="206">
        <f t="shared" si="2"/>
        <v>2648184.43263</v>
      </c>
      <c r="T40" s="169">
        <f>K40</f>
        <v>434809.83</v>
      </c>
      <c r="U40" s="206">
        <f>L40</f>
        <v>213594.44</v>
      </c>
      <c r="V40" s="169"/>
      <c r="W40" s="206">
        <f t="shared" si="6"/>
        <v>3296588.70263</v>
      </c>
      <c r="Y40" s="206">
        <f>W40-N40</f>
        <v>184361.1477000001</v>
      </c>
      <c r="Z40" s="227">
        <f>W40/N40-1</f>
        <v>0.059237682478570086</v>
      </c>
    </row>
    <row r="41" spans="6:26" ht="12.75">
      <c r="F41" s="236" t="s">
        <v>195</v>
      </c>
      <c r="G41" s="208">
        <f aca="true" t="shared" si="9" ref="G41:N41">SUM(G16:G40)</f>
        <v>4193873.9299999997</v>
      </c>
      <c r="H41" s="220">
        <f t="shared" si="9"/>
        <v>5055904.75981</v>
      </c>
      <c r="I41" s="208">
        <f t="shared" si="9"/>
        <v>62507938.61412999</v>
      </c>
      <c r="J41" s="220">
        <f t="shared" si="9"/>
        <v>71757717.30394001</v>
      </c>
      <c r="K41" s="208">
        <f t="shared" si="9"/>
        <v>9596066.459999999</v>
      </c>
      <c r="L41" s="220">
        <f t="shared" si="9"/>
        <v>5955892.98</v>
      </c>
      <c r="M41" s="208">
        <f t="shared" si="9"/>
        <v>0</v>
      </c>
      <c r="N41" s="221">
        <f t="shared" si="9"/>
        <v>87309676.74394001</v>
      </c>
      <c r="O41" s="19"/>
      <c r="P41" s="224">
        <f>SUM(P16:P40)</f>
        <v>4193873.9299999997</v>
      </c>
      <c r="Q41" s="208">
        <f aca="true" t="shared" si="10" ref="Q41:W41">SUM(Q16:Q40)</f>
        <v>5889666.47431</v>
      </c>
      <c r="R41" s="169">
        <f t="shared" si="10"/>
        <v>66068995.56681032</v>
      </c>
      <c r="S41" s="208">
        <f t="shared" si="10"/>
        <v>76152535.97112033</v>
      </c>
      <c r="T41" s="169">
        <f t="shared" si="10"/>
        <v>9596066.459999999</v>
      </c>
      <c r="U41" s="208">
        <f t="shared" si="10"/>
        <v>5955892.98</v>
      </c>
      <c r="V41" s="169">
        <f t="shared" si="10"/>
        <v>0</v>
      </c>
      <c r="W41" s="208">
        <f t="shared" si="10"/>
        <v>91704495.41112036</v>
      </c>
      <c r="Y41" s="206">
        <f>SUM(Y16:Y40)</f>
        <v>4394818.6671803165</v>
      </c>
      <c r="Z41" s="228">
        <f>W41/N41-1</f>
        <v>0.05033598601068445</v>
      </c>
    </row>
    <row r="42" spans="7:23" ht="12.75"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6:26" ht="12.75">
      <c r="F43" s="196" t="s">
        <v>194</v>
      </c>
      <c r="G43" s="219"/>
      <c r="H43" s="219"/>
      <c r="I43" s="219"/>
      <c r="J43" s="219"/>
      <c r="K43" s="218"/>
      <c r="L43" s="219"/>
      <c r="M43" s="218"/>
      <c r="N43" s="219"/>
      <c r="O43" s="19"/>
      <c r="P43" s="219"/>
      <c r="Q43" s="218"/>
      <c r="R43" s="219"/>
      <c r="S43" s="218"/>
      <c r="T43" s="218"/>
      <c r="U43" s="219"/>
      <c r="V43" s="218"/>
      <c r="W43" s="219"/>
      <c r="X43" s="232"/>
      <c r="Y43" s="196"/>
      <c r="Z43" s="196"/>
    </row>
    <row r="44" spans="6:26" ht="12.75">
      <c r="F44" s="229" t="str">
        <f>'Request 3a (2)'!Q13</f>
        <v>175 WATT MERCURY VAPOR</v>
      </c>
      <c r="G44" s="205">
        <f>'Request 3a (2)'!U13</f>
        <v>26919.199999999997</v>
      </c>
      <c r="H44" s="205"/>
      <c r="I44" s="205"/>
      <c r="J44" s="205">
        <f aca="true" t="shared" si="11" ref="J44:J63">G44+H44+I44</f>
        <v>26919.199999999997</v>
      </c>
      <c r="K44" s="33"/>
      <c r="L44" s="205"/>
      <c r="M44" s="33"/>
      <c r="N44" s="205">
        <f aca="true" t="shared" si="12" ref="N44:N63">J44+K44+L44+M44</f>
        <v>26919.199999999997</v>
      </c>
      <c r="O44" s="19"/>
      <c r="P44" s="205">
        <f>'Request 3a (2)'!Z13</f>
        <v>28356.304170418625</v>
      </c>
      <c r="Q44" s="33"/>
      <c r="R44" s="205"/>
      <c r="S44" s="33">
        <f aca="true" t="shared" si="13" ref="S44:S63">R44+Q44+P44</f>
        <v>28356.304170418625</v>
      </c>
      <c r="T44" s="33"/>
      <c r="U44" s="205"/>
      <c r="V44" s="33"/>
      <c r="W44" s="205">
        <f aca="true" t="shared" si="14" ref="W44:W63">S44+T44+U44+V44</f>
        <v>28356.304170418625</v>
      </c>
      <c r="X44" s="18"/>
      <c r="Y44" s="205">
        <f aca="true" t="shared" si="15" ref="Y44:Y63">W44-N44</f>
        <v>1437.1041704186282</v>
      </c>
      <c r="Z44" s="226">
        <f aca="true" t="shared" si="16" ref="Z44:Z64">W44/N44-1</f>
        <v>0.05338584246257794</v>
      </c>
    </row>
    <row r="45" spans="6:26" ht="12.75">
      <c r="F45" s="229" t="str">
        <f>'Request 3a (2)'!Q14</f>
        <v>175 WATT MERCURY VAPOR</v>
      </c>
      <c r="G45" s="205">
        <f>'Request 3a (2)'!U14</f>
        <v>474348.02</v>
      </c>
      <c r="H45" s="205"/>
      <c r="I45" s="205"/>
      <c r="J45" s="205">
        <f t="shared" si="11"/>
        <v>474348.02</v>
      </c>
      <c r="K45" s="33"/>
      <c r="L45" s="205"/>
      <c r="M45" s="33"/>
      <c r="N45" s="205">
        <f t="shared" si="12"/>
        <v>474348.02</v>
      </c>
      <c r="O45" s="19"/>
      <c r="P45" s="205">
        <f>'Request 3a (2)'!Z14</f>
        <v>489515.8209674775</v>
      </c>
      <c r="Q45" s="33"/>
      <c r="R45" s="205"/>
      <c r="S45" s="33">
        <f t="shared" si="13"/>
        <v>489515.8209674775</v>
      </c>
      <c r="T45" s="33"/>
      <c r="U45" s="205"/>
      <c r="V45" s="33"/>
      <c r="W45" s="205">
        <f t="shared" si="14"/>
        <v>489515.8209674775</v>
      </c>
      <c r="X45" s="18"/>
      <c r="Y45" s="205">
        <f t="shared" si="15"/>
        <v>15167.800967477495</v>
      </c>
      <c r="Z45" s="226">
        <f t="shared" si="16"/>
        <v>0.03197610262498296</v>
      </c>
    </row>
    <row r="46" spans="6:26" ht="12.75">
      <c r="F46" s="229" t="str">
        <f>'Request 3a (2)'!Q15</f>
        <v>400 WATT MERCURY VAPOR</v>
      </c>
      <c r="G46" s="205">
        <f>'Request 3a (2)'!U15</f>
        <v>6175.070000000001</v>
      </c>
      <c r="H46" s="205"/>
      <c r="I46" s="205"/>
      <c r="J46" s="205">
        <f t="shared" si="11"/>
        <v>6175.070000000001</v>
      </c>
      <c r="K46" s="33"/>
      <c r="L46" s="205"/>
      <c r="M46" s="33"/>
      <c r="N46" s="205">
        <f t="shared" si="12"/>
        <v>6175.070000000001</v>
      </c>
      <c r="O46" s="19"/>
      <c r="P46" s="205">
        <f>'Request 3a (2)'!Z15</f>
        <v>6667.77985275655</v>
      </c>
      <c r="Q46" s="33"/>
      <c r="R46" s="205"/>
      <c r="S46" s="33">
        <f t="shared" si="13"/>
        <v>6667.77985275655</v>
      </c>
      <c r="T46" s="33"/>
      <c r="U46" s="205"/>
      <c r="V46" s="33"/>
      <c r="W46" s="205">
        <f t="shared" si="14"/>
        <v>6667.77985275655</v>
      </c>
      <c r="X46" s="18"/>
      <c r="Y46" s="205">
        <f t="shared" si="15"/>
        <v>492.7098527565495</v>
      </c>
      <c r="Z46" s="226">
        <f t="shared" si="16"/>
        <v>0.0797901647684236</v>
      </c>
    </row>
    <row r="47" spans="6:26" ht="12.75">
      <c r="F47" s="229" t="str">
        <f>'Request 3a (2)'!Q16</f>
        <v>400 WATT MERCURY VAPOR</v>
      </c>
      <c r="G47" s="205">
        <f>'Request 3a (2)'!U16</f>
        <v>10725.3</v>
      </c>
      <c r="H47" s="205"/>
      <c r="I47" s="205"/>
      <c r="J47" s="205">
        <f t="shared" si="11"/>
        <v>10725.3</v>
      </c>
      <c r="K47" s="33"/>
      <c r="L47" s="205"/>
      <c r="M47" s="33"/>
      <c r="N47" s="205">
        <f t="shared" si="12"/>
        <v>10725.3</v>
      </c>
      <c r="O47" s="19"/>
      <c r="P47" s="205">
        <f>'Request 3a (2)'!Z16</f>
        <v>11179.932766694465</v>
      </c>
      <c r="Q47" s="33"/>
      <c r="R47" s="205"/>
      <c r="S47" s="33">
        <f t="shared" si="13"/>
        <v>11179.932766694465</v>
      </c>
      <c r="T47" s="33"/>
      <c r="U47" s="205"/>
      <c r="V47" s="33"/>
      <c r="W47" s="205">
        <f t="shared" si="14"/>
        <v>11179.932766694465</v>
      </c>
      <c r="X47" s="18"/>
      <c r="Y47" s="205">
        <f t="shared" si="15"/>
        <v>454.6327666944653</v>
      </c>
      <c r="Z47" s="226">
        <f t="shared" si="16"/>
        <v>0.04238881585545062</v>
      </c>
    </row>
    <row r="48" spans="6:26" ht="12.75">
      <c r="F48" s="229" t="str">
        <f>'Request 3a (2)'!Q17</f>
        <v>100 WATT HIGH PRESSURE SODIUM</v>
      </c>
      <c r="G48" s="205">
        <f>'Request 3a (2)'!U17</f>
        <v>461894.94</v>
      </c>
      <c r="H48" s="205"/>
      <c r="I48" s="205"/>
      <c r="J48" s="205">
        <f t="shared" si="11"/>
        <v>461894.94</v>
      </c>
      <c r="K48" s="33"/>
      <c r="L48" s="205"/>
      <c r="M48" s="33"/>
      <c r="N48" s="205">
        <f t="shared" si="12"/>
        <v>461894.94</v>
      </c>
      <c r="O48" s="19"/>
      <c r="P48" s="205">
        <f>'Request 3a (2)'!Z17</f>
        <v>474750.9482061161</v>
      </c>
      <c r="Q48" s="33"/>
      <c r="R48" s="205"/>
      <c r="S48" s="33">
        <f t="shared" si="13"/>
        <v>474750.9482061161</v>
      </c>
      <c r="T48" s="33"/>
      <c r="U48" s="205"/>
      <c r="V48" s="33"/>
      <c r="W48" s="205">
        <f t="shared" si="14"/>
        <v>474750.9482061161</v>
      </c>
      <c r="X48" s="18"/>
      <c r="Y48" s="205">
        <f t="shared" si="15"/>
        <v>12856.008206116094</v>
      </c>
      <c r="Z48" s="226">
        <f t="shared" si="16"/>
        <v>0.0278331869279973</v>
      </c>
    </row>
    <row r="49" spans="6:26" ht="12.75">
      <c r="F49" s="229" t="str">
        <f>'Request 3a (2)'!Q18</f>
        <v>175 WATT MERCURY VAPOR -SEPARATE TRANSFORMER</v>
      </c>
      <c r="G49" s="205">
        <f>'Request 3a (2)'!U18</f>
        <v>1500.93</v>
      </c>
      <c r="H49" s="205"/>
      <c r="I49" s="205"/>
      <c r="J49" s="205">
        <f t="shared" si="11"/>
        <v>1500.93</v>
      </c>
      <c r="K49" s="33"/>
      <c r="L49" s="205"/>
      <c r="M49" s="33"/>
      <c r="N49" s="205">
        <f t="shared" si="12"/>
        <v>1500.93</v>
      </c>
      <c r="O49" s="19"/>
      <c r="P49" s="205">
        <f>'Request 3a (2)'!Z18</f>
        <v>1544.0315480112934</v>
      </c>
      <c r="Q49" s="33"/>
      <c r="R49" s="205"/>
      <c r="S49" s="33">
        <f t="shared" si="13"/>
        <v>1544.0315480112934</v>
      </c>
      <c r="T49" s="33"/>
      <c r="U49" s="205"/>
      <c r="V49" s="33"/>
      <c r="W49" s="205">
        <f t="shared" si="14"/>
        <v>1544.0315480112934</v>
      </c>
      <c r="X49" s="18"/>
      <c r="Y49" s="205">
        <f t="shared" si="15"/>
        <v>43.10154801129329</v>
      </c>
      <c r="Z49" s="226">
        <f t="shared" si="16"/>
        <v>0.028716561072996916</v>
      </c>
    </row>
    <row r="50" spans="6:26" ht="12.75">
      <c r="F50" s="229" t="str">
        <f>'Request 3a (2)'!Q19</f>
        <v>70 WATT HIGH PRESSURE SODIUM - ORNAMENTAL</v>
      </c>
      <c r="G50" s="205">
        <f>'Request 3a (2)'!U19</f>
        <v>43638.96</v>
      </c>
      <c r="H50" s="205"/>
      <c r="I50" s="205"/>
      <c r="J50" s="205">
        <f t="shared" si="11"/>
        <v>43638.96</v>
      </c>
      <c r="K50" s="33"/>
      <c r="L50" s="205"/>
      <c r="M50" s="33"/>
      <c r="N50" s="205">
        <f t="shared" si="12"/>
        <v>43638.96</v>
      </c>
      <c r="O50" s="19"/>
      <c r="P50" s="205">
        <f>'Request 3a (2)'!Z19</f>
        <v>44382.395134862534</v>
      </c>
      <c r="Q50" s="33"/>
      <c r="R50" s="205"/>
      <c r="S50" s="33">
        <f t="shared" si="13"/>
        <v>44382.395134862534</v>
      </c>
      <c r="T50" s="33"/>
      <c r="U50" s="205"/>
      <c r="V50" s="33"/>
      <c r="W50" s="205">
        <f t="shared" si="14"/>
        <v>44382.395134862534</v>
      </c>
      <c r="X50" s="18"/>
      <c r="Y50" s="205">
        <f t="shared" si="15"/>
        <v>743.435134862535</v>
      </c>
      <c r="Z50" s="226">
        <f t="shared" si="16"/>
        <v>0.017036041529462143</v>
      </c>
    </row>
    <row r="51" spans="6:26" ht="12.75">
      <c r="F51" s="229" t="str">
        <f>'Request 3a (2)'!Q20</f>
        <v>400 WATT MERCURY VAPOR -SEPARATE TRANSFORMER</v>
      </c>
      <c r="G51" s="205">
        <f>'Request 3a (2)'!U20</f>
        <v>540.72</v>
      </c>
      <c r="H51" s="197"/>
      <c r="I51" s="197"/>
      <c r="J51" s="205">
        <f t="shared" si="11"/>
        <v>540.72</v>
      </c>
      <c r="K51" s="18"/>
      <c r="L51" s="197"/>
      <c r="M51" s="18"/>
      <c r="N51" s="205">
        <f t="shared" si="12"/>
        <v>540.72</v>
      </c>
      <c r="P51" s="205">
        <f>'Request 3a (2)'!Z20</f>
        <v>562.1144831385631</v>
      </c>
      <c r="Q51" s="18"/>
      <c r="R51" s="197"/>
      <c r="S51" s="33">
        <f t="shared" si="13"/>
        <v>562.1144831385631</v>
      </c>
      <c r="T51" s="18"/>
      <c r="U51" s="197"/>
      <c r="V51" s="18"/>
      <c r="W51" s="205">
        <f t="shared" si="14"/>
        <v>562.1144831385631</v>
      </c>
      <c r="X51" s="18"/>
      <c r="Y51" s="205">
        <f t="shared" si="15"/>
        <v>21.394483138563032</v>
      </c>
      <c r="Z51" s="226">
        <f t="shared" si="16"/>
        <v>0.03956665767599321</v>
      </c>
    </row>
    <row r="52" spans="6:26" ht="12.75">
      <c r="F52" s="229" t="str">
        <f>'Request 3a (2)'!Q21</f>
        <v>100 WATT HIGH PRESSURE SODIUM - ORNAMENTAL</v>
      </c>
      <c r="G52" s="205">
        <f>'Request 3a (2)'!U21</f>
        <v>46344.24</v>
      </c>
      <c r="H52" s="197"/>
      <c r="I52" s="197"/>
      <c r="J52" s="205">
        <f t="shared" si="11"/>
        <v>46344.24</v>
      </c>
      <c r="K52" s="18"/>
      <c r="L52" s="197"/>
      <c r="M52" s="18"/>
      <c r="N52" s="205">
        <f t="shared" si="12"/>
        <v>46344.24</v>
      </c>
      <c r="P52" s="205">
        <f>'Request 3a (2)'!Z21</f>
        <v>47326.02449571575</v>
      </c>
      <c r="Q52" s="18"/>
      <c r="R52" s="197"/>
      <c r="S52" s="33">
        <f t="shared" si="13"/>
        <v>47326.02449571575</v>
      </c>
      <c r="T52" s="18"/>
      <c r="U52" s="197"/>
      <c r="V52" s="18"/>
      <c r="W52" s="205">
        <f t="shared" si="14"/>
        <v>47326.02449571575</v>
      </c>
      <c r="X52" s="18"/>
      <c r="Y52" s="205">
        <f t="shared" si="15"/>
        <v>981.7844957157504</v>
      </c>
      <c r="Z52" s="226">
        <f t="shared" si="16"/>
        <v>0.021184606667748795</v>
      </c>
    </row>
    <row r="53" spans="6:26" ht="12.75">
      <c r="F53" s="229" t="str">
        <f>'Request 3a (2)'!Q23</f>
        <v>250 WATT HIGH PRESSURE SODIUM - ORNAMENTAL</v>
      </c>
      <c r="G53" s="205">
        <f>'Request 3a (2)'!U23</f>
        <v>22283.25</v>
      </c>
      <c r="H53" s="197"/>
      <c r="I53" s="197"/>
      <c r="J53" s="205">
        <f t="shared" si="11"/>
        <v>22283.25</v>
      </c>
      <c r="K53" s="18"/>
      <c r="L53" s="197"/>
      <c r="M53" s="18"/>
      <c r="N53" s="205">
        <f t="shared" si="12"/>
        <v>22283.25</v>
      </c>
      <c r="P53" s="205">
        <f>'Request 3a (2)'!Z23</f>
        <v>23231.484056248453</v>
      </c>
      <c r="Q53" s="18"/>
      <c r="R53" s="197"/>
      <c r="S53" s="33">
        <f t="shared" si="13"/>
        <v>23231.484056248453</v>
      </c>
      <c r="T53" s="18"/>
      <c r="U53" s="197"/>
      <c r="V53" s="18"/>
      <c r="W53" s="205">
        <f t="shared" si="14"/>
        <v>23231.484056248453</v>
      </c>
      <c r="X53" s="18"/>
      <c r="Y53" s="205">
        <f t="shared" si="15"/>
        <v>948.2340562484533</v>
      </c>
      <c r="Z53" s="226">
        <f t="shared" si="16"/>
        <v>0.042553669516271375</v>
      </c>
    </row>
    <row r="54" spans="6:26" ht="12.75">
      <c r="F54" s="229" t="str">
        <f>'Request 3a (2)'!Q25</f>
        <v>250 WATT HIGH PRESSURE SODIUM</v>
      </c>
      <c r="G54" s="205">
        <f>'Request 3a (2)'!U25</f>
        <v>16041.359999999999</v>
      </c>
      <c r="H54" s="197"/>
      <c r="I54" s="197"/>
      <c r="J54" s="205">
        <f t="shared" si="11"/>
        <v>16041.359999999999</v>
      </c>
      <c r="K54" s="18"/>
      <c r="L54" s="197"/>
      <c r="M54" s="18"/>
      <c r="N54" s="205">
        <f t="shared" si="12"/>
        <v>16041.359999999999</v>
      </c>
      <c r="P54" s="205">
        <f>'Request 3a (2)'!Z25</f>
        <v>16882.13540230249</v>
      </c>
      <c r="Q54" s="18"/>
      <c r="R54" s="197"/>
      <c r="S54" s="33">
        <f t="shared" si="13"/>
        <v>16882.13540230249</v>
      </c>
      <c r="T54" s="18"/>
      <c r="U54" s="197"/>
      <c r="V54" s="18"/>
      <c r="W54" s="205">
        <f t="shared" si="14"/>
        <v>16882.13540230249</v>
      </c>
      <c r="X54" s="18"/>
      <c r="Y54" s="205">
        <f t="shared" si="15"/>
        <v>840.7754023024918</v>
      </c>
      <c r="Z54" s="226">
        <f t="shared" si="16"/>
        <v>0.052412975103263815</v>
      </c>
    </row>
    <row r="55" spans="6:26" ht="12.75">
      <c r="F55" s="229" t="str">
        <f>'Request 3a (2)'!Q26</f>
        <v>200 WATT HIGH PRESSURE SODIUM - COBRA HEAD</v>
      </c>
      <c r="G55" s="205">
        <f>'Request 3a (2)'!U26</f>
        <v>10255.74</v>
      </c>
      <c r="H55" s="197"/>
      <c r="I55" s="197"/>
      <c r="J55" s="205">
        <f t="shared" si="11"/>
        <v>10255.74</v>
      </c>
      <c r="K55" s="18"/>
      <c r="L55" s="197"/>
      <c r="M55" s="18"/>
      <c r="N55" s="205">
        <f t="shared" si="12"/>
        <v>10255.74</v>
      </c>
      <c r="P55" s="205">
        <f>'Request 3a (2)'!Z26</f>
        <v>10548.13126956036</v>
      </c>
      <c r="Q55" s="18"/>
      <c r="R55" s="197"/>
      <c r="S55" s="33">
        <f t="shared" si="13"/>
        <v>10548.13126956036</v>
      </c>
      <c r="T55" s="18"/>
      <c r="U55" s="197"/>
      <c r="V55" s="18"/>
      <c r="W55" s="205">
        <f t="shared" si="14"/>
        <v>10548.13126956036</v>
      </c>
      <c r="X55" s="18"/>
      <c r="Y55" s="205">
        <f t="shared" si="15"/>
        <v>292.39126956035943</v>
      </c>
      <c r="Z55" s="226">
        <f t="shared" si="16"/>
        <v>0.028510011911413446</v>
      </c>
    </row>
    <row r="56" spans="6:26" ht="12.75">
      <c r="F56" s="229" t="str">
        <f>'Request 3a (2)'!Q27</f>
        <v>70 WATT HIGH PRESSURE SODIUM - COLONIAL</v>
      </c>
      <c r="G56" s="205">
        <f>'Request 3a (2)'!U27</f>
        <v>44775.96</v>
      </c>
      <c r="H56" s="197"/>
      <c r="I56" s="197"/>
      <c r="J56" s="205">
        <f t="shared" si="11"/>
        <v>44775.96</v>
      </c>
      <c r="K56" s="18"/>
      <c r="L56" s="197"/>
      <c r="M56" s="18"/>
      <c r="N56" s="205">
        <f t="shared" si="12"/>
        <v>44775.96</v>
      </c>
      <c r="P56" s="205">
        <f>'Request 3a (2)'!Z27</f>
        <v>45273.35857876906</v>
      </c>
      <c r="Q56" s="18"/>
      <c r="R56" s="197"/>
      <c r="S56" s="33">
        <f t="shared" si="13"/>
        <v>45273.35857876906</v>
      </c>
      <c r="T56" s="18"/>
      <c r="U56" s="197"/>
      <c r="V56" s="18"/>
      <c r="W56" s="205">
        <f t="shared" si="14"/>
        <v>45273.35857876906</v>
      </c>
      <c r="X56" s="18"/>
      <c r="Y56" s="205">
        <f t="shared" si="15"/>
        <v>497.3985787690617</v>
      </c>
      <c r="Z56" s="226">
        <f t="shared" si="16"/>
        <v>0.01110860780581957</v>
      </c>
    </row>
    <row r="57" spans="6:26" ht="12.75">
      <c r="F57" s="229" t="str">
        <f>'Request 3a (2)'!Q28</f>
        <v>400 WATT METAL HALIDE DIRECTIONAL FLOOD</v>
      </c>
      <c r="G57" s="205">
        <f>'Request 3a (2)'!U28</f>
        <v>37584.54</v>
      </c>
      <c r="H57" s="197"/>
      <c r="I57" s="197"/>
      <c r="J57" s="205">
        <f t="shared" si="11"/>
        <v>37584.54</v>
      </c>
      <c r="K57" s="18"/>
      <c r="L57" s="197"/>
      <c r="M57" s="18"/>
      <c r="N57" s="205">
        <f t="shared" si="12"/>
        <v>37584.54</v>
      </c>
      <c r="P57" s="205">
        <f>'Request 3a (2)'!Z28</f>
        <v>39605.693493125866</v>
      </c>
      <c r="Q57" s="18"/>
      <c r="R57" s="197"/>
      <c r="S57" s="33">
        <f t="shared" si="13"/>
        <v>39605.693493125866</v>
      </c>
      <c r="T57" s="18"/>
      <c r="U57" s="197"/>
      <c r="V57" s="18"/>
      <c r="W57" s="205">
        <f t="shared" si="14"/>
        <v>39605.693493125866</v>
      </c>
      <c r="X57" s="18"/>
      <c r="Y57" s="205">
        <f t="shared" si="15"/>
        <v>2021.1534931258648</v>
      </c>
      <c r="Z57" s="226">
        <f t="shared" si="16"/>
        <v>0.053776193432881314</v>
      </c>
    </row>
    <row r="58" spans="6:26" ht="12.75">
      <c r="F58" s="229" t="str">
        <f>'Request 3a (2)'!Q29</f>
        <v>400 WATT HIGH PRESSURE SODIUM DIRECTIONAL FLOOD</v>
      </c>
      <c r="G58" s="205">
        <f>'Request 3a (2)'!U29</f>
        <v>6630.5199999999995</v>
      </c>
      <c r="H58" s="197"/>
      <c r="I58" s="197"/>
      <c r="J58" s="205">
        <f t="shared" si="11"/>
        <v>6630.5199999999995</v>
      </c>
      <c r="K58" s="18"/>
      <c r="L58" s="197"/>
      <c r="M58" s="18"/>
      <c r="N58" s="205">
        <f t="shared" si="12"/>
        <v>6630.5199999999995</v>
      </c>
      <c r="P58" s="205">
        <f>'Request 3a (2)'!Z29</f>
        <v>6957.56153364787</v>
      </c>
      <c r="Q58" s="18"/>
      <c r="R58" s="197"/>
      <c r="S58" s="33">
        <f t="shared" si="13"/>
        <v>6957.56153364787</v>
      </c>
      <c r="T58" s="18"/>
      <c r="U58" s="197"/>
      <c r="V58" s="18"/>
      <c r="W58" s="205">
        <f t="shared" si="14"/>
        <v>6957.56153364787</v>
      </c>
      <c r="X58" s="18"/>
      <c r="Y58" s="205">
        <f t="shared" si="15"/>
        <v>327.0415336478709</v>
      </c>
      <c r="Z58" s="226">
        <f t="shared" si="16"/>
        <v>0.04932366294768298</v>
      </c>
    </row>
    <row r="59" spans="6:26" ht="12.75">
      <c r="F59" s="229" t="str">
        <f>'Request 3a (2)'!Q30</f>
        <v>100 WATT HIGH PRESSURE SODIUM - COBRA HEAD</v>
      </c>
      <c r="G59" s="205">
        <f>'Request 3a (2)'!U30</f>
        <v>15940.54</v>
      </c>
      <c r="H59" s="197"/>
      <c r="I59" s="197"/>
      <c r="J59" s="205">
        <f t="shared" si="11"/>
        <v>15940.54</v>
      </c>
      <c r="K59" s="18"/>
      <c r="L59" s="197"/>
      <c r="M59" s="18"/>
      <c r="N59" s="205">
        <f t="shared" si="12"/>
        <v>15940.54</v>
      </c>
      <c r="P59" s="205">
        <f>'Request 3a (2)'!Z30</f>
        <v>16209.259956506261</v>
      </c>
      <c r="Q59" s="18"/>
      <c r="R59" s="197"/>
      <c r="S59" s="33">
        <f t="shared" si="13"/>
        <v>16209.259956506261</v>
      </c>
      <c r="T59" s="18"/>
      <c r="U59" s="197"/>
      <c r="V59" s="18"/>
      <c r="W59" s="205">
        <f t="shared" si="14"/>
        <v>16209.259956506261</v>
      </c>
      <c r="X59" s="18"/>
      <c r="Y59" s="205">
        <f t="shared" si="15"/>
        <v>268.71995650626013</v>
      </c>
      <c r="Z59" s="226">
        <f t="shared" si="16"/>
        <v>0.016857644503025737</v>
      </c>
    </row>
    <row r="60" spans="6:26" ht="12.75">
      <c r="F60" s="229" t="str">
        <f>'Request 3a (2)'!Q31</f>
        <v>100 WATT HIGH PRESSURE SODIUM - SHOEBOX FIXTURE</v>
      </c>
      <c r="G60" s="205">
        <f>'Request 3a (2)'!U31</f>
        <v>1985.22</v>
      </c>
      <c r="H60" s="197"/>
      <c r="I60" s="197"/>
      <c r="J60" s="205">
        <f t="shared" si="11"/>
        <v>1985.22</v>
      </c>
      <c r="K60" s="18"/>
      <c r="L60" s="197"/>
      <c r="M60" s="18"/>
      <c r="N60" s="205">
        <f t="shared" si="12"/>
        <v>1985.22</v>
      </c>
      <c r="P60" s="205">
        <f>'Request 3a (2)'!Z31</f>
        <v>2002.782462619697</v>
      </c>
      <c r="Q60" s="18"/>
      <c r="R60" s="197"/>
      <c r="S60" s="33">
        <f t="shared" si="13"/>
        <v>2002.782462619697</v>
      </c>
      <c r="T60" s="18"/>
      <c r="U60" s="197"/>
      <c r="V60" s="18"/>
      <c r="W60" s="205">
        <f t="shared" si="14"/>
        <v>2002.782462619697</v>
      </c>
      <c r="X60" s="18"/>
      <c r="Y60" s="205">
        <f t="shared" si="15"/>
        <v>17.562462619697044</v>
      </c>
      <c r="Z60" s="226">
        <f t="shared" si="16"/>
        <v>0.008846607741054946</v>
      </c>
    </row>
    <row r="61" spans="6:26" ht="12.75">
      <c r="F61" s="229" t="str">
        <f>'Request 3a (2)'!Q32</f>
        <v>100 WATT HIGH PRESSURE SODIUM - ACORN FIXTURE</v>
      </c>
      <c r="G61" s="205">
        <f>'Request 3a (2)'!U32</f>
        <v>1686.9599999999998</v>
      </c>
      <c r="H61" s="197"/>
      <c r="I61" s="197"/>
      <c r="J61" s="205">
        <f t="shared" si="11"/>
        <v>1686.9599999999998</v>
      </c>
      <c r="K61" s="18"/>
      <c r="L61" s="197"/>
      <c r="M61" s="18"/>
      <c r="N61" s="205">
        <f t="shared" si="12"/>
        <v>1686.9599999999998</v>
      </c>
      <c r="P61" s="205">
        <f>'Request 3a (2)'!Z32</f>
        <v>1702.3806988855877</v>
      </c>
      <c r="Q61" s="18"/>
      <c r="R61" s="197"/>
      <c r="S61" s="33">
        <f t="shared" si="13"/>
        <v>1702.3806988855877</v>
      </c>
      <c r="T61" s="18"/>
      <c r="U61" s="197"/>
      <c r="V61" s="18"/>
      <c r="W61" s="205">
        <f t="shared" si="14"/>
        <v>1702.3806988855877</v>
      </c>
      <c r="X61" s="18"/>
      <c r="Y61" s="205">
        <f t="shared" si="15"/>
        <v>15.420698885587854</v>
      </c>
      <c r="Z61" s="226">
        <f t="shared" si="16"/>
        <v>0.009141117089668915</v>
      </c>
    </row>
    <row r="62" spans="6:26" ht="12.75">
      <c r="F62" s="229" t="str">
        <f>'Request 3a (2)'!Q33</f>
        <v>100 WATT HIGH PRESSURE SODIUM - COLONIAL FIXTURE</v>
      </c>
      <c r="G62" s="205">
        <f>'Request 3a (2)'!U33</f>
        <v>13449.52</v>
      </c>
      <c r="H62" s="197"/>
      <c r="I62" s="197"/>
      <c r="J62" s="205">
        <f t="shared" si="11"/>
        <v>13449.52</v>
      </c>
      <c r="K62" s="18"/>
      <c r="L62" s="197"/>
      <c r="M62" s="18"/>
      <c r="N62" s="205">
        <f t="shared" si="12"/>
        <v>13449.52</v>
      </c>
      <c r="P62" s="205">
        <f>'Request 3a (2)'!Z33</f>
        <v>13595.445502417318</v>
      </c>
      <c r="Q62" s="18"/>
      <c r="R62" s="197"/>
      <c r="S62" s="33">
        <f t="shared" si="13"/>
        <v>13595.445502417318</v>
      </c>
      <c r="T62" s="18"/>
      <c r="U62" s="197"/>
      <c r="V62" s="18"/>
      <c r="W62" s="205">
        <f t="shared" si="14"/>
        <v>13595.445502417318</v>
      </c>
      <c r="X62" s="18"/>
      <c r="Y62" s="205">
        <f t="shared" si="15"/>
        <v>145.92550241731806</v>
      </c>
      <c r="Z62" s="226">
        <f t="shared" si="16"/>
        <v>0.010849866940776831</v>
      </c>
    </row>
    <row r="63" spans="6:26" ht="12.75">
      <c r="F63" s="230" t="str">
        <f>'Request 3a (2)'!Q34</f>
        <v>400 WATT HIGH PRESSURE SODIUM - COBRA HEAD</v>
      </c>
      <c r="G63" s="206">
        <f>'Request 3a (2)'!U34</f>
        <v>94.35000000000001</v>
      </c>
      <c r="H63" s="198"/>
      <c r="I63" s="198"/>
      <c r="J63" s="206">
        <f t="shared" si="11"/>
        <v>94.35000000000001</v>
      </c>
      <c r="K63" s="21"/>
      <c r="L63" s="198"/>
      <c r="M63" s="21"/>
      <c r="N63" s="206">
        <f t="shared" si="12"/>
        <v>94.35000000000001</v>
      </c>
      <c r="P63" s="206">
        <f>'Request 3a (2)'!Z34</f>
        <v>97.4179318353459</v>
      </c>
      <c r="Q63" s="21"/>
      <c r="R63" s="198"/>
      <c r="S63" s="169">
        <f t="shared" si="13"/>
        <v>97.4179318353459</v>
      </c>
      <c r="T63" s="21"/>
      <c r="U63" s="198"/>
      <c r="V63" s="21"/>
      <c r="W63" s="206">
        <f t="shared" si="14"/>
        <v>97.4179318353459</v>
      </c>
      <c r="X63" s="21"/>
      <c r="Y63" s="206">
        <f t="shared" si="15"/>
        <v>3.067931835345888</v>
      </c>
      <c r="Z63" s="227">
        <f t="shared" si="16"/>
        <v>0.03251650063959599</v>
      </c>
    </row>
    <row r="64" spans="6:26" ht="12.75">
      <c r="F64" s="214" t="s">
        <v>193</v>
      </c>
      <c r="G64" s="208">
        <f>SUM(G44:G63)</f>
        <v>1242815.3400000003</v>
      </c>
      <c r="H64" s="217"/>
      <c r="I64" s="217"/>
      <c r="J64" s="208">
        <f>SUM(J44:J63)</f>
        <v>1242815.3400000003</v>
      </c>
      <c r="K64" s="231"/>
      <c r="L64" s="217"/>
      <c r="M64" s="231"/>
      <c r="N64" s="208">
        <f>SUM(N44:N63)</f>
        <v>1242815.3400000003</v>
      </c>
      <c r="O64" s="19"/>
      <c r="P64" s="206">
        <f>SUM(P44:P63)</f>
        <v>1280391.0025111102</v>
      </c>
      <c r="Q64" s="21"/>
      <c r="R64" s="198"/>
      <c r="S64" s="169">
        <f>SUM(S44:S63)</f>
        <v>1280391.0025111102</v>
      </c>
      <c r="T64" s="21"/>
      <c r="U64" s="198"/>
      <c r="V64" s="21"/>
      <c r="W64" s="206">
        <f>SUM(W44:W63)</f>
        <v>1280391.0025111102</v>
      </c>
      <c r="X64" s="21"/>
      <c r="Y64" s="206">
        <f>SUM(Y44:Y63)</f>
        <v>37575.66251110968</v>
      </c>
      <c r="Z64" s="228">
        <f t="shared" si="16"/>
        <v>0.030234308590936676</v>
      </c>
    </row>
    <row r="65" spans="6:26" ht="6" customHeight="1">
      <c r="F65" s="197"/>
      <c r="G65" s="197"/>
      <c r="H65" s="197"/>
      <c r="I65" s="197"/>
      <c r="J65" s="197"/>
      <c r="K65" s="18"/>
      <c r="L65" s="197"/>
      <c r="M65" s="18"/>
      <c r="N65" s="197"/>
      <c r="P65" s="196"/>
      <c r="Q65" s="232"/>
      <c r="R65" s="196"/>
      <c r="S65" s="232"/>
      <c r="T65" s="232"/>
      <c r="U65" s="196"/>
      <c r="V65" s="232"/>
      <c r="W65" s="196"/>
      <c r="X65" s="232"/>
      <c r="Y65" s="196"/>
      <c r="Z65" s="196"/>
    </row>
    <row r="66" spans="6:26" ht="12.75">
      <c r="F66" s="204" t="s">
        <v>196</v>
      </c>
      <c r="G66" s="206">
        <f>G41+G64</f>
        <v>5436689.27</v>
      </c>
      <c r="H66" s="198"/>
      <c r="I66" s="198"/>
      <c r="J66" s="206">
        <f>J41+J64</f>
        <v>73000532.64394002</v>
      </c>
      <c r="K66" s="21"/>
      <c r="L66" s="198"/>
      <c r="M66" s="21"/>
      <c r="N66" s="206">
        <f>N41+N64</f>
        <v>88552492.08394001</v>
      </c>
      <c r="P66" s="206">
        <f>P41+P64</f>
        <v>5474264.93251111</v>
      </c>
      <c r="Q66" s="21"/>
      <c r="R66" s="198"/>
      <c r="S66" s="169">
        <f>S41+S64</f>
        <v>77432926.97363144</v>
      </c>
      <c r="T66" s="21"/>
      <c r="U66" s="198"/>
      <c r="V66" s="21"/>
      <c r="W66" s="206">
        <f>W41+W64</f>
        <v>92984886.41363147</v>
      </c>
      <c r="X66" s="21"/>
      <c r="Y66" s="206">
        <f>Y41+Y64</f>
        <v>4432394.329691426</v>
      </c>
      <c r="Z66" s="228">
        <f>W66/N66-1</f>
        <v>0.050053863255366426</v>
      </c>
    </row>
  </sheetData>
  <mergeCells count="3">
    <mergeCell ref="F9:Z9"/>
    <mergeCell ref="F10:Z10"/>
    <mergeCell ref="F11:Z11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Grass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donalds</dc:creator>
  <cp:keywords/>
  <dc:description/>
  <cp:lastModifiedBy>peggy</cp:lastModifiedBy>
  <cp:lastPrinted>2007-03-20T15:36:09Z</cp:lastPrinted>
  <dcterms:created xsi:type="dcterms:W3CDTF">2006-11-22T17:05:56Z</dcterms:created>
  <dcterms:modified xsi:type="dcterms:W3CDTF">2007-03-20T15:36:40Z</dcterms:modified>
  <cp:category/>
  <cp:version/>
  <cp:contentType/>
  <cp:contentStatus/>
</cp:coreProperties>
</file>