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ata Request 3a (1)" sheetId="1" r:id="rId1"/>
    <sheet name="Data Request 3a (2)" sheetId="2" r:id="rId2"/>
    <sheet name="Data Request 3a(2)" sheetId="3" r:id="rId3"/>
    <sheet name="Summary" sheetId="4" r:id="rId4"/>
    <sheet name="Detailed Summary" sheetId="5" r:id="rId5"/>
  </sheets>
  <definedNames>
    <definedName name="_xlnm.Print_Area" localSheetId="0">'Data Request 3a (1)'!$G$3:$S$40</definedName>
    <definedName name="_xlnm.Print_Area" localSheetId="1">'Data Request 3a (2)'!$D$1:$N$126</definedName>
    <definedName name="_xlnm.Print_Area" localSheetId="2">'Data Request 3a(2)'!$D$1:$U$44</definedName>
    <definedName name="_xlnm.Print_Area" localSheetId="4">'Detailed Summary'!$A$1:$U$24</definedName>
    <definedName name="_xlnm.Print_Area" localSheetId="3">'Summary'!$G$5:$O$31</definedName>
  </definedNames>
  <calcPr fullCalcOnLoad="1"/>
</workbook>
</file>

<file path=xl/comments2.xml><?xml version="1.0" encoding="utf-8"?>
<comments xmlns="http://schemas.openxmlformats.org/spreadsheetml/2006/main">
  <authors>
    <author>george</author>
  </authors>
  <commentList>
    <comment ref="F33" authorId="0">
      <text>
        <r>
          <rPr>
            <b/>
            <sz val="8"/>
            <rFont val="Tahoma"/>
            <family val="0"/>
          </rPr>
          <t>george:</t>
        </r>
        <r>
          <rPr>
            <sz val="8"/>
            <rFont val="Tahoma"/>
            <family val="0"/>
          </rPr>
          <t xml:space="preserve">
Per David Estepp's email from Nov. 8, 2006.</t>
        </r>
      </text>
    </comment>
  </commentList>
</comments>
</file>

<file path=xl/sharedStrings.xml><?xml version="1.0" encoding="utf-8"?>
<sst xmlns="http://schemas.openxmlformats.org/spreadsheetml/2006/main" count="507" uniqueCount="130">
  <si>
    <t>Big Sandy RECC</t>
  </si>
  <si>
    <t>Total</t>
  </si>
  <si>
    <t xml:space="preserve"> </t>
  </si>
  <si>
    <t>Billing</t>
  </si>
  <si>
    <t>Actual</t>
  </si>
  <si>
    <t>Proposed</t>
  </si>
  <si>
    <t>Determinants</t>
  </si>
  <si>
    <t>Rate</t>
  </si>
  <si>
    <t>Revenues</t>
  </si>
  <si>
    <t>Increase</t>
  </si>
  <si>
    <t>Customer Charge</t>
  </si>
  <si>
    <t>Energy Charge per kWh</t>
  </si>
  <si>
    <t>Billing Adjustments</t>
  </si>
  <si>
    <t>Total from Base Rates</t>
  </si>
  <si>
    <t>Fuel Adjustment</t>
  </si>
  <si>
    <t>Environmental Surcharge</t>
  </si>
  <si>
    <t>Green Power</t>
  </si>
  <si>
    <t>Total Revenues</t>
  </si>
  <si>
    <t>Demand Charge</t>
  </si>
  <si>
    <t>Sch A-1 - Farm and Home</t>
  </si>
  <si>
    <t>Billing Analysis: Test Year Ending September 30, 2006</t>
  </si>
  <si>
    <t>Sch A-1 Farm &amp; Home - Off-peak Energy Charge</t>
  </si>
  <si>
    <t>Energy Charge per ETS kWh</t>
  </si>
  <si>
    <t>(1)</t>
  </si>
  <si>
    <t>(2)</t>
  </si>
  <si>
    <t>(4)</t>
  </si>
  <si>
    <t>(5)</t>
  </si>
  <si>
    <t>(6)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</si>
  <si>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</si>
  <si>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</si>
  <si>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</si>
  <si>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</si>
  <si>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</si>
  <si>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</si>
  <si>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</si>
  <si>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</si>
  <si>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</si>
  <si>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(3)=(1)*(2)</t>
  </si>
  <si>
    <t>Plus Fuel Adjustment</t>
  </si>
  <si>
    <t>Plus Environmental Surcharge</t>
  </si>
  <si>
    <t>Sch A-2 Commercial and Small Power</t>
  </si>
  <si>
    <t>9.</t>
  </si>
  <si>
    <t>Sch LP Large Power Service (25-750 kV)</t>
  </si>
  <si>
    <t>Secondary Meter Energy Charge per kWh</t>
  </si>
  <si>
    <t>Primary Meter Energy Charge per kWh</t>
  </si>
  <si>
    <t>All Billing Units are the Sum of the 12 months ending September 30, 2006</t>
  </si>
  <si>
    <t>Sch Ind 1</t>
  </si>
  <si>
    <t>Sch Ind 2</t>
  </si>
  <si>
    <t>Sch YL-1</t>
  </si>
  <si>
    <t>Description</t>
  </si>
  <si>
    <t>Annual</t>
  </si>
  <si>
    <t>Units</t>
  </si>
  <si>
    <t>per</t>
  </si>
  <si>
    <t>Lamp</t>
  </si>
  <si>
    <t>Revenue</t>
  </si>
  <si>
    <t>Assigned</t>
  </si>
  <si>
    <t>kWh</t>
  </si>
  <si>
    <t>per Light</t>
  </si>
  <si>
    <t>Total kWh</t>
  </si>
  <si>
    <t>assigned</t>
  </si>
  <si>
    <t>to Lights</t>
  </si>
  <si>
    <t>(5)=(1)*(4)</t>
  </si>
  <si>
    <t>(7)</t>
  </si>
  <si>
    <t>Rate per</t>
  </si>
  <si>
    <t>Light</t>
  </si>
  <si>
    <t>Change</t>
  </si>
  <si>
    <t>(8)</t>
  </si>
  <si>
    <t>Sch LPR Large Power Service (25-750 kVA)</t>
  </si>
  <si>
    <t>Dollar</t>
  </si>
  <si>
    <t>Percent</t>
  </si>
  <si>
    <t>(9)</t>
  </si>
  <si>
    <t>Lights kWh</t>
  </si>
  <si>
    <t>Non-demand kWh (excl Lights)</t>
  </si>
  <si>
    <t>Cust Chg $</t>
  </si>
  <si>
    <t>Energy $</t>
  </si>
  <si>
    <t>Dem $</t>
  </si>
  <si>
    <t>Total non-demand kWh</t>
  </si>
  <si>
    <t>Total $</t>
  </si>
  <si>
    <t>Less Dmd $</t>
  </si>
  <si>
    <t>Less Cust Chg $</t>
  </si>
  <si>
    <t>per kWh</t>
  </si>
  <si>
    <t>Sch YL-1:</t>
  </si>
  <si>
    <t xml:space="preserve"> 175 Watt</t>
  </si>
  <si>
    <t xml:space="preserve"> 400 Watt</t>
  </si>
  <si>
    <t xml:space="preserve"> 500 Watt</t>
  </si>
  <si>
    <t xml:space="preserve"> 1500 Watt</t>
  </si>
  <si>
    <t>Billing Analysis</t>
  </si>
  <si>
    <t>for the 12 months ended September 30, 2006</t>
  </si>
  <si>
    <t>Present</t>
  </si>
  <si>
    <t>Customer</t>
  </si>
  <si>
    <t>Demand</t>
  </si>
  <si>
    <t>Energy</t>
  </si>
  <si>
    <t>Total Base $</t>
  </si>
  <si>
    <t>FAC</t>
  </si>
  <si>
    <t>ES</t>
  </si>
  <si>
    <t>$ Increase</t>
  </si>
  <si>
    <t>% Increase</t>
  </si>
  <si>
    <t>Big Sandy Electric Corporation</t>
  </si>
  <si>
    <t>$ Increase - Non - Lights</t>
  </si>
  <si>
    <t>$ Increase - LIghts</t>
  </si>
  <si>
    <t>Total $ Increase</t>
  </si>
  <si>
    <t xml:space="preserve">$ Increase per EKPC </t>
  </si>
  <si>
    <t>$ Differential</t>
  </si>
  <si>
    <t>GP</t>
  </si>
  <si>
    <t>Schedule</t>
  </si>
  <si>
    <t>Sch LPR Large Power Service (750 kVA and over)</t>
  </si>
  <si>
    <t>Total Present</t>
  </si>
  <si>
    <t>Annualized</t>
  </si>
  <si>
    <t>Total - All Rate Classes</t>
  </si>
  <si>
    <t>Non B/C</t>
  </si>
  <si>
    <t>Total Sch YL-1</t>
  </si>
  <si>
    <t>Average</t>
  </si>
  <si>
    <t>10.</t>
  </si>
  <si>
    <t>Avg</t>
  </si>
  <si>
    <t>Watt Mercury Vapor</t>
  </si>
  <si>
    <t>Watt Flood Light</t>
  </si>
  <si>
    <t>Percent of</t>
  </si>
  <si>
    <t>Total Rev.</t>
  </si>
  <si>
    <t xml:space="preserve">Actual </t>
  </si>
  <si>
    <t>Component %</t>
  </si>
  <si>
    <t>of Base Rates</t>
  </si>
  <si>
    <t xml:space="preserve">Component % </t>
  </si>
  <si>
    <t>Base</t>
  </si>
  <si>
    <t>Request 3a (1)</t>
  </si>
  <si>
    <t>Attachment</t>
  </si>
  <si>
    <t>Page 1 of 1</t>
  </si>
  <si>
    <t>Request 3 a (2)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</si>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</sst>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%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"/>
    <numFmt numFmtId="180" formatCode="&quot;$&quot;#,##0.00"/>
    <numFmt numFmtId="181" formatCode="&quot;$&quot;#,##0.000"/>
    <numFmt numFmtId="182" formatCode="&quot;$&quot;#,##0.0000"/>
    <numFmt numFmtId="183" formatCode="&quot;$&quot;#,##0.00000"/>
    <numFmt numFmtId="184" formatCode="&quot;$&quot;#,##0.000000"/>
    <numFmt numFmtId="185" formatCode="_(* #,##0.000000_);_(* \(#,##0.000000\);_(* &quot;-&quot;??????_);_(@_)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@Arial Unicode MS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73" fontId="0" fillId="0" borderId="0" xfId="17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7" fontId="0" fillId="0" borderId="0" xfId="17" applyNumberFormat="1" applyAlignment="1">
      <alignment/>
    </xf>
    <xf numFmtId="174" fontId="0" fillId="0" borderId="0" xfId="17" applyNumberFormat="1" applyAlignment="1">
      <alignment/>
    </xf>
    <xf numFmtId="174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Border="1" applyAlignment="1" quotePrefix="1">
      <alignment horizontal="center"/>
    </xf>
    <xf numFmtId="44" fontId="0" fillId="0" borderId="0" xfId="17" applyAlignment="1">
      <alignment/>
    </xf>
    <xf numFmtId="0" fontId="0" fillId="0" borderId="0" xfId="0" applyAlignment="1" quotePrefix="1">
      <alignment horizontal="center"/>
    </xf>
    <xf numFmtId="173" fontId="0" fillId="0" borderId="4" xfId="17" applyNumberFormat="1" applyBorder="1" applyAlignment="1">
      <alignment/>
    </xf>
    <xf numFmtId="173" fontId="0" fillId="0" borderId="0" xfId="17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4" xfId="0" applyNumberFormat="1" applyFont="1" applyBorder="1" applyAlignment="1">
      <alignment/>
    </xf>
    <xf numFmtId="44" fontId="0" fillId="0" borderId="4" xfId="17" applyFont="1" applyBorder="1" applyAlignment="1">
      <alignment/>
    </xf>
    <xf numFmtId="173" fontId="0" fillId="0" borderId="4" xfId="17" applyNumberFormat="1" applyFont="1" applyBorder="1" applyAlignment="1">
      <alignment/>
    </xf>
    <xf numFmtId="173" fontId="0" fillId="0" borderId="0" xfId="17" applyNumberFormat="1" applyBorder="1" applyAlignment="1">
      <alignment/>
    </xf>
    <xf numFmtId="173" fontId="0" fillId="0" borderId="0" xfId="17" applyNumberFormat="1" applyFont="1" applyBorder="1" applyAlignment="1">
      <alignment/>
    </xf>
    <xf numFmtId="0" fontId="4" fillId="0" borderId="0" xfId="0" applyFont="1" applyAlignment="1">
      <alignment/>
    </xf>
    <xf numFmtId="173" fontId="0" fillId="0" borderId="4" xfId="0" applyNumberFormat="1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44" fontId="0" fillId="0" borderId="0" xfId="17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10" fontId="0" fillId="0" borderId="0" xfId="19" applyNumberFormat="1" applyAlignment="1">
      <alignment/>
    </xf>
    <xf numFmtId="0" fontId="6" fillId="0" borderId="0" xfId="0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/>
    </xf>
    <xf numFmtId="167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17" applyNumberFormat="1" applyAlignment="1">
      <alignment/>
    </xf>
    <xf numFmtId="173" fontId="0" fillId="0" borderId="4" xfId="17" applyNumberFormat="1" applyFont="1" applyBorder="1" applyAlignment="1">
      <alignment/>
    </xf>
    <xf numFmtId="173" fontId="0" fillId="0" borderId="4" xfId="0" applyNumberFormat="1" applyBorder="1" applyAlignment="1">
      <alignment/>
    </xf>
    <xf numFmtId="173" fontId="1" fillId="0" borderId="0" xfId="19" applyNumberFormat="1" applyFont="1" applyAlignment="1">
      <alignment/>
    </xf>
    <xf numFmtId="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4" xfId="19" applyNumberFormat="1" applyFont="1" applyBorder="1" applyAlignment="1">
      <alignment/>
    </xf>
    <xf numFmtId="37" fontId="0" fillId="0" borderId="4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5" fontId="0" fillId="0" borderId="4" xfId="0" applyNumberFormat="1" applyBorder="1" applyAlignment="1">
      <alignment/>
    </xf>
    <xf numFmtId="5" fontId="0" fillId="0" borderId="0" xfId="19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5" fontId="0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8" fillId="2" borderId="1" xfId="0" applyFont="1" applyFill="1" applyBorder="1" applyAlignment="1" applyProtection="1">
      <alignment horizontal="center"/>
      <protection/>
    </xf>
    <xf numFmtId="5" fontId="0" fillId="0" borderId="1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5" fontId="0" fillId="0" borderId="13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9" fontId="9" fillId="0" borderId="0" xfId="0" applyNumberFormat="1" applyFont="1" applyAlignment="1">
      <alignment/>
    </xf>
    <xf numFmtId="179" fontId="0" fillId="0" borderId="5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10" fontId="0" fillId="0" borderId="5" xfId="19" applyNumberFormat="1" applyFont="1" applyBorder="1" applyAlignment="1">
      <alignment/>
    </xf>
    <xf numFmtId="10" fontId="0" fillId="0" borderId="2" xfId="19" applyNumberFormat="1" applyFon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2" xfId="0" applyNumberFormat="1" applyBorder="1" applyAlignment="1">
      <alignment/>
    </xf>
    <xf numFmtId="10" fontId="0" fillId="0" borderId="1" xfId="19" applyNumberFormat="1" applyBorder="1" applyAlignment="1">
      <alignment/>
    </xf>
    <xf numFmtId="10" fontId="0" fillId="0" borderId="5" xfId="19" applyNumberFormat="1" applyBorder="1" applyAlignment="1">
      <alignment/>
    </xf>
    <xf numFmtId="10" fontId="0" fillId="0" borderId="2" xfId="19" applyNumberFormat="1" applyBorder="1" applyAlignment="1">
      <alignment/>
    </xf>
    <xf numFmtId="10" fontId="0" fillId="0" borderId="4" xfId="19" applyNumberFormat="1" applyBorder="1" applyAlignment="1">
      <alignment/>
    </xf>
    <xf numFmtId="0" fontId="0" fillId="0" borderId="5" xfId="0" applyBorder="1" applyAlignment="1">
      <alignment/>
    </xf>
    <xf numFmtId="10" fontId="0" fillId="0" borderId="2" xfId="19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79" fontId="0" fillId="0" borderId="1" xfId="0" applyNumberFormat="1" applyFont="1" applyBorder="1" applyAlignment="1">
      <alignment/>
    </xf>
    <xf numFmtId="7" fontId="0" fillId="0" borderId="0" xfId="0" applyNumberFormat="1" applyFont="1" applyFill="1" applyAlignment="1">
      <alignment/>
    </xf>
    <xf numFmtId="0" fontId="1" fillId="0" borderId="2" xfId="0" applyFont="1" applyBorder="1" applyAlignment="1">
      <alignment/>
    </xf>
    <xf numFmtId="179" fontId="0" fillId="0" borderId="3" xfId="0" applyNumberFormat="1" applyFont="1" applyBorder="1" applyAlignment="1">
      <alignment/>
    </xf>
    <xf numFmtId="7" fontId="0" fillId="0" borderId="0" xfId="0" applyNumberFormat="1" applyAlignment="1">
      <alignment/>
    </xf>
    <xf numFmtId="44" fontId="0" fillId="0" borderId="0" xfId="17" applyNumberFormat="1" applyFont="1" applyAlignment="1">
      <alignment/>
    </xf>
    <xf numFmtId="0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7" fontId="0" fillId="0" borderId="0" xfId="0" applyNumberFormat="1" applyBorder="1" applyAlignment="1">
      <alignment/>
    </xf>
    <xf numFmtId="10" fontId="0" fillId="0" borderId="0" xfId="19" applyNumberFormat="1" applyFont="1" applyBorder="1" applyAlignment="1">
      <alignment/>
    </xf>
    <xf numFmtId="5" fontId="0" fillId="0" borderId="0" xfId="0" applyNumberFormat="1" applyBorder="1" applyAlignment="1">
      <alignment/>
    </xf>
    <xf numFmtId="37" fontId="0" fillId="0" borderId="0" xfId="17" applyNumberFormat="1" applyBorder="1" applyAlignment="1">
      <alignment/>
    </xf>
    <xf numFmtId="5" fontId="2" fillId="0" borderId="0" xfId="17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7" fontId="0" fillId="7" borderId="0" xfId="0" applyNumberFormat="1" applyFont="1" applyFill="1" applyAlignment="1">
      <alignment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173" fontId="0" fillId="0" borderId="0" xfId="17" applyNumberFormat="1" applyFont="1" applyBorder="1" applyAlignment="1">
      <alignment/>
    </xf>
    <xf numFmtId="0" fontId="0" fillId="0" borderId="6" xfId="0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1" xfId="19" applyNumberFormat="1" applyFont="1" applyBorder="1" applyAlignment="1">
      <alignment/>
    </xf>
    <xf numFmtId="10" fontId="4" fillId="0" borderId="5" xfId="19" applyNumberFormat="1" applyFont="1" applyBorder="1" applyAlignment="1">
      <alignment/>
    </xf>
    <xf numFmtId="10" fontId="4" fillId="0" borderId="2" xfId="19" applyNumberFormat="1" applyFont="1" applyBorder="1" applyAlignment="1">
      <alignment/>
    </xf>
    <xf numFmtId="10" fontId="4" fillId="0" borderId="3" xfId="19" applyNumberFormat="1" applyFont="1" applyBorder="1" applyAlignment="1">
      <alignment/>
    </xf>
    <xf numFmtId="9" fontId="4" fillId="0" borderId="2" xfId="19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0" fontId="4" fillId="0" borderId="3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0" xfId="0" applyFont="1" applyAlignment="1">
      <alignment textRotation="180"/>
    </xf>
    <xf numFmtId="0" fontId="1" fillId="0" borderId="0" xfId="0" applyFont="1" applyAlignment="1">
      <alignment textRotation="180"/>
    </xf>
    <xf numFmtId="10" fontId="0" fillId="0" borderId="0" xfId="19" applyNumberFormat="1" applyFont="1" applyFill="1" applyBorder="1" applyAlignment="1">
      <alignment/>
    </xf>
    <xf numFmtId="0" fontId="1" fillId="0" borderId="0" xfId="0" applyFont="1" applyAlignment="1">
      <alignment horizontal="center" textRotation="180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G3:S40"/>
  <sheetViews>
    <sheetView workbookViewId="0" topLeftCell="H22">
      <selection activeCell="O24" sqref="O24"/>
    </sheetView>
  </sheetViews>
  <sheetFormatPr defaultColWidth="9.140625" defaultRowHeight="12.75"/>
  <cols>
    <col min="7" max="7" width="44.28125" style="0" customWidth="1"/>
    <col min="8" max="8" width="1.28515625" style="0" customWidth="1"/>
    <col min="9" max="9" width="11.57421875" style="0" customWidth="1"/>
    <col min="10" max="10" width="10.7109375" style="0" customWidth="1"/>
    <col min="11" max="11" width="11.7109375" style="0" customWidth="1"/>
    <col min="12" max="12" width="10.7109375" style="0" customWidth="1"/>
    <col min="13" max="13" width="10.28125" style="0" customWidth="1"/>
    <col min="14" max="14" width="1.7109375" style="0" customWidth="1"/>
    <col min="15" max="16" width="9.8515625" style="0" customWidth="1"/>
    <col min="17" max="19" width="3.28125" style="0" customWidth="1"/>
  </cols>
  <sheetData>
    <row r="3" ht="12.75">
      <c r="Q3" s="2"/>
    </row>
    <row r="4" ht="12.75">
      <c r="Q4" s="2"/>
    </row>
    <row r="5" spans="7:17" ht="12.75">
      <c r="G5" s="189" t="s">
        <v>0</v>
      </c>
      <c r="H5" s="189"/>
      <c r="I5" s="189"/>
      <c r="J5" s="189"/>
      <c r="K5" s="189"/>
      <c r="L5" s="189"/>
      <c r="M5" s="189"/>
      <c r="N5" s="189"/>
      <c r="O5" s="189"/>
      <c r="P5" s="1"/>
      <c r="Q5" s="2"/>
    </row>
    <row r="7" spans="7:16" ht="12.75">
      <c r="G7" s="189" t="s">
        <v>86</v>
      </c>
      <c r="H7" s="189"/>
      <c r="I7" s="189"/>
      <c r="J7" s="189"/>
      <c r="K7" s="189"/>
      <c r="L7" s="189"/>
      <c r="M7" s="189"/>
      <c r="N7" s="189"/>
      <c r="O7" s="189"/>
      <c r="P7" s="1"/>
    </row>
    <row r="9" spans="7:16" ht="12.75">
      <c r="G9" s="189" t="s">
        <v>87</v>
      </c>
      <c r="H9" s="189"/>
      <c r="I9" s="189"/>
      <c r="J9" s="189"/>
      <c r="K9" s="189"/>
      <c r="L9" s="189"/>
      <c r="M9" s="189"/>
      <c r="N9" s="189"/>
      <c r="O9" s="189"/>
      <c r="P9" s="1"/>
    </row>
    <row r="12" spans="7:16" ht="12.75">
      <c r="G12" s="5"/>
      <c r="H12" s="49"/>
      <c r="I12" s="6" t="s">
        <v>106</v>
      </c>
      <c r="J12" s="163"/>
      <c r="K12" s="6" t="s">
        <v>1</v>
      </c>
      <c r="L12" s="163"/>
      <c r="M12" s="6"/>
      <c r="N12" s="1"/>
      <c r="O12" s="6"/>
      <c r="P12" s="43"/>
    </row>
    <row r="13" spans="7:16" ht="12.75">
      <c r="G13" s="124"/>
      <c r="H13" s="49"/>
      <c r="I13" s="33" t="s">
        <v>107</v>
      </c>
      <c r="J13" s="164" t="s">
        <v>116</v>
      </c>
      <c r="K13" s="33" t="s">
        <v>5</v>
      </c>
      <c r="L13" s="164" t="s">
        <v>116</v>
      </c>
      <c r="M13" s="33"/>
      <c r="N13" s="1"/>
      <c r="O13" s="33"/>
      <c r="P13" s="43"/>
    </row>
    <row r="14" spans="7:16" ht="12.75">
      <c r="G14" s="7"/>
      <c r="H14" s="49"/>
      <c r="I14" s="33" t="s">
        <v>8</v>
      </c>
      <c r="J14" s="165" t="s">
        <v>117</v>
      </c>
      <c r="K14" s="34" t="s">
        <v>8</v>
      </c>
      <c r="L14" s="165" t="s">
        <v>117</v>
      </c>
      <c r="M14" s="32" t="s">
        <v>95</v>
      </c>
      <c r="N14" s="1"/>
      <c r="O14" s="32" t="s">
        <v>96</v>
      </c>
      <c r="P14" s="31"/>
    </row>
    <row r="15" spans="7:16" ht="12.75">
      <c r="G15" s="127" t="s">
        <v>19</v>
      </c>
      <c r="H15" s="126"/>
      <c r="I15" s="128">
        <f>'Detailed Summary'!I9</f>
        <v>14382024.29541</v>
      </c>
      <c r="J15" s="166">
        <f aca="true" t="shared" si="0" ref="J15:J21">I15/$I$31</f>
        <v>0.7052994912559359</v>
      </c>
      <c r="K15" s="113">
        <f>'Detailed Summary'!R9</f>
        <v>15086550.146245716</v>
      </c>
      <c r="L15" s="166">
        <f>K15/K31</f>
        <v>0.7049316121816739</v>
      </c>
      <c r="M15" s="117">
        <f>K15-I15</f>
        <v>704525.8508357164</v>
      </c>
      <c r="O15" s="120">
        <f>K15/I15-1</f>
        <v>0.04898655685490416</v>
      </c>
      <c r="P15" s="53"/>
    </row>
    <row r="16" spans="7:16" ht="12.75">
      <c r="G16" s="100" t="s">
        <v>21</v>
      </c>
      <c r="H16" s="126"/>
      <c r="I16" s="113">
        <f>'Detailed Summary'!I10</f>
        <v>2237.54886</v>
      </c>
      <c r="J16" s="167">
        <f t="shared" si="0"/>
        <v>0.00010973017707402712</v>
      </c>
      <c r="K16" s="113">
        <f>'Detailed Summary'!R10</f>
        <v>2380.1478213302785</v>
      </c>
      <c r="L16" s="167">
        <f aca="true" t="shared" si="1" ref="L16:L21">K16/$K$31</f>
        <v>0.00011121438795857397</v>
      </c>
      <c r="M16" s="118">
        <f aca="true" t="shared" si="2" ref="M16:M29">K16-I16</f>
        <v>142.5989613302786</v>
      </c>
      <c r="O16" s="121">
        <f aca="true" t="shared" si="3" ref="O16:O29">K16/I16-1</f>
        <v>0.06372998770193505</v>
      </c>
      <c r="P16" s="53"/>
    </row>
    <row r="17" spans="7:16" ht="12.75">
      <c r="G17" s="100" t="s">
        <v>40</v>
      </c>
      <c r="H17" s="126"/>
      <c r="I17" s="113">
        <f>'Detailed Summary'!I11</f>
        <v>1319016.8474</v>
      </c>
      <c r="J17" s="167">
        <f t="shared" si="0"/>
        <v>0.06468504657763184</v>
      </c>
      <c r="K17" s="113">
        <f>'Detailed Summary'!R11</f>
        <v>1372721.0437551134</v>
      </c>
      <c r="L17" s="167">
        <f t="shared" si="1"/>
        <v>0.06414153329088344</v>
      </c>
      <c r="M17" s="118">
        <f t="shared" si="2"/>
        <v>53704.196355113294</v>
      </c>
      <c r="O17" s="121">
        <f t="shared" si="3"/>
        <v>0.04071532252296328</v>
      </c>
      <c r="P17" s="53"/>
    </row>
    <row r="18" spans="7:16" ht="12.75">
      <c r="G18" s="100" t="s">
        <v>42</v>
      </c>
      <c r="H18" s="126"/>
      <c r="I18" s="113">
        <f>'Detailed Summary'!I12</f>
        <v>2325538.40521</v>
      </c>
      <c r="J18" s="167">
        <f t="shared" si="0"/>
        <v>0.11404521508242906</v>
      </c>
      <c r="K18" s="113">
        <f>'Detailed Summary'!R12</f>
        <v>2449595.771174985</v>
      </c>
      <c r="L18" s="167">
        <f t="shared" si="1"/>
        <v>0.11445940121688496</v>
      </c>
      <c r="M18" s="118">
        <f t="shared" si="2"/>
        <v>124057.36596498499</v>
      </c>
      <c r="O18" s="121">
        <f t="shared" si="3"/>
        <v>0.05334565349987508</v>
      </c>
      <c r="P18" s="53"/>
    </row>
    <row r="19" spans="7:16" ht="12.75">
      <c r="G19" s="100" t="s">
        <v>67</v>
      </c>
      <c r="H19" s="126"/>
      <c r="I19" s="113">
        <f>'Detailed Summary'!I13</f>
        <v>1717617</v>
      </c>
      <c r="J19" s="167">
        <f t="shared" si="0"/>
        <v>0.08423253718596306</v>
      </c>
      <c r="K19" s="113">
        <f>'Detailed Summary'!R13</f>
        <v>1815256.7706905305</v>
      </c>
      <c r="L19" s="167">
        <f t="shared" si="1"/>
        <v>0.08481938345626425</v>
      </c>
      <c r="M19" s="118">
        <f t="shared" si="2"/>
        <v>97639.77069053054</v>
      </c>
      <c r="O19" s="121">
        <f t="shared" si="3"/>
        <v>0.056846066783532434</v>
      </c>
      <c r="P19" s="53"/>
    </row>
    <row r="20" spans="7:16" ht="12.75">
      <c r="G20" s="100" t="s">
        <v>46</v>
      </c>
      <c r="H20" s="126"/>
      <c r="I20" s="113">
        <f>'Detailed Summary'!I14</f>
        <v>0</v>
      </c>
      <c r="J20" s="167">
        <f t="shared" si="0"/>
        <v>0</v>
      </c>
      <c r="K20" s="113">
        <f>'Detailed Summary'!R14</f>
        <v>0</v>
      </c>
      <c r="L20" s="167">
        <f t="shared" si="1"/>
        <v>0</v>
      </c>
      <c r="M20" s="118">
        <f t="shared" si="2"/>
        <v>0</v>
      </c>
      <c r="O20" s="121">
        <v>0</v>
      </c>
      <c r="P20" s="53"/>
    </row>
    <row r="21" spans="7:16" ht="12.75">
      <c r="G21" s="100" t="s">
        <v>47</v>
      </c>
      <c r="H21" s="126"/>
      <c r="I21" s="113">
        <f>'Detailed Summary'!I15</f>
        <v>0</v>
      </c>
      <c r="J21" s="167">
        <f t="shared" si="0"/>
        <v>0</v>
      </c>
      <c r="K21" s="113">
        <f>'Detailed Summary'!R15</f>
        <v>0</v>
      </c>
      <c r="L21" s="167">
        <f t="shared" si="1"/>
        <v>0</v>
      </c>
      <c r="M21" s="118">
        <f t="shared" si="2"/>
        <v>0</v>
      </c>
      <c r="O21" s="121">
        <v>0</v>
      </c>
      <c r="P21" s="53"/>
    </row>
    <row r="22" spans="7:16" ht="12.75">
      <c r="G22" s="101"/>
      <c r="H22" s="87"/>
      <c r="I22" s="101"/>
      <c r="J22" s="172"/>
      <c r="K22" s="101"/>
      <c r="L22" s="172"/>
      <c r="M22" s="118"/>
      <c r="O22" s="121"/>
      <c r="P22" s="53"/>
    </row>
    <row r="23" spans="7:16" ht="12.75">
      <c r="G23" s="100" t="s">
        <v>81</v>
      </c>
      <c r="H23" s="126"/>
      <c r="I23" s="101"/>
      <c r="J23" s="172"/>
      <c r="K23" s="101"/>
      <c r="L23" s="172"/>
      <c r="M23" s="118"/>
      <c r="O23" s="121"/>
      <c r="P23" s="53"/>
    </row>
    <row r="24" spans="7:16" ht="12.75">
      <c r="G24" s="101" t="s">
        <v>82</v>
      </c>
      <c r="H24" s="87"/>
      <c r="I24" s="113">
        <f>'Detailed Summary'!I18</f>
        <v>487375.74000000005</v>
      </c>
      <c r="J24" s="172"/>
      <c r="K24" s="113">
        <f>'Detailed Summary'!R18</f>
        <v>507786.8167389588</v>
      </c>
      <c r="L24" s="172"/>
      <c r="M24" s="118">
        <f t="shared" si="2"/>
        <v>20411.07673895877</v>
      </c>
      <c r="O24" s="121">
        <f t="shared" si="3"/>
        <v>0.04187955013714628</v>
      </c>
      <c r="P24" s="53"/>
    </row>
    <row r="25" spans="7:16" ht="12.75">
      <c r="G25" s="101" t="s">
        <v>83</v>
      </c>
      <c r="H25" s="87"/>
      <c r="I25" s="113">
        <f>'Detailed Summary'!I19</f>
        <v>123149.40000000001</v>
      </c>
      <c r="J25" s="172"/>
      <c r="K25" s="113">
        <f>'Detailed Summary'!R19</f>
        <v>131079.789258656</v>
      </c>
      <c r="L25" s="172"/>
      <c r="M25" s="118">
        <f t="shared" si="2"/>
        <v>7930.389258655996</v>
      </c>
      <c r="O25" s="121">
        <f t="shared" si="3"/>
        <v>0.06439649124279945</v>
      </c>
      <c r="P25" s="53"/>
    </row>
    <row r="26" spans="7:16" ht="12.75">
      <c r="G26" s="101" t="s">
        <v>84</v>
      </c>
      <c r="H26" s="87"/>
      <c r="I26" s="113">
        <f>'Detailed Summary'!I20</f>
        <v>1552.32</v>
      </c>
      <c r="J26" s="172"/>
      <c r="K26" s="113">
        <f>'Detailed Summary'!R20</f>
        <v>1671.1842143812542</v>
      </c>
      <c r="L26" s="172"/>
      <c r="M26" s="118">
        <f t="shared" si="2"/>
        <v>118.86421438125421</v>
      </c>
      <c r="O26" s="121">
        <f t="shared" si="3"/>
        <v>0.0765719789613315</v>
      </c>
      <c r="P26" s="53"/>
    </row>
    <row r="27" spans="7:16" ht="12.75">
      <c r="G27" s="101" t="s">
        <v>85</v>
      </c>
      <c r="H27" s="87"/>
      <c r="I27" s="113">
        <f>'Detailed Summary'!I21</f>
        <v>568.08</v>
      </c>
      <c r="J27" s="172"/>
      <c r="K27" s="113">
        <f>'Detailed Summary'!R21</f>
        <v>627.5121071906271</v>
      </c>
      <c r="L27" s="172"/>
      <c r="M27" s="118">
        <f t="shared" si="2"/>
        <v>59.43210719062711</v>
      </c>
      <c r="O27" s="121">
        <f t="shared" si="3"/>
        <v>0.10461925642625536</v>
      </c>
      <c r="P27" s="53"/>
    </row>
    <row r="28" spans="7:16" ht="12.75">
      <c r="G28" s="102" t="s">
        <v>83</v>
      </c>
      <c r="H28" s="87"/>
      <c r="I28" s="114">
        <f>'Detailed Summary'!I22</f>
        <v>32292.36</v>
      </c>
      <c r="J28" s="173"/>
      <c r="K28" s="113">
        <f>'Detailed Summary'!R22</f>
        <v>33768.75259612716</v>
      </c>
      <c r="L28" s="173"/>
      <c r="M28" s="119">
        <f t="shared" si="2"/>
        <v>1476.3925961271598</v>
      </c>
      <c r="O28" s="122">
        <f t="shared" si="3"/>
        <v>0.045719563269056795</v>
      </c>
      <c r="P28" s="53"/>
    </row>
    <row r="29" spans="7:16" ht="12.75">
      <c r="G29" s="100" t="s">
        <v>110</v>
      </c>
      <c r="H29" s="87"/>
      <c r="I29" s="113">
        <f>SUM(I24:I28)</f>
        <v>644937.8999999999</v>
      </c>
      <c r="J29" s="169">
        <f>I29/$I$31</f>
        <v>0.031627979720966266</v>
      </c>
      <c r="K29" s="131">
        <f>SUM(K24:K28)</f>
        <v>674934.0549153138</v>
      </c>
      <c r="L29" s="169">
        <f>K29/$K$31</f>
        <v>0.03153685546633502</v>
      </c>
      <c r="M29" s="119">
        <f t="shared" si="2"/>
        <v>29996.154915313935</v>
      </c>
      <c r="O29" s="122">
        <f t="shared" si="3"/>
        <v>0.04651014448881652</v>
      </c>
      <c r="P29" s="53"/>
    </row>
    <row r="30" spans="7:16" ht="12.75">
      <c r="G30" s="5"/>
      <c r="H30" s="49"/>
      <c r="I30" s="5"/>
      <c r="J30" s="174"/>
      <c r="K30" s="5"/>
      <c r="L30" s="174"/>
      <c r="M30" s="5"/>
      <c r="O30" s="5"/>
      <c r="P30" s="49"/>
    </row>
    <row r="31" spans="7:16" ht="12.75">
      <c r="G31" s="130" t="s">
        <v>108</v>
      </c>
      <c r="H31" s="49"/>
      <c r="I31" s="119">
        <f>SUM(I15:I28)</f>
        <v>20391371.996879995</v>
      </c>
      <c r="J31" s="171">
        <f>SUM(J15:J29)</f>
        <v>1.0000000000000002</v>
      </c>
      <c r="K31" s="119">
        <f>SUM(K15:K28)</f>
        <v>21401437.934602987</v>
      </c>
      <c r="L31" s="171">
        <f>SUM(L15:L29)</f>
        <v>1.0000000000000002</v>
      </c>
      <c r="M31" s="119">
        <f>SUM(M15:M28)</f>
        <v>1010065.937722989</v>
      </c>
      <c r="O31" s="125">
        <f>K31/I31-1</f>
        <v>0.04953398613283788</v>
      </c>
      <c r="P31" s="186"/>
    </row>
    <row r="40" spans="17:19" ht="76.5" customHeight="1">
      <c r="Q40" s="187" t="s">
        <v>125</v>
      </c>
      <c r="R40" s="187" t="s">
        <v>124</v>
      </c>
      <c r="S40" s="187" t="s">
        <v>123</v>
      </c>
    </row>
  </sheetData>
  <mergeCells count="3">
    <mergeCell ref="G5:O5"/>
    <mergeCell ref="G7:O7"/>
    <mergeCell ref="G9:O9"/>
  </mergeCells>
  <printOptions horizontalCentered="1"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G1">
      <selection activeCell="N71" sqref="N71:N73"/>
    </sheetView>
  </sheetViews>
  <sheetFormatPr defaultColWidth="9.140625" defaultRowHeight="12.75"/>
  <cols>
    <col min="2" max="2" width="26.57421875" style="0" customWidth="1"/>
    <col min="3" max="3" width="12.7109375" style="0" customWidth="1"/>
    <col min="4" max="4" width="5.140625" style="0" customWidth="1"/>
    <col min="5" max="5" width="35.421875" style="0" customWidth="1"/>
    <col min="6" max="6" width="13.140625" style="0" customWidth="1"/>
    <col min="7" max="7" width="11.57421875" style="0" bestFit="1" customWidth="1"/>
    <col min="8" max="8" width="12.421875" style="0" customWidth="1"/>
    <col min="9" max="9" width="13.00390625" style="0" customWidth="1"/>
    <col min="10" max="10" width="12.140625" style="0" customWidth="1"/>
    <col min="11" max="11" width="12.28125" style="0" customWidth="1"/>
    <col min="12" max="12" width="11.8515625" style="0" customWidth="1"/>
    <col min="13" max="13" width="10.7109375" style="0" customWidth="1"/>
    <col min="14" max="14" width="20.421875" style="0" customWidth="1"/>
    <col min="15" max="15" width="10.7109375" style="0" customWidth="1"/>
    <col min="16" max="16" width="10.8515625" style="0" customWidth="1"/>
    <col min="17" max="17" width="10.421875" style="0" customWidth="1"/>
    <col min="18" max="18" width="16.28125" style="0" customWidth="1"/>
    <col min="19" max="19" width="11.140625" style="0" customWidth="1"/>
  </cols>
  <sheetData>
    <row r="1" ht="18">
      <c r="N1" s="188" t="s">
        <v>126</v>
      </c>
    </row>
    <row r="2" spans="5:14" ht="18">
      <c r="E2" t="s">
        <v>20</v>
      </c>
      <c r="N2" s="188" t="s">
        <v>124</v>
      </c>
    </row>
    <row r="3" ht="18">
      <c r="N3" s="188" t="s">
        <v>127</v>
      </c>
    </row>
    <row r="4" ht="12.75">
      <c r="E4" s="29" t="s">
        <v>45</v>
      </c>
    </row>
    <row r="7" ht="12.75">
      <c r="E7" s="2" t="s">
        <v>0</v>
      </c>
    </row>
    <row r="8" ht="12.75">
      <c r="E8" s="2" t="s">
        <v>19</v>
      </c>
    </row>
    <row r="9" spans="3:17" ht="12.75">
      <c r="C9" t="s">
        <v>109</v>
      </c>
      <c r="D9" t="s">
        <v>28</v>
      </c>
      <c r="F9" s="5" t="s">
        <v>3</v>
      </c>
      <c r="G9" s="191" t="s">
        <v>4</v>
      </c>
      <c r="H9" s="192"/>
      <c r="I9" s="163" t="s">
        <v>118</v>
      </c>
      <c r="J9" s="193" t="s">
        <v>5</v>
      </c>
      <c r="K9" s="194"/>
      <c r="L9" s="142" t="s">
        <v>68</v>
      </c>
      <c r="M9" s="142" t="s">
        <v>69</v>
      </c>
      <c r="N9" s="163" t="s">
        <v>5</v>
      </c>
      <c r="O9" s="109" t="s">
        <v>75</v>
      </c>
      <c r="P9" s="110" t="s">
        <v>73</v>
      </c>
      <c r="Q9" s="111" t="s">
        <v>74</v>
      </c>
    </row>
    <row r="10" spans="3:14" ht="12.75">
      <c r="C10" t="s">
        <v>56</v>
      </c>
      <c r="F10" s="7" t="s">
        <v>6</v>
      </c>
      <c r="G10" s="8" t="s">
        <v>7</v>
      </c>
      <c r="H10" s="66" t="s">
        <v>8</v>
      </c>
      <c r="I10" s="179" t="s">
        <v>119</v>
      </c>
      <c r="J10" s="151" t="s">
        <v>7</v>
      </c>
      <c r="K10" s="154" t="s">
        <v>8</v>
      </c>
      <c r="L10" s="143" t="s">
        <v>9</v>
      </c>
      <c r="M10" s="160" t="s">
        <v>9</v>
      </c>
      <c r="N10" s="164" t="s">
        <v>121</v>
      </c>
    </row>
    <row r="11" spans="6:14" ht="12.75">
      <c r="F11" s="18" t="s">
        <v>23</v>
      </c>
      <c r="G11" s="18" t="s">
        <v>24</v>
      </c>
      <c r="H11" s="162" t="s">
        <v>37</v>
      </c>
      <c r="I11" s="165" t="s">
        <v>120</v>
      </c>
      <c r="J11" s="159" t="s">
        <v>25</v>
      </c>
      <c r="K11" s="156" t="s">
        <v>26</v>
      </c>
      <c r="L11" s="156" t="s">
        <v>27</v>
      </c>
      <c r="M11" s="157" t="s">
        <v>62</v>
      </c>
      <c r="N11" s="164" t="s">
        <v>120</v>
      </c>
    </row>
    <row r="12" spans="2:14" ht="12.75">
      <c r="B12" s="40"/>
      <c r="D12" s="20" t="s">
        <v>29</v>
      </c>
      <c r="E12" t="s">
        <v>10</v>
      </c>
      <c r="F12" s="16">
        <v>143232</v>
      </c>
      <c r="G12" s="11">
        <v>7</v>
      </c>
      <c r="H12" s="4">
        <f>F12*G12</f>
        <v>1002624</v>
      </c>
      <c r="I12" s="166">
        <f>H12/$H$15</f>
        <v>0.08322251308674992</v>
      </c>
      <c r="J12" s="54">
        <f>G12</f>
        <v>7</v>
      </c>
      <c r="K12" s="4">
        <f>J12*F12</f>
        <v>1002624</v>
      </c>
      <c r="L12" s="15">
        <f aca="true" t="shared" si="0" ref="L12:L18">K12-H12</f>
        <v>0</v>
      </c>
      <c r="N12" s="166">
        <f>K12/$K$15</f>
        <v>0.07862462646169692</v>
      </c>
    </row>
    <row r="13" spans="3:14" ht="12.75">
      <c r="C13" s="10">
        <f>F13</f>
        <v>179212807</v>
      </c>
      <c r="D13" s="20" t="s">
        <v>30</v>
      </c>
      <c r="E13" t="s">
        <v>11</v>
      </c>
      <c r="F13" s="10">
        <v>179212807</v>
      </c>
      <c r="G13" s="12">
        <v>0.06163</v>
      </c>
      <c r="H13" s="4">
        <f>F13*G13</f>
        <v>11044885.29541</v>
      </c>
      <c r="I13" s="167">
        <f>H13/$H$15</f>
        <v>0.9167774869132501</v>
      </c>
      <c r="J13" s="55">
        <f>G13+S129+95/(F13+F32*0.6)</f>
        <v>0.06556122490869593</v>
      </c>
      <c r="K13" s="56">
        <f>J13*F13</f>
        <v>11749411.146245716</v>
      </c>
      <c r="L13" s="15">
        <f t="shared" si="0"/>
        <v>704525.8508357164</v>
      </c>
      <c r="N13" s="167">
        <f>K13/$K$15</f>
        <v>0.9213753735383031</v>
      </c>
    </row>
    <row r="14" spans="4:14" ht="12.75">
      <c r="D14" s="20" t="s">
        <v>31</v>
      </c>
      <c r="E14" t="s">
        <v>12</v>
      </c>
      <c r="H14" s="30">
        <v>0</v>
      </c>
      <c r="I14" s="168"/>
      <c r="J14" s="54"/>
      <c r="K14" s="21">
        <f>J14*F14</f>
        <v>0</v>
      </c>
      <c r="L14" s="58">
        <f t="shared" si="0"/>
        <v>0</v>
      </c>
      <c r="N14" s="168"/>
    </row>
    <row r="15" spans="4:14" ht="12.75">
      <c r="D15" s="20" t="s">
        <v>32</v>
      </c>
      <c r="E15" t="s">
        <v>13</v>
      </c>
      <c r="H15" s="4">
        <f>H12+H13+H14</f>
        <v>12047509.29541</v>
      </c>
      <c r="I15" s="169">
        <f>SUM(I12:I14)</f>
        <v>1</v>
      </c>
      <c r="K15" s="4">
        <f>K12+K13+K14</f>
        <v>12752035.146245716</v>
      </c>
      <c r="L15" s="59">
        <f t="shared" si="0"/>
        <v>704525.8508357164</v>
      </c>
      <c r="N15" s="168">
        <f>SUM(N12:N14)</f>
        <v>1</v>
      </c>
    </row>
    <row r="16" spans="4:12" ht="12.75">
      <c r="D16" s="20" t="s">
        <v>33</v>
      </c>
      <c r="E16" t="s">
        <v>38</v>
      </c>
      <c r="H16" s="4">
        <v>1430705</v>
      </c>
      <c r="I16" s="4"/>
      <c r="K16" s="4">
        <v>1430705</v>
      </c>
      <c r="L16" s="15">
        <f t="shared" si="0"/>
        <v>0</v>
      </c>
    </row>
    <row r="17" spans="4:12" ht="12.75">
      <c r="D17" s="20" t="s">
        <v>34</v>
      </c>
      <c r="E17" t="s">
        <v>39</v>
      </c>
      <c r="H17" s="4">
        <v>902215</v>
      </c>
      <c r="I17" s="4"/>
      <c r="K17" s="4">
        <v>902215</v>
      </c>
      <c r="L17" s="15">
        <f t="shared" si="0"/>
        <v>0</v>
      </c>
    </row>
    <row r="18" spans="2:12" ht="12.75">
      <c r="B18" s="40"/>
      <c r="D18" s="20" t="s">
        <v>35</v>
      </c>
      <c r="E18" t="s">
        <v>16</v>
      </c>
      <c r="H18" s="57">
        <v>1595</v>
      </c>
      <c r="I18" s="28"/>
      <c r="K18" s="57">
        <v>1595</v>
      </c>
      <c r="L18" s="58">
        <f t="shared" si="0"/>
        <v>0</v>
      </c>
    </row>
    <row r="19" spans="4:13" ht="12.75">
      <c r="D19" s="20" t="s">
        <v>36</v>
      </c>
      <c r="E19" t="s">
        <v>17</v>
      </c>
      <c r="H19" s="15">
        <f>H15+H16+H17+H18</f>
        <v>14382024.29541</v>
      </c>
      <c r="I19" s="15"/>
      <c r="K19" s="15">
        <f>K15+K16+K17+K18</f>
        <v>15086550.146245716</v>
      </c>
      <c r="L19" s="15">
        <f>L15+L16+L17+L18</f>
        <v>704525.8508357164</v>
      </c>
      <c r="M19" s="45">
        <f>K19/H19-1</f>
        <v>0.04898655685490416</v>
      </c>
    </row>
    <row r="20" spans="4:13" ht="12.75">
      <c r="D20" s="20" t="s">
        <v>41</v>
      </c>
      <c r="E20" t="s">
        <v>111</v>
      </c>
      <c r="H20" s="132">
        <f>H19/F12</f>
        <v>100.41069241098357</v>
      </c>
      <c r="I20" s="132"/>
      <c r="K20" s="132">
        <f>K19/F12</f>
        <v>105.32946650361453</v>
      </c>
      <c r="L20" s="132">
        <f>K20-H20</f>
        <v>4.918774092630954</v>
      </c>
      <c r="M20" s="45">
        <f>K20/H20-1</f>
        <v>0.048986556854904384</v>
      </c>
    </row>
    <row r="26" ht="12.75">
      <c r="E26" s="2" t="s">
        <v>0</v>
      </c>
    </row>
    <row r="27" ht="12.75">
      <c r="E27" s="2" t="s">
        <v>21</v>
      </c>
    </row>
    <row r="28" spans="6:14" ht="12.75">
      <c r="F28" s="5" t="s">
        <v>3</v>
      </c>
      <c r="G28" s="191" t="s">
        <v>4</v>
      </c>
      <c r="H28" s="195"/>
      <c r="I28" s="176" t="s">
        <v>118</v>
      </c>
      <c r="J28" s="196" t="s">
        <v>5</v>
      </c>
      <c r="K28" s="194"/>
      <c r="L28" s="152" t="s">
        <v>68</v>
      </c>
      <c r="M28" s="99" t="s">
        <v>69</v>
      </c>
      <c r="N28" s="163" t="s">
        <v>5</v>
      </c>
    </row>
    <row r="29" spans="6:14" ht="12.75">
      <c r="F29" s="7" t="s">
        <v>6</v>
      </c>
      <c r="G29" s="8" t="s">
        <v>7</v>
      </c>
      <c r="H29" s="9" t="s">
        <v>8</v>
      </c>
      <c r="I29" s="177" t="s">
        <v>119</v>
      </c>
      <c r="J29" s="153" t="s">
        <v>7</v>
      </c>
      <c r="K29" s="154" t="s">
        <v>8</v>
      </c>
      <c r="L29" s="155" t="s">
        <v>9</v>
      </c>
      <c r="M29" s="102" t="s">
        <v>9</v>
      </c>
      <c r="N29" s="164" t="s">
        <v>121</v>
      </c>
    </row>
    <row r="30" spans="6:14" ht="12.75">
      <c r="F30" s="18" t="s">
        <v>23</v>
      </c>
      <c r="G30" s="18" t="s">
        <v>24</v>
      </c>
      <c r="H30" s="18" t="s">
        <v>37</v>
      </c>
      <c r="I30" s="178" t="s">
        <v>120</v>
      </c>
      <c r="J30" s="156" t="s">
        <v>25</v>
      </c>
      <c r="K30" s="156" t="s">
        <v>26</v>
      </c>
      <c r="L30" s="156" t="s">
        <v>27</v>
      </c>
      <c r="M30" s="157" t="s">
        <v>62</v>
      </c>
      <c r="N30" s="164" t="s">
        <v>120</v>
      </c>
    </row>
    <row r="31" spans="4:14" ht="12.75">
      <c r="D31" s="20" t="s">
        <v>29</v>
      </c>
      <c r="E31" t="s">
        <v>10</v>
      </c>
      <c r="F31" s="17">
        <v>0</v>
      </c>
      <c r="G31" s="11">
        <f>G12</f>
        <v>7</v>
      </c>
      <c r="H31" s="4">
        <f>F31*G31</f>
        <v>0</v>
      </c>
      <c r="I31" s="166">
        <f>H31/$H$34</f>
        <v>0</v>
      </c>
      <c r="J31" s="54">
        <f>G31</f>
        <v>7</v>
      </c>
      <c r="K31" s="22">
        <f>J31*F31</f>
        <v>0</v>
      </c>
      <c r="L31" s="23">
        <f>K31-H31</f>
        <v>0</v>
      </c>
      <c r="M31" s="78"/>
      <c r="N31" s="166">
        <f>K31/$K$34</f>
        <v>0</v>
      </c>
    </row>
    <row r="32" spans="2:14" ht="12.75">
      <c r="B32" s="40" t="s">
        <v>2</v>
      </c>
      <c r="C32" s="10">
        <f>F32</f>
        <v>60507</v>
      </c>
      <c r="D32" s="20" t="s">
        <v>30</v>
      </c>
      <c r="E32" t="s">
        <v>22</v>
      </c>
      <c r="F32" s="17">
        <v>60507</v>
      </c>
      <c r="G32" s="12">
        <v>0.03698</v>
      </c>
      <c r="H32" s="4">
        <f>F32*G32</f>
        <v>2237.54886</v>
      </c>
      <c r="I32" s="167">
        <f>H32/$H$34</f>
        <v>1</v>
      </c>
      <c r="J32" s="141">
        <f>0.6*J13</f>
        <v>0.039336734945217555</v>
      </c>
      <c r="K32" s="22">
        <f>J32*F32</f>
        <v>2380.1478213302785</v>
      </c>
      <c r="L32" s="23">
        <f>K32-H32</f>
        <v>142.5989613302786</v>
      </c>
      <c r="M32" s="78"/>
      <c r="N32" s="167">
        <f>K32/$K$34</f>
        <v>1</v>
      </c>
    </row>
    <row r="33" spans="4:14" ht="12.75">
      <c r="D33" s="20" t="s">
        <v>31</v>
      </c>
      <c r="E33" t="s">
        <v>12</v>
      </c>
      <c r="F33" s="17">
        <f>5*12</f>
        <v>60</v>
      </c>
      <c r="H33" s="25">
        <v>0</v>
      </c>
      <c r="I33" s="170"/>
      <c r="K33" s="21"/>
      <c r="L33" s="58"/>
      <c r="N33" s="168"/>
    </row>
    <row r="34" spans="4:14" ht="12.75">
      <c r="D34" s="20" t="s">
        <v>32</v>
      </c>
      <c r="E34" t="s">
        <v>13</v>
      </c>
      <c r="H34" s="4">
        <f>SUM(H31:H33)</f>
        <v>2237.54886</v>
      </c>
      <c r="I34" s="169">
        <f>SUM(I31:I33)</f>
        <v>1</v>
      </c>
      <c r="K34" s="4">
        <f>SUM(K31:K33)</f>
        <v>2380.1478213302785</v>
      </c>
      <c r="L34" s="59">
        <f>SUM(L31:L33)</f>
        <v>142.5989613302786</v>
      </c>
      <c r="N34" s="168">
        <f>SUM(N31:N33)</f>
        <v>1</v>
      </c>
    </row>
    <row r="35" spans="4:11" ht="12.75">
      <c r="D35" s="20" t="s">
        <v>33</v>
      </c>
      <c r="E35" t="s">
        <v>14</v>
      </c>
      <c r="H35" s="4"/>
      <c r="I35" s="4"/>
      <c r="K35" s="4"/>
    </row>
    <row r="36" spans="4:12" ht="12.75">
      <c r="D36" s="20" t="s">
        <v>34</v>
      </c>
      <c r="E36" t="s">
        <v>15</v>
      </c>
      <c r="H36" s="21"/>
      <c r="I36" s="27"/>
      <c r="K36" s="21"/>
      <c r="L36" s="44"/>
    </row>
    <row r="37" spans="4:13" ht="12.75">
      <c r="D37" s="20" t="s">
        <v>35</v>
      </c>
      <c r="E37" t="s">
        <v>17</v>
      </c>
      <c r="H37" s="22">
        <f>H34+H35+H36</f>
        <v>2237.54886</v>
      </c>
      <c r="I37" s="22"/>
      <c r="K37" s="22">
        <f>K34+K35+K36</f>
        <v>2380.1478213302785</v>
      </c>
      <c r="L37" s="15">
        <f>K37-H37</f>
        <v>142.5989613302786</v>
      </c>
      <c r="M37" s="45">
        <f>K37/H37-1</f>
        <v>0.06372998770193505</v>
      </c>
    </row>
    <row r="38" spans="4:13" ht="12.75">
      <c r="D38" s="20" t="s">
        <v>36</v>
      </c>
      <c r="E38" t="s">
        <v>111</v>
      </c>
      <c r="H38" s="69">
        <f>H37/F33</f>
        <v>37.292480999999995</v>
      </c>
      <c r="I38" s="69"/>
      <c r="J38" s="69"/>
      <c r="K38" s="69">
        <f>K37/F33</f>
        <v>39.66913035550464</v>
      </c>
      <c r="L38" s="69">
        <f>K38-H38</f>
        <v>2.3766493555046466</v>
      </c>
      <c r="M38" s="45">
        <f>K38/H38-1</f>
        <v>0.06372998770193505</v>
      </c>
    </row>
    <row r="41" ht="12.75">
      <c r="E41" s="2" t="s">
        <v>0</v>
      </c>
    </row>
    <row r="42" ht="12.75">
      <c r="E42" s="2" t="s">
        <v>40</v>
      </c>
    </row>
    <row r="43" spans="6:14" ht="12.75">
      <c r="F43" s="5" t="s">
        <v>3</v>
      </c>
      <c r="G43" s="199" t="s">
        <v>4</v>
      </c>
      <c r="H43" s="200"/>
      <c r="I43" s="176" t="s">
        <v>118</v>
      </c>
      <c r="J43" s="197" t="s">
        <v>5</v>
      </c>
      <c r="K43" s="198"/>
      <c r="L43" s="152" t="s">
        <v>68</v>
      </c>
      <c r="M43" s="99" t="s">
        <v>69</v>
      </c>
      <c r="N43" s="163" t="s">
        <v>5</v>
      </c>
    </row>
    <row r="44" spans="6:14" ht="12.75">
      <c r="F44" s="7" t="s">
        <v>6</v>
      </c>
      <c r="G44" s="8" t="s">
        <v>7</v>
      </c>
      <c r="H44" s="9" t="s">
        <v>8</v>
      </c>
      <c r="I44" s="177" t="s">
        <v>119</v>
      </c>
      <c r="J44" s="153" t="s">
        <v>7</v>
      </c>
      <c r="K44" s="154" t="s">
        <v>8</v>
      </c>
      <c r="L44" s="155" t="s">
        <v>9</v>
      </c>
      <c r="M44" s="102" t="s">
        <v>9</v>
      </c>
      <c r="N44" s="164" t="s">
        <v>121</v>
      </c>
    </row>
    <row r="45" spans="6:14" ht="12.75">
      <c r="F45" s="18" t="s">
        <v>23</v>
      </c>
      <c r="G45" s="18" t="s">
        <v>24</v>
      </c>
      <c r="H45" s="18" t="s">
        <v>37</v>
      </c>
      <c r="I45" s="178" t="s">
        <v>120</v>
      </c>
      <c r="J45" s="156" t="s">
        <v>25</v>
      </c>
      <c r="K45" s="156" t="s">
        <v>26</v>
      </c>
      <c r="L45" s="156" t="s">
        <v>27</v>
      </c>
      <c r="M45" s="157" t="s">
        <v>62</v>
      </c>
      <c r="N45" s="164" t="s">
        <v>120</v>
      </c>
    </row>
    <row r="46" spans="2:16" ht="12.75">
      <c r="B46" s="40"/>
      <c r="D46" s="20" t="s">
        <v>29</v>
      </c>
      <c r="E46" t="s">
        <v>10</v>
      </c>
      <c r="F46" s="10">
        <v>11367</v>
      </c>
      <c r="G46" s="11">
        <v>15</v>
      </c>
      <c r="H46" s="4">
        <f>F46*G46</f>
        <v>170505</v>
      </c>
      <c r="I46" s="166">
        <f>H46/$H$50</f>
        <v>0.14736719408010474</v>
      </c>
      <c r="J46" s="129">
        <f>G46</f>
        <v>15</v>
      </c>
      <c r="K46" s="4">
        <f>J46*F46</f>
        <v>170505</v>
      </c>
      <c r="L46" s="15">
        <f>K46-H46</f>
        <v>0</v>
      </c>
      <c r="N46" s="166">
        <f>K46/K50</f>
        <v>0.14083034928038385</v>
      </c>
      <c r="P46" s="15">
        <f>L46</f>
        <v>0</v>
      </c>
    </row>
    <row r="47" spans="2:16" ht="12.75">
      <c r="B47" s="40"/>
      <c r="D47" s="20" t="s">
        <v>30</v>
      </c>
      <c r="E47" t="s">
        <v>18</v>
      </c>
      <c r="F47" s="10">
        <v>58421</v>
      </c>
      <c r="G47" s="11">
        <v>4</v>
      </c>
      <c r="H47" s="4">
        <f>F47*G47</f>
        <v>233684</v>
      </c>
      <c r="I47" s="167">
        <f>H47/$H$50</f>
        <v>0.20197270098481096</v>
      </c>
      <c r="J47" s="129">
        <f>G47</f>
        <v>4</v>
      </c>
      <c r="K47" s="4">
        <f>J47*F47</f>
        <v>233684</v>
      </c>
      <c r="L47" s="15">
        <f>K47-H47</f>
        <v>0</v>
      </c>
      <c r="N47" s="167">
        <f>K47/$K$50</f>
        <v>0.1930136907494632</v>
      </c>
      <c r="O47" s="15">
        <f>L47</f>
        <v>0</v>
      </c>
      <c r="P47" s="15"/>
    </row>
    <row r="48" spans="3:14" ht="12.75">
      <c r="C48" s="10">
        <f>F48</f>
        <v>13662774</v>
      </c>
      <c r="D48" s="20" t="s">
        <v>31</v>
      </c>
      <c r="E48" t="s">
        <v>11</v>
      </c>
      <c r="F48" s="10">
        <v>13662774</v>
      </c>
      <c r="G48" s="12">
        <v>0.0551</v>
      </c>
      <c r="H48" s="4">
        <f>F48*G48</f>
        <v>752818.8474000001</v>
      </c>
      <c r="I48" s="167">
        <f>H48/$H$50</f>
        <v>0.6506601049350843</v>
      </c>
      <c r="J48" s="55">
        <f>G48+S129</f>
        <v>0.059030694920015024</v>
      </c>
      <c r="K48" s="4">
        <f>J48*F48</f>
        <v>806523.0437551134</v>
      </c>
      <c r="L48" s="15">
        <f>K48-H48</f>
        <v>53704.196355113294</v>
      </c>
      <c r="N48" s="167">
        <f>K48/$K$50</f>
        <v>0.666155959970153</v>
      </c>
    </row>
    <row r="49" spans="4:14" ht="15">
      <c r="D49" s="20" t="s">
        <v>32</v>
      </c>
      <c r="E49" t="s">
        <v>12</v>
      </c>
      <c r="H49" s="24">
        <v>0</v>
      </c>
      <c r="I49" s="168"/>
      <c r="K49" s="14">
        <f>H49</f>
        <v>0</v>
      </c>
      <c r="L49" s="58">
        <f>K49-H49</f>
        <v>0</v>
      </c>
      <c r="N49" s="167"/>
    </row>
    <row r="50" spans="4:14" ht="12.75">
      <c r="D50" s="20" t="s">
        <v>33</v>
      </c>
      <c r="E50" t="s">
        <v>13</v>
      </c>
      <c r="H50" s="4">
        <f>SUM(H46:H49)</f>
        <v>1157007.8474</v>
      </c>
      <c r="I50" s="169">
        <f>SUM(I46:I49)</f>
        <v>1</v>
      </c>
      <c r="K50" s="4">
        <f>SUM(K46:K49)</f>
        <v>1210712.0437551134</v>
      </c>
      <c r="L50" s="59">
        <f>SUM(L46:L49)</f>
        <v>53704.196355113294</v>
      </c>
      <c r="N50" s="169">
        <f>SUM(N46:N49)</f>
        <v>1</v>
      </c>
    </row>
    <row r="51" spans="4:12" ht="12.75">
      <c r="D51" s="20" t="s">
        <v>34</v>
      </c>
      <c r="E51" t="s">
        <v>14</v>
      </c>
      <c r="H51" s="4">
        <v>99355</v>
      </c>
      <c r="I51" s="4"/>
      <c r="K51" s="4">
        <v>99355</v>
      </c>
      <c r="L51" s="15">
        <f>K51-H51</f>
        <v>0</v>
      </c>
    </row>
    <row r="52" spans="4:12" ht="12.75">
      <c r="D52" s="20" t="s">
        <v>35</v>
      </c>
      <c r="E52" t="s">
        <v>15</v>
      </c>
      <c r="H52" s="21">
        <v>62654</v>
      </c>
      <c r="I52" s="27"/>
      <c r="K52" s="21">
        <v>62654</v>
      </c>
      <c r="L52" s="58">
        <f>K52-H52</f>
        <v>0</v>
      </c>
    </row>
    <row r="53" spans="4:13" ht="12.75">
      <c r="D53" s="20" t="s">
        <v>36</v>
      </c>
      <c r="E53" t="s">
        <v>17</v>
      </c>
      <c r="H53" s="22">
        <f>H50+H51+H52</f>
        <v>1319016.8474</v>
      </c>
      <c r="I53" s="22"/>
      <c r="K53" s="22">
        <f>K50+K51+K52</f>
        <v>1372721.0437551134</v>
      </c>
      <c r="L53" s="22">
        <f>L50+L51+L52</f>
        <v>53704.196355113294</v>
      </c>
      <c r="M53" s="45">
        <f>K53/H53-1</f>
        <v>0.04071532252296328</v>
      </c>
    </row>
    <row r="54" spans="4:13" ht="12.75">
      <c r="D54" s="20" t="s">
        <v>41</v>
      </c>
      <c r="E54" t="s">
        <v>111</v>
      </c>
      <c r="H54" s="69">
        <f>H53/F46</f>
        <v>116.03913498724378</v>
      </c>
      <c r="I54" s="69"/>
      <c r="J54" s="69"/>
      <c r="K54" s="69">
        <f>K53/F46</f>
        <v>120.7637057935351</v>
      </c>
      <c r="L54" s="133">
        <f>K54-H54</f>
        <v>4.724570806291311</v>
      </c>
      <c r="M54" s="45">
        <f>K54/H54-1</f>
        <v>0.04071532252296328</v>
      </c>
    </row>
    <row r="56" ht="12.75">
      <c r="E56" s="2" t="s">
        <v>0</v>
      </c>
    </row>
    <row r="57" ht="12.75">
      <c r="E57" s="2" t="s">
        <v>42</v>
      </c>
    </row>
    <row r="58" spans="6:14" ht="12.75">
      <c r="F58" s="5" t="s">
        <v>3</v>
      </c>
      <c r="G58" s="199" t="s">
        <v>4</v>
      </c>
      <c r="H58" s="200"/>
      <c r="I58" s="176" t="s">
        <v>118</v>
      </c>
      <c r="J58" s="197" t="s">
        <v>5</v>
      </c>
      <c r="K58" s="198"/>
      <c r="L58" s="152" t="s">
        <v>68</v>
      </c>
      <c r="M58" s="99" t="s">
        <v>69</v>
      </c>
      <c r="N58" s="163" t="s">
        <v>5</v>
      </c>
    </row>
    <row r="59" spans="6:14" ht="12.75">
      <c r="F59" s="7" t="s">
        <v>6</v>
      </c>
      <c r="G59" s="8" t="s">
        <v>7</v>
      </c>
      <c r="H59" s="9" t="s">
        <v>8</v>
      </c>
      <c r="I59" s="177" t="s">
        <v>119</v>
      </c>
      <c r="J59" s="153" t="s">
        <v>7</v>
      </c>
      <c r="K59" s="154" t="s">
        <v>8</v>
      </c>
      <c r="L59" s="155" t="s">
        <v>9</v>
      </c>
      <c r="M59" s="102" t="s">
        <v>9</v>
      </c>
      <c r="N59" s="164" t="s">
        <v>121</v>
      </c>
    </row>
    <row r="60" spans="6:14" ht="12.75">
      <c r="F60" s="18" t="s">
        <v>23</v>
      </c>
      <c r="G60" s="18" t="s">
        <v>24</v>
      </c>
      <c r="H60" s="18" t="s">
        <v>37</v>
      </c>
      <c r="I60" s="178" t="s">
        <v>120</v>
      </c>
      <c r="J60" s="156" t="s">
        <v>25</v>
      </c>
      <c r="K60" s="156" t="s">
        <v>26</v>
      </c>
      <c r="L60" s="156" t="s">
        <v>27</v>
      </c>
      <c r="M60" s="157" t="s">
        <v>62</v>
      </c>
      <c r="N60" s="164" t="s">
        <v>120</v>
      </c>
    </row>
    <row r="61" spans="2:16" ht="12.75">
      <c r="B61" s="40"/>
      <c r="D61" s="20" t="s">
        <v>29</v>
      </c>
      <c r="E61" t="s">
        <v>10</v>
      </c>
      <c r="F61" s="10">
        <v>1659</v>
      </c>
      <c r="G61" s="11">
        <v>50</v>
      </c>
      <c r="H61" s="4">
        <f>F61*G61</f>
        <v>82950</v>
      </c>
      <c r="I61" s="166">
        <f>H61/$H$66</f>
        <v>0.04355893788083636</v>
      </c>
      <c r="J61" s="129">
        <f>G61</f>
        <v>50</v>
      </c>
      <c r="K61" s="4">
        <f>J61*F61</f>
        <v>82950</v>
      </c>
      <c r="L61" s="15">
        <f>K61-H61</f>
        <v>0</v>
      </c>
      <c r="N61" s="166">
        <f>K61/$K$66</f>
        <v>0.0408948297295075</v>
      </c>
      <c r="P61" s="15">
        <f>L61</f>
        <v>0</v>
      </c>
    </row>
    <row r="62" spans="2:15" ht="12.75">
      <c r="B62" s="40"/>
      <c r="D62" s="20" t="s">
        <v>30</v>
      </c>
      <c r="E62" t="s">
        <v>18</v>
      </c>
      <c r="F62" s="10">
        <v>98202</v>
      </c>
      <c r="G62" s="11">
        <v>5.1</v>
      </c>
      <c r="H62" s="4">
        <f>F62*G62</f>
        <v>500830.19999999995</v>
      </c>
      <c r="I62" s="167">
        <f>H62/$H$66</f>
        <v>0.262997366734742</v>
      </c>
      <c r="J62" s="129">
        <f>G62</f>
        <v>5.1</v>
      </c>
      <c r="K62" s="4">
        <f>J62*F62</f>
        <v>500830.19999999995</v>
      </c>
      <c r="L62" s="15">
        <f>K62-H62</f>
        <v>0</v>
      </c>
      <c r="N62" s="167">
        <f>K62/$K$66</f>
        <v>0.2469121850801107</v>
      </c>
      <c r="O62" s="15">
        <f>L62</f>
        <v>0</v>
      </c>
    </row>
    <row r="63" spans="2:14" ht="12.75">
      <c r="B63" s="40"/>
      <c r="C63" s="10">
        <f>F63</f>
        <v>2310920</v>
      </c>
      <c r="D63" s="20" t="s">
        <v>31</v>
      </c>
      <c r="E63" t="s">
        <v>43</v>
      </c>
      <c r="F63" s="10">
        <v>2310920</v>
      </c>
      <c r="G63" s="12">
        <v>0.04248</v>
      </c>
      <c r="H63" s="4">
        <f>F63*G63</f>
        <v>98167.8816</v>
      </c>
      <c r="I63" s="167">
        <f>H63/$H$66</f>
        <v>0.05155019477405303</v>
      </c>
      <c r="J63" s="55">
        <f>G63+S129</f>
        <v>0.04641069492001502</v>
      </c>
      <c r="K63" s="4">
        <f>J63*F63</f>
        <v>107251.4031045611</v>
      </c>
      <c r="L63" s="15">
        <f>K63-H63</f>
        <v>9083.521504561111</v>
      </c>
      <c r="N63" s="167">
        <f>K63/$K$66</f>
        <v>0.05287556200375887</v>
      </c>
    </row>
    <row r="64" spans="2:14" ht="12.75">
      <c r="B64" s="40"/>
      <c r="C64" s="10">
        <f>F64</f>
        <v>29250259</v>
      </c>
      <c r="D64" s="20" t="s">
        <v>32</v>
      </c>
      <c r="E64" t="s">
        <v>44</v>
      </c>
      <c r="F64" s="10">
        <v>29250259</v>
      </c>
      <c r="G64" s="12">
        <v>0.04179</v>
      </c>
      <c r="H64" s="4">
        <f>F64*G64</f>
        <v>1222368.32361</v>
      </c>
      <c r="I64" s="167">
        <f>H64/$H$66</f>
        <v>0.6418935006103687</v>
      </c>
      <c r="J64" s="55">
        <f>G64+S129</f>
        <v>0.04572069492001502</v>
      </c>
      <c r="K64" s="4">
        <f>J64*F64</f>
        <v>1337342.1680704236</v>
      </c>
      <c r="L64" s="15">
        <f>K64-H64</f>
        <v>114973.84446042357</v>
      </c>
      <c r="N64" s="167">
        <f>K64/$K$66</f>
        <v>0.6593174231866229</v>
      </c>
    </row>
    <row r="65" spans="4:14" ht="12.75">
      <c r="D65" s="20" t="s">
        <v>33</v>
      </c>
      <c r="E65" t="s">
        <v>12</v>
      </c>
      <c r="F65" s="10"/>
      <c r="G65" s="12"/>
      <c r="H65" s="26">
        <v>0</v>
      </c>
      <c r="I65" s="168"/>
      <c r="J65" s="60"/>
      <c r="K65" s="21">
        <f>J65*F65</f>
        <v>0</v>
      </c>
      <c r="L65" s="58">
        <f>K65-H65</f>
        <v>0</v>
      </c>
      <c r="N65" s="168"/>
    </row>
    <row r="66" spans="4:14" ht="12.75">
      <c r="D66" s="20" t="s">
        <v>34</v>
      </c>
      <c r="E66" t="s">
        <v>13</v>
      </c>
      <c r="H66" s="23">
        <f>SUM(H61:H65)</f>
        <v>1904316.40521</v>
      </c>
      <c r="I66" s="168">
        <f>SUM(I61:I64)</f>
        <v>1</v>
      </c>
      <c r="J66" s="61"/>
      <c r="K66" s="23">
        <f>SUM(K61:K65)</f>
        <v>2028373.7711749848</v>
      </c>
      <c r="L66" s="15">
        <f>SUM(L61:L65)</f>
        <v>124057.36596498468</v>
      </c>
      <c r="N66" s="171">
        <f>SUM(N61:N65)</f>
        <v>1</v>
      </c>
    </row>
    <row r="67" spans="4:12" ht="12.75">
      <c r="D67" s="20" t="s">
        <v>35</v>
      </c>
      <c r="E67" t="s">
        <v>14</v>
      </c>
      <c r="H67" s="4">
        <v>258322</v>
      </c>
      <c r="I67" s="4"/>
      <c r="J67" s="27"/>
      <c r="K67" s="4">
        <v>258322</v>
      </c>
      <c r="L67" s="59">
        <f>K67-H67</f>
        <v>0</v>
      </c>
    </row>
    <row r="68" spans="4:12" ht="12.75">
      <c r="D68" s="20" t="s">
        <v>36</v>
      </c>
      <c r="E68" t="s">
        <v>15</v>
      </c>
      <c r="H68" s="21">
        <v>162900</v>
      </c>
      <c r="I68" s="27"/>
      <c r="J68" s="27"/>
      <c r="K68" s="21">
        <v>162900</v>
      </c>
      <c r="L68" s="62">
        <f>K68-H68</f>
        <v>0</v>
      </c>
    </row>
    <row r="69" spans="4:13" ht="12.75">
      <c r="D69" s="20" t="s">
        <v>41</v>
      </c>
      <c r="E69" t="s">
        <v>17</v>
      </c>
      <c r="H69" s="27">
        <f>+H66+H67+H68</f>
        <v>2325538.40521</v>
      </c>
      <c r="I69" s="27"/>
      <c r="J69" s="27"/>
      <c r="K69" s="27">
        <f>+K66+K67+K68</f>
        <v>2449595.771174985</v>
      </c>
      <c r="L69" s="15">
        <f>K69-H69</f>
        <v>124057.36596498499</v>
      </c>
      <c r="M69" s="45">
        <f>K69/H69-1</f>
        <v>0.05334565349987508</v>
      </c>
    </row>
    <row r="70" spans="4:13" ht="12.75">
      <c r="D70" s="20" t="s">
        <v>112</v>
      </c>
      <c r="E70" t="s">
        <v>111</v>
      </c>
      <c r="H70" s="28">
        <f>H69/F61</f>
        <v>1401.7711906027728</v>
      </c>
      <c r="I70" s="28"/>
      <c r="K70" s="23">
        <f>K69/F61</f>
        <v>1476.5495908227758</v>
      </c>
      <c r="L70" s="15">
        <f>K70-H70</f>
        <v>74.77840022000305</v>
      </c>
      <c r="M70" s="45">
        <f>K70/H70-1</f>
        <v>0.0533456534998753</v>
      </c>
    </row>
    <row r="71" spans="8:14" ht="19.5">
      <c r="H71" s="28"/>
      <c r="I71" s="28"/>
      <c r="K71" s="14"/>
      <c r="N71" s="188" t="s">
        <v>126</v>
      </c>
    </row>
    <row r="72" spans="8:14" ht="19.5">
      <c r="H72" s="28"/>
      <c r="I72" s="28"/>
      <c r="K72" s="14"/>
      <c r="N72" s="188" t="s">
        <v>124</v>
      </c>
    </row>
    <row r="73" spans="5:14" ht="18">
      <c r="E73" s="2" t="s">
        <v>0</v>
      </c>
      <c r="N73" s="188" t="s">
        <v>128</v>
      </c>
    </row>
    <row r="74" ht="12.75">
      <c r="E74" s="2" t="s">
        <v>105</v>
      </c>
    </row>
    <row r="75" spans="6:14" ht="12.75">
      <c r="F75" s="5" t="s">
        <v>3</v>
      </c>
      <c r="G75" s="199" t="s">
        <v>4</v>
      </c>
      <c r="H75" s="200"/>
      <c r="I75" s="176" t="s">
        <v>118</v>
      </c>
      <c r="J75" s="197" t="s">
        <v>5</v>
      </c>
      <c r="K75" s="198"/>
      <c r="L75" s="152" t="s">
        <v>68</v>
      </c>
      <c r="M75" s="99" t="s">
        <v>69</v>
      </c>
      <c r="N75" s="163" t="s">
        <v>5</v>
      </c>
    </row>
    <row r="76" spans="6:14" ht="12.75">
      <c r="F76" s="7" t="s">
        <v>6</v>
      </c>
      <c r="G76" s="8" t="s">
        <v>7</v>
      </c>
      <c r="H76" s="9" t="s">
        <v>8</v>
      </c>
      <c r="I76" s="177" t="s">
        <v>119</v>
      </c>
      <c r="J76" s="153" t="s">
        <v>7</v>
      </c>
      <c r="K76" s="154" t="s">
        <v>8</v>
      </c>
      <c r="L76" s="155" t="s">
        <v>9</v>
      </c>
      <c r="M76" s="102" t="s">
        <v>9</v>
      </c>
      <c r="N76" s="164" t="s">
        <v>121</v>
      </c>
    </row>
    <row r="77" spans="6:14" ht="12.75">
      <c r="F77" s="18" t="s">
        <v>23</v>
      </c>
      <c r="G77" s="18" t="s">
        <v>24</v>
      </c>
      <c r="H77" s="18" t="s">
        <v>37</v>
      </c>
      <c r="I77" s="178" t="s">
        <v>120</v>
      </c>
      <c r="J77" s="156" t="s">
        <v>25</v>
      </c>
      <c r="K77" s="156" t="s">
        <v>26</v>
      </c>
      <c r="L77" s="156" t="s">
        <v>27</v>
      </c>
      <c r="M77" s="157" t="s">
        <v>62</v>
      </c>
      <c r="N77" s="164" t="s">
        <v>120</v>
      </c>
    </row>
    <row r="78" spans="2:16" ht="12.75">
      <c r="B78" s="40"/>
      <c r="D78" s="20" t="s">
        <v>29</v>
      </c>
      <c r="E78" t="s">
        <v>10</v>
      </c>
      <c r="F78" s="10">
        <v>12</v>
      </c>
      <c r="G78" s="11">
        <v>75</v>
      </c>
      <c r="H78" s="4">
        <f>F78*G78</f>
        <v>900</v>
      </c>
      <c r="I78" s="166">
        <f>H78/$H$83</f>
        <v>0.0006458093252317426</v>
      </c>
      <c r="J78" s="129">
        <f>G78</f>
        <v>75</v>
      </c>
      <c r="K78" s="4">
        <f>J78*F78</f>
        <v>900</v>
      </c>
      <c r="L78" s="15">
        <f>K78-H78</f>
        <v>0</v>
      </c>
      <c r="N78" s="166">
        <f>K78/$K$83</f>
        <v>0.0006035246763726318</v>
      </c>
      <c r="P78" s="15">
        <f>L78</f>
        <v>0</v>
      </c>
    </row>
    <row r="79" spans="2:15" ht="12.75">
      <c r="B79" s="40"/>
      <c r="D79" s="20" t="s">
        <v>30</v>
      </c>
      <c r="E79" t="s">
        <v>18</v>
      </c>
      <c r="F79" s="10">
        <v>80478</v>
      </c>
      <c r="G79" s="11">
        <v>5.1</v>
      </c>
      <c r="H79" s="4">
        <f>F79*G79</f>
        <v>410437.8</v>
      </c>
      <c r="I79" s="167">
        <f>H79/$H$83</f>
        <v>0.29451617629733434</v>
      </c>
      <c r="J79" s="129">
        <f>G79</f>
        <v>5.1</v>
      </c>
      <c r="K79" s="4">
        <f>J79*F79</f>
        <v>410437.8</v>
      </c>
      <c r="L79" s="15">
        <f>K79-H79</f>
        <v>0</v>
      </c>
      <c r="N79" s="167">
        <f>K79/$K$83</f>
        <v>0.2752326004623277</v>
      </c>
      <c r="O79" s="15">
        <f>L79</f>
        <v>0</v>
      </c>
    </row>
    <row r="80" spans="2:14" ht="12.75">
      <c r="B80" s="40"/>
      <c r="C80" s="10">
        <f>F80</f>
        <v>117520</v>
      </c>
      <c r="D80" s="20" t="s">
        <v>31</v>
      </c>
      <c r="E80" t="s">
        <v>43</v>
      </c>
      <c r="F80" s="10">
        <v>117520</v>
      </c>
      <c r="G80" s="12">
        <v>0.0402</v>
      </c>
      <c r="H80" s="4">
        <f>F80*G80</f>
        <v>4724.304</v>
      </c>
      <c r="I80" s="167">
        <f>H80/$H$83</f>
        <v>0.0033899995315884693</v>
      </c>
      <c r="J80" s="55">
        <f>G80+S129</f>
        <v>0.04413069492001502</v>
      </c>
      <c r="K80" s="4">
        <f>J80*F80</f>
        <v>5186.2392670001655</v>
      </c>
      <c r="L80" s="15">
        <f>K80-H80</f>
        <v>461.93526700016537</v>
      </c>
      <c r="N80" s="167">
        <f>K80/$K$83</f>
        <v>0.0034778037502303442</v>
      </c>
    </row>
    <row r="81" spans="2:14" ht="12.75">
      <c r="B81" s="40"/>
      <c r="C81" s="10">
        <f>F81</f>
        <v>24722764</v>
      </c>
      <c r="D81" s="20" t="s">
        <v>32</v>
      </c>
      <c r="E81" t="s">
        <v>44</v>
      </c>
      <c r="F81" s="10">
        <v>24722764</v>
      </c>
      <c r="G81" s="12">
        <v>0.03954</v>
      </c>
      <c r="H81" s="4">
        <f>F81*G81</f>
        <v>977538.08856</v>
      </c>
      <c r="I81" s="167">
        <f>H81/$H$83</f>
        <v>0.7014480148458455</v>
      </c>
      <c r="J81" s="55">
        <f>G81+S129</f>
        <v>0.04347069492001502</v>
      </c>
      <c r="K81" s="4">
        <f>J81*F81</f>
        <v>1074715.7314235303</v>
      </c>
      <c r="L81" s="15">
        <f>K81-H81</f>
        <v>97177.64286353032</v>
      </c>
      <c r="N81" s="167">
        <f>K81/$K$83</f>
        <v>0.7206860711110692</v>
      </c>
    </row>
    <row r="82" spans="4:14" ht="12.75">
      <c r="D82" s="20" t="s">
        <v>33</v>
      </c>
      <c r="E82" t="s">
        <v>12</v>
      </c>
      <c r="F82" s="10"/>
      <c r="G82" s="12"/>
      <c r="H82" s="26">
        <v>0</v>
      </c>
      <c r="I82" s="168"/>
      <c r="J82" s="13"/>
      <c r="K82" s="21">
        <f>J82*F82</f>
        <v>0</v>
      </c>
      <c r="L82" s="58">
        <f>K82-H82</f>
        <v>0</v>
      </c>
      <c r="N82" s="168"/>
    </row>
    <row r="83" spans="4:14" ht="12.75">
      <c r="D83" s="20" t="s">
        <v>34</v>
      </c>
      <c r="E83" t="s">
        <v>13</v>
      </c>
      <c r="H83" s="23">
        <f>SUM(H78:H82)</f>
        <v>1393600.1925599999</v>
      </c>
      <c r="I83" s="168">
        <f>SUM(I78:I81)</f>
        <v>1</v>
      </c>
      <c r="K83" s="23">
        <f>SUM(K78:K82)</f>
        <v>1491239.7706905305</v>
      </c>
      <c r="L83" s="15">
        <f>SUM(L78:L82)</f>
        <v>97639.57813053048</v>
      </c>
      <c r="N83" s="171">
        <f>SUM(N78:N82)</f>
        <v>0.9999999999999999</v>
      </c>
    </row>
    <row r="84" spans="4:12" ht="12.75">
      <c r="D84" s="20" t="s">
        <v>35</v>
      </c>
      <c r="E84" t="s">
        <v>14</v>
      </c>
      <c r="H84" s="4">
        <v>198709</v>
      </c>
      <c r="I84" s="4"/>
      <c r="K84" s="4">
        <f>H84</f>
        <v>198709</v>
      </c>
      <c r="L84" s="59">
        <f>K84-H84</f>
        <v>0</v>
      </c>
    </row>
    <row r="85" spans="4:12" ht="12.75">
      <c r="D85" s="20" t="s">
        <v>36</v>
      </c>
      <c r="E85" t="s">
        <v>15</v>
      </c>
      <c r="H85" s="21">
        <v>125308</v>
      </c>
      <c r="I85" s="27"/>
      <c r="K85" s="21">
        <f>H85</f>
        <v>125308</v>
      </c>
      <c r="L85" s="62">
        <f>K85-H85</f>
        <v>0</v>
      </c>
    </row>
    <row r="86" spans="4:13" ht="12.75">
      <c r="D86" s="20" t="s">
        <v>41</v>
      </c>
      <c r="E86" t="s">
        <v>17</v>
      </c>
      <c r="H86" s="27">
        <f>+H83+H84+H85</f>
        <v>1717617.1925599999</v>
      </c>
      <c r="I86" s="27"/>
      <c r="K86" s="27">
        <f>+K83+K84+K85</f>
        <v>1815256.7706905305</v>
      </c>
      <c r="L86" s="27">
        <f>+L83+L84+L85</f>
        <v>97639.57813053048</v>
      </c>
      <c r="M86" s="45">
        <f>K86/H86-1</f>
        <v>0.05684594830178957</v>
      </c>
    </row>
    <row r="87" spans="4:13" ht="12.75">
      <c r="D87" s="20" t="s">
        <v>112</v>
      </c>
      <c r="E87" t="s">
        <v>111</v>
      </c>
      <c r="H87" s="27">
        <f>H86/F78</f>
        <v>143134.76604666666</v>
      </c>
      <c r="I87" s="27"/>
      <c r="K87" s="27">
        <f>K86/F78</f>
        <v>151271.3975575442</v>
      </c>
      <c r="L87" s="27">
        <f>K87-H87</f>
        <v>8136.631510877545</v>
      </c>
      <c r="M87" s="45">
        <f>K87/H87-1</f>
        <v>0.05684594830178957</v>
      </c>
    </row>
    <row r="89" ht="12.75">
      <c r="E89" s="2" t="s">
        <v>0</v>
      </c>
    </row>
    <row r="90" ht="12.75">
      <c r="E90" s="2" t="s">
        <v>46</v>
      </c>
    </row>
    <row r="91" spans="6:14" ht="12.75">
      <c r="F91" s="5" t="s">
        <v>3</v>
      </c>
      <c r="G91" s="41" t="s">
        <v>4</v>
      </c>
      <c r="H91" s="42"/>
      <c r="I91" s="176" t="s">
        <v>118</v>
      </c>
      <c r="J91" s="150" t="s">
        <v>5</v>
      </c>
      <c r="K91" s="151"/>
      <c r="L91" s="152" t="s">
        <v>68</v>
      </c>
      <c r="M91" s="99" t="s">
        <v>69</v>
      </c>
      <c r="N91" s="163" t="s">
        <v>5</v>
      </c>
    </row>
    <row r="92" spans="1:14" ht="12.75">
      <c r="A92" t="s">
        <v>2</v>
      </c>
      <c r="F92" s="7" t="s">
        <v>6</v>
      </c>
      <c r="G92" s="8" t="s">
        <v>7</v>
      </c>
      <c r="H92" s="9" t="s">
        <v>8</v>
      </c>
      <c r="I92" s="177" t="s">
        <v>119</v>
      </c>
      <c r="J92" s="153" t="s">
        <v>7</v>
      </c>
      <c r="K92" s="154" t="s">
        <v>8</v>
      </c>
      <c r="L92" s="155" t="s">
        <v>9</v>
      </c>
      <c r="M92" s="102" t="s">
        <v>9</v>
      </c>
      <c r="N92" s="164" t="s">
        <v>121</v>
      </c>
    </row>
    <row r="93" spans="6:14" ht="12.75">
      <c r="F93" s="18" t="s">
        <v>23</v>
      </c>
      <c r="G93" s="18" t="s">
        <v>24</v>
      </c>
      <c r="H93" s="18" t="s">
        <v>37</v>
      </c>
      <c r="I93" s="178" t="s">
        <v>120</v>
      </c>
      <c r="J93" s="156" t="s">
        <v>25</v>
      </c>
      <c r="K93" s="156" t="s">
        <v>26</v>
      </c>
      <c r="L93" s="156" t="s">
        <v>27</v>
      </c>
      <c r="M93" s="157" t="s">
        <v>62</v>
      </c>
      <c r="N93" s="164" t="s">
        <v>120</v>
      </c>
    </row>
    <row r="94" spans="4:16" ht="12.75">
      <c r="D94" s="20" t="s">
        <v>29</v>
      </c>
      <c r="E94" t="s">
        <v>10</v>
      </c>
      <c r="F94" s="10">
        <v>0</v>
      </c>
      <c r="G94" s="11">
        <v>150</v>
      </c>
      <c r="H94" s="4">
        <f>F94*G94</f>
        <v>0</v>
      </c>
      <c r="I94" s="4"/>
      <c r="J94" s="129">
        <f>G94</f>
        <v>150</v>
      </c>
      <c r="K94" s="4">
        <f>J94*F94</f>
        <v>0</v>
      </c>
      <c r="L94" s="15">
        <f>K94-H94</f>
        <v>0</v>
      </c>
      <c r="P94" s="15">
        <f>L94</f>
        <v>0</v>
      </c>
    </row>
    <row r="95" spans="4:15" ht="12.75">
      <c r="D95" s="20" t="s">
        <v>30</v>
      </c>
      <c r="E95" t="s">
        <v>18</v>
      </c>
      <c r="F95" s="10">
        <v>0</v>
      </c>
      <c r="G95" s="11">
        <v>5.39</v>
      </c>
      <c r="H95" s="4">
        <f>F95*G95</f>
        <v>0</v>
      </c>
      <c r="I95" s="4"/>
      <c r="J95" s="158">
        <v>7.29</v>
      </c>
      <c r="K95" s="4">
        <f>J95*F95</f>
        <v>0</v>
      </c>
      <c r="L95" s="15">
        <f>K95-H95</f>
        <v>0</v>
      </c>
      <c r="O95" s="15">
        <f>L95</f>
        <v>0</v>
      </c>
    </row>
    <row r="96" spans="2:12" ht="12.75">
      <c r="B96" s="40" t="s">
        <v>2</v>
      </c>
      <c r="D96" s="20" t="s">
        <v>31</v>
      </c>
      <c r="E96" t="s">
        <v>43</v>
      </c>
      <c r="F96" s="10">
        <v>0</v>
      </c>
      <c r="G96" s="12">
        <v>0.03563</v>
      </c>
      <c r="H96" s="4">
        <f>F96*G96</f>
        <v>0</v>
      </c>
      <c r="I96" s="4"/>
      <c r="J96" s="55">
        <f>G96</f>
        <v>0.03563</v>
      </c>
      <c r="K96" s="4">
        <f>J96*F96</f>
        <v>0</v>
      </c>
      <c r="L96" s="15">
        <f>K96-H96</f>
        <v>0</v>
      </c>
    </row>
    <row r="97" spans="2:12" ht="12.75">
      <c r="B97" s="40" t="s">
        <v>2</v>
      </c>
      <c r="D97" s="20" t="s">
        <v>32</v>
      </c>
      <c r="E97" t="s">
        <v>44</v>
      </c>
      <c r="F97" s="10">
        <v>0</v>
      </c>
      <c r="G97" s="12">
        <v>0.03506</v>
      </c>
      <c r="H97" s="4">
        <f>F97*G97</f>
        <v>0</v>
      </c>
      <c r="I97" s="4"/>
      <c r="J97" s="55">
        <f>G97</f>
        <v>0.03506</v>
      </c>
      <c r="K97" s="4">
        <f>J97*F97</f>
        <v>0</v>
      </c>
      <c r="L97" s="15">
        <f>K97-H97</f>
        <v>0</v>
      </c>
    </row>
    <row r="98" spans="4:12" ht="12.75">
      <c r="D98" s="20" t="s">
        <v>33</v>
      </c>
      <c r="E98" t="s">
        <v>12</v>
      </c>
      <c r="F98" s="10"/>
      <c r="G98" s="12"/>
      <c r="H98" s="26">
        <v>0</v>
      </c>
      <c r="I98" s="161"/>
      <c r="J98" s="13"/>
      <c r="K98" s="21"/>
      <c r="L98" s="44"/>
    </row>
    <row r="99" spans="4:12" ht="12.75">
      <c r="D99" s="20" t="s">
        <v>34</v>
      </c>
      <c r="E99" t="s">
        <v>13</v>
      </c>
      <c r="H99" s="23">
        <f>SUM(H94:H98)</f>
        <v>0</v>
      </c>
      <c r="I99" s="23"/>
      <c r="K99" s="23">
        <f>SUM(K94:K98)</f>
        <v>0</v>
      </c>
      <c r="L99" s="15">
        <f>SUM(L94:L98)</f>
        <v>0</v>
      </c>
    </row>
    <row r="100" spans="4:12" ht="12.75">
      <c r="D100" s="20" t="s">
        <v>35</v>
      </c>
      <c r="E100" t="s">
        <v>14</v>
      </c>
      <c r="H100" s="4">
        <v>0</v>
      </c>
      <c r="I100" s="4"/>
      <c r="K100" s="4">
        <v>0</v>
      </c>
      <c r="L100" s="59">
        <f>K100-H100</f>
        <v>0</v>
      </c>
    </row>
    <row r="101" spans="4:12" ht="12.75">
      <c r="D101" s="20" t="s">
        <v>36</v>
      </c>
      <c r="E101" t="s">
        <v>15</v>
      </c>
      <c r="H101" s="21">
        <v>0</v>
      </c>
      <c r="I101" s="27"/>
      <c r="K101" s="21">
        <v>0</v>
      </c>
      <c r="L101" s="62">
        <f>K101-H101</f>
        <v>0</v>
      </c>
    </row>
    <row r="102" spans="4:13" ht="12.75">
      <c r="D102" s="20" t="s">
        <v>41</v>
      </c>
      <c r="E102" t="s">
        <v>17</v>
      </c>
      <c r="H102" s="27">
        <f>+H99+H100+H101</f>
        <v>0</v>
      </c>
      <c r="I102" s="27"/>
      <c r="K102" s="27">
        <f>+K99+K100+K101</f>
        <v>0</v>
      </c>
      <c r="L102" s="15">
        <f>SUM(L99:L101)</f>
        <v>0</v>
      </c>
      <c r="M102" s="45" t="e">
        <f>K102/H102-1</f>
        <v>#DIV/0!</v>
      </c>
    </row>
    <row r="103" spans="4:13" ht="12.75">
      <c r="D103" s="20" t="s">
        <v>112</v>
      </c>
      <c r="E103" t="s">
        <v>111</v>
      </c>
      <c r="H103" s="134" t="e">
        <f>H102/F94</f>
        <v>#DIV/0!</v>
      </c>
      <c r="I103" s="134"/>
      <c r="K103" s="134" t="e">
        <f>K102/F94</f>
        <v>#DIV/0!</v>
      </c>
      <c r="L103" t="e">
        <f>K103-H103</f>
        <v>#DIV/0!</v>
      </c>
      <c r="M103" s="45" t="e">
        <f>K103/H103-1</f>
        <v>#DIV/0!</v>
      </c>
    </row>
    <row r="105" ht="12.75">
      <c r="E105" s="2" t="s">
        <v>0</v>
      </c>
    </row>
    <row r="106" ht="12.75">
      <c r="E106" s="2" t="s">
        <v>47</v>
      </c>
    </row>
    <row r="107" spans="6:14" ht="12.75">
      <c r="F107" s="5" t="s">
        <v>3</v>
      </c>
      <c r="G107" s="41" t="s">
        <v>4</v>
      </c>
      <c r="H107" s="42"/>
      <c r="I107" s="176" t="s">
        <v>118</v>
      </c>
      <c r="J107" s="150" t="s">
        <v>5</v>
      </c>
      <c r="K107" s="151"/>
      <c r="L107" s="152" t="s">
        <v>68</v>
      </c>
      <c r="M107" s="99" t="s">
        <v>69</v>
      </c>
      <c r="N107" s="163" t="s">
        <v>5</v>
      </c>
    </row>
    <row r="108" spans="6:14" ht="12.75">
      <c r="F108" s="7" t="s">
        <v>6</v>
      </c>
      <c r="G108" s="8" t="s">
        <v>7</v>
      </c>
      <c r="H108" s="9" t="s">
        <v>8</v>
      </c>
      <c r="I108" s="177" t="s">
        <v>119</v>
      </c>
      <c r="J108" s="153" t="s">
        <v>7</v>
      </c>
      <c r="K108" s="154" t="s">
        <v>8</v>
      </c>
      <c r="L108" s="155" t="s">
        <v>9</v>
      </c>
      <c r="M108" s="102" t="s">
        <v>9</v>
      </c>
      <c r="N108" s="164" t="s">
        <v>121</v>
      </c>
    </row>
    <row r="109" spans="6:14" ht="12.75">
      <c r="F109" s="18" t="s">
        <v>23</v>
      </c>
      <c r="G109" s="18" t="s">
        <v>24</v>
      </c>
      <c r="H109" s="18" t="s">
        <v>37</v>
      </c>
      <c r="I109" s="178" t="s">
        <v>120</v>
      </c>
      <c r="J109" s="156" t="s">
        <v>25</v>
      </c>
      <c r="K109" s="156" t="s">
        <v>26</v>
      </c>
      <c r="L109" s="156" t="s">
        <v>27</v>
      </c>
      <c r="M109" s="157" t="s">
        <v>62</v>
      </c>
      <c r="N109" s="164" t="s">
        <v>120</v>
      </c>
    </row>
    <row r="110" spans="4:16" ht="12.75">
      <c r="D110" s="20" t="s">
        <v>29</v>
      </c>
      <c r="E110" t="s">
        <v>10</v>
      </c>
      <c r="F110" s="10">
        <v>0</v>
      </c>
      <c r="G110" s="11">
        <v>1069</v>
      </c>
      <c r="H110" s="4">
        <f>F110*G110</f>
        <v>0</v>
      </c>
      <c r="I110" s="4"/>
      <c r="J110" s="129">
        <f>G110</f>
        <v>1069</v>
      </c>
      <c r="K110" s="4">
        <f>J110*F110</f>
        <v>0</v>
      </c>
      <c r="L110" s="15">
        <f>K110-H110</f>
        <v>0</v>
      </c>
      <c r="P110" s="15">
        <f>L110</f>
        <v>0</v>
      </c>
    </row>
    <row r="111" spans="4:15" ht="12.75">
      <c r="D111" s="20" t="s">
        <v>30</v>
      </c>
      <c r="E111" t="s">
        <v>18</v>
      </c>
      <c r="F111" s="10">
        <v>0</v>
      </c>
      <c r="G111" s="11">
        <v>5.39</v>
      </c>
      <c r="H111" s="4">
        <f>F111*G111</f>
        <v>0</v>
      </c>
      <c r="I111" s="4"/>
      <c r="J111" s="158">
        <v>7.29</v>
      </c>
      <c r="K111" s="4">
        <f>J111*F111</f>
        <v>0</v>
      </c>
      <c r="L111" s="15">
        <f>K111-H111</f>
        <v>0</v>
      </c>
      <c r="O111" s="15">
        <f>L111</f>
        <v>0</v>
      </c>
    </row>
    <row r="112" spans="4:12" ht="12.75">
      <c r="D112" s="20" t="s">
        <v>31</v>
      </c>
      <c r="E112" t="s">
        <v>43</v>
      </c>
      <c r="F112" s="10">
        <v>0</v>
      </c>
      <c r="G112" s="12">
        <v>0.03063</v>
      </c>
      <c r="H112" s="4">
        <f>F112*G112</f>
        <v>0</v>
      </c>
      <c r="I112" s="4"/>
      <c r="J112" s="55">
        <f>G112</f>
        <v>0.03063</v>
      </c>
      <c r="K112" s="4">
        <f>J112*F112</f>
        <v>0</v>
      </c>
      <c r="L112" s="15">
        <f>K112-H112</f>
        <v>0</v>
      </c>
    </row>
    <row r="113" spans="4:12" ht="12.75">
      <c r="D113" s="20" t="s">
        <v>32</v>
      </c>
      <c r="E113" t="s">
        <v>44</v>
      </c>
      <c r="F113" s="10">
        <v>0</v>
      </c>
      <c r="G113" s="12">
        <v>0.03018</v>
      </c>
      <c r="H113" s="4">
        <f>F113*G113</f>
        <v>0</v>
      </c>
      <c r="I113" s="4"/>
      <c r="J113" s="55">
        <f>G113</f>
        <v>0.03018</v>
      </c>
      <c r="K113" s="4">
        <f>J113*F113</f>
        <v>0</v>
      </c>
      <c r="L113" s="15">
        <f>K113-H113</f>
        <v>0</v>
      </c>
    </row>
    <row r="114" spans="4:12" ht="12.75">
      <c r="D114" s="20" t="s">
        <v>33</v>
      </c>
      <c r="E114" t="s">
        <v>12</v>
      </c>
      <c r="F114" s="10"/>
      <c r="G114" s="12"/>
      <c r="H114" s="26">
        <v>0</v>
      </c>
      <c r="I114" s="161"/>
      <c r="J114" s="13"/>
      <c r="K114" s="21"/>
      <c r="L114" s="44"/>
    </row>
    <row r="115" spans="4:12" ht="12.75">
      <c r="D115" s="20" t="s">
        <v>34</v>
      </c>
      <c r="E115" t="s">
        <v>13</v>
      </c>
      <c r="H115" s="23">
        <f>SUM(H110:H114)</f>
        <v>0</v>
      </c>
      <c r="I115" s="23"/>
      <c r="K115" s="23">
        <f>SUM(K110:K114)</f>
        <v>0</v>
      </c>
      <c r="L115" s="15">
        <f>SUM(L110:L114)</f>
        <v>0</v>
      </c>
    </row>
    <row r="116" spans="4:12" ht="12.75">
      <c r="D116" s="20" t="s">
        <v>35</v>
      </c>
      <c r="E116" t="s">
        <v>14</v>
      </c>
      <c r="H116" s="4">
        <v>0</v>
      </c>
      <c r="I116" s="4"/>
      <c r="K116" s="4">
        <v>0</v>
      </c>
      <c r="L116" s="59">
        <f>K116-H116</f>
        <v>0</v>
      </c>
    </row>
    <row r="117" spans="4:12" ht="12.75">
      <c r="D117" s="20" t="s">
        <v>36</v>
      </c>
      <c r="E117" t="s">
        <v>15</v>
      </c>
      <c r="H117" s="21">
        <v>0</v>
      </c>
      <c r="I117" s="27"/>
      <c r="K117" s="21">
        <v>0</v>
      </c>
      <c r="L117" s="62">
        <f>K117-H117</f>
        <v>0</v>
      </c>
    </row>
    <row r="118" spans="4:13" ht="12.75">
      <c r="D118" s="20" t="s">
        <v>41</v>
      </c>
      <c r="E118" t="s">
        <v>17</v>
      </c>
      <c r="H118" s="27">
        <f>+H115+H116+H117</f>
        <v>0</v>
      </c>
      <c r="I118" s="27"/>
      <c r="K118" s="27">
        <f>+K115+K116+K117</f>
        <v>0</v>
      </c>
      <c r="L118" s="27">
        <f>+L115+L116+L117</f>
        <v>0</v>
      </c>
      <c r="M118" s="45" t="e">
        <f>K118/H118-1</f>
        <v>#DIV/0!</v>
      </c>
    </row>
    <row r="119" spans="4:13" ht="12.75">
      <c r="D119" s="20" t="s">
        <v>112</v>
      </c>
      <c r="E119" t="s">
        <v>111</v>
      </c>
      <c r="H119" s="134" t="e">
        <f>H118/F110</f>
        <v>#DIV/0!</v>
      </c>
      <c r="I119" s="134"/>
      <c r="K119" s="134" t="e">
        <f>K118/F110</f>
        <v>#DIV/0!</v>
      </c>
      <c r="L119" t="e">
        <f>K119-H119</f>
        <v>#DIV/0!</v>
      </c>
      <c r="M119" s="45" t="e">
        <f>K119/H119-1</f>
        <v>#DIV/0!</v>
      </c>
    </row>
    <row r="120" spans="15:17" ht="12.75">
      <c r="O120" s="66" t="s">
        <v>75</v>
      </c>
      <c r="P120" s="9" t="s">
        <v>73</v>
      </c>
      <c r="Q120" s="67" t="s">
        <v>74</v>
      </c>
    </row>
    <row r="121" spans="2:12" ht="15">
      <c r="B121" s="72" t="s">
        <v>72</v>
      </c>
      <c r="C121" s="10">
        <f>SUM(C13:C118)</f>
        <v>249337551</v>
      </c>
      <c r="E121" s="73" t="s">
        <v>98</v>
      </c>
      <c r="L121" s="15">
        <f>L19+L37+L53+L69+L86+L102+L118</f>
        <v>980069.5902476753</v>
      </c>
    </row>
    <row r="122" spans="2:12" ht="15">
      <c r="B122" s="72" t="s">
        <v>71</v>
      </c>
      <c r="C122" s="63">
        <f>'Data Request 3a(2)'!L19</f>
        <v>7631260</v>
      </c>
      <c r="E122" s="73" t="s">
        <v>99</v>
      </c>
      <c r="L122" s="70">
        <f>'Data Request 3a(2)'!O19</f>
        <v>29996.154915313808</v>
      </c>
    </row>
    <row r="123" spans="2:19" ht="15">
      <c r="B123" s="72" t="s">
        <v>76</v>
      </c>
      <c r="C123" s="10">
        <f>C121+C122</f>
        <v>256968811</v>
      </c>
      <c r="E123" t="s">
        <v>100</v>
      </c>
      <c r="L123" s="15">
        <f>L121+L122</f>
        <v>1010065.7451629891</v>
      </c>
      <c r="R123" t="s">
        <v>77</v>
      </c>
      <c r="S123" s="64">
        <v>1010066</v>
      </c>
    </row>
    <row r="125" spans="5:19" ht="12.75">
      <c r="E125" s="75" t="s">
        <v>101</v>
      </c>
      <c r="F125" s="49"/>
      <c r="G125" s="49"/>
      <c r="H125" s="49"/>
      <c r="I125" s="49"/>
      <c r="J125" s="49"/>
      <c r="K125" s="49"/>
      <c r="L125" s="65">
        <f>S123</f>
        <v>1010066</v>
      </c>
      <c r="M125" s="49"/>
      <c r="N125" s="49"/>
      <c r="O125" s="64">
        <f>SUM(O12:O117)</f>
        <v>0</v>
      </c>
      <c r="Q125" s="49"/>
      <c r="R125" t="s">
        <v>78</v>
      </c>
      <c r="S125" s="65">
        <f>S123-O125</f>
        <v>1010066</v>
      </c>
    </row>
    <row r="126" spans="5:19" ht="12.75">
      <c r="E126" s="76" t="s">
        <v>102</v>
      </c>
      <c r="F126" s="49"/>
      <c r="G126" s="49"/>
      <c r="H126" s="49"/>
      <c r="I126" s="49"/>
      <c r="J126" s="49"/>
      <c r="K126" s="49"/>
      <c r="L126" s="74">
        <f>L123-L125</f>
        <v>-0.25483701087068766</v>
      </c>
      <c r="M126" s="49"/>
      <c r="N126" s="49"/>
      <c r="O126" s="49"/>
      <c r="P126" s="49"/>
      <c r="Q126" s="49"/>
      <c r="S126" s="49"/>
    </row>
    <row r="127" spans="5:19" ht="12.75"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64">
        <f>SUM(P12:P117)</f>
        <v>0</v>
      </c>
      <c r="Q127" s="49"/>
      <c r="R127" t="s">
        <v>79</v>
      </c>
      <c r="S127" s="65">
        <f>S125-P127</f>
        <v>1010066</v>
      </c>
    </row>
    <row r="128" spans="5:19" ht="12.75">
      <c r="E128" s="49"/>
      <c r="F128" s="49"/>
      <c r="G128" s="49"/>
      <c r="H128" s="49"/>
      <c r="I128" s="49"/>
      <c r="J128" s="49"/>
      <c r="K128" s="43"/>
      <c r="L128" s="43"/>
      <c r="M128" s="43"/>
      <c r="N128" s="43"/>
      <c r="O128" s="43"/>
      <c r="P128" s="43"/>
      <c r="Q128" s="43"/>
      <c r="S128" s="49"/>
    </row>
    <row r="129" spans="5:19" ht="12.75">
      <c r="E129" s="49"/>
      <c r="F129" s="49"/>
      <c r="G129" s="49"/>
      <c r="H129" s="49"/>
      <c r="I129" s="49"/>
      <c r="J129" s="49"/>
      <c r="K129" s="43"/>
      <c r="L129" s="43"/>
      <c r="M129" s="43"/>
      <c r="N129" s="43"/>
      <c r="O129" s="43"/>
      <c r="P129" s="43"/>
      <c r="Q129" s="43"/>
      <c r="R129" t="s">
        <v>80</v>
      </c>
      <c r="S129" s="68">
        <f>S127/C123</f>
        <v>0.003930694920015021</v>
      </c>
    </row>
    <row r="145" spans="5:19" ht="12.75">
      <c r="E145" s="49"/>
      <c r="F145" s="49"/>
      <c r="G145" s="49"/>
      <c r="H145" s="49"/>
      <c r="I145" s="49"/>
      <c r="J145" s="49"/>
      <c r="K145" s="43"/>
      <c r="L145" s="43"/>
      <c r="M145" s="43"/>
      <c r="N145" s="43"/>
      <c r="O145" s="43"/>
      <c r="P145" s="43"/>
      <c r="Q145" s="43"/>
      <c r="R145" s="43"/>
      <c r="S145" s="49"/>
    </row>
    <row r="146" spans="5:19" ht="12.75">
      <c r="E146" s="49"/>
      <c r="F146" s="49"/>
      <c r="G146" s="49"/>
      <c r="H146" s="49"/>
      <c r="I146" s="49"/>
      <c r="J146" s="49"/>
      <c r="K146" s="31"/>
      <c r="L146" s="31"/>
      <c r="M146" s="31"/>
      <c r="N146" s="31"/>
      <c r="O146" s="43"/>
      <c r="P146" s="31"/>
      <c r="Q146" s="31"/>
      <c r="R146" s="50"/>
      <c r="S146" s="49"/>
    </row>
    <row r="147" spans="5:19" ht="12.75"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5:19" ht="12.75">
      <c r="E148" s="49"/>
      <c r="F148" s="49"/>
      <c r="G148" s="49"/>
      <c r="H148" s="49"/>
      <c r="I148" s="49"/>
      <c r="J148" s="49"/>
      <c r="K148" s="51"/>
      <c r="L148" s="39"/>
      <c r="M148" s="27"/>
      <c r="N148" s="49"/>
      <c r="O148" s="52"/>
      <c r="P148" s="39"/>
      <c r="Q148" s="27"/>
      <c r="R148" s="53"/>
      <c r="S148" s="49"/>
    </row>
    <row r="149" spans="5:19" ht="12.75">
      <c r="E149" s="49"/>
      <c r="F149" s="49"/>
      <c r="G149" s="49"/>
      <c r="H149" s="49"/>
      <c r="I149" s="49"/>
      <c r="J149" s="49"/>
      <c r="K149" s="51"/>
      <c r="L149" s="39"/>
      <c r="M149" s="27"/>
      <c r="N149" s="49"/>
      <c r="O149" s="52"/>
      <c r="P149" s="39"/>
      <c r="Q149" s="27"/>
      <c r="R149" s="53"/>
      <c r="S149" s="49"/>
    </row>
    <row r="150" spans="5:19" ht="12.75">
      <c r="E150" s="49"/>
      <c r="F150" s="49"/>
      <c r="G150" s="49"/>
      <c r="H150" s="49"/>
      <c r="I150" s="49"/>
      <c r="J150" s="49"/>
      <c r="K150" s="51"/>
      <c r="L150" s="39"/>
      <c r="M150" s="27"/>
      <c r="N150" s="49"/>
      <c r="O150" s="52"/>
      <c r="P150" s="39"/>
      <c r="Q150" s="27"/>
      <c r="R150" s="53"/>
      <c r="S150" s="49"/>
    </row>
    <row r="151" spans="5:19" ht="12.75">
      <c r="E151" s="49"/>
      <c r="F151" s="49"/>
      <c r="G151" s="49"/>
      <c r="H151" s="49"/>
      <c r="I151" s="49"/>
      <c r="J151" s="49"/>
      <c r="K151" s="51"/>
      <c r="L151" s="39"/>
      <c r="M151" s="27"/>
      <c r="N151" s="49"/>
      <c r="O151" s="52"/>
      <c r="P151" s="39"/>
      <c r="Q151" s="27"/>
      <c r="R151" s="53"/>
      <c r="S151" s="49"/>
    </row>
    <row r="152" spans="5:19" ht="12.75">
      <c r="E152" s="49"/>
      <c r="F152" s="49"/>
      <c r="G152" s="49"/>
      <c r="H152" s="49"/>
      <c r="I152" s="49"/>
      <c r="J152" s="49"/>
      <c r="K152" s="51"/>
      <c r="L152" s="39"/>
      <c r="M152" s="27"/>
      <c r="N152" s="49"/>
      <c r="O152" s="52"/>
      <c r="P152" s="39"/>
      <c r="Q152" s="27"/>
      <c r="R152" s="53"/>
      <c r="S152" s="49"/>
    </row>
    <row r="153" spans="5:19" ht="12.75">
      <c r="E153" s="49"/>
      <c r="F153" s="49"/>
      <c r="G153" s="49"/>
      <c r="H153" s="49"/>
      <c r="I153" s="49"/>
      <c r="J153" s="49"/>
      <c r="K153" s="49"/>
      <c r="L153" s="39"/>
      <c r="M153" s="39"/>
      <c r="N153" s="49"/>
      <c r="O153" s="49"/>
      <c r="P153" s="49"/>
      <c r="Q153" s="49"/>
      <c r="R153" s="49"/>
      <c r="S153" s="49"/>
    </row>
    <row r="154" spans="5:19" ht="12.75">
      <c r="E154" s="49"/>
      <c r="F154" s="49"/>
      <c r="G154" s="49"/>
      <c r="H154" s="49"/>
      <c r="I154" s="49"/>
      <c r="J154" s="49"/>
      <c r="K154" s="49"/>
      <c r="L154" s="39"/>
      <c r="M154" s="39"/>
      <c r="N154" s="49"/>
      <c r="O154" s="49"/>
      <c r="P154" s="49"/>
      <c r="Q154" s="49"/>
      <c r="R154" s="49"/>
      <c r="S154" s="49"/>
    </row>
    <row r="155" spans="3:19" ht="12.75">
      <c r="C155" s="3"/>
      <c r="E155" s="49"/>
      <c r="F155" s="49"/>
      <c r="G155" s="49"/>
      <c r="H155" s="49"/>
      <c r="I155" s="49"/>
      <c r="J155" s="49"/>
      <c r="K155" s="52"/>
      <c r="L155" s="39"/>
      <c r="M155" s="27"/>
      <c r="N155" s="49"/>
      <c r="O155" s="52"/>
      <c r="P155" s="49"/>
      <c r="Q155" s="27"/>
      <c r="R155" s="53"/>
      <c r="S155" s="49"/>
    </row>
    <row r="157" spans="2:3" ht="12.75">
      <c r="B157" s="46"/>
      <c r="C157" s="10"/>
    </row>
  </sheetData>
  <mergeCells count="10">
    <mergeCell ref="J75:K75"/>
    <mergeCell ref="J58:K58"/>
    <mergeCell ref="J43:K43"/>
    <mergeCell ref="G43:H43"/>
    <mergeCell ref="G58:H58"/>
    <mergeCell ref="G75:H75"/>
    <mergeCell ref="G9:H9"/>
    <mergeCell ref="J9:K9"/>
    <mergeCell ref="G28:H28"/>
    <mergeCell ref="J28:K28"/>
  </mergeCells>
  <printOptions horizontalCentered="1"/>
  <pageMargins left="0.75" right="0.75" top="1" bottom="1" header="0.5" footer="0.5"/>
  <pageSetup horizontalDpi="600" verticalDpi="600" orientation="portrait" scale="57" r:id="rId3"/>
  <rowBreaks count="1" manualBreakCount="1">
    <brk id="70" min="3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44"/>
  <sheetViews>
    <sheetView tabSelected="1" workbookViewId="0" topLeftCell="J1">
      <selection activeCell="Q41" sqref="Q41"/>
    </sheetView>
  </sheetViews>
  <sheetFormatPr defaultColWidth="9.140625" defaultRowHeight="12.75"/>
  <cols>
    <col min="3" max="3" width="18.421875" style="0" customWidth="1"/>
    <col min="4" max="4" width="2.8515625" style="0" customWidth="1"/>
    <col min="5" max="5" width="10.421875" style="0" customWidth="1"/>
    <col min="6" max="6" width="18.140625" style="0" customWidth="1"/>
    <col min="9" max="10" width="13.28125" style="0" customWidth="1"/>
    <col min="12" max="12" width="15.421875" style="0" customWidth="1"/>
    <col min="14" max="14" width="12.28125" style="0" bestFit="1" customWidth="1"/>
    <col min="15" max="15" width="10.28125" style="0" customWidth="1"/>
    <col min="17" max="17" width="14.7109375" style="0" customWidth="1"/>
    <col min="19" max="21" width="3.421875" style="0" customWidth="1"/>
  </cols>
  <sheetData>
    <row r="1" ht="12.75">
      <c r="E1" t="s">
        <v>20</v>
      </c>
    </row>
    <row r="3" ht="12.75">
      <c r="E3" s="29" t="s">
        <v>45</v>
      </c>
    </row>
    <row r="6" spans="5:17" ht="12.75">
      <c r="E6" s="2" t="s">
        <v>0</v>
      </c>
      <c r="Q6" s="2"/>
    </row>
    <row r="7" ht="12.75">
      <c r="E7" s="2" t="s">
        <v>48</v>
      </c>
    </row>
    <row r="9" ht="13.5" thickBot="1"/>
    <row r="10" spans="5:17" ht="12.75">
      <c r="E10" s="144"/>
      <c r="F10" s="145"/>
      <c r="G10" s="6" t="s">
        <v>50</v>
      </c>
      <c r="H10" s="6" t="s">
        <v>7</v>
      </c>
      <c r="I10" s="6"/>
      <c r="J10" s="180" t="s">
        <v>116</v>
      </c>
      <c r="K10" s="6" t="s">
        <v>55</v>
      </c>
      <c r="L10" s="6" t="s">
        <v>58</v>
      </c>
      <c r="M10" s="35" t="s">
        <v>5</v>
      </c>
      <c r="N10" s="35" t="s">
        <v>5</v>
      </c>
      <c r="O10" s="35"/>
      <c r="P10" s="35"/>
      <c r="Q10" s="180" t="s">
        <v>116</v>
      </c>
    </row>
    <row r="11" spans="5:17" ht="12.75">
      <c r="E11" s="146"/>
      <c r="F11" s="147"/>
      <c r="G11" s="33" t="s">
        <v>3</v>
      </c>
      <c r="H11" s="33" t="s">
        <v>52</v>
      </c>
      <c r="I11" s="33" t="s">
        <v>50</v>
      </c>
      <c r="J11" s="181" t="s">
        <v>4</v>
      </c>
      <c r="K11" s="33" t="s">
        <v>56</v>
      </c>
      <c r="L11" s="33" t="s">
        <v>59</v>
      </c>
      <c r="M11" s="36" t="s">
        <v>63</v>
      </c>
      <c r="N11" s="36" t="s">
        <v>64</v>
      </c>
      <c r="O11" s="36" t="s">
        <v>68</v>
      </c>
      <c r="P11" s="36" t="s">
        <v>69</v>
      </c>
      <c r="Q11" s="181" t="s">
        <v>5</v>
      </c>
    </row>
    <row r="12" spans="5:17" ht="12.75">
      <c r="E12" s="148"/>
      <c r="F12" s="149"/>
      <c r="G12" s="34" t="s">
        <v>51</v>
      </c>
      <c r="H12" s="34" t="s">
        <v>53</v>
      </c>
      <c r="I12" s="34" t="s">
        <v>54</v>
      </c>
      <c r="J12" s="182" t="s">
        <v>122</v>
      </c>
      <c r="K12" s="34" t="s">
        <v>57</v>
      </c>
      <c r="L12" s="34" t="s">
        <v>60</v>
      </c>
      <c r="M12" s="37" t="s">
        <v>64</v>
      </c>
      <c r="N12" s="37" t="s">
        <v>8</v>
      </c>
      <c r="O12" s="37" t="s">
        <v>65</v>
      </c>
      <c r="P12" s="37" t="s">
        <v>65</v>
      </c>
      <c r="Q12" s="182" t="s">
        <v>122</v>
      </c>
    </row>
    <row r="13" spans="5:17" ht="13.5" thickBot="1">
      <c r="E13" s="201" t="s">
        <v>49</v>
      </c>
      <c r="F13" s="202"/>
      <c r="G13" s="32" t="s">
        <v>23</v>
      </c>
      <c r="H13" s="32" t="s">
        <v>24</v>
      </c>
      <c r="I13" s="32" t="s">
        <v>37</v>
      </c>
      <c r="J13" s="183" t="s">
        <v>8</v>
      </c>
      <c r="K13" s="32" t="s">
        <v>25</v>
      </c>
      <c r="L13" s="32" t="s">
        <v>61</v>
      </c>
      <c r="M13" s="38" t="s">
        <v>27</v>
      </c>
      <c r="N13" s="38" t="s">
        <v>62</v>
      </c>
      <c r="O13" s="38" t="s">
        <v>66</v>
      </c>
      <c r="P13" s="38" t="s">
        <v>70</v>
      </c>
      <c r="Q13" s="183" t="s">
        <v>8</v>
      </c>
    </row>
    <row r="14" spans="3:17" ht="12.75">
      <c r="C14" s="40"/>
      <c r="E14">
        <v>175</v>
      </c>
      <c r="F14" t="s">
        <v>114</v>
      </c>
      <c r="G14" s="10">
        <v>74182</v>
      </c>
      <c r="H14" s="19">
        <v>6.57</v>
      </c>
      <c r="I14" s="47">
        <f>G14*H14</f>
        <v>487375.74000000005</v>
      </c>
      <c r="J14" s="166">
        <f>I14/$I$19</f>
        <v>0.7556940598466924</v>
      </c>
      <c r="K14">
        <v>70</v>
      </c>
      <c r="L14" s="48">
        <f>K14*G14</f>
        <v>5192740</v>
      </c>
      <c r="M14" s="69">
        <f>H14+K14*'Data Request 3a (2)'!$S$129</f>
        <v>6.845148644401052</v>
      </c>
      <c r="N14" s="47">
        <f>M14*G14</f>
        <v>507786.8167389588</v>
      </c>
      <c r="O14" s="47">
        <f>N14-I14</f>
        <v>20411.07673895877</v>
      </c>
      <c r="P14" s="45">
        <f aca="true" t="shared" si="0" ref="P14:P19">N14/I14-1</f>
        <v>0.04187955013714628</v>
      </c>
      <c r="Q14" s="166">
        <f>N14/$N$19</f>
        <v>0.7523502674682381</v>
      </c>
    </row>
    <row r="15" spans="3:17" ht="12.75">
      <c r="C15" s="40"/>
      <c r="E15">
        <v>400</v>
      </c>
      <c r="F15" t="s">
        <v>114</v>
      </c>
      <c r="G15" s="10">
        <v>13101</v>
      </c>
      <c r="H15" s="19">
        <v>9.4</v>
      </c>
      <c r="I15" s="47">
        <f>G15*H15</f>
        <v>123149.40000000001</v>
      </c>
      <c r="J15" s="167">
        <f>I15/$I$19</f>
        <v>0.1909476865912207</v>
      </c>
      <c r="K15">
        <v>154</v>
      </c>
      <c r="L15" s="48">
        <f>K15*G15</f>
        <v>2017554</v>
      </c>
      <c r="M15" s="69">
        <f>H15+K15*'Data Request 3a (2)'!$S$129</f>
        <v>10.005327017682314</v>
      </c>
      <c r="N15" s="47">
        <f>M15*G15</f>
        <v>131079.789258656</v>
      </c>
      <c r="O15" s="47">
        <f>N15-I15</f>
        <v>7930.389258655996</v>
      </c>
      <c r="P15" s="45">
        <f t="shared" si="0"/>
        <v>0.06439649124279945</v>
      </c>
      <c r="Q15" s="167">
        <f>N15/$N$19</f>
        <v>0.19421125412778736</v>
      </c>
    </row>
    <row r="16" spans="3:17" ht="12.75">
      <c r="C16" s="40"/>
      <c r="E16">
        <v>500</v>
      </c>
      <c r="F16" t="s">
        <v>114</v>
      </c>
      <c r="G16" s="10">
        <v>144</v>
      </c>
      <c r="H16" s="19">
        <v>10.78</v>
      </c>
      <c r="I16" s="47">
        <f>G16*H16</f>
        <v>1552.32</v>
      </c>
      <c r="J16" s="167">
        <f>I16/$I$19</f>
        <v>0.0024069294113433248</v>
      </c>
      <c r="K16">
        <v>210</v>
      </c>
      <c r="L16" s="48">
        <f>K16*G16</f>
        <v>30240</v>
      </c>
      <c r="M16" s="69">
        <f>H16+K16*'Data Request 3a (2)'!$S$129</f>
        <v>11.605445933203153</v>
      </c>
      <c r="N16" s="47">
        <f>M16*G16</f>
        <v>1671.1842143812542</v>
      </c>
      <c r="O16" s="47">
        <f>N16-I16</f>
        <v>118.86421438125421</v>
      </c>
      <c r="P16" s="45">
        <f t="shared" si="0"/>
        <v>0.0765719789613315</v>
      </c>
      <c r="Q16" s="167">
        <f>N16/$N$19</f>
        <v>0.0024760703689650733</v>
      </c>
    </row>
    <row r="17" spans="3:17" ht="12.75">
      <c r="C17" s="40"/>
      <c r="E17">
        <v>1500</v>
      </c>
      <c r="F17" t="s">
        <v>114</v>
      </c>
      <c r="G17" s="10">
        <v>24</v>
      </c>
      <c r="H17" s="19">
        <v>23.67</v>
      </c>
      <c r="I17" s="47">
        <f>G17*H17</f>
        <v>568.08</v>
      </c>
      <c r="J17" s="167">
        <f>I17/$I$19</f>
        <v>0.0008808289914424321</v>
      </c>
      <c r="K17">
        <v>630</v>
      </c>
      <c r="L17" s="48">
        <f>K17*G17</f>
        <v>15120</v>
      </c>
      <c r="M17" s="69">
        <f>H17+K17*'Data Request 3a (2)'!$S$129</f>
        <v>26.146337799609466</v>
      </c>
      <c r="N17" s="47">
        <f>M17*G17</f>
        <v>627.5121071906271</v>
      </c>
      <c r="O17" s="47">
        <f>N17-I17</f>
        <v>59.43210719062711</v>
      </c>
      <c r="P17" s="45">
        <f t="shared" si="0"/>
        <v>0.10461925642625536</v>
      </c>
      <c r="Q17" s="167">
        <f>N17/$N$19</f>
        <v>0.000929738398323023</v>
      </c>
    </row>
    <row r="18" spans="3:17" ht="12.75">
      <c r="C18" s="40"/>
      <c r="E18">
        <v>400</v>
      </c>
      <c r="F18" t="s">
        <v>115</v>
      </c>
      <c r="G18" s="135">
        <v>2439</v>
      </c>
      <c r="H18" s="19">
        <v>13.24</v>
      </c>
      <c r="I18" s="70">
        <f>G18*H18</f>
        <v>32292.36</v>
      </c>
      <c r="J18" s="168">
        <f>I18/$I$19</f>
        <v>0.05007049515930139</v>
      </c>
      <c r="K18">
        <v>154</v>
      </c>
      <c r="L18" s="63">
        <f>K18*G18</f>
        <v>375606</v>
      </c>
      <c r="M18" s="69">
        <f>H18+K18*'Data Request 3a (2)'!$S$129</f>
        <v>13.845327017682314</v>
      </c>
      <c r="N18" s="70">
        <f>M18*G18</f>
        <v>33768.75259612716</v>
      </c>
      <c r="O18" s="70">
        <f>N18-I18</f>
        <v>1476.3925961271598</v>
      </c>
      <c r="P18" s="123">
        <f t="shared" si="0"/>
        <v>0.045719563269056795</v>
      </c>
      <c r="Q18" s="168">
        <f>N18/$N$19</f>
        <v>0.05003266963668656</v>
      </c>
    </row>
    <row r="19" spans="5:17" ht="12.75">
      <c r="E19" t="s">
        <v>1</v>
      </c>
      <c r="G19" s="10">
        <f>SUM(G14:G18)</f>
        <v>89890</v>
      </c>
      <c r="I19" s="138">
        <f>SUM(I14:I18)</f>
        <v>644937.8999999999</v>
      </c>
      <c r="J19" s="175">
        <f>SUM(J14:J18)</f>
        <v>1.0000000000000002</v>
      </c>
      <c r="K19" s="49"/>
      <c r="L19" s="139">
        <f>SUM(L14:L18)</f>
        <v>7631260</v>
      </c>
      <c r="M19" s="39"/>
      <c r="N19" s="140">
        <f>SUM(N14:N18)</f>
        <v>674934.0549153138</v>
      </c>
      <c r="O19" s="71">
        <f>SUM(O14:O18)</f>
        <v>29996.154915313808</v>
      </c>
      <c r="P19" s="53">
        <f t="shared" si="0"/>
        <v>0.04651014448881652</v>
      </c>
      <c r="Q19" s="171">
        <f>SUM(Q14:Q18)</f>
        <v>1</v>
      </c>
    </row>
    <row r="20" ht="12.75">
      <c r="O20" s="49"/>
    </row>
    <row r="21" spans="5:16" ht="12.75">
      <c r="E21" t="s">
        <v>113</v>
      </c>
      <c r="I21" s="136">
        <f>I19/G19</f>
        <v>7.174745800422738</v>
      </c>
      <c r="J21" s="136"/>
      <c r="N21" s="136">
        <f>N19/G19</f>
        <v>7.5084442642709295</v>
      </c>
      <c r="O21" s="136">
        <f>N21-I21</f>
        <v>0.3336984638481919</v>
      </c>
      <c r="P21" s="137">
        <f>N21/I21-1</f>
        <v>0.04651014448881674</v>
      </c>
    </row>
    <row r="25" spans="8:14" ht="12.75">
      <c r="H25" s="31"/>
      <c r="I25" s="31"/>
      <c r="J25" s="31"/>
      <c r="K25" s="31"/>
      <c r="L25" s="31"/>
      <c r="M25" s="31"/>
      <c r="N25" s="31"/>
    </row>
    <row r="29" ht="12.75" customHeight="1"/>
    <row r="30" spans="19:21" ht="12.75" customHeight="1">
      <c r="S30" s="185"/>
      <c r="T30" s="185"/>
      <c r="U30" s="185"/>
    </row>
    <row r="44" spans="19:21" ht="108.75" customHeight="1">
      <c r="S44" s="184" t="s">
        <v>129</v>
      </c>
      <c r="T44" s="184" t="s">
        <v>124</v>
      </c>
      <c r="U44" s="184" t="s">
        <v>126</v>
      </c>
    </row>
  </sheetData>
  <mergeCells count="1">
    <mergeCell ref="E13:F1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5:O33"/>
  <sheetViews>
    <sheetView workbookViewId="0" topLeftCell="C1">
      <selection activeCell="G24" sqref="G24"/>
    </sheetView>
  </sheetViews>
  <sheetFormatPr defaultColWidth="9.140625" defaultRowHeight="12.75"/>
  <cols>
    <col min="6" max="6" width="9.28125" style="0" customWidth="1"/>
    <col min="7" max="7" width="44.00390625" style="0" customWidth="1"/>
    <col min="8" max="8" width="2.140625" style="0" customWidth="1"/>
    <col min="9" max="9" width="13.57421875" style="0" customWidth="1"/>
    <col min="10" max="10" width="1.7109375" style="0" customWidth="1"/>
    <col min="11" max="11" width="13.57421875" style="0" customWidth="1"/>
    <col min="12" max="12" width="1.7109375" style="0" customWidth="1"/>
    <col min="13" max="13" width="13.57421875" style="0" customWidth="1"/>
    <col min="14" max="14" width="1.7109375" style="0" customWidth="1"/>
    <col min="15" max="15" width="13.57421875" style="0" customWidth="1"/>
  </cols>
  <sheetData>
    <row r="5" spans="7:15" ht="12.75">
      <c r="G5" s="189" t="s">
        <v>0</v>
      </c>
      <c r="H5" s="189"/>
      <c r="I5" s="189"/>
      <c r="J5" s="189"/>
      <c r="K5" s="189"/>
      <c r="L5" s="189"/>
      <c r="M5" s="189"/>
      <c r="N5" s="189"/>
      <c r="O5" s="189"/>
    </row>
    <row r="7" spans="7:15" ht="12.75">
      <c r="G7" s="189" t="s">
        <v>86</v>
      </c>
      <c r="H7" s="189"/>
      <c r="I7" s="189"/>
      <c r="J7" s="189"/>
      <c r="K7" s="189"/>
      <c r="L7" s="189"/>
      <c r="M7" s="189"/>
      <c r="N7" s="189"/>
      <c r="O7" s="189"/>
    </row>
    <row r="9" spans="7:15" ht="12.75">
      <c r="G9" s="189" t="s">
        <v>87</v>
      </c>
      <c r="H9" s="189"/>
      <c r="I9" s="189"/>
      <c r="J9" s="189"/>
      <c r="K9" s="189"/>
      <c r="L9" s="189"/>
      <c r="M9" s="189"/>
      <c r="N9" s="189"/>
      <c r="O9" s="189"/>
    </row>
    <row r="12" spans="7:15" ht="12.75">
      <c r="G12" s="5"/>
      <c r="H12" s="49"/>
      <c r="I12" s="6" t="s">
        <v>106</v>
      </c>
      <c r="J12" s="1"/>
      <c r="K12" s="6" t="s">
        <v>1</v>
      </c>
      <c r="L12" s="1"/>
      <c r="M12" s="6"/>
      <c r="N12" s="1"/>
      <c r="O12" s="6"/>
    </row>
    <row r="13" spans="7:15" ht="12.75">
      <c r="G13" s="124"/>
      <c r="H13" s="49"/>
      <c r="I13" s="33" t="s">
        <v>107</v>
      </c>
      <c r="J13" s="1"/>
      <c r="K13" s="33" t="s">
        <v>5</v>
      </c>
      <c r="L13" s="1"/>
      <c r="M13" s="33"/>
      <c r="N13" s="1"/>
      <c r="O13" s="33"/>
    </row>
    <row r="14" spans="7:15" ht="12.75">
      <c r="G14" s="7"/>
      <c r="H14" s="49"/>
      <c r="I14" s="33" t="s">
        <v>8</v>
      </c>
      <c r="J14" s="1"/>
      <c r="K14" s="34" t="s">
        <v>8</v>
      </c>
      <c r="L14" s="1"/>
      <c r="M14" s="32" t="s">
        <v>95</v>
      </c>
      <c r="N14" s="1"/>
      <c r="O14" s="32" t="s">
        <v>96</v>
      </c>
    </row>
    <row r="15" spans="7:15" ht="12.75">
      <c r="G15" s="127" t="s">
        <v>19</v>
      </c>
      <c r="H15" s="126"/>
      <c r="I15" s="128">
        <f>'Detailed Summary'!I9</f>
        <v>14382024.29541</v>
      </c>
      <c r="K15" s="113">
        <f>'Detailed Summary'!R9</f>
        <v>15086550.146245716</v>
      </c>
      <c r="M15" s="117">
        <f>K15-I15</f>
        <v>704525.8508357164</v>
      </c>
      <c r="O15" s="120">
        <f>K15/I15-1</f>
        <v>0.04898655685490416</v>
      </c>
    </row>
    <row r="16" spans="7:15" ht="12.75">
      <c r="G16" s="100" t="s">
        <v>21</v>
      </c>
      <c r="H16" s="126"/>
      <c r="I16" s="113">
        <f>'Detailed Summary'!I10</f>
        <v>2237.54886</v>
      </c>
      <c r="K16" s="113">
        <f>'Detailed Summary'!R10</f>
        <v>2380.1478213302785</v>
      </c>
      <c r="M16" s="118">
        <f aca="true" t="shared" si="0" ref="M16:M29">K16-I16</f>
        <v>142.5989613302786</v>
      </c>
      <c r="O16" s="121">
        <f aca="true" t="shared" si="1" ref="O16:O29">K16/I16-1</f>
        <v>0.06372998770193505</v>
      </c>
    </row>
    <row r="17" spans="7:15" ht="12.75">
      <c r="G17" s="100" t="s">
        <v>40</v>
      </c>
      <c r="H17" s="126"/>
      <c r="I17" s="113">
        <f>'Detailed Summary'!I11</f>
        <v>1319016.8474</v>
      </c>
      <c r="K17" s="113">
        <f>'Detailed Summary'!R11</f>
        <v>1372721.0437551134</v>
      </c>
      <c r="M17" s="118">
        <f t="shared" si="0"/>
        <v>53704.196355113294</v>
      </c>
      <c r="O17" s="121">
        <f t="shared" si="1"/>
        <v>0.04071532252296328</v>
      </c>
    </row>
    <row r="18" spans="7:15" ht="12.75">
      <c r="G18" s="100" t="s">
        <v>42</v>
      </c>
      <c r="H18" s="126"/>
      <c r="I18" s="113">
        <f>'Detailed Summary'!I12</f>
        <v>2325538.40521</v>
      </c>
      <c r="K18" s="113">
        <f>'Detailed Summary'!R12</f>
        <v>2449595.771174985</v>
      </c>
      <c r="M18" s="118">
        <f t="shared" si="0"/>
        <v>124057.36596498499</v>
      </c>
      <c r="O18" s="121">
        <f t="shared" si="1"/>
        <v>0.05334565349987508</v>
      </c>
    </row>
    <row r="19" spans="7:15" ht="12.75">
      <c r="G19" s="100" t="s">
        <v>67</v>
      </c>
      <c r="H19" s="126"/>
      <c r="I19" s="113">
        <f>'Detailed Summary'!I13</f>
        <v>1717617</v>
      </c>
      <c r="K19" s="113">
        <f>'Detailed Summary'!R13</f>
        <v>1815256.7706905305</v>
      </c>
      <c r="M19" s="118">
        <f t="shared" si="0"/>
        <v>97639.77069053054</v>
      </c>
      <c r="O19" s="121">
        <f t="shared" si="1"/>
        <v>0.056846066783532434</v>
      </c>
    </row>
    <row r="20" spans="7:15" ht="12.75">
      <c r="G20" s="100" t="s">
        <v>46</v>
      </c>
      <c r="H20" s="126"/>
      <c r="I20" s="113">
        <f>'Detailed Summary'!I14</f>
        <v>0</v>
      </c>
      <c r="K20" s="113">
        <f>'Detailed Summary'!R14</f>
        <v>0</v>
      </c>
      <c r="M20" s="118">
        <f t="shared" si="0"/>
        <v>0</v>
      </c>
      <c r="O20" s="121">
        <v>0</v>
      </c>
    </row>
    <row r="21" spans="7:15" ht="12.75">
      <c r="G21" s="100" t="s">
        <v>47</v>
      </c>
      <c r="H21" s="126"/>
      <c r="I21" s="113">
        <f>'Detailed Summary'!I15</f>
        <v>0</v>
      </c>
      <c r="K21" s="113">
        <f>'Detailed Summary'!R15</f>
        <v>0</v>
      </c>
      <c r="M21" s="118">
        <f t="shared" si="0"/>
        <v>0</v>
      </c>
      <c r="O21" s="121">
        <v>0</v>
      </c>
    </row>
    <row r="22" spans="7:15" ht="12.75">
      <c r="G22" s="101"/>
      <c r="H22" s="87"/>
      <c r="I22" s="101"/>
      <c r="K22" s="101"/>
      <c r="M22" s="118"/>
      <c r="O22" s="121"/>
    </row>
    <row r="23" spans="7:15" ht="12.75">
      <c r="G23" s="100" t="s">
        <v>81</v>
      </c>
      <c r="H23" s="126"/>
      <c r="I23" s="101"/>
      <c r="K23" s="101"/>
      <c r="M23" s="118"/>
      <c r="O23" s="121"/>
    </row>
    <row r="24" spans="7:15" ht="12.75">
      <c r="G24" s="101" t="s">
        <v>82</v>
      </c>
      <c r="H24" s="87"/>
      <c r="I24" s="113">
        <f>'Detailed Summary'!I18</f>
        <v>487375.74000000005</v>
      </c>
      <c r="K24" s="113">
        <f>'Detailed Summary'!R18</f>
        <v>507786.8167389588</v>
      </c>
      <c r="M24" s="118">
        <f t="shared" si="0"/>
        <v>20411.07673895877</v>
      </c>
      <c r="O24" s="121">
        <f t="shared" si="1"/>
        <v>0.04187955013714628</v>
      </c>
    </row>
    <row r="25" spans="7:15" ht="12.75">
      <c r="G25" s="101" t="s">
        <v>83</v>
      </c>
      <c r="H25" s="87"/>
      <c r="I25" s="113">
        <f>'Detailed Summary'!I19</f>
        <v>123149.40000000001</v>
      </c>
      <c r="K25" s="113">
        <f>'Detailed Summary'!R19</f>
        <v>131079.789258656</v>
      </c>
      <c r="M25" s="118">
        <f t="shared" si="0"/>
        <v>7930.389258655996</v>
      </c>
      <c r="O25" s="121">
        <f t="shared" si="1"/>
        <v>0.06439649124279945</v>
      </c>
    </row>
    <row r="26" spans="7:15" ht="12.75">
      <c r="G26" s="101" t="s">
        <v>84</v>
      </c>
      <c r="H26" s="87"/>
      <c r="I26" s="113">
        <f>'Detailed Summary'!I20</f>
        <v>1552.32</v>
      </c>
      <c r="K26" s="113">
        <f>'Detailed Summary'!R20</f>
        <v>1671.1842143812542</v>
      </c>
      <c r="M26" s="118">
        <f t="shared" si="0"/>
        <v>118.86421438125421</v>
      </c>
      <c r="O26" s="121">
        <f t="shared" si="1"/>
        <v>0.0765719789613315</v>
      </c>
    </row>
    <row r="27" spans="7:15" ht="12.75">
      <c r="G27" s="101" t="s">
        <v>85</v>
      </c>
      <c r="H27" s="87"/>
      <c r="I27" s="113">
        <f>'Detailed Summary'!I21</f>
        <v>568.08</v>
      </c>
      <c r="K27" s="113">
        <f>'Detailed Summary'!R21</f>
        <v>627.5121071906271</v>
      </c>
      <c r="M27" s="118">
        <f t="shared" si="0"/>
        <v>59.43210719062711</v>
      </c>
      <c r="O27" s="121">
        <f t="shared" si="1"/>
        <v>0.10461925642625536</v>
      </c>
    </row>
    <row r="28" spans="7:15" ht="12.75">
      <c r="G28" s="102" t="s">
        <v>83</v>
      </c>
      <c r="H28" s="87"/>
      <c r="I28" s="114">
        <f>'Detailed Summary'!I22</f>
        <v>32292.36</v>
      </c>
      <c r="K28" s="113">
        <f>'Detailed Summary'!R22</f>
        <v>33768.75259612716</v>
      </c>
      <c r="M28" s="119">
        <f t="shared" si="0"/>
        <v>1476.3925961271598</v>
      </c>
      <c r="O28" s="122">
        <f t="shared" si="1"/>
        <v>0.045719563269056795</v>
      </c>
    </row>
    <row r="29" spans="7:15" ht="12.75">
      <c r="G29" s="100" t="s">
        <v>110</v>
      </c>
      <c r="H29" s="87"/>
      <c r="I29" s="113">
        <f>SUM(I24:I28)</f>
        <v>644937.8999999999</v>
      </c>
      <c r="K29" s="131">
        <f>SUM(K24:K28)</f>
        <v>674934.0549153138</v>
      </c>
      <c r="M29" s="119">
        <f t="shared" si="0"/>
        <v>29996.154915313935</v>
      </c>
      <c r="O29" s="122">
        <f t="shared" si="1"/>
        <v>0.04651014448881652</v>
      </c>
    </row>
    <row r="30" spans="7:15" ht="12.75">
      <c r="G30" s="5"/>
      <c r="H30" s="49"/>
      <c r="I30" s="5"/>
      <c r="K30" s="5"/>
      <c r="M30" s="5"/>
      <c r="O30" s="5"/>
    </row>
    <row r="31" spans="7:15" ht="12.75">
      <c r="G31" s="130" t="s">
        <v>108</v>
      </c>
      <c r="H31" s="49"/>
      <c r="I31" s="119">
        <f>SUM(I15:I28)</f>
        <v>20391371.996879995</v>
      </c>
      <c r="K31" s="119">
        <f>SUM(K15:K28)</f>
        <v>21401437.934602987</v>
      </c>
      <c r="M31" s="119">
        <f>SUM(M15:M28)</f>
        <v>1010065.937722989</v>
      </c>
      <c r="O31" s="125">
        <f>K31/I31-1</f>
        <v>0.04953398613283788</v>
      </c>
    </row>
    <row r="33" spans="11:13" ht="12.75">
      <c r="K33" s="64"/>
      <c r="M33" s="64"/>
    </row>
  </sheetData>
  <mergeCells count="3">
    <mergeCell ref="G5:O5"/>
    <mergeCell ref="G7:O7"/>
    <mergeCell ref="G9:O9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">
      <selection activeCell="C25" sqref="C25"/>
    </sheetView>
  </sheetViews>
  <sheetFormatPr defaultColWidth="9.140625" defaultRowHeight="12.75"/>
  <cols>
    <col min="1" max="1" width="46.140625" style="0" customWidth="1"/>
    <col min="2" max="2" width="11.28125" style="0" bestFit="1" customWidth="1"/>
    <col min="3" max="3" width="10.7109375" style="0" customWidth="1"/>
    <col min="4" max="4" width="11.00390625" style="0" customWidth="1"/>
    <col min="5" max="5" width="11.8515625" style="0" customWidth="1"/>
    <col min="6" max="6" width="10.28125" style="0" customWidth="1"/>
    <col min="7" max="7" width="10.140625" style="0" bestFit="1" customWidth="1"/>
    <col min="8" max="8" width="10.140625" style="0" customWidth="1"/>
    <col min="9" max="9" width="11.140625" style="0" bestFit="1" customWidth="1"/>
    <col min="10" max="10" width="1.28515625" style="0" customWidth="1"/>
    <col min="11" max="11" width="10.140625" style="0" bestFit="1" customWidth="1"/>
    <col min="12" max="12" width="10.00390625" style="0" customWidth="1"/>
    <col min="13" max="13" width="11.140625" style="0" bestFit="1" customWidth="1"/>
    <col min="14" max="14" width="11.57421875" style="0" customWidth="1"/>
    <col min="15" max="15" width="10.140625" style="0" bestFit="1" customWidth="1"/>
    <col min="16" max="16" width="9.8515625" style="0" customWidth="1"/>
    <col min="18" max="18" width="11.28125" style="0" customWidth="1"/>
    <col min="19" max="19" width="1.421875" style="0" customWidth="1"/>
    <col min="20" max="20" width="10.28125" style="0" customWidth="1"/>
    <col min="21" max="21" width="11.00390625" style="0" customWidth="1"/>
  </cols>
  <sheetData>
    <row r="1" spans="1:21" ht="12.75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2.75">
      <c r="A2" s="190" t="s">
        <v>86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12.75">
      <c r="A3" s="190" t="s">
        <v>87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2.75">
      <c r="A6" s="103"/>
      <c r="B6" s="84" t="s">
        <v>88</v>
      </c>
      <c r="C6" s="96"/>
      <c r="D6" s="85"/>
      <c r="E6" s="96"/>
      <c r="F6" s="85"/>
      <c r="G6" s="96"/>
      <c r="H6" s="85"/>
      <c r="I6" s="96"/>
      <c r="J6" s="77"/>
      <c r="K6" s="96" t="s">
        <v>5</v>
      </c>
      <c r="L6" s="96"/>
      <c r="M6" s="96"/>
      <c r="N6" s="96"/>
      <c r="O6" s="96"/>
      <c r="P6" s="96"/>
      <c r="Q6" s="96"/>
      <c r="R6" s="96"/>
      <c r="S6" s="77"/>
      <c r="T6" s="96"/>
      <c r="U6" s="96"/>
    </row>
    <row r="7" spans="1:21" ht="12.75">
      <c r="A7" s="98" t="s">
        <v>104</v>
      </c>
      <c r="B7" s="94" t="s">
        <v>89</v>
      </c>
      <c r="C7" s="97" t="s">
        <v>90</v>
      </c>
      <c r="D7" s="95" t="s">
        <v>91</v>
      </c>
      <c r="E7" s="98" t="s">
        <v>92</v>
      </c>
      <c r="F7" s="95" t="s">
        <v>93</v>
      </c>
      <c r="G7" s="98" t="s">
        <v>94</v>
      </c>
      <c r="H7" s="95" t="s">
        <v>103</v>
      </c>
      <c r="I7" s="98" t="s">
        <v>1</v>
      </c>
      <c r="J7" s="77"/>
      <c r="K7" s="97" t="s">
        <v>89</v>
      </c>
      <c r="L7" s="97" t="s">
        <v>90</v>
      </c>
      <c r="M7" s="98" t="s">
        <v>91</v>
      </c>
      <c r="N7" s="98" t="s">
        <v>92</v>
      </c>
      <c r="O7" s="98" t="s">
        <v>93</v>
      </c>
      <c r="P7" s="98" t="s">
        <v>94</v>
      </c>
      <c r="Q7" s="98" t="s">
        <v>103</v>
      </c>
      <c r="R7" s="98" t="s">
        <v>1</v>
      </c>
      <c r="S7" s="77"/>
      <c r="T7" s="98" t="s">
        <v>95</v>
      </c>
      <c r="U7" s="98" t="s">
        <v>96</v>
      </c>
    </row>
    <row r="8" spans="1:21" ht="12.75">
      <c r="A8" s="99"/>
      <c r="B8" s="99"/>
      <c r="C8" s="87"/>
      <c r="D8" s="99"/>
      <c r="E8" s="87"/>
      <c r="F8" s="99"/>
      <c r="G8" s="87"/>
      <c r="H8" s="99"/>
      <c r="I8" s="88"/>
      <c r="J8" s="78"/>
      <c r="K8" s="106"/>
      <c r="L8" s="99"/>
      <c r="M8" s="107"/>
      <c r="N8" s="99"/>
      <c r="O8" s="107"/>
      <c r="P8" s="99"/>
      <c r="Q8" s="107"/>
      <c r="R8" s="99"/>
      <c r="S8" s="78"/>
      <c r="T8" s="86"/>
      <c r="U8" s="99"/>
    </row>
    <row r="9" spans="1:21" ht="12.75">
      <c r="A9" s="100" t="s">
        <v>19</v>
      </c>
      <c r="B9" s="113">
        <f>'Data Request 3a (2)'!H12</f>
        <v>1002624</v>
      </c>
      <c r="C9" s="90">
        <v>0</v>
      </c>
      <c r="D9" s="113">
        <f>'Data Request 3a (2)'!H13</f>
        <v>11044885.29541</v>
      </c>
      <c r="E9" s="90">
        <f>B9+C9+D9</f>
        <v>12047509.29541</v>
      </c>
      <c r="F9" s="113">
        <f>'Data Request 3a (2)'!H16</f>
        <v>1430705</v>
      </c>
      <c r="G9" s="90">
        <f>'Data Request 3a (2)'!H17</f>
        <v>902215</v>
      </c>
      <c r="H9" s="113">
        <f>'Data Request 3a (2)'!H18</f>
        <v>1595</v>
      </c>
      <c r="I9" s="91">
        <f>E9+F9+G9+H9</f>
        <v>14382024.29541</v>
      </c>
      <c r="J9" s="78"/>
      <c r="K9" s="89">
        <f>'Data Request 3a (2)'!K12</f>
        <v>1002624</v>
      </c>
      <c r="L9" s="113"/>
      <c r="M9" s="90">
        <f>'Data Request 3a (2)'!K13</f>
        <v>11749411.146245716</v>
      </c>
      <c r="N9" s="113">
        <f>K9+L9+M9</f>
        <v>12752035.146245716</v>
      </c>
      <c r="O9" s="90">
        <f>F9</f>
        <v>1430705</v>
      </c>
      <c r="P9" s="113">
        <f>G9</f>
        <v>902215</v>
      </c>
      <c r="Q9" s="90">
        <f>H9</f>
        <v>1595</v>
      </c>
      <c r="R9" s="113">
        <f>N9+O9+P9+Q9</f>
        <v>15086550.146245716</v>
      </c>
      <c r="S9" s="78"/>
      <c r="T9" s="89">
        <f>R9-I9</f>
        <v>704525.8508357164</v>
      </c>
      <c r="U9" s="115">
        <f>R9/I9-1</f>
        <v>0.04898655685490416</v>
      </c>
    </row>
    <row r="10" spans="1:21" ht="12.75">
      <c r="A10" s="100" t="s">
        <v>21</v>
      </c>
      <c r="B10" s="113"/>
      <c r="C10" s="90"/>
      <c r="D10" s="113">
        <f>'Data Request 3a (2)'!H32</f>
        <v>2237.54886</v>
      </c>
      <c r="E10" s="90">
        <f>B10+C10+D10</f>
        <v>2237.54886</v>
      </c>
      <c r="F10" s="113"/>
      <c r="G10" s="90"/>
      <c r="H10" s="113"/>
      <c r="I10" s="91">
        <f aca="true" t="shared" si="0" ref="I10:I15">E10+F10+G10+H10</f>
        <v>2237.54886</v>
      </c>
      <c r="J10" s="78"/>
      <c r="K10" s="89">
        <f>'Data Request 3a (2)'!K31</f>
        <v>0</v>
      </c>
      <c r="L10" s="113"/>
      <c r="M10" s="90">
        <f>'Data Request 3a (2)'!K32</f>
        <v>2380.1478213302785</v>
      </c>
      <c r="N10" s="113">
        <f aca="true" t="shared" si="1" ref="N10:N15">K10+L10+M10</f>
        <v>2380.1478213302785</v>
      </c>
      <c r="O10" s="90">
        <f aca="true" t="shared" si="2" ref="O10:O15">F10</f>
        <v>0</v>
      </c>
      <c r="P10" s="113">
        <f aca="true" t="shared" si="3" ref="P10:P15">G10</f>
        <v>0</v>
      </c>
      <c r="Q10" s="90">
        <f aca="true" t="shared" si="4" ref="Q10:Q15">H10</f>
        <v>0</v>
      </c>
      <c r="R10" s="113">
        <f aca="true" t="shared" si="5" ref="R10:R15">N10+O10+P10+Q10</f>
        <v>2380.1478213302785</v>
      </c>
      <c r="S10" s="78"/>
      <c r="T10" s="89">
        <f aca="true" t="shared" si="6" ref="T10:T15">R10-I10</f>
        <v>142.5989613302786</v>
      </c>
      <c r="U10" s="115">
        <f>R10/I10-1</f>
        <v>0.06372998770193505</v>
      </c>
    </row>
    <row r="11" spans="1:21" ht="12.75">
      <c r="A11" s="100" t="s">
        <v>40</v>
      </c>
      <c r="B11" s="113">
        <f>'Data Request 3a (2)'!H46</f>
        <v>170505</v>
      </c>
      <c r="C11" s="90">
        <f>'Data Request 3a (2)'!H47</f>
        <v>233684</v>
      </c>
      <c r="D11" s="113">
        <f>'Data Request 3a (2)'!H48</f>
        <v>752818.8474000001</v>
      </c>
      <c r="E11" s="90">
        <f>B11+C11+D11</f>
        <v>1157007.8474</v>
      </c>
      <c r="F11" s="113">
        <f>'Data Request 3a (2)'!H51</f>
        <v>99355</v>
      </c>
      <c r="G11" s="90">
        <f>'Data Request 3a (2)'!H52</f>
        <v>62654</v>
      </c>
      <c r="H11" s="113"/>
      <c r="I11" s="91">
        <f t="shared" si="0"/>
        <v>1319016.8474</v>
      </c>
      <c r="J11" s="78"/>
      <c r="K11" s="89">
        <f>'Data Request 3a (2)'!K46</f>
        <v>170505</v>
      </c>
      <c r="L11" s="113">
        <f>'Data Request 3a (2)'!K47</f>
        <v>233684</v>
      </c>
      <c r="M11" s="90">
        <f>'Data Request 3a (2)'!K48</f>
        <v>806523.0437551134</v>
      </c>
      <c r="N11" s="113">
        <f t="shared" si="1"/>
        <v>1210712.0437551134</v>
      </c>
      <c r="O11" s="90">
        <f t="shared" si="2"/>
        <v>99355</v>
      </c>
      <c r="P11" s="113">
        <f t="shared" si="3"/>
        <v>62654</v>
      </c>
      <c r="Q11" s="90">
        <f t="shared" si="4"/>
        <v>0</v>
      </c>
      <c r="R11" s="113">
        <f t="shared" si="5"/>
        <v>1372721.0437551134</v>
      </c>
      <c r="S11" s="78"/>
      <c r="T11" s="89">
        <f t="shared" si="6"/>
        <v>53704.196355113294</v>
      </c>
      <c r="U11" s="115">
        <f>R11/I11-1</f>
        <v>0.04071532252296328</v>
      </c>
    </row>
    <row r="12" spans="1:21" ht="12.75">
      <c r="A12" s="100" t="s">
        <v>42</v>
      </c>
      <c r="B12" s="113">
        <f>'Data Request 3a (2)'!H61</f>
        <v>82950</v>
      </c>
      <c r="C12" s="90">
        <f>'Data Request 3a (2)'!H62</f>
        <v>500830.19999999995</v>
      </c>
      <c r="D12" s="113">
        <f>'Data Request 3a (2)'!H63+'Data Request 3a (2)'!H64</f>
        <v>1320536.20521</v>
      </c>
      <c r="E12" s="90">
        <f>B12+C12+D12</f>
        <v>1904316.40521</v>
      </c>
      <c r="F12" s="113">
        <f>'Data Request 3a (2)'!H67</f>
        <v>258322</v>
      </c>
      <c r="G12" s="90">
        <v>162900</v>
      </c>
      <c r="H12" s="113"/>
      <c r="I12" s="91">
        <f t="shared" si="0"/>
        <v>2325538.40521</v>
      </c>
      <c r="J12" s="78"/>
      <c r="K12" s="89">
        <f>'Data Request 3a (2)'!K61</f>
        <v>82950</v>
      </c>
      <c r="L12" s="113">
        <f>'Data Request 3a (2)'!K62</f>
        <v>500830.19999999995</v>
      </c>
      <c r="M12" s="90">
        <f>'Data Request 3a (2)'!K63+'Data Request 3a (2)'!K64</f>
        <v>1444593.5711749848</v>
      </c>
      <c r="N12" s="113">
        <f t="shared" si="1"/>
        <v>2028373.7711749848</v>
      </c>
      <c r="O12" s="90">
        <f t="shared" si="2"/>
        <v>258322</v>
      </c>
      <c r="P12" s="113">
        <f t="shared" si="3"/>
        <v>162900</v>
      </c>
      <c r="Q12" s="90">
        <f t="shared" si="4"/>
        <v>0</v>
      </c>
      <c r="R12" s="113">
        <f t="shared" si="5"/>
        <v>2449595.771174985</v>
      </c>
      <c r="S12" s="78"/>
      <c r="T12" s="89">
        <f t="shared" si="6"/>
        <v>124057.36596498499</v>
      </c>
      <c r="U12" s="115">
        <f>R12/I12-1</f>
        <v>0.05334565349987508</v>
      </c>
    </row>
    <row r="13" spans="1:21" ht="12.75">
      <c r="A13" s="100" t="s">
        <v>105</v>
      </c>
      <c r="B13" s="113">
        <v>900</v>
      </c>
      <c r="C13" s="90">
        <v>410438</v>
      </c>
      <c r="D13" s="113">
        <f>4724+977538</f>
        <v>982262</v>
      </c>
      <c r="E13" s="90">
        <f>B13+C13+D13</f>
        <v>1393600</v>
      </c>
      <c r="F13" s="113">
        <f>'Data Request 3a (2)'!H84</f>
        <v>198709</v>
      </c>
      <c r="G13" s="90">
        <f>'Data Request 3a (2)'!H85</f>
        <v>125308</v>
      </c>
      <c r="H13" s="113"/>
      <c r="I13" s="91">
        <f t="shared" si="0"/>
        <v>1717617</v>
      </c>
      <c r="J13" s="78"/>
      <c r="K13" s="89">
        <f>'Data Request 3a (2)'!K78</f>
        <v>900</v>
      </c>
      <c r="L13" s="113">
        <f>'Data Request 3a (2)'!K79</f>
        <v>410437.8</v>
      </c>
      <c r="M13" s="90">
        <f>'Data Request 3a (2)'!K80+'Data Request 3a (2)'!K81</f>
        <v>1079901.9706905305</v>
      </c>
      <c r="N13" s="113">
        <f t="shared" si="1"/>
        <v>1491239.7706905305</v>
      </c>
      <c r="O13" s="90">
        <f t="shared" si="2"/>
        <v>198709</v>
      </c>
      <c r="P13" s="113">
        <f t="shared" si="3"/>
        <v>125308</v>
      </c>
      <c r="Q13" s="90">
        <f t="shared" si="4"/>
        <v>0</v>
      </c>
      <c r="R13" s="113">
        <f t="shared" si="5"/>
        <v>1815256.7706905305</v>
      </c>
      <c r="S13" s="78"/>
      <c r="T13" s="89">
        <f t="shared" si="6"/>
        <v>97639.77069053054</v>
      </c>
      <c r="U13" s="115">
        <f>R13/I13-1</f>
        <v>0.056846066783532434</v>
      </c>
    </row>
    <row r="14" spans="1:21" ht="12.75">
      <c r="A14" s="100" t="s">
        <v>46</v>
      </c>
      <c r="B14" s="113">
        <f>'Data Request 3a (2)'!H94</f>
        <v>0</v>
      </c>
      <c r="C14" s="90">
        <f>'Data Request 3a (2)'!H95</f>
        <v>0</v>
      </c>
      <c r="D14" s="113">
        <f>'Data Request 3a (2)'!H96+'Data Request 3a (2)'!H97</f>
        <v>0</v>
      </c>
      <c r="E14" s="90">
        <f>'Data Request 3a (2)'!H100</f>
        <v>0</v>
      </c>
      <c r="F14" s="113">
        <v>0</v>
      </c>
      <c r="G14" s="90">
        <f>'Data Request 3a (2)'!H101</f>
        <v>0</v>
      </c>
      <c r="H14" s="113"/>
      <c r="I14" s="91">
        <f t="shared" si="0"/>
        <v>0</v>
      </c>
      <c r="J14" s="78"/>
      <c r="K14" s="89">
        <f>'Data Request 3a (2)'!K94</f>
        <v>0</v>
      </c>
      <c r="L14" s="113">
        <f>'Data Request 3a (2)'!K95</f>
        <v>0</v>
      </c>
      <c r="M14" s="90">
        <f>'Data Request 3a (2)'!K96+'Data Request 3a (2)'!K97</f>
        <v>0</v>
      </c>
      <c r="N14" s="113">
        <f t="shared" si="1"/>
        <v>0</v>
      </c>
      <c r="O14" s="90">
        <f t="shared" si="2"/>
        <v>0</v>
      </c>
      <c r="P14" s="113">
        <f t="shared" si="3"/>
        <v>0</v>
      </c>
      <c r="Q14" s="90">
        <f t="shared" si="4"/>
        <v>0</v>
      </c>
      <c r="R14" s="113">
        <f t="shared" si="5"/>
        <v>0</v>
      </c>
      <c r="S14" s="78"/>
      <c r="T14" s="89">
        <f t="shared" si="6"/>
        <v>0</v>
      </c>
      <c r="U14" s="115">
        <v>0</v>
      </c>
    </row>
    <row r="15" spans="1:21" ht="12.75">
      <c r="A15" s="100" t="s">
        <v>47</v>
      </c>
      <c r="B15" s="113">
        <f>'Data Request 3a (2)'!H110</f>
        <v>0</v>
      </c>
      <c r="C15" s="90">
        <f>'Data Request 3a (2)'!H111</f>
        <v>0</v>
      </c>
      <c r="D15" s="113">
        <f>'Data Request 3a (2)'!H112+'Data Request 3a (2)'!H113</f>
        <v>0</v>
      </c>
      <c r="E15" s="90">
        <f>'Data Request 3a (2)'!H101</f>
        <v>0</v>
      </c>
      <c r="F15" s="113">
        <f>'Data Request 3a (2)'!H100</f>
        <v>0</v>
      </c>
      <c r="G15" s="90">
        <v>0</v>
      </c>
      <c r="H15" s="113"/>
      <c r="I15" s="91">
        <f t="shared" si="0"/>
        <v>0</v>
      </c>
      <c r="J15" s="78"/>
      <c r="K15" s="89">
        <f>'Data Request 3a (2)'!K110</f>
        <v>0</v>
      </c>
      <c r="L15" s="113">
        <f>'Data Request 3a (2)'!K111</f>
        <v>0</v>
      </c>
      <c r="M15" s="90">
        <f>'Data Request 3a (2)'!K112+'Data Request 3a (2)'!K113</f>
        <v>0</v>
      </c>
      <c r="N15" s="113">
        <f t="shared" si="1"/>
        <v>0</v>
      </c>
      <c r="O15" s="90">
        <f t="shared" si="2"/>
        <v>0</v>
      </c>
      <c r="P15" s="113">
        <f t="shared" si="3"/>
        <v>0</v>
      </c>
      <c r="Q15" s="90">
        <f t="shared" si="4"/>
        <v>0</v>
      </c>
      <c r="R15" s="113">
        <f t="shared" si="5"/>
        <v>0</v>
      </c>
      <c r="S15" s="78"/>
      <c r="T15" s="89">
        <f t="shared" si="6"/>
        <v>0</v>
      </c>
      <c r="U15" s="115">
        <v>0</v>
      </c>
    </row>
    <row r="16" spans="1:21" ht="12.75">
      <c r="A16" s="101"/>
      <c r="B16" s="113"/>
      <c r="C16" s="90"/>
      <c r="D16" s="113"/>
      <c r="E16" s="90"/>
      <c r="F16" s="113"/>
      <c r="G16" s="90"/>
      <c r="H16" s="113"/>
      <c r="I16" s="88"/>
      <c r="J16" s="78"/>
      <c r="K16" s="86"/>
      <c r="L16" s="101"/>
      <c r="M16" s="87"/>
      <c r="N16" s="101"/>
      <c r="O16" s="87"/>
      <c r="P16" s="101"/>
      <c r="Q16" s="87"/>
      <c r="R16" s="101"/>
      <c r="S16" s="78"/>
      <c r="T16" s="86"/>
      <c r="U16" s="101"/>
    </row>
    <row r="17" spans="1:21" ht="12.75">
      <c r="A17" s="100" t="s">
        <v>81</v>
      </c>
      <c r="B17" s="113"/>
      <c r="C17" s="90"/>
      <c r="D17" s="113"/>
      <c r="E17" s="90"/>
      <c r="F17" s="113"/>
      <c r="G17" s="90"/>
      <c r="H17" s="113"/>
      <c r="I17" s="88"/>
      <c r="J17" s="78"/>
      <c r="K17" s="86"/>
      <c r="L17" s="101"/>
      <c r="M17" s="87"/>
      <c r="N17" s="101"/>
      <c r="O17" s="87"/>
      <c r="P17" s="101"/>
      <c r="Q17" s="87"/>
      <c r="R17" s="101"/>
      <c r="S17" s="78"/>
      <c r="T17" s="86"/>
      <c r="U17" s="101"/>
    </row>
    <row r="18" spans="1:21" ht="12.75">
      <c r="A18" s="101" t="s">
        <v>82</v>
      </c>
      <c r="B18" s="113">
        <f>'Data Request 3a(2)'!I14</f>
        <v>487375.74000000005</v>
      </c>
      <c r="C18" s="90"/>
      <c r="D18" s="113"/>
      <c r="E18" s="90">
        <f>B18+C18+D18</f>
        <v>487375.74000000005</v>
      </c>
      <c r="F18" s="113"/>
      <c r="G18" s="90"/>
      <c r="H18" s="113"/>
      <c r="I18" s="91">
        <f>E18+F18+G18+H18</f>
        <v>487375.74000000005</v>
      </c>
      <c r="J18" s="78"/>
      <c r="K18" s="104">
        <f>'Data Request 3a(2)'!N14</f>
        <v>507786.8167389588</v>
      </c>
      <c r="L18" s="101"/>
      <c r="M18" s="105"/>
      <c r="N18" s="113">
        <f>K18+L18+M18</f>
        <v>507786.8167389588</v>
      </c>
      <c r="O18" s="87"/>
      <c r="P18" s="101"/>
      <c r="Q18" s="87"/>
      <c r="R18" s="113">
        <f>N18+O18+P18+Q18</f>
        <v>507786.8167389588</v>
      </c>
      <c r="S18" s="78"/>
      <c r="T18" s="89">
        <f>R18-I18</f>
        <v>20411.07673895877</v>
      </c>
      <c r="U18" s="115">
        <f>R18/I18-1</f>
        <v>0.04187955013714628</v>
      </c>
    </row>
    <row r="19" spans="1:21" ht="12.75">
      <c r="A19" s="101" t="s">
        <v>83</v>
      </c>
      <c r="B19" s="113">
        <f>'Data Request 3a(2)'!I15</f>
        <v>123149.40000000001</v>
      </c>
      <c r="C19" s="90"/>
      <c r="D19" s="113"/>
      <c r="E19" s="90">
        <f>B19+C19+D19</f>
        <v>123149.40000000001</v>
      </c>
      <c r="F19" s="113"/>
      <c r="G19" s="90"/>
      <c r="H19" s="113"/>
      <c r="I19" s="91">
        <f>E19+F19+G19+H19</f>
        <v>123149.40000000001</v>
      </c>
      <c r="J19" s="78"/>
      <c r="K19" s="104">
        <f>'Data Request 3a(2)'!N15</f>
        <v>131079.789258656</v>
      </c>
      <c r="L19" s="101"/>
      <c r="M19" s="105"/>
      <c r="N19" s="113">
        <f>K19+L19+M19</f>
        <v>131079.789258656</v>
      </c>
      <c r="O19" s="87"/>
      <c r="P19" s="101"/>
      <c r="Q19" s="87"/>
      <c r="R19" s="113">
        <f>N19+O19+P19+Q19</f>
        <v>131079.789258656</v>
      </c>
      <c r="S19" s="78"/>
      <c r="T19" s="89">
        <f>R19-I19</f>
        <v>7930.389258655996</v>
      </c>
      <c r="U19" s="115">
        <f>R19/I19-1</f>
        <v>0.06439649124279945</v>
      </c>
    </row>
    <row r="20" spans="1:21" ht="12.75">
      <c r="A20" s="101" t="s">
        <v>84</v>
      </c>
      <c r="B20" s="113">
        <f>'Data Request 3a(2)'!I16</f>
        <v>1552.32</v>
      </c>
      <c r="C20" s="90"/>
      <c r="D20" s="113"/>
      <c r="E20" s="90">
        <f>B20+C20+D20</f>
        <v>1552.32</v>
      </c>
      <c r="F20" s="113"/>
      <c r="G20" s="90"/>
      <c r="H20" s="113"/>
      <c r="I20" s="91">
        <f>E20+F20+G20+H20</f>
        <v>1552.32</v>
      </c>
      <c r="J20" s="78"/>
      <c r="K20" s="104">
        <f>'Data Request 3a(2)'!N16</f>
        <v>1671.1842143812542</v>
      </c>
      <c r="L20" s="101"/>
      <c r="M20" s="105"/>
      <c r="N20" s="113">
        <f>K20+L20+M20</f>
        <v>1671.1842143812542</v>
      </c>
      <c r="O20" s="87"/>
      <c r="P20" s="101"/>
      <c r="Q20" s="87"/>
      <c r="R20" s="113">
        <f>N20+O20+P20+Q20</f>
        <v>1671.1842143812542</v>
      </c>
      <c r="S20" s="78"/>
      <c r="T20" s="89">
        <f>R20-I20</f>
        <v>118.86421438125421</v>
      </c>
      <c r="U20" s="115">
        <f>R20/I20-1</f>
        <v>0.0765719789613315</v>
      </c>
    </row>
    <row r="21" spans="1:21" ht="12.75">
      <c r="A21" s="101" t="s">
        <v>85</v>
      </c>
      <c r="B21" s="113">
        <f>'Data Request 3a(2)'!I17</f>
        <v>568.08</v>
      </c>
      <c r="C21" s="90"/>
      <c r="D21" s="113"/>
      <c r="E21" s="90">
        <f>B21+C21+D21</f>
        <v>568.08</v>
      </c>
      <c r="F21" s="113"/>
      <c r="G21" s="90"/>
      <c r="H21" s="113"/>
      <c r="I21" s="91">
        <f>E21+F21+G21+H21</f>
        <v>568.08</v>
      </c>
      <c r="J21" s="78"/>
      <c r="K21" s="104">
        <f>'Data Request 3a(2)'!N17</f>
        <v>627.5121071906271</v>
      </c>
      <c r="L21" s="101"/>
      <c r="M21" s="105"/>
      <c r="N21" s="113">
        <f>K21+L21+M21</f>
        <v>627.5121071906271</v>
      </c>
      <c r="O21" s="87"/>
      <c r="P21" s="101"/>
      <c r="Q21" s="87"/>
      <c r="R21" s="113">
        <f>N21+O21+P21+Q21</f>
        <v>627.5121071906271</v>
      </c>
      <c r="S21" s="78"/>
      <c r="T21" s="89">
        <f>R21-I21</f>
        <v>59.43210719062711</v>
      </c>
      <c r="U21" s="115">
        <f>R21/I21-1</f>
        <v>0.10461925642625536</v>
      </c>
    </row>
    <row r="22" spans="1:21" ht="12.75">
      <c r="A22" s="102" t="s">
        <v>83</v>
      </c>
      <c r="B22" s="114">
        <f>'Data Request 3a(2)'!I18</f>
        <v>32292.36</v>
      </c>
      <c r="C22" s="80"/>
      <c r="D22" s="114"/>
      <c r="E22" s="80">
        <f>B22+C22+D22</f>
        <v>32292.36</v>
      </c>
      <c r="F22" s="114"/>
      <c r="G22" s="80"/>
      <c r="H22" s="114"/>
      <c r="I22" s="92">
        <f>E22+F22+G22+H22</f>
        <v>32292.36</v>
      </c>
      <c r="J22" s="78"/>
      <c r="K22" s="108">
        <f>'Data Request 3a(2)'!N18</f>
        <v>33768.75259612716</v>
      </c>
      <c r="L22" s="102"/>
      <c r="M22" s="82"/>
      <c r="N22" s="114">
        <f>K22+L22+M22</f>
        <v>33768.75259612716</v>
      </c>
      <c r="O22" s="81"/>
      <c r="P22" s="102"/>
      <c r="Q22" s="81"/>
      <c r="R22" s="114">
        <f>N22+O22+P22+Q22</f>
        <v>33768.75259612716</v>
      </c>
      <c r="S22" s="78"/>
      <c r="T22" s="93">
        <f>R22-I22</f>
        <v>1476.3925961271598</v>
      </c>
      <c r="U22" s="116">
        <f>R22/I22-1</f>
        <v>0.045719563269056795</v>
      </c>
    </row>
    <row r="23" spans="1:21" ht="12.75">
      <c r="A23" s="101"/>
      <c r="B23" s="101"/>
      <c r="C23" s="87"/>
      <c r="D23" s="101"/>
      <c r="E23" s="87"/>
      <c r="F23" s="101"/>
      <c r="G23" s="87"/>
      <c r="H23" s="101"/>
      <c r="I23" s="88"/>
      <c r="J23" s="78"/>
      <c r="K23" s="86"/>
      <c r="L23" s="101"/>
      <c r="M23" s="87"/>
      <c r="N23" s="101"/>
      <c r="O23" s="87"/>
      <c r="P23" s="101"/>
      <c r="Q23" s="87"/>
      <c r="R23" s="101"/>
      <c r="S23" s="78"/>
      <c r="T23" s="86"/>
      <c r="U23" s="101"/>
    </row>
    <row r="24" spans="1:21" ht="12.75">
      <c r="A24" s="102" t="s">
        <v>1</v>
      </c>
      <c r="B24" s="114">
        <f>SUM(B9:B22)</f>
        <v>1901916.9000000001</v>
      </c>
      <c r="C24" s="80">
        <f aca="true" t="shared" si="7" ref="C24:T24">SUM(C9:C22)</f>
        <v>1144952.2</v>
      </c>
      <c r="D24" s="114">
        <f t="shared" si="7"/>
        <v>14102739.89688</v>
      </c>
      <c r="E24" s="80">
        <f t="shared" si="7"/>
        <v>17149608.996879995</v>
      </c>
      <c r="F24" s="114">
        <f t="shared" si="7"/>
        <v>1987091</v>
      </c>
      <c r="G24" s="80">
        <f t="shared" si="7"/>
        <v>1253077</v>
      </c>
      <c r="H24" s="114">
        <f t="shared" si="7"/>
        <v>1595</v>
      </c>
      <c r="I24" s="92">
        <f t="shared" si="7"/>
        <v>20391371.996879995</v>
      </c>
      <c r="J24" s="79">
        <f t="shared" si="7"/>
        <v>0</v>
      </c>
      <c r="K24" s="93">
        <f t="shared" si="7"/>
        <v>1931913.054915314</v>
      </c>
      <c r="L24" s="114">
        <f t="shared" si="7"/>
        <v>1144952</v>
      </c>
      <c r="M24" s="80">
        <f t="shared" si="7"/>
        <v>15082809.879687674</v>
      </c>
      <c r="N24" s="114">
        <f t="shared" si="7"/>
        <v>18159674.934602987</v>
      </c>
      <c r="O24" s="80">
        <f t="shared" si="7"/>
        <v>1987091</v>
      </c>
      <c r="P24" s="114">
        <f t="shared" si="7"/>
        <v>1253077</v>
      </c>
      <c r="Q24" s="80">
        <f t="shared" si="7"/>
        <v>1595</v>
      </c>
      <c r="R24" s="114">
        <f t="shared" si="7"/>
        <v>21401437.934602987</v>
      </c>
      <c r="S24" s="79"/>
      <c r="T24" s="93">
        <f t="shared" si="7"/>
        <v>1010065.937722989</v>
      </c>
      <c r="U24" s="116">
        <f>R24/I24-1</f>
        <v>0.04953398613283788</v>
      </c>
    </row>
    <row r="25" spans="1:21" ht="14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4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4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112"/>
      <c r="U27" s="83"/>
    </row>
    <row r="28" spans="1:21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</sheetData>
  <mergeCells count="3">
    <mergeCell ref="A1:U1"/>
    <mergeCell ref="A2:U2"/>
    <mergeCell ref="A3:U3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Sandy RECC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Estepp</dc:creator>
  <cp:keywords/>
  <dc:description/>
  <cp:lastModifiedBy>peggy</cp:lastModifiedBy>
  <cp:lastPrinted>2007-03-19T14:51:14Z</cp:lastPrinted>
  <dcterms:created xsi:type="dcterms:W3CDTF">2006-11-28T19:57:28Z</dcterms:created>
  <dcterms:modified xsi:type="dcterms:W3CDTF">2007-03-20T15:30:25Z</dcterms:modified>
  <cp:category/>
  <cp:version/>
  <cp:contentType/>
  <cp:contentStatus/>
</cp:coreProperties>
</file>