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ummary" sheetId="1" r:id="rId1"/>
    <sheet name="Billing Analysis" sheetId="2" r:id="rId2"/>
    <sheet name="Sch YL-1" sheetId="3" r:id="rId3"/>
  </sheets>
  <definedNames/>
  <calcPr fullCalcOnLoad="1"/>
</workbook>
</file>

<file path=xl/comments2.xml><?xml version="1.0" encoding="utf-8"?>
<comments xmlns="http://schemas.openxmlformats.org/spreadsheetml/2006/main">
  <authors>
    <author>george</author>
  </authors>
  <commentList>
    <comment ref="E33" authorId="0">
      <text>
        <r>
          <rPr>
            <b/>
            <sz val="8"/>
            <rFont val="Tahoma"/>
            <family val="0"/>
          </rPr>
          <t>george:</t>
        </r>
        <r>
          <rPr>
            <sz val="8"/>
            <rFont val="Tahoma"/>
            <family val="0"/>
          </rPr>
          <t xml:space="preserve">
Per David Estepp's email from Nov. 8, 2006.</t>
        </r>
      </text>
    </comment>
  </commentList>
</comments>
</file>

<file path=xl/sharedStrings.xml><?xml version="1.0" encoding="utf-8"?>
<sst xmlns="http://schemas.openxmlformats.org/spreadsheetml/2006/main" count="385" uniqueCount="111">
  <si>
    <t>Big Sandy RECC</t>
  </si>
  <si>
    <t>Total</t>
  </si>
  <si>
    <t>Billing</t>
  </si>
  <si>
    <t>Actual</t>
  </si>
  <si>
    <t>Proposed</t>
  </si>
  <si>
    <t>Determinants</t>
  </si>
  <si>
    <t>Rate</t>
  </si>
  <si>
    <t>Revenues</t>
  </si>
  <si>
    <t>Increase</t>
  </si>
  <si>
    <t>Customer Charge</t>
  </si>
  <si>
    <t>Energy Charge per kWh</t>
  </si>
  <si>
    <t>Billing Adjustments</t>
  </si>
  <si>
    <t>Total from Base Rates</t>
  </si>
  <si>
    <t>Fuel Adjustment</t>
  </si>
  <si>
    <t>Environmental Surcharge</t>
  </si>
  <si>
    <t>Green Power</t>
  </si>
  <si>
    <t>Total Revenues</t>
  </si>
  <si>
    <t>Demand Charge</t>
  </si>
  <si>
    <t>Sch A-1 - Farm and Home</t>
  </si>
  <si>
    <t>Billing Analysis: Test Year Ending September 30, 2006</t>
  </si>
  <si>
    <t>Sch A-1 Farm &amp; Home - Off-peak Energy Charge</t>
  </si>
  <si>
    <t>Energy Charge per ETS kWh</t>
  </si>
  <si>
    <t>(1)</t>
  </si>
  <si>
    <t>(2)</t>
  </si>
  <si>
    <t>(4)</t>
  </si>
  <si>
    <t>(5)</t>
  </si>
  <si>
    <t>(6)</t>
  </si>
  <si>
    <t>Line</t>
  </si>
  <si>
    <t>1.</t>
  </si>
  <si>
    <t>2.</t>
  </si>
  <si>
    <t>3.</t>
  </si>
  <si>
    <t>4.</t>
  </si>
  <si>
    <t>5.</t>
  </si>
  <si>
    <t>6.</t>
  </si>
  <si>
    <t>7.</t>
  </si>
  <si>
    <t>8.</t>
  </si>
  <si>
    <t>(3)=(1)*(2)</t>
  </si>
  <si>
    <t>Plus Fuel Adjustment</t>
  </si>
  <si>
    <t>Plus Environmental Surcharge</t>
  </si>
  <si>
    <t>Sch A-2 Commercial and Small Power</t>
  </si>
  <si>
    <t>9.</t>
  </si>
  <si>
    <t>Sch LP Large Power Service (25-750 kV)</t>
  </si>
  <si>
    <t>Secondary Meter Energy Charge per kWh</t>
  </si>
  <si>
    <t>Primary Meter Energy Charge per kWh</t>
  </si>
  <si>
    <t>All Billing Units are the Sum of the 12 months ending September 30, 2006</t>
  </si>
  <si>
    <t>Sch Ind 1</t>
  </si>
  <si>
    <t>Sch Ind 2</t>
  </si>
  <si>
    <t>Sch YL-1</t>
  </si>
  <si>
    <t>Description</t>
  </si>
  <si>
    <t>Annual</t>
  </si>
  <si>
    <t>Units</t>
  </si>
  <si>
    <t>per</t>
  </si>
  <si>
    <t>Lamp</t>
  </si>
  <si>
    <t>Revenue</t>
  </si>
  <si>
    <t>Assigned</t>
  </si>
  <si>
    <t>kWh</t>
  </si>
  <si>
    <t>per Light</t>
  </si>
  <si>
    <t>Total kWh</t>
  </si>
  <si>
    <t>assigned</t>
  </si>
  <si>
    <t>to Lights</t>
  </si>
  <si>
    <t>(5)=(1)*(4)</t>
  </si>
  <si>
    <t>(7)</t>
  </si>
  <si>
    <t>Rate per</t>
  </si>
  <si>
    <t>Light</t>
  </si>
  <si>
    <t>Change</t>
  </si>
  <si>
    <t>(8)</t>
  </si>
  <si>
    <t>Sch LPR Large Power Service (25-750 kVA)</t>
  </si>
  <si>
    <t>Dollar</t>
  </si>
  <si>
    <t>Percent</t>
  </si>
  <si>
    <t>(9)</t>
  </si>
  <si>
    <t>Lights kWh</t>
  </si>
  <si>
    <t>Non-demand kWh (excl Lights)</t>
  </si>
  <si>
    <t>Cust Chg $</t>
  </si>
  <si>
    <t>Energy $</t>
  </si>
  <si>
    <t>Dem $</t>
  </si>
  <si>
    <t>Total non-demand kWh</t>
  </si>
  <si>
    <t>Total $</t>
  </si>
  <si>
    <t>Less Dmd $</t>
  </si>
  <si>
    <t>Less Cust Chg $</t>
  </si>
  <si>
    <t>per kWh</t>
  </si>
  <si>
    <t>Sch YL-1:</t>
  </si>
  <si>
    <t xml:space="preserve"> 175 Watt</t>
  </si>
  <si>
    <t xml:space="preserve"> 400 Watt</t>
  </si>
  <si>
    <t xml:space="preserve"> 500 Watt</t>
  </si>
  <si>
    <t xml:space="preserve"> 1500 Watt</t>
  </si>
  <si>
    <t>Billing Analysis</t>
  </si>
  <si>
    <t>for the 12 months ended September 30, 2006</t>
  </si>
  <si>
    <t>$ Increase</t>
  </si>
  <si>
    <t>% Increase</t>
  </si>
  <si>
    <t>$ Increase - Non - Lights</t>
  </si>
  <si>
    <t>$ Increase - LIghts</t>
  </si>
  <si>
    <t>Total $ Increase</t>
  </si>
  <si>
    <t xml:space="preserve">$ Increase per EKPC </t>
  </si>
  <si>
    <t>$ Differential</t>
  </si>
  <si>
    <t>Sch LPR Large Power Service (750 kVA and over)</t>
  </si>
  <si>
    <t>Total Present</t>
  </si>
  <si>
    <t>Annualized</t>
  </si>
  <si>
    <t>Total - All Rate Classes</t>
  </si>
  <si>
    <t>Total Sch YL-1</t>
  </si>
  <si>
    <t>Average</t>
  </si>
  <si>
    <t>10.</t>
  </si>
  <si>
    <t>Avg</t>
  </si>
  <si>
    <t>Watt Mercury Vapor</t>
  </si>
  <si>
    <t>Watt Flood Light</t>
  </si>
  <si>
    <t>Request 1b</t>
  </si>
  <si>
    <t>Attachment</t>
  </si>
  <si>
    <t>Sch E Based</t>
  </si>
  <si>
    <t>Page 2 of 4</t>
  </si>
  <si>
    <t>Page 3 of 4</t>
  </si>
  <si>
    <t>Page 4 of 4</t>
  </si>
  <si>
    <t>Page 1 of 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</si>
</sst>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000"/>
    <numFmt numFmtId="169" formatCode="0.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00_);_(&quot;$&quot;* \(#,##0.00000\);_(&quot;$&quot;* &quot;-&quot;??_);_(@_)"/>
    <numFmt numFmtId="175" formatCode="0.0%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"/>
    <numFmt numFmtId="180" formatCode="&quot;$&quot;#,##0.00"/>
    <numFmt numFmtId="181" formatCode="&quot;$&quot;#,##0.000"/>
    <numFmt numFmtId="182" formatCode="&quot;$&quot;#,##0.0000"/>
    <numFmt numFmtId="183" formatCode="&quot;$&quot;#,##0.00000"/>
    <numFmt numFmtId="184" formatCode="&quot;$&quot;#,##0.000000"/>
    <numFmt numFmtId="185" formatCode="_(* #,##0.000000_);_(* \(#,##0.000000\);_(* &quot;-&quot;??????_);_(@_)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@Arial Unicode MS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73" fontId="0" fillId="0" borderId="0" xfId="17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7" fontId="0" fillId="0" borderId="0" xfId="17" applyNumberFormat="1" applyAlignment="1">
      <alignment/>
    </xf>
    <xf numFmtId="174" fontId="0" fillId="0" borderId="0" xfId="17" applyNumberFormat="1" applyAlignment="1">
      <alignment/>
    </xf>
    <xf numFmtId="174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173" fontId="0" fillId="0" borderId="4" xfId="17" applyNumberFormat="1" applyBorder="1" applyAlignment="1">
      <alignment/>
    </xf>
    <xf numFmtId="173" fontId="0" fillId="0" borderId="0" xfId="17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4" xfId="0" applyNumberFormat="1" applyFont="1" applyBorder="1" applyAlignment="1">
      <alignment/>
    </xf>
    <xf numFmtId="44" fontId="0" fillId="0" borderId="4" xfId="17" applyFont="1" applyBorder="1" applyAlignment="1">
      <alignment/>
    </xf>
    <xf numFmtId="173" fontId="0" fillId="0" borderId="4" xfId="17" applyNumberFormat="1" applyFont="1" applyBorder="1" applyAlignment="1">
      <alignment/>
    </xf>
    <xf numFmtId="173" fontId="0" fillId="0" borderId="0" xfId="17" applyNumberFormat="1" applyBorder="1" applyAlignment="1">
      <alignment/>
    </xf>
    <xf numFmtId="173" fontId="0" fillId="0" borderId="0" xfId="17" applyNumberFormat="1" applyFont="1" applyBorder="1" applyAlignment="1">
      <alignment/>
    </xf>
    <xf numFmtId="0" fontId="4" fillId="0" borderId="0" xfId="0" applyFont="1" applyAlignment="1">
      <alignment/>
    </xf>
    <xf numFmtId="173" fontId="0" fillId="0" borderId="4" xfId="0" applyNumberFormat="1" applyFont="1" applyBorder="1" applyAlignment="1">
      <alignment horizontal="right"/>
    </xf>
    <xf numFmtId="0" fontId="0" fillId="0" borderId="0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0" xfId="17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10" fontId="0" fillId="0" borderId="0" xfId="19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center"/>
    </xf>
    <xf numFmtId="167" fontId="0" fillId="0" borderId="0" xfId="15" applyNumberFormat="1" applyBorder="1" applyAlignment="1">
      <alignment/>
    </xf>
    <xf numFmtId="167" fontId="0" fillId="0" borderId="0" xfId="0" applyNumberFormat="1" applyBorder="1" applyAlignment="1">
      <alignment/>
    </xf>
    <xf numFmtId="10" fontId="0" fillId="0" borderId="0" xfId="19" applyNumberFormat="1" applyBorder="1" applyAlignment="1">
      <alignment/>
    </xf>
    <xf numFmtId="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9" fontId="0" fillId="0" borderId="0" xfId="17" applyNumberFormat="1" applyAlignment="1">
      <alignment/>
    </xf>
    <xf numFmtId="173" fontId="0" fillId="0" borderId="4" xfId="17" applyNumberFormat="1" applyFont="1" applyBorder="1" applyAlignment="1">
      <alignment/>
    </xf>
    <xf numFmtId="173" fontId="0" fillId="0" borderId="4" xfId="0" applyNumberFormat="1" applyBorder="1" applyAlignment="1">
      <alignment/>
    </xf>
    <xf numFmtId="173" fontId="1" fillId="0" borderId="0" xfId="19" applyNumberFormat="1" applyFont="1" applyAlignment="1">
      <alignment/>
    </xf>
    <xf numFmtId="7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1" fillId="0" borderId="4" xfId="19" applyNumberFormat="1" applyFont="1" applyBorder="1" applyAlignment="1">
      <alignment/>
    </xf>
    <xf numFmtId="37" fontId="0" fillId="0" borderId="4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8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5" fontId="0" fillId="0" borderId="4" xfId="0" applyNumberFormat="1" applyBorder="1" applyAlignment="1">
      <alignment/>
    </xf>
    <xf numFmtId="0" fontId="0" fillId="0" borderId="0" xfId="0" applyAlignment="1" quotePrefix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5" fontId="0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5" fontId="0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79" fontId="0" fillId="0" borderId="5" xfId="0" applyNumberFormat="1" applyFont="1" applyBorder="1" applyAlignment="1">
      <alignment/>
    </xf>
    <xf numFmtId="179" fontId="0" fillId="0" borderId="2" xfId="0" applyNumberFormat="1" applyFont="1" applyBorder="1" applyAlignment="1">
      <alignment/>
    </xf>
    <xf numFmtId="179" fontId="0" fillId="0" borderId="1" xfId="0" applyNumberFormat="1" applyBorder="1" applyAlignment="1">
      <alignment/>
    </xf>
    <xf numFmtId="179" fontId="0" fillId="0" borderId="5" xfId="0" applyNumberFormat="1" applyBorder="1" applyAlignment="1">
      <alignment/>
    </xf>
    <xf numFmtId="179" fontId="0" fillId="0" borderId="2" xfId="0" applyNumberFormat="1" applyBorder="1" applyAlignment="1">
      <alignment/>
    </xf>
    <xf numFmtId="10" fontId="0" fillId="0" borderId="1" xfId="19" applyNumberFormat="1" applyBorder="1" applyAlignment="1">
      <alignment/>
    </xf>
    <xf numFmtId="10" fontId="0" fillId="0" borderId="5" xfId="19" applyNumberFormat="1" applyBorder="1" applyAlignment="1">
      <alignment/>
    </xf>
    <xf numFmtId="10" fontId="0" fillId="0" borderId="2" xfId="19" applyNumberFormat="1" applyBorder="1" applyAlignment="1">
      <alignment/>
    </xf>
    <xf numFmtId="0" fontId="0" fillId="0" borderId="5" xfId="0" applyBorder="1" applyAlignment="1">
      <alignment/>
    </xf>
    <xf numFmtId="10" fontId="0" fillId="0" borderId="2" xfId="19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79" fontId="0" fillId="0" borderId="1" xfId="0" applyNumberFormat="1" applyFont="1" applyBorder="1" applyAlignment="1">
      <alignment/>
    </xf>
    <xf numFmtId="7" fontId="0" fillId="0" borderId="0" xfId="0" applyNumberFormat="1" applyFont="1" applyFill="1" applyAlignment="1">
      <alignment/>
    </xf>
    <xf numFmtId="0" fontId="1" fillId="0" borderId="2" xfId="0" applyFont="1" applyBorder="1" applyAlignment="1">
      <alignment/>
    </xf>
    <xf numFmtId="179" fontId="0" fillId="0" borderId="3" xfId="0" applyNumberFormat="1" applyFont="1" applyBorder="1" applyAlignment="1">
      <alignment/>
    </xf>
    <xf numFmtId="7" fontId="0" fillId="0" borderId="0" xfId="0" applyNumberFormat="1" applyAlignment="1">
      <alignment/>
    </xf>
    <xf numFmtId="44" fontId="0" fillId="0" borderId="0" xfId="17" applyNumberFormat="1" applyFont="1" applyAlignment="1">
      <alignment/>
    </xf>
    <xf numFmtId="0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2" xfId="0" applyFont="1" applyFill="1" applyBorder="1" applyAlignment="1" quotePrefix="1">
      <alignment horizontal="center"/>
    </xf>
    <xf numFmtId="7" fontId="0" fillId="6" borderId="0" xfId="0" applyNumberFormat="1" applyFont="1" applyFill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 quotePrefix="1">
      <alignment horizontal="center"/>
    </xf>
    <xf numFmtId="3" fontId="0" fillId="0" borderId="0" xfId="0" applyNumberFormat="1" applyFont="1" applyAlignment="1">
      <alignment/>
    </xf>
    <xf numFmtId="44" fontId="0" fillId="0" borderId="0" xfId="17" applyFont="1" applyAlignment="1">
      <alignment/>
    </xf>
    <xf numFmtId="5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10" fontId="0" fillId="0" borderId="0" xfId="19" applyNumberFormat="1" applyFont="1" applyAlignment="1">
      <alignment/>
    </xf>
    <xf numFmtId="3" fontId="0" fillId="0" borderId="4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10" fontId="0" fillId="0" borderId="4" xfId="19" applyNumberFormat="1" applyFont="1" applyBorder="1" applyAlignment="1">
      <alignment/>
    </xf>
    <xf numFmtId="37" fontId="0" fillId="0" borderId="0" xfId="17" applyNumberFormat="1" applyFont="1" applyBorder="1" applyAlignment="1">
      <alignment/>
    </xf>
    <xf numFmtId="44" fontId="0" fillId="0" borderId="0" xfId="17" applyFont="1" applyBorder="1" applyAlignment="1">
      <alignment/>
    </xf>
    <xf numFmtId="5" fontId="0" fillId="0" borderId="0" xfId="17" applyNumberFormat="1" applyFont="1" applyBorder="1" applyAlignment="1">
      <alignment/>
    </xf>
    <xf numFmtId="5" fontId="0" fillId="0" borderId="0" xfId="19" applyNumberFormat="1" applyFont="1" applyFill="1" applyBorder="1" applyAlignment="1">
      <alignment/>
    </xf>
    <xf numFmtId="10" fontId="0" fillId="0" borderId="0" xfId="19" applyNumberFormat="1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F20" sqref="F20"/>
    </sheetView>
  </sheetViews>
  <sheetFormatPr defaultColWidth="9.140625" defaultRowHeight="12.75"/>
  <cols>
    <col min="1" max="1" width="44.00390625" style="0" customWidth="1"/>
    <col min="2" max="2" width="2.140625" style="0" customWidth="1"/>
    <col min="3" max="3" width="13.57421875" style="0" customWidth="1"/>
    <col min="4" max="4" width="1.7109375" style="0" customWidth="1"/>
    <col min="5" max="5" width="13.57421875" style="0" customWidth="1"/>
    <col min="6" max="6" width="1.7109375" style="0" customWidth="1"/>
    <col min="7" max="7" width="13.57421875" style="0" customWidth="1"/>
    <col min="8" max="8" width="1.7109375" style="0" customWidth="1"/>
    <col min="9" max="9" width="13.57421875" style="0" customWidth="1"/>
  </cols>
  <sheetData>
    <row r="1" ht="12.75">
      <c r="I1" s="139" t="s">
        <v>104</v>
      </c>
    </row>
    <row r="2" ht="12.75">
      <c r="I2" s="139" t="s">
        <v>105</v>
      </c>
    </row>
    <row r="3" ht="12.75">
      <c r="I3" s="139" t="s">
        <v>110</v>
      </c>
    </row>
    <row r="7" spans="1:9" ht="12.75">
      <c r="A7" s="140" t="s">
        <v>0</v>
      </c>
      <c r="B7" s="140"/>
      <c r="C7" s="140"/>
      <c r="D7" s="140"/>
      <c r="E7" s="140"/>
      <c r="F7" s="140"/>
      <c r="G7" s="140"/>
      <c r="H7" s="140"/>
      <c r="I7" s="140"/>
    </row>
    <row r="9" spans="1:9" ht="12.75">
      <c r="A9" s="140" t="s">
        <v>85</v>
      </c>
      <c r="B9" s="140"/>
      <c r="C9" s="140"/>
      <c r="D9" s="140"/>
      <c r="E9" s="140"/>
      <c r="F9" s="140"/>
      <c r="G9" s="140"/>
      <c r="H9" s="140"/>
      <c r="I9" s="140"/>
    </row>
    <row r="11" spans="1:9" ht="12.75">
      <c r="A11" s="140" t="s">
        <v>86</v>
      </c>
      <c r="B11" s="140"/>
      <c r="C11" s="140"/>
      <c r="D11" s="140"/>
      <c r="E11" s="140"/>
      <c r="F11" s="140"/>
      <c r="G11" s="140"/>
      <c r="H11" s="140"/>
      <c r="I11" s="140"/>
    </row>
    <row r="14" spans="1:9" ht="12.75">
      <c r="A14" s="5"/>
      <c r="B14" s="40"/>
      <c r="C14" s="6" t="s">
        <v>95</v>
      </c>
      <c r="D14" s="1"/>
      <c r="E14" s="6" t="s">
        <v>1</v>
      </c>
      <c r="F14" s="1"/>
      <c r="G14" s="6"/>
      <c r="H14" s="1"/>
      <c r="I14" s="6"/>
    </row>
    <row r="15" spans="1:9" ht="12.75">
      <c r="A15" s="86"/>
      <c r="B15" s="40"/>
      <c r="C15" s="32" t="s">
        <v>96</v>
      </c>
      <c r="D15" s="1"/>
      <c r="E15" s="32" t="s">
        <v>4</v>
      </c>
      <c r="F15" s="1"/>
      <c r="G15" s="32"/>
      <c r="H15" s="1"/>
      <c r="I15" s="32"/>
    </row>
    <row r="16" spans="1:9" ht="12.75">
      <c r="A16" s="7"/>
      <c r="B16" s="40"/>
      <c r="C16" s="32" t="s">
        <v>7</v>
      </c>
      <c r="D16" s="1"/>
      <c r="E16" s="33" t="s">
        <v>7</v>
      </c>
      <c r="F16" s="1"/>
      <c r="G16" s="31" t="s">
        <v>87</v>
      </c>
      <c r="H16" s="1"/>
      <c r="I16" s="31" t="s">
        <v>88</v>
      </c>
    </row>
    <row r="17" spans="1:9" ht="12.75">
      <c r="A17" s="89" t="s">
        <v>18</v>
      </c>
      <c r="B17" s="88"/>
      <c r="C17" s="90">
        <v>14382024.29541</v>
      </c>
      <c r="E17" s="78">
        <v>15086550.146245716</v>
      </c>
      <c r="G17" s="80">
        <f>E17-C17</f>
        <v>704525.8508357164</v>
      </c>
      <c r="I17" s="83">
        <f>E17/C17-1</f>
        <v>0.04898655685490416</v>
      </c>
    </row>
    <row r="18" spans="1:9" ht="12.75">
      <c r="A18" s="71" t="s">
        <v>20</v>
      </c>
      <c r="B18" s="88"/>
      <c r="C18" s="78">
        <v>2237.54886</v>
      </c>
      <c r="E18" s="78">
        <v>2380.1478213302785</v>
      </c>
      <c r="G18" s="81">
        <f aca="true" t="shared" si="0" ref="G18:G31">E18-C18</f>
        <v>142.5989613302786</v>
      </c>
      <c r="I18" s="84">
        <f aca="true" t="shared" si="1" ref="I18:I31">E18/C18-1</f>
        <v>0.06372998770193505</v>
      </c>
    </row>
    <row r="19" spans="1:9" ht="12.75">
      <c r="A19" s="71" t="s">
        <v>39</v>
      </c>
      <c r="B19" s="88"/>
      <c r="C19" s="78">
        <v>1319016.8474</v>
      </c>
      <c r="E19" s="78">
        <v>1372721.0437551134</v>
      </c>
      <c r="G19" s="81">
        <f t="shared" si="0"/>
        <v>53704.196355113294</v>
      </c>
      <c r="I19" s="84">
        <f t="shared" si="1"/>
        <v>0.04071532252296328</v>
      </c>
    </row>
    <row r="20" spans="1:9" ht="12.75">
      <c r="A20" s="71" t="s">
        <v>41</v>
      </c>
      <c r="B20" s="88"/>
      <c r="C20" s="78">
        <v>2325538.40521</v>
      </c>
      <c r="E20" s="78">
        <v>2449595.771174985</v>
      </c>
      <c r="G20" s="81">
        <f t="shared" si="0"/>
        <v>124057.36596498499</v>
      </c>
      <c r="I20" s="84">
        <f t="shared" si="1"/>
        <v>0.05334565349987508</v>
      </c>
    </row>
    <row r="21" spans="1:9" ht="12.75">
      <c r="A21" s="71" t="s">
        <v>66</v>
      </c>
      <c r="B21" s="88"/>
      <c r="C21" s="78">
        <v>1717617</v>
      </c>
      <c r="E21" s="78">
        <v>1815256.7706905305</v>
      </c>
      <c r="G21" s="81">
        <f t="shared" si="0"/>
        <v>97639.77069053054</v>
      </c>
      <c r="I21" s="84">
        <f t="shared" si="1"/>
        <v>0.056846066783532434</v>
      </c>
    </row>
    <row r="22" spans="1:9" ht="12.75">
      <c r="A22" s="71" t="s">
        <v>45</v>
      </c>
      <c r="B22" s="88"/>
      <c r="C22" s="78">
        <v>0</v>
      </c>
      <c r="E22" s="78">
        <v>0</v>
      </c>
      <c r="G22" s="81">
        <f t="shared" si="0"/>
        <v>0</v>
      </c>
      <c r="I22" s="84">
        <v>0</v>
      </c>
    </row>
    <row r="23" spans="1:9" ht="12.75">
      <c r="A23" s="71" t="s">
        <v>46</v>
      </c>
      <c r="B23" s="88"/>
      <c r="C23" s="78">
        <v>0</v>
      </c>
      <c r="E23" s="78">
        <v>0</v>
      </c>
      <c r="G23" s="81">
        <f t="shared" si="0"/>
        <v>0</v>
      </c>
      <c r="I23" s="84">
        <v>0</v>
      </c>
    </row>
    <row r="24" spans="1:9" ht="12.75">
      <c r="A24" s="72"/>
      <c r="B24" s="68"/>
      <c r="C24" s="72"/>
      <c r="E24" s="72"/>
      <c r="G24" s="81"/>
      <c r="I24" s="84"/>
    </row>
    <row r="25" spans="1:9" ht="12.75">
      <c r="A25" s="71" t="s">
        <v>80</v>
      </c>
      <c r="B25" s="88"/>
      <c r="C25" s="72"/>
      <c r="E25" s="72"/>
      <c r="G25" s="81"/>
      <c r="I25" s="84"/>
    </row>
    <row r="26" spans="1:9" ht="12.75">
      <c r="A26" s="72" t="s">
        <v>81</v>
      </c>
      <c r="B26" s="68"/>
      <c r="C26" s="78">
        <v>487375.74</v>
      </c>
      <c r="E26" s="78">
        <v>507786.8167389588</v>
      </c>
      <c r="G26" s="81">
        <f t="shared" si="0"/>
        <v>20411.07673895883</v>
      </c>
      <c r="I26" s="84">
        <f t="shared" si="1"/>
        <v>0.041879550137146504</v>
      </c>
    </row>
    <row r="27" spans="1:9" ht="12.75">
      <c r="A27" s="72" t="s">
        <v>82</v>
      </c>
      <c r="B27" s="68"/>
      <c r="C27" s="78">
        <v>123149.4</v>
      </c>
      <c r="E27" s="78">
        <v>131079.789258656</v>
      </c>
      <c r="G27" s="81">
        <f t="shared" si="0"/>
        <v>7930.3892586560105</v>
      </c>
      <c r="I27" s="84">
        <f t="shared" si="1"/>
        <v>0.06439649124279945</v>
      </c>
    </row>
    <row r="28" spans="1:9" ht="12.75">
      <c r="A28" s="72" t="s">
        <v>83</v>
      </c>
      <c r="B28" s="68"/>
      <c r="C28" s="78">
        <v>1552.32</v>
      </c>
      <c r="E28" s="78">
        <v>1671.1842143812542</v>
      </c>
      <c r="G28" s="81">
        <f t="shared" si="0"/>
        <v>118.86421438125421</v>
      </c>
      <c r="I28" s="84">
        <f t="shared" si="1"/>
        <v>0.0765719789613315</v>
      </c>
    </row>
    <row r="29" spans="1:9" ht="12.75">
      <c r="A29" s="72" t="s">
        <v>84</v>
      </c>
      <c r="B29" s="68"/>
      <c r="C29" s="78">
        <v>568.08</v>
      </c>
      <c r="E29" s="78">
        <v>627.5121071906271</v>
      </c>
      <c r="G29" s="81">
        <f t="shared" si="0"/>
        <v>59.43210719062711</v>
      </c>
      <c r="I29" s="84">
        <f t="shared" si="1"/>
        <v>0.10461925642625536</v>
      </c>
    </row>
    <row r="30" spans="1:9" ht="12.75">
      <c r="A30" s="73" t="s">
        <v>82</v>
      </c>
      <c r="B30" s="68"/>
      <c r="C30" s="79">
        <v>32292.36</v>
      </c>
      <c r="E30" s="78">
        <v>33768.75259612716</v>
      </c>
      <c r="G30" s="82">
        <f t="shared" si="0"/>
        <v>1476.3925961271598</v>
      </c>
      <c r="I30" s="85">
        <f t="shared" si="1"/>
        <v>0.045719563269056795</v>
      </c>
    </row>
    <row r="31" spans="1:9" ht="12.75">
      <c r="A31" s="71" t="s">
        <v>98</v>
      </c>
      <c r="B31" s="68"/>
      <c r="C31" s="78">
        <v>644937.9</v>
      </c>
      <c r="E31" s="93">
        <v>674934.0549153138</v>
      </c>
      <c r="G31" s="82">
        <f t="shared" si="0"/>
        <v>29996.15491531382</v>
      </c>
      <c r="I31" s="85">
        <f t="shared" si="1"/>
        <v>0.046510144488816296</v>
      </c>
    </row>
    <row r="32" spans="1:9" ht="12.75">
      <c r="A32" s="5"/>
      <c r="B32" s="40"/>
      <c r="C32" s="5"/>
      <c r="E32" s="5"/>
      <c r="G32" s="5"/>
      <c r="I32" s="5"/>
    </row>
    <row r="33" spans="1:9" ht="12.75">
      <c r="A33" s="92" t="s">
        <v>97</v>
      </c>
      <c r="B33" s="40"/>
      <c r="C33" s="82">
        <f>SUM(C17:C30)</f>
        <v>20391371.996879995</v>
      </c>
      <c r="E33" s="82">
        <f>SUM(E17:E30)</f>
        <v>21401437.934602987</v>
      </c>
      <c r="G33" s="82">
        <f>SUM(G17:G30)</f>
        <v>1010065.9377229892</v>
      </c>
      <c r="I33" s="87">
        <f>E33/C33-1</f>
        <v>0.04953398613283788</v>
      </c>
    </row>
    <row r="35" spans="5:7" ht="12.75">
      <c r="E35" s="55"/>
      <c r="G35" s="55"/>
    </row>
  </sheetData>
  <mergeCells count="3">
    <mergeCell ref="A7:I7"/>
    <mergeCell ref="A9:I9"/>
    <mergeCell ref="A11:I11"/>
  </mergeCells>
  <printOptions horizont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9"/>
  <sheetViews>
    <sheetView tabSelected="1" view="pageBreakPreview" zoomScale="60" workbookViewId="0" topLeftCell="A1">
      <selection activeCell="D142" sqref="D142"/>
    </sheetView>
  </sheetViews>
  <sheetFormatPr defaultColWidth="9.140625" defaultRowHeight="12.75"/>
  <cols>
    <col min="1" max="1" width="13.421875" style="133" customWidth="1"/>
    <col min="2" max="2" width="12.28125" style="0" bestFit="1" customWidth="1"/>
    <col min="3" max="3" width="5.140625" style="0" customWidth="1"/>
    <col min="4" max="4" width="35.7109375" style="0" customWidth="1"/>
    <col min="5" max="5" width="12.00390625" style="0" bestFit="1" customWidth="1"/>
    <col min="6" max="6" width="11.57421875" style="0" bestFit="1" customWidth="1"/>
    <col min="7" max="7" width="14.00390625" style="0" bestFit="1" customWidth="1"/>
    <col min="8" max="8" width="11.57421875" style="0" bestFit="1" customWidth="1"/>
    <col min="9" max="9" width="13.28125" style="0" bestFit="1" customWidth="1"/>
    <col min="10" max="10" width="14.00390625" style="0" bestFit="1" customWidth="1"/>
    <col min="11" max="11" width="8.7109375" style="0" bestFit="1" customWidth="1"/>
    <col min="12" max="12" width="1.8515625" style="0" customWidth="1"/>
    <col min="13" max="13" width="7.00390625" style="0" bestFit="1" customWidth="1"/>
    <col min="14" max="14" width="11.140625" style="0" bestFit="1" customWidth="1"/>
    <col min="15" max="15" width="8.421875" style="0" bestFit="1" customWidth="1"/>
    <col min="16" max="16" width="15.421875" style="0" customWidth="1"/>
    <col min="17" max="17" width="11.140625" style="0" customWidth="1"/>
  </cols>
  <sheetData>
    <row r="1" ht="12.75">
      <c r="P1" t="s">
        <v>104</v>
      </c>
    </row>
    <row r="2" ht="12.75">
      <c r="P2" t="s">
        <v>105</v>
      </c>
    </row>
    <row r="3" ht="12.75">
      <c r="P3" t="s">
        <v>107</v>
      </c>
    </row>
    <row r="4" ht="12.75">
      <c r="D4" t="s">
        <v>19</v>
      </c>
    </row>
    <row r="5" ht="12.75">
      <c r="D5" s="28" t="s">
        <v>44</v>
      </c>
    </row>
    <row r="6" ht="12.75"/>
    <row r="7" ht="12.75">
      <c r="D7" s="2" t="s">
        <v>0</v>
      </c>
    </row>
    <row r="8" ht="12.75">
      <c r="D8" s="2" t="s">
        <v>18</v>
      </c>
    </row>
    <row r="9" spans="2:15" ht="12.75">
      <c r="B9" s="1" t="s">
        <v>106</v>
      </c>
      <c r="C9" t="s">
        <v>27</v>
      </c>
      <c r="E9" s="5" t="s">
        <v>2</v>
      </c>
      <c r="F9" s="145" t="s">
        <v>3</v>
      </c>
      <c r="G9" s="146"/>
      <c r="H9" s="147" t="s">
        <v>4</v>
      </c>
      <c r="I9" s="148"/>
      <c r="J9" s="98" t="s">
        <v>67</v>
      </c>
      <c r="K9" s="98" t="s">
        <v>68</v>
      </c>
      <c r="M9" s="75" t="s">
        <v>74</v>
      </c>
      <c r="N9" s="76" t="s">
        <v>72</v>
      </c>
      <c r="O9" s="77" t="s">
        <v>73</v>
      </c>
    </row>
    <row r="10" spans="2:11" ht="12.75">
      <c r="B10" s="1" t="s">
        <v>55</v>
      </c>
      <c r="E10" s="7" t="s">
        <v>5</v>
      </c>
      <c r="F10" s="8" t="s">
        <v>6</v>
      </c>
      <c r="G10" s="9" t="s">
        <v>7</v>
      </c>
      <c r="H10" s="109" t="s">
        <v>6</v>
      </c>
      <c r="I10" s="110" t="s">
        <v>7</v>
      </c>
      <c r="J10" s="99" t="s">
        <v>8</v>
      </c>
      <c r="K10" s="116" t="s">
        <v>8</v>
      </c>
    </row>
    <row r="11" spans="5:11" ht="12.75">
      <c r="E11" s="18" t="s">
        <v>22</v>
      </c>
      <c r="F11" s="18" t="s">
        <v>23</v>
      </c>
      <c r="G11" s="18" t="s">
        <v>36</v>
      </c>
      <c r="H11" s="112" t="s">
        <v>24</v>
      </c>
      <c r="I11" s="112" t="s">
        <v>25</v>
      </c>
      <c r="J11" s="112" t="s">
        <v>26</v>
      </c>
      <c r="K11" s="113" t="s">
        <v>61</v>
      </c>
    </row>
    <row r="12" spans="1:10" ht="12.75">
      <c r="A12" s="134"/>
      <c r="C12" s="19" t="s">
        <v>28</v>
      </c>
      <c r="D12" t="s">
        <v>9</v>
      </c>
      <c r="E12" s="16">
        <v>143232</v>
      </c>
      <c r="F12" s="11">
        <v>7</v>
      </c>
      <c r="G12" s="4">
        <f>E12*F12</f>
        <v>1002624</v>
      </c>
      <c r="H12" s="45">
        <f>F12</f>
        <v>7</v>
      </c>
      <c r="I12" s="4">
        <f>H12*E12</f>
        <v>1002624</v>
      </c>
      <c r="J12" s="15">
        <f aca="true" t="shared" si="0" ref="J12:J18">I12-G12</f>
        <v>0</v>
      </c>
    </row>
    <row r="13" spans="2:10" ht="12.75">
      <c r="B13" s="10">
        <f>E13</f>
        <v>179212807</v>
      </c>
      <c r="C13" s="19" t="s">
        <v>29</v>
      </c>
      <c r="D13" t="s">
        <v>10</v>
      </c>
      <c r="E13" s="10">
        <v>179212807</v>
      </c>
      <c r="F13" s="12">
        <v>0.06163</v>
      </c>
      <c r="G13" s="4">
        <f>E13*F13</f>
        <v>11044885.29541</v>
      </c>
      <c r="H13" s="46">
        <f>F13+Q131+95/(E13+E32*0.6)</f>
        <v>0.06556122490869593</v>
      </c>
      <c r="I13" s="47">
        <f>H13*E13</f>
        <v>11749411.146245716</v>
      </c>
      <c r="J13" s="15">
        <f t="shared" si="0"/>
        <v>704525.8508357164</v>
      </c>
    </row>
    <row r="14" spans="3:10" ht="12.75">
      <c r="C14" s="19" t="s">
        <v>30</v>
      </c>
      <c r="D14" t="s">
        <v>11</v>
      </c>
      <c r="G14" s="29">
        <v>0</v>
      </c>
      <c r="H14" s="45"/>
      <c r="I14" s="20">
        <f>H14*E14</f>
        <v>0</v>
      </c>
      <c r="J14" s="49">
        <f t="shared" si="0"/>
        <v>0</v>
      </c>
    </row>
    <row r="15" spans="3:10" ht="12.75">
      <c r="C15" s="19" t="s">
        <v>31</v>
      </c>
      <c r="D15" t="s">
        <v>12</v>
      </c>
      <c r="G15" s="4">
        <f>G12+G13+G14</f>
        <v>12047509.29541</v>
      </c>
      <c r="I15" s="4">
        <f>I12+I13+I14</f>
        <v>12752035.146245716</v>
      </c>
      <c r="J15" s="50">
        <f t="shared" si="0"/>
        <v>704525.8508357164</v>
      </c>
    </row>
    <row r="16" spans="3:10" ht="12.75">
      <c r="C16" s="19" t="s">
        <v>32</v>
      </c>
      <c r="D16" t="s">
        <v>37</v>
      </c>
      <c r="G16" s="4">
        <v>1430705</v>
      </c>
      <c r="I16" s="4">
        <v>1430705</v>
      </c>
      <c r="J16" s="15">
        <f t="shared" si="0"/>
        <v>0</v>
      </c>
    </row>
    <row r="17" spans="3:10" ht="12.75">
      <c r="C17" s="19" t="s">
        <v>33</v>
      </c>
      <c r="D17" t="s">
        <v>38</v>
      </c>
      <c r="G17" s="4">
        <v>902215</v>
      </c>
      <c r="I17" s="4">
        <v>902215</v>
      </c>
      <c r="J17" s="15">
        <f t="shared" si="0"/>
        <v>0</v>
      </c>
    </row>
    <row r="18" spans="1:10" ht="12.75">
      <c r="A18" s="134"/>
      <c r="C18" s="19" t="s">
        <v>34</v>
      </c>
      <c r="D18" t="s">
        <v>15</v>
      </c>
      <c r="G18" s="48">
        <v>1595</v>
      </c>
      <c r="I18" s="48">
        <v>1595</v>
      </c>
      <c r="J18" s="49">
        <f t="shared" si="0"/>
        <v>0</v>
      </c>
    </row>
    <row r="19" spans="3:11" ht="12.75">
      <c r="C19" s="19" t="s">
        <v>35</v>
      </c>
      <c r="D19" t="s">
        <v>16</v>
      </c>
      <c r="G19" s="15">
        <f>G15+G16+G17+G18</f>
        <v>14382024.29541</v>
      </c>
      <c r="I19" s="15">
        <f>I15+I16+I17+I18</f>
        <v>15086550.146245716</v>
      </c>
      <c r="J19" s="15">
        <f>J15+J16+J17+J18</f>
        <v>704525.8508357164</v>
      </c>
      <c r="K19" s="39">
        <f>I19/G19-1</f>
        <v>0.04898655685490416</v>
      </c>
    </row>
    <row r="20" spans="3:11" ht="12.75">
      <c r="C20" s="19" t="s">
        <v>40</v>
      </c>
      <c r="D20" t="s">
        <v>99</v>
      </c>
      <c r="G20" s="94">
        <f>G19/E12</f>
        <v>100.41069241098357</v>
      </c>
      <c r="I20" s="94">
        <f>I19/E12</f>
        <v>105.32946650361453</v>
      </c>
      <c r="J20" s="94">
        <f>I20-G20</f>
        <v>4.918774092630954</v>
      </c>
      <c r="K20" s="39">
        <f>I20/G20-1</f>
        <v>0.048986556854904384</v>
      </c>
    </row>
    <row r="21" ht="12.75"/>
    <row r="22" ht="12.75"/>
    <row r="23" ht="12.75"/>
    <row r="24" ht="12.75"/>
    <row r="25" ht="12.75"/>
    <row r="26" ht="12.75">
      <c r="D26" s="2" t="s">
        <v>0</v>
      </c>
    </row>
    <row r="27" ht="12.75">
      <c r="D27" s="2" t="s">
        <v>20</v>
      </c>
    </row>
    <row r="28" spans="5:11" ht="12.75">
      <c r="E28" s="5" t="s">
        <v>2</v>
      </c>
      <c r="F28" s="145" t="s">
        <v>3</v>
      </c>
      <c r="G28" s="146"/>
      <c r="H28" s="147" t="s">
        <v>4</v>
      </c>
      <c r="I28" s="148"/>
      <c r="J28" s="108" t="s">
        <v>67</v>
      </c>
      <c r="K28" s="70" t="s">
        <v>68</v>
      </c>
    </row>
    <row r="29" spans="5:11" ht="12.75">
      <c r="E29" s="7" t="s">
        <v>5</v>
      </c>
      <c r="F29" s="8" t="s">
        <v>6</v>
      </c>
      <c r="G29" s="9" t="s">
        <v>7</v>
      </c>
      <c r="H29" s="109" t="s">
        <v>6</v>
      </c>
      <c r="I29" s="110" t="s">
        <v>7</v>
      </c>
      <c r="J29" s="111" t="s">
        <v>8</v>
      </c>
      <c r="K29" s="73" t="s">
        <v>8</v>
      </c>
    </row>
    <row r="30" spans="5:11" ht="12.75">
      <c r="E30" s="18" t="s">
        <v>22</v>
      </c>
      <c r="F30" s="18" t="s">
        <v>23</v>
      </c>
      <c r="G30" s="18" t="s">
        <v>36</v>
      </c>
      <c r="H30" s="112" t="s">
        <v>24</v>
      </c>
      <c r="I30" s="112" t="s">
        <v>25</v>
      </c>
      <c r="J30" s="112" t="s">
        <v>26</v>
      </c>
      <c r="K30" s="113" t="s">
        <v>61</v>
      </c>
    </row>
    <row r="31" spans="3:11" ht="12.75">
      <c r="C31" s="19" t="s">
        <v>28</v>
      </c>
      <c r="D31" t="s">
        <v>9</v>
      </c>
      <c r="E31" s="17">
        <v>0</v>
      </c>
      <c r="F31" s="11">
        <f>F12</f>
        <v>7</v>
      </c>
      <c r="G31" s="4">
        <f>E31*F31</f>
        <v>0</v>
      </c>
      <c r="H31" s="45">
        <f>F31</f>
        <v>7</v>
      </c>
      <c r="I31" s="21">
        <f>H31*E31</f>
        <v>0</v>
      </c>
      <c r="J31" s="22">
        <f>I31-G31</f>
        <v>0</v>
      </c>
      <c r="K31" s="66"/>
    </row>
    <row r="32" spans="1:11" ht="12.75">
      <c r="A32" s="134"/>
      <c r="B32" s="10">
        <f>E32</f>
        <v>60507</v>
      </c>
      <c r="C32" s="19" t="s">
        <v>29</v>
      </c>
      <c r="D32" t="s">
        <v>21</v>
      </c>
      <c r="E32" s="17">
        <v>60507</v>
      </c>
      <c r="F32" s="12">
        <v>0.03698</v>
      </c>
      <c r="G32" s="4">
        <f>E32*F32</f>
        <v>2237.54886</v>
      </c>
      <c r="H32" s="97">
        <f>0.6*H13</f>
        <v>0.039336734945217555</v>
      </c>
      <c r="I32" s="21">
        <f>H32*E32</f>
        <v>2380.1478213302785</v>
      </c>
      <c r="J32" s="22">
        <f>I32-G32</f>
        <v>142.5989613302786</v>
      </c>
      <c r="K32" s="66"/>
    </row>
    <row r="33" spans="3:10" ht="12.75">
      <c r="C33" s="19" t="s">
        <v>30</v>
      </c>
      <c r="D33" t="s">
        <v>11</v>
      </c>
      <c r="E33" s="17">
        <f>5*12</f>
        <v>60</v>
      </c>
      <c r="G33" s="24">
        <v>0</v>
      </c>
      <c r="I33" s="20"/>
      <c r="J33" s="49"/>
    </row>
    <row r="34" spans="3:10" ht="12.75">
      <c r="C34" s="19" t="s">
        <v>31</v>
      </c>
      <c r="D34" t="s">
        <v>12</v>
      </c>
      <c r="G34" s="4">
        <f>SUM(G31:G33)</f>
        <v>2237.54886</v>
      </c>
      <c r="I34" s="4">
        <f>SUM(I31:I33)</f>
        <v>2380.1478213302785</v>
      </c>
      <c r="J34" s="50">
        <f>SUM(J31:J33)</f>
        <v>142.5989613302786</v>
      </c>
    </row>
    <row r="35" spans="3:9" ht="12.75">
      <c r="C35" s="19" t="s">
        <v>32</v>
      </c>
      <c r="D35" t="s">
        <v>13</v>
      </c>
      <c r="G35" s="4"/>
      <c r="I35" s="4"/>
    </row>
    <row r="36" spans="3:10" ht="12.75">
      <c r="C36" s="19" t="s">
        <v>33</v>
      </c>
      <c r="D36" t="s">
        <v>14</v>
      </c>
      <c r="G36" s="20"/>
      <c r="I36" s="20"/>
      <c r="J36" s="38"/>
    </row>
    <row r="37" spans="3:11" ht="12.75">
      <c r="C37" s="19" t="s">
        <v>34</v>
      </c>
      <c r="D37" t="s">
        <v>16</v>
      </c>
      <c r="G37" s="21">
        <f>G34+G35+G36</f>
        <v>2237.54886</v>
      </c>
      <c r="I37" s="21">
        <f>I34+I35+I36</f>
        <v>2380.1478213302785</v>
      </c>
      <c r="J37" s="15">
        <f>I37-G37</f>
        <v>142.5989613302786</v>
      </c>
      <c r="K37" s="39">
        <f>I37/G37-1</f>
        <v>0.06372998770193505</v>
      </c>
    </row>
    <row r="38" spans="3:11" ht="12.75">
      <c r="C38" s="19" t="s">
        <v>35</v>
      </c>
      <c r="D38" t="s">
        <v>99</v>
      </c>
      <c r="G38" s="60">
        <f>G37/E33</f>
        <v>37.292480999999995</v>
      </c>
      <c r="H38" s="60"/>
      <c r="I38" s="60">
        <f>I37/E33</f>
        <v>39.66913035550464</v>
      </c>
      <c r="J38" s="60">
        <f>I38-G38</f>
        <v>2.3766493555046466</v>
      </c>
      <c r="K38" s="39">
        <f>I38/G38-1</f>
        <v>0.06372998770193505</v>
      </c>
    </row>
    <row r="41" ht="12.75">
      <c r="D41" s="2" t="s">
        <v>0</v>
      </c>
    </row>
    <row r="42" ht="12.75">
      <c r="D42" s="2" t="s">
        <v>39</v>
      </c>
    </row>
    <row r="43" spans="5:11" ht="12.75">
      <c r="E43" s="5" t="s">
        <v>2</v>
      </c>
      <c r="F43" s="143" t="s">
        <v>3</v>
      </c>
      <c r="G43" s="144"/>
      <c r="H43" s="141" t="s">
        <v>4</v>
      </c>
      <c r="I43" s="142"/>
      <c r="J43" s="108" t="s">
        <v>67</v>
      </c>
      <c r="K43" s="70" t="s">
        <v>68</v>
      </c>
    </row>
    <row r="44" spans="5:11" ht="12.75">
      <c r="E44" s="7" t="s">
        <v>5</v>
      </c>
      <c r="F44" s="8" t="s">
        <v>6</v>
      </c>
      <c r="G44" s="9" t="s">
        <v>7</v>
      </c>
      <c r="H44" s="109" t="s">
        <v>6</v>
      </c>
      <c r="I44" s="110" t="s">
        <v>7</v>
      </c>
      <c r="J44" s="111" t="s">
        <v>8</v>
      </c>
      <c r="K44" s="73" t="s">
        <v>8</v>
      </c>
    </row>
    <row r="45" spans="5:11" ht="12.75">
      <c r="E45" s="18" t="s">
        <v>22</v>
      </c>
      <c r="F45" s="18" t="s">
        <v>23</v>
      </c>
      <c r="G45" s="18" t="s">
        <v>36</v>
      </c>
      <c r="H45" s="112" t="s">
        <v>24</v>
      </c>
      <c r="I45" s="112" t="s">
        <v>25</v>
      </c>
      <c r="J45" s="112" t="s">
        <v>26</v>
      </c>
      <c r="K45" s="113" t="s">
        <v>61</v>
      </c>
    </row>
    <row r="46" spans="1:14" ht="12.75">
      <c r="A46" s="134"/>
      <c r="C46" s="19" t="s">
        <v>28</v>
      </c>
      <c r="D46" t="s">
        <v>9</v>
      </c>
      <c r="E46" s="10">
        <v>11367</v>
      </c>
      <c r="F46" s="11">
        <v>15</v>
      </c>
      <c r="G46" s="4">
        <f>E46*F46</f>
        <v>170505</v>
      </c>
      <c r="H46" s="91">
        <f>F46</f>
        <v>15</v>
      </c>
      <c r="I46" s="4">
        <f>H46*E46</f>
        <v>170505</v>
      </c>
      <c r="J46" s="15">
        <f>I46-G46</f>
        <v>0</v>
      </c>
      <c r="N46" s="15">
        <f>J46</f>
        <v>0</v>
      </c>
    </row>
    <row r="47" spans="1:14" ht="12.75">
      <c r="A47" s="134"/>
      <c r="C47" s="19" t="s">
        <v>29</v>
      </c>
      <c r="D47" t="s">
        <v>17</v>
      </c>
      <c r="E47" s="10">
        <v>58421</v>
      </c>
      <c r="F47" s="11">
        <v>4</v>
      </c>
      <c r="G47" s="4">
        <f>E47*F47</f>
        <v>233684</v>
      </c>
      <c r="H47" s="91">
        <f>F47</f>
        <v>4</v>
      </c>
      <c r="I47" s="4">
        <f>H47*E47</f>
        <v>233684</v>
      </c>
      <c r="J47" s="15">
        <f>I47-G47</f>
        <v>0</v>
      </c>
      <c r="M47" s="15">
        <f>J47</f>
        <v>0</v>
      </c>
      <c r="N47" s="15"/>
    </row>
    <row r="48" spans="2:10" ht="12.75">
      <c r="B48" s="10">
        <f>E48</f>
        <v>13662774</v>
      </c>
      <c r="C48" s="19" t="s">
        <v>30</v>
      </c>
      <c r="D48" t="s">
        <v>10</v>
      </c>
      <c r="E48" s="10">
        <v>13662774</v>
      </c>
      <c r="F48" s="12">
        <v>0.0551</v>
      </c>
      <c r="G48" s="4">
        <f>E48*F48</f>
        <v>752818.8474000001</v>
      </c>
      <c r="H48" s="46">
        <f>F48+Q131</f>
        <v>0.059030694920015024</v>
      </c>
      <c r="I48" s="4">
        <f>H48*E48</f>
        <v>806523.0437551134</v>
      </c>
      <c r="J48" s="15">
        <f>I48-G48</f>
        <v>53704.196355113294</v>
      </c>
    </row>
    <row r="49" spans="3:10" ht="15">
      <c r="C49" s="19" t="s">
        <v>31</v>
      </c>
      <c r="D49" t="s">
        <v>11</v>
      </c>
      <c r="G49" s="23">
        <v>0</v>
      </c>
      <c r="I49" s="14">
        <f>G49</f>
        <v>0</v>
      </c>
      <c r="J49" s="49">
        <f>I49-G49</f>
        <v>0</v>
      </c>
    </row>
    <row r="50" spans="3:10" ht="12.75">
      <c r="C50" s="19" t="s">
        <v>32</v>
      </c>
      <c r="D50" t="s">
        <v>12</v>
      </c>
      <c r="G50" s="4">
        <f>SUM(G46:G49)</f>
        <v>1157007.8474</v>
      </c>
      <c r="I50" s="4">
        <f>SUM(I46:I49)</f>
        <v>1210712.0437551134</v>
      </c>
      <c r="J50" s="50">
        <f>SUM(J46:J49)</f>
        <v>53704.196355113294</v>
      </c>
    </row>
    <row r="51" spans="3:10" ht="12.75">
      <c r="C51" s="19" t="s">
        <v>33</v>
      </c>
      <c r="D51" t="s">
        <v>13</v>
      </c>
      <c r="G51" s="4">
        <v>99355</v>
      </c>
      <c r="I51" s="4">
        <v>99355</v>
      </c>
      <c r="J51" s="15">
        <f>I51-G51</f>
        <v>0</v>
      </c>
    </row>
    <row r="52" spans="3:10" ht="12.75">
      <c r="C52" s="19" t="s">
        <v>34</v>
      </c>
      <c r="D52" t="s">
        <v>14</v>
      </c>
      <c r="G52" s="20">
        <v>62654</v>
      </c>
      <c r="I52" s="20">
        <v>62654</v>
      </c>
      <c r="J52" s="49">
        <f>I52-G52</f>
        <v>0</v>
      </c>
    </row>
    <row r="53" spans="3:11" ht="12.75">
      <c r="C53" s="19" t="s">
        <v>35</v>
      </c>
      <c r="D53" t="s">
        <v>16</v>
      </c>
      <c r="G53" s="21">
        <f>G50+G51+G52</f>
        <v>1319016.8474</v>
      </c>
      <c r="I53" s="21">
        <f>I50+I51+I52</f>
        <v>1372721.0437551134</v>
      </c>
      <c r="J53" s="21">
        <f>J50+J51+J52</f>
        <v>53704.196355113294</v>
      </c>
      <c r="K53" s="39">
        <f>I53/G53-1</f>
        <v>0.04071532252296328</v>
      </c>
    </row>
    <row r="54" spans="3:11" ht="12.75">
      <c r="C54" s="19" t="s">
        <v>40</v>
      </c>
      <c r="D54" t="s">
        <v>99</v>
      </c>
      <c r="G54" s="60">
        <f>G53/E46</f>
        <v>116.03913498724378</v>
      </c>
      <c r="H54" s="60"/>
      <c r="I54" s="60">
        <f>I53/E46</f>
        <v>120.7637057935351</v>
      </c>
      <c r="J54" s="95">
        <f>I54-G54</f>
        <v>4.724570806291311</v>
      </c>
      <c r="K54" s="39">
        <f>I54/G54-1</f>
        <v>0.04071532252296328</v>
      </c>
    </row>
    <row r="56" ht="12.75">
      <c r="D56" s="2" t="s">
        <v>0</v>
      </c>
    </row>
    <row r="57" ht="12.75">
      <c r="D57" s="2" t="s">
        <v>41</v>
      </c>
    </row>
    <row r="58" spans="5:11" ht="12.75">
      <c r="E58" s="5" t="s">
        <v>2</v>
      </c>
      <c r="F58" s="143" t="s">
        <v>3</v>
      </c>
      <c r="G58" s="144"/>
      <c r="H58" s="141" t="s">
        <v>4</v>
      </c>
      <c r="I58" s="142"/>
      <c r="J58" s="108" t="s">
        <v>67</v>
      </c>
      <c r="K58" s="70" t="s">
        <v>68</v>
      </c>
    </row>
    <row r="59" spans="5:11" ht="12.75">
      <c r="E59" s="7" t="s">
        <v>5</v>
      </c>
      <c r="F59" s="8" t="s">
        <v>6</v>
      </c>
      <c r="G59" s="9" t="s">
        <v>7</v>
      </c>
      <c r="H59" s="109" t="s">
        <v>6</v>
      </c>
      <c r="I59" s="110" t="s">
        <v>7</v>
      </c>
      <c r="J59" s="111" t="s">
        <v>8</v>
      </c>
      <c r="K59" s="73" t="s">
        <v>8</v>
      </c>
    </row>
    <row r="60" spans="5:11" ht="12.75">
      <c r="E60" s="18" t="s">
        <v>22</v>
      </c>
      <c r="F60" s="18" t="s">
        <v>23</v>
      </c>
      <c r="G60" s="18" t="s">
        <v>36</v>
      </c>
      <c r="H60" s="112" t="s">
        <v>24</v>
      </c>
      <c r="I60" s="112" t="s">
        <v>25</v>
      </c>
      <c r="J60" s="112" t="s">
        <v>26</v>
      </c>
      <c r="K60" s="113" t="s">
        <v>61</v>
      </c>
    </row>
    <row r="61" spans="1:14" ht="12.75">
      <c r="A61" s="134"/>
      <c r="C61" s="19" t="s">
        <v>28</v>
      </c>
      <c r="D61" t="s">
        <v>9</v>
      </c>
      <c r="E61" s="10">
        <v>1659</v>
      </c>
      <c r="F61" s="11">
        <v>50</v>
      </c>
      <c r="G61" s="4">
        <f>E61*F61</f>
        <v>82950</v>
      </c>
      <c r="H61" s="91">
        <f>F61</f>
        <v>50</v>
      </c>
      <c r="I61" s="4">
        <f>H61*E61</f>
        <v>82950</v>
      </c>
      <c r="J61" s="15">
        <f>I61-G61</f>
        <v>0</v>
      </c>
      <c r="N61" s="15">
        <f>J61</f>
        <v>0</v>
      </c>
    </row>
    <row r="62" spans="1:13" ht="12.75">
      <c r="A62" s="134"/>
      <c r="C62" s="19" t="s">
        <v>29</v>
      </c>
      <c r="D62" t="s">
        <v>17</v>
      </c>
      <c r="E62" s="10">
        <v>98202</v>
      </c>
      <c r="F62" s="11">
        <v>5.1</v>
      </c>
      <c r="G62" s="4">
        <f>E62*F62</f>
        <v>500830.19999999995</v>
      </c>
      <c r="H62" s="91">
        <f>F62</f>
        <v>5.1</v>
      </c>
      <c r="I62" s="4">
        <f>H62*E62</f>
        <v>500830.19999999995</v>
      </c>
      <c r="J62" s="15">
        <f>I62-G62</f>
        <v>0</v>
      </c>
      <c r="M62" s="15">
        <f>J62</f>
        <v>0</v>
      </c>
    </row>
    <row r="63" spans="1:10" ht="12.75">
      <c r="A63" s="134"/>
      <c r="B63" s="10">
        <f>E63</f>
        <v>2310920</v>
      </c>
      <c r="C63" s="19" t="s">
        <v>30</v>
      </c>
      <c r="D63" t="s">
        <v>42</v>
      </c>
      <c r="E63" s="10">
        <v>2310920</v>
      </c>
      <c r="F63" s="12">
        <v>0.04248</v>
      </c>
      <c r="G63" s="4">
        <f>E63*F63</f>
        <v>98167.8816</v>
      </c>
      <c r="H63" s="46">
        <f>F63+Q131</f>
        <v>0.04641069492001502</v>
      </c>
      <c r="I63" s="4">
        <f>H63*E63</f>
        <v>107251.4031045611</v>
      </c>
      <c r="J63" s="15">
        <f>I63-G63</f>
        <v>9083.521504561111</v>
      </c>
    </row>
    <row r="64" spans="1:10" ht="12.75">
      <c r="A64" s="134"/>
      <c r="B64" s="10">
        <f>E64</f>
        <v>29250259</v>
      </c>
      <c r="C64" s="19" t="s">
        <v>31</v>
      </c>
      <c r="D64" t="s">
        <v>43</v>
      </c>
      <c r="E64" s="10">
        <v>29250259</v>
      </c>
      <c r="F64" s="12">
        <v>0.04179</v>
      </c>
      <c r="G64" s="4">
        <f>E64*F64</f>
        <v>1222368.32361</v>
      </c>
      <c r="H64" s="46">
        <f>F64+Q131</f>
        <v>0.04572069492001502</v>
      </c>
      <c r="I64" s="4">
        <f>H64*E64</f>
        <v>1337342.1680704236</v>
      </c>
      <c r="J64" s="15">
        <f>I64-G64</f>
        <v>114973.84446042357</v>
      </c>
    </row>
    <row r="65" spans="3:10" ht="12.75">
      <c r="C65" s="19" t="s">
        <v>32</v>
      </c>
      <c r="D65" t="s">
        <v>11</v>
      </c>
      <c r="E65" s="10"/>
      <c r="F65" s="12"/>
      <c r="G65" s="25">
        <v>0</v>
      </c>
      <c r="H65" s="51"/>
      <c r="I65" s="20">
        <f>H65*E65</f>
        <v>0</v>
      </c>
      <c r="J65" s="49">
        <f>I65-G65</f>
        <v>0</v>
      </c>
    </row>
    <row r="66" spans="3:10" ht="12.75">
      <c r="C66" s="19" t="s">
        <v>33</v>
      </c>
      <c r="D66" t="s">
        <v>12</v>
      </c>
      <c r="G66" s="22">
        <f>SUM(G61:G65)</f>
        <v>1904316.40521</v>
      </c>
      <c r="H66" s="52"/>
      <c r="I66" s="22">
        <f>SUM(I61:I65)</f>
        <v>2028373.7711749848</v>
      </c>
      <c r="J66" s="15">
        <f>SUM(J61:J65)</f>
        <v>124057.36596498468</v>
      </c>
    </row>
    <row r="67" spans="3:10" ht="12.75">
      <c r="C67" s="19" t="s">
        <v>34</v>
      </c>
      <c r="D67" t="s">
        <v>13</v>
      </c>
      <c r="G67" s="4">
        <v>258322</v>
      </c>
      <c r="H67" s="26"/>
      <c r="I67" s="4">
        <v>258322</v>
      </c>
      <c r="J67" s="50">
        <f>I67-G67</f>
        <v>0</v>
      </c>
    </row>
    <row r="68" spans="3:10" ht="12.75">
      <c r="C68" s="19" t="s">
        <v>35</v>
      </c>
      <c r="D68" t="s">
        <v>14</v>
      </c>
      <c r="G68" s="20">
        <v>162900</v>
      </c>
      <c r="H68" s="26"/>
      <c r="I68" s="20">
        <v>162900</v>
      </c>
      <c r="J68" s="53">
        <f>I68-G68</f>
        <v>0</v>
      </c>
    </row>
    <row r="69" spans="3:11" ht="12.75">
      <c r="C69" s="19" t="s">
        <v>40</v>
      </c>
      <c r="D69" t="s">
        <v>16</v>
      </c>
      <c r="G69" s="26">
        <f>+G66+G67+G68</f>
        <v>2325538.40521</v>
      </c>
      <c r="H69" s="26"/>
      <c r="I69" s="26">
        <f>+I66+I67+I68</f>
        <v>2449595.771174985</v>
      </c>
      <c r="J69" s="15">
        <f>I69-G69</f>
        <v>124057.36596498499</v>
      </c>
      <c r="K69" s="39">
        <f>I69/G69-1</f>
        <v>0.05334565349987508</v>
      </c>
    </row>
    <row r="70" spans="3:11" ht="12.75">
      <c r="C70" s="19" t="s">
        <v>100</v>
      </c>
      <c r="D70" t="s">
        <v>99</v>
      </c>
      <c r="G70" s="27">
        <f>G69/E61</f>
        <v>1401.7711906027728</v>
      </c>
      <c r="I70" s="22">
        <f>I69/E61</f>
        <v>1476.5495908227758</v>
      </c>
      <c r="J70" s="15">
        <f>I70-G70</f>
        <v>74.77840022000305</v>
      </c>
      <c r="K70" s="39">
        <f>I70/G70-1</f>
        <v>0.0533456534998753</v>
      </c>
    </row>
    <row r="71" spans="7:9" ht="15">
      <c r="G71" s="27"/>
      <c r="I71" s="14"/>
    </row>
    <row r="72" spans="7:16" ht="15">
      <c r="G72" s="27"/>
      <c r="I72" s="14"/>
      <c r="P72" t="s">
        <v>104</v>
      </c>
    </row>
    <row r="73" spans="7:16" ht="15">
      <c r="G73" s="27"/>
      <c r="I73" s="14"/>
      <c r="P73" t="s">
        <v>105</v>
      </c>
    </row>
    <row r="74" spans="7:16" ht="15">
      <c r="G74" s="27"/>
      <c r="I74" s="14"/>
      <c r="P74" t="s">
        <v>108</v>
      </c>
    </row>
    <row r="75" ht="12.75">
      <c r="D75" s="2" t="s">
        <v>0</v>
      </c>
    </row>
    <row r="76" ht="12.75">
      <c r="D76" s="2" t="s">
        <v>94</v>
      </c>
    </row>
    <row r="77" spans="5:11" ht="12.75">
      <c r="E77" s="5" t="s">
        <v>2</v>
      </c>
      <c r="F77" s="143" t="s">
        <v>3</v>
      </c>
      <c r="G77" s="144"/>
      <c r="H77" s="141" t="s">
        <v>4</v>
      </c>
      <c r="I77" s="142"/>
      <c r="J77" s="108" t="s">
        <v>67</v>
      </c>
      <c r="K77" s="70" t="s">
        <v>68</v>
      </c>
    </row>
    <row r="78" spans="5:11" ht="12.75">
      <c r="E78" s="7" t="s">
        <v>5</v>
      </c>
      <c r="F78" s="8" t="s">
        <v>6</v>
      </c>
      <c r="G78" s="9" t="s">
        <v>7</v>
      </c>
      <c r="H78" s="109" t="s">
        <v>6</v>
      </c>
      <c r="I78" s="110" t="s">
        <v>7</v>
      </c>
      <c r="J78" s="111" t="s">
        <v>8</v>
      </c>
      <c r="K78" s="73" t="s">
        <v>8</v>
      </c>
    </row>
    <row r="79" spans="5:11" ht="12.75">
      <c r="E79" s="18" t="s">
        <v>22</v>
      </c>
      <c r="F79" s="18" t="s">
        <v>23</v>
      </c>
      <c r="G79" s="18" t="s">
        <v>36</v>
      </c>
      <c r="H79" s="112" t="s">
        <v>24</v>
      </c>
      <c r="I79" s="112" t="s">
        <v>25</v>
      </c>
      <c r="J79" s="112" t="s">
        <v>26</v>
      </c>
      <c r="K79" s="113" t="s">
        <v>61</v>
      </c>
    </row>
    <row r="80" spans="1:14" ht="12.75">
      <c r="A80" s="134"/>
      <c r="C80" s="19" t="s">
        <v>28</v>
      </c>
      <c r="D80" t="s">
        <v>9</v>
      </c>
      <c r="E80" s="10">
        <v>12</v>
      </c>
      <c r="F80" s="11">
        <v>75</v>
      </c>
      <c r="G80" s="4">
        <f>E80*F80</f>
        <v>900</v>
      </c>
      <c r="H80" s="91">
        <f>F80</f>
        <v>75</v>
      </c>
      <c r="I80" s="4">
        <f>H80*E80</f>
        <v>900</v>
      </c>
      <c r="J80" s="15">
        <f>I80-G80</f>
        <v>0</v>
      </c>
      <c r="N80" s="15">
        <f>J80</f>
        <v>0</v>
      </c>
    </row>
    <row r="81" spans="1:13" ht="12.75">
      <c r="A81" s="134"/>
      <c r="C81" s="19" t="s">
        <v>29</v>
      </c>
      <c r="D81" t="s">
        <v>17</v>
      </c>
      <c r="E81" s="10">
        <v>80478</v>
      </c>
      <c r="F81" s="11">
        <v>5.1</v>
      </c>
      <c r="G81" s="4">
        <f>E81*F81</f>
        <v>410437.8</v>
      </c>
      <c r="H81" s="91">
        <f>F81</f>
        <v>5.1</v>
      </c>
      <c r="I81" s="4">
        <f>H81*E81</f>
        <v>410437.8</v>
      </c>
      <c r="J81" s="15">
        <f>I81-G81</f>
        <v>0</v>
      </c>
      <c r="M81" s="15">
        <f>J81</f>
        <v>0</v>
      </c>
    </row>
    <row r="82" spans="1:10" ht="12.75">
      <c r="A82" s="134"/>
      <c r="B82" s="10">
        <f>E82</f>
        <v>117520</v>
      </c>
      <c r="C82" s="19" t="s">
        <v>30</v>
      </c>
      <c r="D82" t="s">
        <v>42</v>
      </c>
      <c r="E82" s="10">
        <v>117520</v>
      </c>
      <c r="F82" s="12">
        <v>0.0402</v>
      </c>
      <c r="G82" s="4">
        <f>E82*F82</f>
        <v>4724.304</v>
      </c>
      <c r="H82" s="46">
        <f>F82+Q131</f>
        <v>0.04413069492001502</v>
      </c>
      <c r="I82" s="4">
        <f>H82*E82</f>
        <v>5186.2392670001655</v>
      </c>
      <c r="J82" s="15">
        <f>I82-G82</f>
        <v>461.93526700016537</v>
      </c>
    </row>
    <row r="83" spans="1:10" ht="12.75">
      <c r="A83" s="134"/>
      <c r="B83" s="10">
        <f>E83</f>
        <v>24722764</v>
      </c>
      <c r="C83" s="19" t="s">
        <v>31</v>
      </c>
      <c r="D83" t="s">
        <v>43</v>
      </c>
      <c r="E83" s="10">
        <v>24722764</v>
      </c>
      <c r="F83" s="12">
        <v>0.03954</v>
      </c>
      <c r="G83" s="4">
        <f>E83*F83</f>
        <v>977538.08856</v>
      </c>
      <c r="H83" s="46">
        <f>F83+Q131</f>
        <v>0.04347069492001502</v>
      </c>
      <c r="I83" s="4">
        <f>H83*E83</f>
        <v>1074715.7314235303</v>
      </c>
      <c r="J83" s="15">
        <f>I83-G83</f>
        <v>97177.64286353032</v>
      </c>
    </row>
    <row r="84" spans="3:10" ht="12.75">
      <c r="C84" s="19" t="s">
        <v>32</v>
      </c>
      <c r="D84" t="s">
        <v>11</v>
      </c>
      <c r="E84" s="10"/>
      <c r="F84" s="12"/>
      <c r="G84" s="25">
        <v>0</v>
      </c>
      <c r="H84" s="13"/>
      <c r="I84" s="20">
        <f>H84*E84</f>
        <v>0</v>
      </c>
      <c r="J84" s="49">
        <f>I84-G84</f>
        <v>0</v>
      </c>
    </row>
    <row r="85" spans="3:10" ht="12.75">
      <c r="C85" s="19" t="s">
        <v>33</v>
      </c>
      <c r="D85" t="s">
        <v>12</v>
      </c>
      <c r="G85" s="22">
        <f>SUM(G80:G84)</f>
        <v>1393600.1925599999</v>
      </c>
      <c r="I85" s="22">
        <f>SUM(I80:I84)</f>
        <v>1491239.7706905305</v>
      </c>
      <c r="J85" s="15">
        <f>SUM(J80:J84)</f>
        <v>97639.57813053048</v>
      </c>
    </row>
    <row r="86" spans="3:10" ht="12.75">
      <c r="C86" s="19" t="s">
        <v>34</v>
      </c>
      <c r="D86" t="s">
        <v>13</v>
      </c>
      <c r="G86" s="4">
        <v>198709</v>
      </c>
      <c r="I86" s="4">
        <f>G86</f>
        <v>198709</v>
      </c>
      <c r="J86" s="50">
        <f>I86-G86</f>
        <v>0</v>
      </c>
    </row>
    <row r="87" spans="3:10" ht="12.75">
      <c r="C87" s="19" t="s">
        <v>35</v>
      </c>
      <c r="D87" t="s">
        <v>14</v>
      </c>
      <c r="G87" s="20">
        <v>125308</v>
      </c>
      <c r="I87" s="20">
        <f>G87</f>
        <v>125308</v>
      </c>
      <c r="J87" s="53">
        <f>I87-G87</f>
        <v>0</v>
      </c>
    </row>
    <row r="88" spans="3:11" ht="12.75">
      <c r="C88" s="19" t="s">
        <v>40</v>
      </c>
      <c r="D88" t="s">
        <v>16</v>
      </c>
      <c r="G88" s="26">
        <f>+G85+G86+G87</f>
        <v>1717617.1925599999</v>
      </c>
      <c r="I88" s="26">
        <f>+I85+I86+I87</f>
        <v>1815256.7706905305</v>
      </c>
      <c r="J88" s="26">
        <f>+J85+J86+J87</f>
        <v>97639.57813053048</v>
      </c>
      <c r="K88" s="39">
        <f>I88/G88-1</f>
        <v>0.05684594830178957</v>
      </c>
    </row>
    <row r="89" spans="3:11" ht="12.75">
      <c r="C89" s="19" t="s">
        <v>100</v>
      </c>
      <c r="D89" t="s">
        <v>99</v>
      </c>
      <c r="G89" s="26">
        <f>G88/E80</f>
        <v>143134.76604666666</v>
      </c>
      <c r="I89" s="26">
        <f>I88/E80</f>
        <v>151271.3975575442</v>
      </c>
      <c r="J89" s="26">
        <f>I89-G89</f>
        <v>8136.631510877545</v>
      </c>
      <c r="K89" s="39">
        <f>I89/G89-1</f>
        <v>0.05684594830178957</v>
      </c>
    </row>
    <row r="91" ht="12.75">
      <c r="D91" s="2" t="s">
        <v>0</v>
      </c>
    </row>
    <row r="92" ht="12.75">
      <c r="D92" s="2" t="s">
        <v>45</v>
      </c>
    </row>
    <row r="93" spans="5:11" ht="12.75">
      <c r="E93" s="5" t="s">
        <v>2</v>
      </c>
      <c r="F93" s="35" t="s">
        <v>3</v>
      </c>
      <c r="G93" s="36"/>
      <c r="H93" s="106" t="s">
        <v>4</v>
      </c>
      <c r="I93" s="107"/>
      <c r="J93" s="108" t="s">
        <v>67</v>
      </c>
      <c r="K93" s="70" t="s">
        <v>68</v>
      </c>
    </row>
    <row r="94" spans="5:11" ht="12.75">
      <c r="E94" s="7" t="s">
        <v>5</v>
      </c>
      <c r="F94" s="8" t="s">
        <v>6</v>
      </c>
      <c r="G94" s="9" t="s">
        <v>7</v>
      </c>
      <c r="H94" s="109" t="s">
        <v>6</v>
      </c>
      <c r="I94" s="110" t="s">
        <v>7</v>
      </c>
      <c r="J94" s="111" t="s">
        <v>8</v>
      </c>
      <c r="K94" s="73" t="s">
        <v>8</v>
      </c>
    </row>
    <row r="95" spans="5:11" ht="12.75">
      <c r="E95" s="18" t="s">
        <v>22</v>
      </c>
      <c r="F95" s="18" t="s">
        <v>23</v>
      </c>
      <c r="G95" s="18" t="s">
        <v>36</v>
      </c>
      <c r="H95" s="112" t="s">
        <v>24</v>
      </c>
      <c r="I95" s="112" t="s">
        <v>25</v>
      </c>
      <c r="J95" s="112" t="s">
        <v>26</v>
      </c>
      <c r="K95" s="113" t="s">
        <v>61</v>
      </c>
    </row>
    <row r="96" spans="3:14" ht="12.75">
      <c r="C96" s="19" t="s">
        <v>28</v>
      </c>
      <c r="D96" t="s">
        <v>9</v>
      </c>
      <c r="E96" s="10">
        <v>0</v>
      </c>
      <c r="F96" s="11">
        <v>150</v>
      </c>
      <c r="G96" s="4">
        <f>E96*F96</f>
        <v>0</v>
      </c>
      <c r="H96" s="91">
        <f>F96</f>
        <v>150</v>
      </c>
      <c r="I96" s="4">
        <f>H96*E96</f>
        <v>0</v>
      </c>
      <c r="J96" s="15">
        <f>I96-G96</f>
        <v>0</v>
      </c>
      <c r="N96" s="15">
        <f>J96</f>
        <v>0</v>
      </c>
    </row>
    <row r="97" spans="3:13" ht="12.75">
      <c r="C97" s="19" t="s">
        <v>29</v>
      </c>
      <c r="D97" t="s">
        <v>17</v>
      </c>
      <c r="E97" s="10">
        <v>0</v>
      </c>
      <c r="F97" s="11">
        <v>5.39</v>
      </c>
      <c r="G97" s="4">
        <f>E97*F97</f>
        <v>0</v>
      </c>
      <c r="H97" s="114">
        <v>7.29</v>
      </c>
      <c r="I97" s="4">
        <f>H97*E97</f>
        <v>0</v>
      </c>
      <c r="J97" s="15">
        <f>I97-G97</f>
        <v>0</v>
      </c>
      <c r="M97" s="15">
        <f>J97</f>
        <v>0</v>
      </c>
    </row>
    <row r="98" spans="1:10" ht="12.75">
      <c r="A98" s="134"/>
      <c r="C98" s="19" t="s">
        <v>30</v>
      </c>
      <c r="D98" t="s">
        <v>42</v>
      </c>
      <c r="E98" s="10">
        <v>0</v>
      </c>
      <c r="F98" s="12">
        <v>0.03563</v>
      </c>
      <c r="G98" s="4">
        <f>E98*F98</f>
        <v>0</v>
      </c>
      <c r="H98" s="46">
        <f>F98</f>
        <v>0.03563</v>
      </c>
      <c r="I98" s="4">
        <f>H98*E98</f>
        <v>0</v>
      </c>
      <c r="J98" s="15">
        <f>I98-G98</f>
        <v>0</v>
      </c>
    </row>
    <row r="99" spans="1:10" ht="12.75">
      <c r="A99" s="134"/>
      <c r="C99" s="19" t="s">
        <v>31</v>
      </c>
      <c r="D99" t="s">
        <v>43</v>
      </c>
      <c r="E99" s="10">
        <v>0</v>
      </c>
      <c r="F99" s="12">
        <v>0.03506</v>
      </c>
      <c r="G99" s="4">
        <f>E99*F99</f>
        <v>0</v>
      </c>
      <c r="H99" s="46">
        <f>F99</f>
        <v>0.03506</v>
      </c>
      <c r="I99" s="4">
        <f>H99*E99</f>
        <v>0</v>
      </c>
      <c r="J99" s="15">
        <f>I99-G99</f>
        <v>0</v>
      </c>
    </row>
    <row r="100" spans="3:10" ht="12.75">
      <c r="C100" s="19" t="s">
        <v>32</v>
      </c>
      <c r="D100" t="s">
        <v>11</v>
      </c>
      <c r="E100" s="10"/>
      <c r="F100" s="12"/>
      <c r="G100" s="25">
        <v>0</v>
      </c>
      <c r="H100" s="13"/>
      <c r="I100" s="20"/>
      <c r="J100" s="38"/>
    </row>
    <row r="101" spans="3:10" ht="12.75">
      <c r="C101" s="19" t="s">
        <v>33</v>
      </c>
      <c r="D101" t="s">
        <v>12</v>
      </c>
      <c r="G101" s="22">
        <f>SUM(G96:G100)</f>
        <v>0</v>
      </c>
      <c r="I101" s="22">
        <f>SUM(I96:I100)</f>
        <v>0</v>
      </c>
      <c r="J101" s="15">
        <f>SUM(J96:J100)</f>
        <v>0</v>
      </c>
    </row>
    <row r="102" spans="3:10" ht="12.75">
      <c r="C102" s="19" t="s">
        <v>34</v>
      </c>
      <c r="D102" t="s">
        <v>13</v>
      </c>
      <c r="G102" s="4">
        <v>0</v>
      </c>
      <c r="I102" s="4">
        <v>0</v>
      </c>
      <c r="J102" s="50">
        <f>I102-G102</f>
        <v>0</v>
      </c>
    </row>
    <row r="103" spans="3:10" ht="12.75">
      <c r="C103" s="19" t="s">
        <v>35</v>
      </c>
      <c r="D103" t="s">
        <v>14</v>
      </c>
      <c r="G103" s="20">
        <v>0</v>
      </c>
      <c r="I103" s="20">
        <v>0</v>
      </c>
      <c r="J103" s="53">
        <f>I103-G103</f>
        <v>0</v>
      </c>
    </row>
    <row r="104" spans="3:11" ht="12.75">
      <c r="C104" s="19" t="s">
        <v>40</v>
      </c>
      <c r="D104" t="s">
        <v>16</v>
      </c>
      <c r="G104" s="26">
        <f>+G101+G102+G103</f>
        <v>0</v>
      </c>
      <c r="I104" s="26">
        <f>+I101+I102+I103</f>
        <v>0</v>
      </c>
      <c r="J104" s="15">
        <f>SUM(J101:J103)</f>
        <v>0</v>
      </c>
      <c r="K104" s="39" t="e">
        <f>I104/G104-1</f>
        <v>#DIV/0!</v>
      </c>
    </row>
    <row r="105" spans="3:11" ht="12.75">
      <c r="C105" s="19" t="s">
        <v>100</v>
      </c>
      <c r="D105" t="s">
        <v>99</v>
      </c>
      <c r="G105" s="96" t="e">
        <f>G104/E96</f>
        <v>#DIV/0!</v>
      </c>
      <c r="I105" s="96" t="e">
        <f>I104/E96</f>
        <v>#DIV/0!</v>
      </c>
      <c r="J105" t="e">
        <f>I105-G105</f>
        <v>#DIV/0!</v>
      </c>
      <c r="K105" s="39" t="e">
        <f>I105/G105-1</f>
        <v>#DIV/0!</v>
      </c>
    </row>
    <row r="107" ht="12.75">
      <c r="D107" s="2" t="s">
        <v>0</v>
      </c>
    </row>
    <row r="108" ht="12.75">
      <c r="D108" s="2" t="s">
        <v>46</v>
      </c>
    </row>
    <row r="109" spans="5:11" ht="12.75">
      <c r="E109" s="5" t="s">
        <v>2</v>
      </c>
      <c r="F109" s="35" t="s">
        <v>3</v>
      </c>
      <c r="G109" s="36"/>
      <c r="H109" s="106" t="s">
        <v>4</v>
      </c>
      <c r="I109" s="107"/>
      <c r="J109" s="108" t="s">
        <v>67</v>
      </c>
      <c r="K109" s="70" t="s">
        <v>68</v>
      </c>
    </row>
    <row r="110" spans="5:11" ht="12.75">
      <c r="E110" s="7" t="s">
        <v>5</v>
      </c>
      <c r="F110" s="8" t="s">
        <v>6</v>
      </c>
      <c r="G110" s="9" t="s">
        <v>7</v>
      </c>
      <c r="H110" s="109" t="s">
        <v>6</v>
      </c>
      <c r="I110" s="110" t="s">
        <v>7</v>
      </c>
      <c r="J110" s="111" t="s">
        <v>8</v>
      </c>
      <c r="K110" s="73" t="s">
        <v>8</v>
      </c>
    </row>
    <row r="111" spans="5:11" ht="12.75">
      <c r="E111" s="18" t="s">
        <v>22</v>
      </c>
      <c r="F111" s="18" t="s">
        <v>23</v>
      </c>
      <c r="G111" s="18" t="s">
        <v>36</v>
      </c>
      <c r="H111" s="112" t="s">
        <v>24</v>
      </c>
      <c r="I111" s="112" t="s">
        <v>25</v>
      </c>
      <c r="J111" s="112" t="s">
        <v>26</v>
      </c>
      <c r="K111" s="113" t="s">
        <v>61</v>
      </c>
    </row>
    <row r="112" spans="3:14" ht="12.75">
      <c r="C112" s="19" t="s">
        <v>28</v>
      </c>
      <c r="D112" t="s">
        <v>9</v>
      </c>
      <c r="E112" s="10">
        <v>0</v>
      </c>
      <c r="F112" s="11">
        <v>1069</v>
      </c>
      <c r="G112" s="4">
        <f>E112*F112</f>
        <v>0</v>
      </c>
      <c r="H112" s="91">
        <f>F112</f>
        <v>1069</v>
      </c>
      <c r="I112" s="4">
        <f>H112*E112</f>
        <v>0</v>
      </c>
      <c r="J112" s="15">
        <f>I112-G112</f>
        <v>0</v>
      </c>
      <c r="N112" s="15">
        <f>J112</f>
        <v>0</v>
      </c>
    </row>
    <row r="113" spans="3:13" ht="12.75">
      <c r="C113" s="19" t="s">
        <v>29</v>
      </c>
      <c r="D113" t="s">
        <v>17</v>
      </c>
      <c r="E113" s="10">
        <v>0</v>
      </c>
      <c r="F113" s="11">
        <v>5.39</v>
      </c>
      <c r="G113" s="4">
        <f>E113*F113</f>
        <v>0</v>
      </c>
      <c r="H113" s="114">
        <v>7.29</v>
      </c>
      <c r="I113" s="4">
        <f>H113*E113</f>
        <v>0</v>
      </c>
      <c r="J113" s="15">
        <f>I113-G113</f>
        <v>0</v>
      </c>
      <c r="M113" s="15">
        <f>J113</f>
        <v>0</v>
      </c>
    </row>
    <row r="114" spans="3:10" ht="12.75">
      <c r="C114" s="19" t="s">
        <v>30</v>
      </c>
      <c r="D114" t="s">
        <v>42</v>
      </c>
      <c r="E114" s="10">
        <v>0</v>
      </c>
      <c r="F114" s="12">
        <v>0.03063</v>
      </c>
      <c r="G114" s="4">
        <f>E114*F114</f>
        <v>0</v>
      </c>
      <c r="H114" s="46">
        <f>F114</f>
        <v>0.03063</v>
      </c>
      <c r="I114" s="4">
        <f>H114*E114</f>
        <v>0</v>
      </c>
      <c r="J114" s="15">
        <f>I114-G114</f>
        <v>0</v>
      </c>
    </row>
    <row r="115" spans="3:10" ht="12.75">
      <c r="C115" s="19" t="s">
        <v>31</v>
      </c>
      <c r="D115" t="s">
        <v>43</v>
      </c>
      <c r="E115" s="10">
        <v>0</v>
      </c>
      <c r="F115" s="12">
        <v>0.03018</v>
      </c>
      <c r="G115" s="4">
        <f>E115*F115</f>
        <v>0</v>
      </c>
      <c r="H115" s="46">
        <f>F115</f>
        <v>0.03018</v>
      </c>
      <c r="I115" s="4">
        <f>H115*E115</f>
        <v>0</v>
      </c>
      <c r="J115" s="15">
        <f>I115-G115</f>
        <v>0</v>
      </c>
    </row>
    <row r="116" spans="3:10" ht="12.75">
      <c r="C116" s="19" t="s">
        <v>32</v>
      </c>
      <c r="D116" t="s">
        <v>11</v>
      </c>
      <c r="E116" s="10"/>
      <c r="F116" s="12"/>
      <c r="G116" s="25">
        <v>0</v>
      </c>
      <c r="H116" s="13"/>
      <c r="I116" s="20"/>
      <c r="J116" s="38"/>
    </row>
    <row r="117" spans="3:10" ht="12.75">
      <c r="C117" s="19" t="s">
        <v>33</v>
      </c>
      <c r="D117" t="s">
        <v>12</v>
      </c>
      <c r="G117" s="22">
        <f>SUM(G112:G116)</f>
        <v>0</v>
      </c>
      <c r="I117" s="22">
        <f>SUM(I112:I116)</f>
        <v>0</v>
      </c>
      <c r="J117" s="15">
        <f>SUM(J112:J116)</f>
        <v>0</v>
      </c>
    </row>
    <row r="118" spans="3:10" ht="12.75">
      <c r="C118" s="19" t="s">
        <v>34</v>
      </c>
      <c r="D118" t="s">
        <v>13</v>
      </c>
      <c r="G118" s="4">
        <v>0</v>
      </c>
      <c r="I118" s="4">
        <v>0</v>
      </c>
      <c r="J118" s="50">
        <f>I118-G118</f>
        <v>0</v>
      </c>
    </row>
    <row r="119" spans="3:10" ht="12.75">
      <c r="C119" s="19" t="s">
        <v>35</v>
      </c>
      <c r="D119" t="s">
        <v>14</v>
      </c>
      <c r="G119" s="20">
        <v>0</v>
      </c>
      <c r="I119" s="20">
        <v>0</v>
      </c>
      <c r="J119" s="53">
        <f>I119-G119</f>
        <v>0</v>
      </c>
    </row>
    <row r="120" spans="3:11" ht="12.75">
      <c r="C120" s="19" t="s">
        <v>40</v>
      </c>
      <c r="D120" t="s">
        <v>16</v>
      </c>
      <c r="G120" s="26">
        <f>+G117+G118+G119</f>
        <v>0</v>
      </c>
      <c r="I120" s="26">
        <f>+I117+I118+I119</f>
        <v>0</v>
      </c>
      <c r="J120" s="26">
        <f>+J117+J118+J119</f>
        <v>0</v>
      </c>
      <c r="K120" s="39" t="e">
        <f>I120/G120-1</f>
        <v>#DIV/0!</v>
      </c>
    </row>
    <row r="121" spans="3:11" ht="12.75">
      <c r="C121" s="19" t="s">
        <v>100</v>
      </c>
      <c r="D121" t="s">
        <v>99</v>
      </c>
      <c r="G121" s="96" t="e">
        <f>G120/E112</f>
        <v>#DIV/0!</v>
      </c>
      <c r="I121" s="96" t="e">
        <f>I120/E112</f>
        <v>#DIV/0!</v>
      </c>
      <c r="J121" t="e">
        <f>I121-G121</f>
        <v>#DIV/0!</v>
      </c>
      <c r="K121" s="39" t="e">
        <f>I121/G121-1</f>
        <v>#DIV/0!</v>
      </c>
    </row>
    <row r="122" spans="13:15" ht="12.75">
      <c r="M122" s="57" t="s">
        <v>74</v>
      </c>
      <c r="N122" s="9" t="s">
        <v>72</v>
      </c>
      <c r="O122" s="58" t="s">
        <v>73</v>
      </c>
    </row>
    <row r="123" spans="1:10" ht="45">
      <c r="A123" s="135" t="s">
        <v>71</v>
      </c>
      <c r="B123" s="10">
        <f>SUM(B13:B120)</f>
        <v>249337551</v>
      </c>
      <c r="D123" s="62" t="s">
        <v>89</v>
      </c>
      <c r="J123" s="15">
        <f>J19+J37+J53+J69+J88+J104+J120</f>
        <v>980069.5902476753</v>
      </c>
    </row>
    <row r="124" spans="1:10" ht="15">
      <c r="A124" s="135" t="s">
        <v>70</v>
      </c>
      <c r="B124" s="54">
        <f>'Sch YL-1'!G22</f>
        <v>7631260</v>
      </c>
      <c r="D124" s="62" t="s">
        <v>90</v>
      </c>
      <c r="J124" s="61">
        <f>'Sch YL-1'!J22</f>
        <v>29996.154915313808</v>
      </c>
    </row>
    <row r="125" spans="1:17" ht="30">
      <c r="A125" s="135" t="s">
        <v>75</v>
      </c>
      <c r="B125" s="10">
        <f>B123+B124</f>
        <v>256968811</v>
      </c>
      <c r="D125" t="s">
        <v>91</v>
      </c>
      <c r="J125" s="15">
        <f>J123+J124</f>
        <v>1010065.7451629891</v>
      </c>
      <c r="P125" t="s">
        <v>76</v>
      </c>
      <c r="Q125" s="55">
        <v>1010066</v>
      </c>
    </row>
    <row r="127" spans="4:17" ht="12.75">
      <c r="D127" s="64" t="s">
        <v>92</v>
      </c>
      <c r="E127" s="40"/>
      <c r="F127" s="40"/>
      <c r="G127" s="40"/>
      <c r="H127" s="40"/>
      <c r="I127" s="40"/>
      <c r="J127" s="56">
        <f>Q125</f>
        <v>1010066</v>
      </c>
      <c r="K127" s="40"/>
      <c r="L127" s="40"/>
      <c r="M127" s="55">
        <f>SUM(M12:M119)</f>
        <v>0</v>
      </c>
      <c r="O127" s="40"/>
      <c r="P127" t="s">
        <v>77</v>
      </c>
      <c r="Q127" s="56">
        <f>Q125-M127</f>
        <v>1010066</v>
      </c>
    </row>
    <row r="128" spans="4:17" ht="12.75">
      <c r="D128" s="65" t="s">
        <v>93</v>
      </c>
      <c r="E128" s="40"/>
      <c r="F128" s="40"/>
      <c r="G128" s="40"/>
      <c r="H128" s="40"/>
      <c r="I128" s="40"/>
      <c r="J128" s="63">
        <f>J125-J127</f>
        <v>-0.25483701087068766</v>
      </c>
      <c r="K128" s="40"/>
      <c r="L128" s="40"/>
      <c r="M128" s="40"/>
      <c r="N128" s="40"/>
      <c r="O128" s="40"/>
      <c r="Q128" s="40"/>
    </row>
    <row r="129" spans="4:17" ht="12.75"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55">
        <f>SUM(N12:N119)</f>
        <v>0</v>
      </c>
      <c r="O129" s="40"/>
      <c r="P129" t="s">
        <v>78</v>
      </c>
      <c r="Q129" s="56">
        <f>Q127-N129</f>
        <v>1010066</v>
      </c>
    </row>
    <row r="130" spans="4:17" ht="12.75">
      <c r="D130" s="40"/>
      <c r="E130" s="40"/>
      <c r="F130" s="40"/>
      <c r="G130" s="40"/>
      <c r="H130" s="40"/>
      <c r="I130" s="37"/>
      <c r="J130" s="37"/>
      <c r="K130" s="37"/>
      <c r="L130" s="37"/>
      <c r="M130" s="37"/>
      <c r="N130" s="37"/>
      <c r="O130" s="37"/>
      <c r="Q130" s="40"/>
    </row>
    <row r="131" spans="4:17" ht="12.75">
      <c r="D131" s="40"/>
      <c r="E131" s="40"/>
      <c r="F131" s="40"/>
      <c r="G131" s="40"/>
      <c r="H131" s="40"/>
      <c r="I131" s="37"/>
      <c r="J131" s="37"/>
      <c r="K131" s="37"/>
      <c r="L131" s="37"/>
      <c r="M131" s="37"/>
      <c r="N131" s="37"/>
      <c r="O131" s="37"/>
      <c r="P131" t="s">
        <v>79</v>
      </c>
      <c r="Q131" s="59">
        <f>Q129/B125</f>
        <v>0.003930694920015021</v>
      </c>
    </row>
    <row r="147" spans="4:17" ht="12.75">
      <c r="D147" s="40"/>
      <c r="E147" s="40"/>
      <c r="F147" s="40"/>
      <c r="G147" s="40"/>
      <c r="H147" s="40"/>
      <c r="I147" s="37"/>
      <c r="J147" s="37"/>
      <c r="K147" s="37"/>
      <c r="L147" s="37"/>
      <c r="M147" s="37"/>
      <c r="N147" s="37"/>
      <c r="O147" s="37"/>
      <c r="P147" s="37"/>
      <c r="Q147" s="40"/>
    </row>
    <row r="148" spans="4:17" ht="12.75">
      <c r="D148" s="40"/>
      <c r="E148" s="40"/>
      <c r="F148" s="40"/>
      <c r="G148" s="40"/>
      <c r="H148" s="40"/>
      <c r="I148" s="30"/>
      <c r="J148" s="30"/>
      <c r="K148" s="30"/>
      <c r="L148" s="30"/>
      <c r="M148" s="37"/>
      <c r="N148" s="30"/>
      <c r="O148" s="30"/>
      <c r="P148" s="41"/>
      <c r="Q148" s="40"/>
    </row>
    <row r="149" spans="4:17" ht="12.75"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4:17" ht="12.75">
      <c r="D150" s="40"/>
      <c r="E150" s="40"/>
      <c r="F150" s="40"/>
      <c r="G150" s="40"/>
      <c r="H150" s="40"/>
      <c r="I150" s="42"/>
      <c r="J150" s="34"/>
      <c r="K150" s="26"/>
      <c r="L150" s="40"/>
      <c r="M150" s="43"/>
      <c r="N150" s="34"/>
      <c r="O150" s="26"/>
      <c r="P150" s="44"/>
      <c r="Q150" s="40"/>
    </row>
    <row r="151" spans="4:17" ht="12.75">
      <c r="D151" s="40"/>
      <c r="E151" s="40"/>
      <c r="F151" s="40"/>
      <c r="G151" s="40"/>
      <c r="H151" s="40"/>
      <c r="I151" s="42"/>
      <c r="J151" s="34"/>
      <c r="K151" s="26"/>
      <c r="L151" s="40"/>
      <c r="M151" s="43"/>
      <c r="N151" s="34"/>
      <c r="O151" s="26"/>
      <c r="P151" s="44"/>
      <c r="Q151" s="40"/>
    </row>
    <row r="152" spans="4:17" ht="12.75">
      <c r="D152" s="40"/>
      <c r="E152" s="40"/>
      <c r="F152" s="40"/>
      <c r="G152" s="40"/>
      <c r="H152" s="40"/>
      <c r="I152" s="42"/>
      <c r="J152" s="34"/>
      <c r="K152" s="26"/>
      <c r="L152" s="40"/>
      <c r="M152" s="43"/>
      <c r="N152" s="34"/>
      <c r="O152" s="26"/>
      <c r="P152" s="44"/>
      <c r="Q152" s="40"/>
    </row>
    <row r="153" spans="4:17" ht="12.75">
      <c r="D153" s="40"/>
      <c r="E153" s="40"/>
      <c r="F153" s="40"/>
      <c r="G153" s="40"/>
      <c r="H153" s="40"/>
      <c r="I153" s="42"/>
      <c r="J153" s="34"/>
      <c r="K153" s="26"/>
      <c r="L153" s="40"/>
      <c r="M153" s="43"/>
      <c r="N153" s="34"/>
      <c r="O153" s="26"/>
      <c r="P153" s="44"/>
      <c r="Q153" s="40"/>
    </row>
    <row r="154" spans="4:17" ht="12.75">
      <c r="D154" s="40"/>
      <c r="E154" s="40"/>
      <c r="F154" s="40"/>
      <c r="G154" s="40"/>
      <c r="H154" s="40"/>
      <c r="I154" s="42"/>
      <c r="J154" s="34"/>
      <c r="K154" s="26"/>
      <c r="L154" s="40"/>
      <c r="M154" s="43"/>
      <c r="N154" s="34"/>
      <c r="O154" s="26"/>
      <c r="P154" s="44"/>
      <c r="Q154" s="40"/>
    </row>
    <row r="155" spans="4:17" ht="12.75">
      <c r="D155" s="40"/>
      <c r="E155" s="40"/>
      <c r="F155" s="40"/>
      <c r="G155" s="40"/>
      <c r="H155" s="40"/>
      <c r="I155" s="40"/>
      <c r="J155" s="34"/>
      <c r="K155" s="34"/>
      <c r="L155" s="40"/>
      <c r="M155" s="40"/>
      <c r="N155" s="40"/>
      <c r="O155" s="40"/>
      <c r="P155" s="40"/>
      <c r="Q155" s="40"/>
    </row>
    <row r="156" spans="4:17" ht="12.75">
      <c r="D156" s="40"/>
      <c r="E156" s="40"/>
      <c r="F156" s="40"/>
      <c r="G156" s="40"/>
      <c r="H156" s="40"/>
      <c r="I156" s="40"/>
      <c r="J156" s="34"/>
      <c r="K156" s="34"/>
      <c r="L156" s="40"/>
      <c r="M156" s="40"/>
      <c r="N156" s="40"/>
      <c r="O156" s="40"/>
      <c r="P156" s="40"/>
      <c r="Q156" s="40"/>
    </row>
    <row r="157" spans="2:17" ht="12.75">
      <c r="B157" s="3"/>
      <c r="D157" s="40"/>
      <c r="E157" s="40"/>
      <c r="F157" s="40"/>
      <c r="G157" s="40"/>
      <c r="H157" s="40"/>
      <c r="I157" s="43"/>
      <c r="J157" s="34"/>
      <c r="K157" s="26"/>
      <c r="L157" s="40"/>
      <c r="M157" s="43"/>
      <c r="N157" s="40"/>
      <c r="O157" s="26"/>
      <c r="P157" s="44"/>
      <c r="Q157" s="40"/>
    </row>
    <row r="159" spans="1:2" ht="12.75">
      <c r="A159" s="136"/>
      <c r="B159" s="10"/>
    </row>
  </sheetData>
  <mergeCells count="10">
    <mergeCell ref="F9:G9"/>
    <mergeCell ref="H9:I9"/>
    <mergeCell ref="F28:G28"/>
    <mergeCell ref="H28:I28"/>
    <mergeCell ref="H77:I77"/>
    <mergeCell ref="H58:I58"/>
    <mergeCell ref="H43:I43"/>
    <mergeCell ref="F43:G43"/>
    <mergeCell ref="F58:G58"/>
    <mergeCell ref="F77:G77"/>
  </mergeCells>
  <printOptions horizontalCentered="1"/>
  <pageMargins left="0.57" right="0.31" top="1" bottom="1" header="0.5" footer="0.5"/>
  <pageSetup fitToHeight="0" fitToWidth="1" horizontalDpi="600" verticalDpi="600" orientation="portrait" scale="48" r:id="rId3"/>
  <rowBreaks count="1" manualBreakCount="1">
    <brk id="7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B36" sqref="B36"/>
    </sheetView>
  </sheetViews>
  <sheetFormatPr defaultColWidth="9.140625" defaultRowHeight="12.75"/>
  <cols>
    <col min="1" max="1" width="8.57421875" style="66" customWidth="1"/>
    <col min="2" max="2" width="18.140625" style="66" customWidth="1"/>
    <col min="3" max="4" width="9.140625" style="66" customWidth="1"/>
    <col min="5" max="5" width="13.28125" style="66" customWidth="1"/>
    <col min="6" max="6" width="8.7109375" style="66" bestFit="1" customWidth="1"/>
    <col min="7" max="7" width="15.421875" style="66" customWidth="1"/>
    <col min="8" max="8" width="9.140625" style="66" customWidth="1"/>
    <col min="9" max="9" width="12.28125" style="66" bestFit="1" customWidth="1"/>
    <col min="10" max="10" width="10.28125" style="66" customWidth="1"/>
    <col min="11" max="16384" width="9.140625" style="66" customWidth="1"/>
  </cols>
  <sheetData>
    <row r="1" ht="12.75">
      <c r="K1" s="137" t="s">
        <v>104</v>
      </c>
    </row>
    <row r="2" ht="12.75">
      <c r="K2" s="137" t="s">
        <v>105</v>
      </c>
    </row>
    <row r="3" ht="12.75">
      <c r="K3" s="137" t="s">
        <v>109</v>
      </c>
    </row>
    <row r="4" ht="12.75">
      <c r="A4" s="66" t="s">
        <v>19</v>
      </c>
    </row>
    <row r="6" ht="12.75">
      <c r="A6" s="28" t="s">
        <v>44</v>
      </c>
    </row>
    <row r="9" ht="12.75">
      <c r="A9" s="2" t="s">
        <v>0</v>
      </c>
    </row>
    <row r="10" ht="12.75">
      <c r="A10" s="2" t="s">
        <v>47</v>
      </c>
    </row>
    <row r="13" spans="1:11" ht="12.75">
      <c r="A13" s="100"/>
      <c r="B13" s="101"/>
      <c r="C13" s="108" t="s">
        <v>49</v>
      </c>
      <c r="D13" s="108" t="s">
        <v>6</v>
      </c>
      <c r="E13" s="108"/>
      <c r="F13" s="108" t="s">
        <v>54</v>
      </c>
      <c r="G13" s="108" t="s">
        <v>57</v>
      </c>
      <c r="H13" s="108" t="s">
        <v>4</v>
      </c>
      <c r="I13" s="108" t="s">
        <v>4</v>
      </c>
      <c r="J13" s="108"/>
      <c r="K13" s="108"/>
    </row>
    <row r="14" spans="1:11" ht="12.75">
      <c r="A14" s="102"/>
      <c r="B14" s="103"/>
      <c r="C14" s="117" t="s">
        <v>2</v>
      </c>
      <c r="D14" s="117" t="s">
        <v>51</v>
      </c>
      <c r="E14" s="117" t="s">
        <v>49</v>
      </c>
      <c r="F14" s="117" t="s">
        <v>55</v>
      </c>
      <c r="G14" s="117" t="s">
        <v>58</v>
      </c>
      <c r="H14" s="117" t="s">
        <v>62</v>
      </c>
      <c r="I14" s="117" t="s">
        <v>63</v>
      </c>
      <c r="J14" s="117" t="s">
        <v>67</v>
      </c>
      <c r="K14" s="117" t="s">
        <v>68</v>
      </c>
    </row>
    <row r="15" spans="1:11" ht="12.75">
      <c r="A15" s="104"/>
      <c r="B15" s="105"/>
      <c r="C15" s="69" t="s">
        <v>50</v>
      </c>
      <c r="D15" s="69" t="s">
        <v>52</v>
      </c>
      <c r="E15" s="69" t="s">
        <v>53</v>
      </c>
      <c r="F15" s="69" t="s">
        <v>56</v>
      </c>
      <c r="G15" s="69" t="s">
        <v>59</v>
      </c>
      <c r="H15" s="69" t="s">
        <v>63</v>
      </c>
      <c r="I15" s="69" t="s">
        <v>7</v>
      </c>
      <c r="J15" s="69" t="s">
        <v>64</v>
      </c>
      <c r="K15" s="69" t="s">
        <v>64</v>
      </c>
    </row>
    <row r="16" spans="1:11" ht="12.75">
      <c r="A16" s="149" t="s">
        <v>48</v>
      </c>
      <c r="B16" s="150"/>
      <c r="C16" s="118" t="s">
        <v>22</v>
      </c>
      <c r="D16" s="118" t="s">
        <v>23</v>
      </c>
      <c r="E16" s="118" t="s">
        <v>36</v>
      </c>
      <c r="F16" s="118" t="s">
        <v>24</v>
      </c>
      <c r="G16" s="118" t="s">
        <v>60</v>
      </c>
      <c r="H16" s="118" t="s">
        <v>26</v>
      </c>
      <c r="I16" s="118" t="s">
        <v>61</v>
      </c>
      <c r="J16" s="118" t="s">
        <v>65</v>
      </c>
      <c r="K16" s="118" t="s">
        <v>69</v>
      </c>
    </row>
    <row r="17" spans="1:11" ht="12.75">
      <c r="A17" s="138">
        <v>175</v>
      </c>
      <c r="B17" s="66" t="s">
        <v>102</v>
      </c>
      <c r="C17" s="119">
        <v>74182</v>
      </c>
      <c r="D17" s="120">
        <v>6.57</v>
      </c>
      <c r="E17" s="121">
        <f>C17*D17</f>
        <v>487375.74000000005</v>
      </c>
      <c r="F17" s="66">
        <v>70</v>
      </c>
      <c r="G17" s="122">
        <f>F17*C17</f>
        <v>5192740</v>
      </c>
      <c r="H17" s="123">
        <f>D17+F17*'Billing Analysis'!$Q$131</f>
        <v>6.845148644401052</v>
      </c>
      <c r="I17" s="121">
        <f>H17*C17</f>
        <v>507786.8167389588</v>
      </c>
      <c r="J17" s="121">
        <f>I17-E17</f>
        <v>20411.07673895877</v>
      </c>
      <c r="K17" s="124">
        <f aca="true" t="shared" si="0" ref="K17:K22">I17/E17-1</f>
        <v>0.04187955013714628</v>
      </c>
    </row>
    <row r="18" spans="1:11" ht="12.75">
      <c r="A18" s="138">
        <v>400</v>
      </c>
      <c r="B18" s="66" t="s">
        <v>102</v>
      </c>
      <c r="C18" s="119">
        <v>13101</v>
      </c>
      <c r="D18" s="120">
        <v>9.4</v>
      </c>
      <c r="E18" s="121">
        <f>C18*D18</f>
        <v>123149.40000000001</v>
      </c>
      <c r="F18" s="66">
        <v>154</v>
      </c>
      <c r="G18" s="122">
        <f>F18*C18</f>
        <v>2017554</v>
      </c>
      <c r="H18" s="123">
        <f>D18+F18*'Billing Analysis'!$Q$131</f>
        <v>10.005327017682314</v>
      </c>
      <c r="I18" s="121">
        <f>H18*C18</f>
        <v>131079.789258656</v>
      </c>
      <c r="J18" s="121">
        <f>I18-E18</f>
        <v>7930.389258655996</v>
      </c>
      <c r="K18" s="124">
        <f t="shared" si="0"/>
        <v>0.06439649124279945</v>
      </c>
    </row>
    <row r="19" spans="1:11" ht="12.75">
      <c r="A19" s="138">
        <v>500</v>
      </c>
      <c r="B19" s="66" t="s">
        <v>102</v>
      </c>
      <c r="C19" s="119">
        <v>144</v>
      </c>
      <c r="D19" s="120">
        <v>10.78</v>
      </c>
      <c r="E19" s="121">
        <f>C19*D19</f>
        <v>1552.32</v>
      </c>
      <c r="F19" s="66">
        <v>210</v>
      </c>
      <c r="G19" s="122">
        <f>F19*C19</f>
        <v>30240</v>
      </c>
      <c r="H19" s="123">
        <f>D19+F19*'Billing Analysis'!$Q$131</f>
        <v>11.605445933203153</v>
      </c>
      <c r="I19" s="121">
        <f>H19*C19</f>
        <v>1671.1842143812542</v>
      </c>
      <c r="J19" s="121">
        <f>I19-E19</f>
        <v>118.86421438125421</v>
      </c>
      <c r="K19" s="124">
        <f t="shared" si="0"/>
        <v>0.0765719789613315</v>
      </c>
    </row>
    <row r="20" spans="1:11" ht="12.75">
      <c r="A20" s="138">
        <v>1500</v>
      </c>
      <c r="B20" s="66" t="s">
        <v>102</v>
      </c>
      <c r="C20" s="119">
        <v>24</v>
      </c>
      <c r="D20" s="120">
        <v>23.67</v>
      </c>
      <c r="E20" s="121">
        <f>C20*D20</f>
        <v>568.08</v>
      </c>
      <c r="F20" s="66">
        <v>630</v>
      </c>
      <c r="G20" s="122">
        <f>F20*C20</f>
        <v>15120</v>
      </c>
      <c r="H20" s="123">
        <f>D20+F20*'Billing Analysis'!$Q$131</f>
        <v>26.146337799609466</v>
      </c>
      <c r="I20" s="121">
        <f>H20*C20</f>
        <v>627.5121071906271</v>
      </c>
      <c r="J20" s="121">
        <f>I20-E20</f>
        <v>59.43210719062711</v>
      </c>
      <c r="K20" s="124">
        <f t="shared" si="0"/>
        <v>0.10461925642625536</v>
      </c>
    </row>
    <row r="21" spans="1:11" ht="12.75">
      <c r="A21" s="138">
        <v>400</v>
      </c>
      <c r="B21" s="66" t="s">
        <v>103</v>
      </c>
      <c r="C21" s="125">
        <v>2439</v>
      </c>
      <c r="D21" s="120">
        <v>13.24</v>
      </c>
      <c r="E21" s="67">
        <f>C21*D21</f>
        <v>32292.36</v>
      </c>
      <c r="F21" s="66">
        <v>154</v>
      </c>
      <c r="G21" s="126">
        <f>F21*C21</f>
        <v>375606</v>
      </c>
      <c r="H21" s="123">
        <f>D21+F21*'Billing Analysis'!$Q$131</f>
        <v>13.845327017682314</v>
      </c>
      <c r="I21" s="67">
        <f>H21*C21</f>
        <v>33768.75259612716</v>
      </c>
      <c r="J21" s="67">
        <f>I21-E21</f>
        <v>1476.3925961271598</v>
      </c>
      <c r="K21" s="127">
        <f t="shared" si="0"/>
        <v>0.045719563269056795</v>
      </c>
    </row>
    <row r="22" spans="1:11" ht="12.75">
      <c r="A22" s="66" t="s">
        <v>1</v>
      </c>
      <c r="C22" s="119">
        <f>SUM(C17:C21)</f>
        <v>89890</v>
      </c>
      <c r="E22" s="74">
        <f>SUM(E17:E21)</f>
        <v>644937.8999999999</v>
      </c>
      <c r="F22" s="68"/>
      <c r="G22" s="128">
        <f>SUM(G17:G21)</f>
        <v>7631260</v>
      </c>
      <c r="H22" s="129"/>
      <c r="I22" s="130">
        <f>SUM(I17:I21)</f>
        <v>674934.0549153138</v>
      </c>
      <c r="J22" s="131">
        <f>SUM(J17:J21)</f>
        <v>29996.154915313808</v>
      </c>
      <c r="K22" s="132">
        <f t="shared" si="0"/>
        <v>0.04651014448881652</v>
      </c>
    </row>
    <row r="23" ht="12.75">
      <c r="J23" s="68"/>
    </row>
    <row r="24" spans="1:11" ht="12.75">
      <c r="A24" s="66" t="s">
        <v>101</v>
      </c>
      <c r="E24" s="51">
        <f>E22/C22</f>
        <v>7.174745800422738</v>
      </c>
      <c r="I24" s="51">
        <f>I22/C22</f>
        <v>7.5084442642709295</v>
      </c>
      <c r="J24" s="51">
        <f>I24-E24</f>
        <v>0.3336984638481919</v>
      </c>
      <c r="K24" s="132">
        <f>I24/E24-1</f>
        <v>0.04651014448881674</v>
      </c>
    </row>
    <row r="28" spans="4:9" ht="12.75">
      <c r="D28" s="115"/>
      <c r="E28" s="115"/>
      <c r="F28" s="115"/>
      <c r="G28" s="115"/>
      <c r="H28" s="115"/>
      <c r="I28" s="115"/>
    </row>
  </sheetData>
  <mergeCells count="1">
    <mergeCell ref="A16:B16"/>
  </mergeCells>
  <printOptions/>
  <pageMargins left="0.75" right="0.35" top="1" bottom="1" header="0.5" footer="0.5"/>
  <pageSetup fitToHeight="0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Sandy RECC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Estepp</dc:creator>
  <cp:keywords/>
  <dc:description/>
  <cp:lastModifiedBy>charlene</cp:lastModifiedBy>
  <cp:lastPrinted>2007-03-19T14:52:46Z</cp:lastPrinted>
  <dcterms:created xsi:type="dcterms:W3CDTF">2006-11-28T19:57:28Z</dcterms:created>
  <dcterms:modified xsi:type="dcterms:W3CDTF">2007-03-19T18:39:21Z</dcterms:modified>
  <cp:category/>
  <cp:version/>
  <cp:contentType/>
  <cp:contentStatus/>
</cp:coreProperties>
</file>