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1"/>
  </bookViews>
  <sheets>
    <sheet name="Sch A" sheetId="1" r:id="rId1"/>
    <sheet name="Sch B" sheetId="2" r:id="rId2"/>
    <sheet name="Sch B Support" sheetId="3" r:id="rId3"/>
    <sheet name="Table B-1" sheetId="4" r:id="rId4"/>
    <sheet name="Sch C" sheetId="5" r:id="rId5"/>
    <sheet name="Sch C Support" sheetId="6" r:id="rId6"/>
    <sheet name="Sch C-13" sheetId="7" r:id="rId7"/>
    <sheet name="Data" sheetId="8" r:id="rId8"/>
    <sheet name="2006 Cost-Taps " sheetId="9" r:id="rId9"/>
  </sheets>
  <definedNames>
    <definedName name="_xlnm.Print_Area" localSheetId="8">'2006 Cost-Taps '!$A$1:$E$23</definedName>
    <definedName name="_xlnm.Print_Area" localSheetId="7">'Data'!$A$1:$K$69</definedName>
    <definedName name="_xlnm.Print_Area" localSheetId="0">'Sch A'!$A$1:$I$37</definedName>
    <definedName name="_xlnm.Print_Area" localSheetId="1">'Sch B'!$A$1:$G$104</definedName>
    <definedName name="_xlnm.Print_Area" localSheetId="4">'Sch C'!$A$1:$L$274</definedName>
    <definedName name="_xlnm.Print_Area" localSheetId="5">'Sch C Support'!$A$1:$F$241</definedName>
    <definedName name="_xlnm.Print_Area" localSheetId="6">'Sch C-13'!$A$1:$J$29</definedName>
    <definedName name="_xlnm.Print_Titles" localSheetId="1">'Sch B'!$7:$10</definedName>
    <definedName name="_xlnm.Print_Titles" localSheetId="4">'Sch C'!$6:$9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<sst xmlns="http://schemas.openxmlformats.org/spreadsheetml/2006/main" count="1685" uniqueCount="669">
  <si>
    <t>Customer</t>
  </si>
  <si>
    <t>Cost of Service</t>
  </si>
  <si>
    <t>Amount</t>
  </si>
  <si>
    <t>(Sch. B)</t>
  </si>
  <si>
    <t>Percent</t>
  </si>
  <si>
    <t>Existing Revenues</t>
  </si>
  <si>
    <t>Proposed Revenues</t>
  </si>
  <si>
    <t>Classification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</si>
  <si>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</si>
  <si>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</si>
  <si>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</si>
  <si>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</si>
  <si>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</si>
  <si>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</si>
  <si>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</si>
  <si>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</si>
  <si>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</si>
  <si>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Wholesale Sales</t>
  </si>
  <si>
    <t xml:space="preserve"> - MCWD</t>
  </si>
  <si>
    <t xml:space="preserve"> - Vine Grove</t>
  </si>
  <si>
    <t>Fire Protection</t>
  </si>
  <si>
    <t>Totals</t>
  </si>
  <si>
    <t>Cost Function</t>
  </si>
  <si>
    <t xml:space="preserve">Ref </t>
  </si>
  <si>
    <t>Item</t>
  </si>
  <si>
    <t>Cost of</t>
  </si>
  <si>
    <t>Service</t>
  </si>
  <si>
    <t>Retail</t>
  </si>
  <si>
    <t>Wholesale</t>
  </si>
  <si>
    <t>MCWD</t>
  </si>
  <si>
    <t>Vine Grove</t>
  </si>
  <si>
    <t>Base</t>
  </si>
  <si>
    <t>Total</t>
  </si>
  <si>
    <t>HARDIN COUNTY WATER DISTRICT NO. 1</t>
  </si>
  <si>
    <t>METHODS FOR ALLOCATING COSTS BY FUNCTION TO CUSTOMER CLASSIFICATIONS</t>
  </si>
  <si>
    <t>Customer Classification</t>
  </si>
  <si>
    <t>Average</t>
  </si>
  <si>
    <t>Allocation factors are based on the test year average daily water demand for each customer classification</t>
  </si>
  <si>
    <t>Daily Demand</t>
  </si>
  <si>
    <t>(MGD)</t>
  </si>
  <si>
    <t>Factor</t>
  </si>
  <si>
    <t>Allocation</t>
  </si>
  <si>
    <t>classifcation.</t>
  </si>
  <si>
    <t xml:space="preserve">Maximum </t>
  </si>
  <si>
    <t xml:space="preserve">Allocation factors are based on the test year (2005) maximum day water demand for each customer </t>
  </si>
  <si>
    <t>Max Demand</t>
  </si>
  <si>
    <t>Hour</t>
  </si>
  <si>
    <t>Flow</t>
  </si>
  <si>
    <t>(GPM)</t>
  </si>
  <si>
    <t>(GPH)</t>
  </si>
  <si>
    <t>Size</t>
  </si>
  <si>
    <t xml:space="preserve">Meter  </t>
  </si>
  <si>
    <t>Cost</t>
  </si>
  <si>
    <t>Meters</t>
  </si>
  <si>
    <t>Weight</t>
  </si>
  <si>
    <t>Cost Equiv</t>
  </si>
  <si>
    <t>Fire Service</t>
  </si>
  <si>
    <t>Meter/Service Line Costs</t>
  </si>
  <si>
    <t>Conversation with National Waterworks</t>
  </si>
  <si>
    <t>5/2/06</t>
  </si>
  <si>
    <t>Meter Costs</t>
  </si>
  <si>
    <t>5/8</t>
  </si>
  <si>
    <t>Service Line Costs</t>
  </si>
  <si>
    <t>3/4</t>
  </si>
  <si>
    <t>Ratio to 5/8</t>
  </si>
  <si>
    <t>Ratio to 3/4</t>
  </si>
  <si>
    <t>Capacity Equiv</t>
  </si>
  <si>
    <t>1 Weight determined by multiplying number of meters x meter cost equivalent</t>
  </si>
  <si>
    <t>Cost Equivalents</t>
  </si>
  <si>
    <t>5/8" Service</t>
  </si>
  <si>
    <t>TABLE C-2 - ALLOCATION SERVICE COSTS TO CUSTOMER CLASSES</t>
  </si>
  <si>
    <t>3/4" Meter</t>
  </si>
  <si>
    <t>3/4 Meter</t>
  </si>
  <si>
    <t>Cost/Ft</t>
  </si>
  <si>
    <t>5/8" Meter/</t>
  </si>
  <si>
    <t>Service Line</t>
  </si>
  <si>
    <t>2 Weight determined by multiplying number of meters x meter cost equivalent</t>
  </si>
  <si>
    <t>Notes:</t>
  </si>
  <si>
    <t>1 Capacity Equivalent included as a check on the Cost Equivalent value</t>
  </si>
  <si>
    <t xml:space="preserve">Total </t>
  </si>
  <si>
    <t>Customers</t>
  </si>
  <si>
    <t>Private Fire</t>
  </si>
  <si>
    <t xml:space="preserve">Allocation factors are based on total number of meters.  </t>
  </si>
  <si>
    <t xml:space="preserve">Allocation factors are based on total number of customers.  </t>
  </si>
  <si>
    <t>SCHEDULE B - ALLOCATION OF COST-OF-SERVICE BY FUNCTION TO CUSTOMER CLASSIFICATIONS</t>
  </si>
  <si>
    <t>COST OF SERVICE COMPARISON WITH EXISTING AND PROPOSED REVENUES/RATES</t>
  </si>
  <si>
    <t>FOR TWELVE MONTH PERIOD ENDING DECEMBER 31, 2005</t>
  </si>
  <si>
    <t xml:space="preserve">SCHEDULE A </t>
  </si>
  <si>
    <t xml:space="preserve">SCHEDULE B </t>
  </si>
  <si>
    <t>SCHEDULE B - SUPPORT INFORMATION</t>
  </si>
  <si>
    <t>TABLE B-1 - ALLOCATION METER AND SERVICE COSTS TO CUSTOMER CLASSES</t>
  </si>
  <si>
    <t>Allocation factors are based on costs associated with meters/services and are detailed on Table B-1</t>
  </si>
  <si>
    <t>Budget</t>
  </si>
  <si>
    <t xml:space="preserve">Budget </t>
  </si>
  <si>
    <t>Account</t>
  </si>
  <si>
    <t>Dept</t>
  </si>
  <si>
    <t>Category</t>
  </si>
  <si>
    <t>Detail</t>
  </si>
  <si>
    <t>SOU</t>
  </si>
  <si>
    <t>PWR</t>
  </si>
  <si>
    <t>10.10.6150100</t>
  </si>
  <si>
    <t>Power Purchased/Well (Gray Ln)</t>
  </si>
  <si>
    <t>MAI</t>
  </si>
  <si>
    <t>Contractual Services</t>
  </si>
  <si>
    <t>PWP</t>
  </si>
  <si>
    <t>TRT</t>
  </si>
  <si>
    <t>OTH</t>
  </si>
  <si>
    <t>10.11.6010000</t>
  </si>
  <si>
    <t>Salary &amp; Wages</t>
  </si>
  <si>
    <t>10.11.6010100</t>
  </si>
  <si>
    <t>OASDI</t>
  </si>
  <si>
    <t>10.11.6010200</t>
  </si>
  <si>
    <t>Pension</t>
  </si>
  <si>
    <t>10.11.6010300</t>
  </si>
  <si>
    <t>Health &amp; Life Insurance</t>
  </si>
  <si>
    <t>10.11.6010400</t>
  </si>
  <si>
    <t>Overtime</t>
  </si>
  <si>
    <t>10.11.6010500</t>
  </si>
  <si>
    <t>Premium Time</t>
  </si>
  <si>
    <t>10.11.6150300</t>
  </si>
  <si>
    <t>WTP Energy Expenses</t>
  </si>
  <si>
    <t>CHM</t>
  </si>
  <si>
    <t>10.11.6180000</t>
  </si>
  <si>
    <t>Chemicals</t>
  </si>
  <si>
    <t>10.11.6200000</t>
  </si>
  <si>
    <t>Materials &amp; Supplies Misc</t>
  </si>
  <si>
    <t>10.11.6200300</t>
  </si>
  <si>
    <t>Supplies &amp; Expense</t>
  </si>
  <si>
    <t>10.11.6200400</t>
  </si>
  <si>
    <t>Maintenance &amp; Repairs</t>
  </si>
  <si>
    <t>10.11.6200900</t>
  </si>
  <si>
    <t>Small Tool Expense</t>
  </si>
  <si>
    <t>10.11.6350000</t>
  </si>
  <si>
    <t>10.11.6350100</t>
  </si>
  <si>
    <t>Professsional Services/Lab</t>
  </si>
  <si>
    <t>10.11.6500000</t>
  </si>
  <si>
    <t>Transportation Fuel &amp; Repairs</t>
  </si>
  <si>
    <t>10.11.6580500</t>
  </si>
  <si>
    <t>Workers Comp</t>
  </si>
  <si>
    <t>10.11.6750100</t>
  </si>
  <si>
    <t>Phone Expense</t>
  </si>
  <si>
    <t>DST</t>
  </si>
  <si>
    <t>10.14.6010000</t>
  </si>
  <si>
    <t>10.14.6010100</t>
  </si>
  <si>
    <t>10.14.6010200</t>
  </si>
  <si>
    <t>10.14.6010300</t>
  </si>
  <si>
    <t>10.14.6010400</t>
  </si>
  <si>
    <t>10.14.6010500</t>
  </si>
  <si>
    <t>10.14.6010600</t>
  </si>
  <si>
    <t>Salary &amp; Wages - Part Time</t>
  </si>
  <si>
    <t>PUR</t>
  </si>
  <si>
    <t>10.14.6150200</t>
  </si>
  <si>
    <t>Ft. Knox Energy</t>
  </si>
  <si>
    <t>PUMP</t>
  </si>
  <si>
    <t>10.14.6150303</t>
  </si>
  <si>
    <t>1882 Energy</t>
  </si>
  <si>
    <t>STO</t>
  </si>
  <si>
    <t>10.14.6150400</t>
  </si>
  <si>
    <t>WHSP Hills Energy</t>
  </si>
  <si>
    <t>CSV</t>
  </si>
  <si>
    <t>10.14.6200000</t>
  </si>
  <si>
    <t>Materials &amp; Supplies/Misc</t>
  </si>
  <si>
    <t>10.14.6200100</t>
  </si>
  <si>
    <t>Transmission Main Repairs</t>
  </si>
  <si>
    <t>10.14.6200200</t>
  </si>
  <si>
    <t>Service Line Repairs</t>
  </si>
  <si>
    <t>10.14.6200300</t>
  </si>
  <si>
    <t>HYD</t>
  </si>
  <si>
    <t>10.14.6200400</t>
  </si>
  <si>
    <t>10.14.6200600</t>
  </si>
  <si>
    <t>Storage Maintenance</t>
  </si>
  <si>
    <t>10.14.6200701</t>
  </si>
  <si>
    <t>Booster Station Supply &amp; Expense</t>
  </si>
  <si>
    <t>10.14.6201000</t>
  </si>
  <si>
    <t>SCADA Supplies</t>
  </si>
  <si>
    <t>10.14.6200900</t>
  </si>
  <si>
    <t>10.14.6203000</t>
  </si>
  <si>
    <t>Exst. Meter Repairs</t>
  </si>
  <si>
    <t>10.14.6204000</t>
  </si>
  <si>
    <t>Fire Hydrant Repairs</t>
  </si>
  <si>
    <t>10.14.6350000</t>
  </si>
  <si>
    <t>10.14.6500000</t>
  </si>
  <si>
    <t>10.14.6580500</t>
  </si>
  <si>
    <t>10.14.6750000</t>
  </si>
  <si>
    <t>Misc Expense</t>
  </si>
  <si>
    <t>10.14.6750100</t>
  </si>
  <si>
    <t>CUS</t>
  </si>
  <si>
    <t>ADM</t>
  </si>
  <si>
    <t>10.15.6010000</t>
  </si>
  <si>
    <t>10.15.6010100</t>
  </si>
  <si>
    <t>10.15.6010200</t>
  </si>
  <si>
    <t>10.15.6010300</t>
  </si>
  <si>
    <t>10.15.6010400</t>
  </si>
  <si>
    <t>10.15.6010500</t>
  </si>
  <si>
    <t>10.15.6010600</t>
  </si>
  <si>
    <t>10.15.6154270</t>
  </si>
  <si>
    <t>10.15.6200000</t>
  </si>
  <si>
    <t>10.15.6200101</t>
  </si>
  <si>
    <t>Computer Supplies</t>
  </si>
  <si>
    <t>10.15.6200801</t>
  </si>
  <si>
    <t>10.15.6200900</t>
  </si>
  <si>
    <t>10.15.6350000</t>
  </si>
  <si>
    <t>10.15.6350102</t>
  </si>
  <si>
    <t>Bill Printing/Mailing Contract</t>
  </si>
  <si>
    <t>10.15.6500000</t>
  </si>
  <si>
    <t>10.15.6580500</t>
  </si>
  <si>
    <t>10.15.6750400</t>
  </si>
  <si>
    <t>Postage &amp; Mailing</t>
  </si>
  <si>
    <t>10.15.6750500</t>
  </si>
  <si>
    <t>Cash Over &amp; Short</t>
  </si>
  <si>
    <t>10.16.6010000</t>
  </si>
  <si>
    <t>10.16.6010100</t>
  </si>
  <si>
    <t>10.16.6010200</t>
  </si>
  <si>
    <t>10.16.6010300</t>
  </si>
  <si>
    <t>10.16.6010400</t>
  </si>
  <si>
    <t>10.16.6010500</t>
  </si>
  <si>
    <t>10.16.6200000</t>
  </si>
  <si>
    <t>10.16.6200900</t>
  </si>
  <si>
    <t>10.16.6500000</t>
  </si>
  <si>
    <t>10.16.6580500</t>
  </si>
  <si>
    <t>10.16.6750100</t>
  </si>
  <si>
    <t>10.19.6010000</t>
  </si>
  <si>
    <t>10.19.6010100</t>
  </si>
  <si>
    <t>10.19.6010200</t>
  </si>
  <si>
    <t>10.19.6010300</t>
  </si>
  <si>
    <t>COM</t>
  </si>
  <si>
    <t>10.19.6030000</t>
  </si>
  <si>
    <t>Comm/Salary &amp; Wages</t>
  </si>
  <si>
    <t>10.19.6030100</t>
  </si>
  <si>
    <t>Comm/Oasdi</t>
  </si>
  <si>
    <t>10.19.6030300</t>
  </si>
  <si>
    <t>Comm/Health Insurance</t>
  </si>
  <si>
    <t>10.19.6030400</t>
  </si>
  <si>
    <t>Legal/Wages</t>
  </si>
  <si>
    <t>10.19.6030500</t>
  </si>
  <si>
    <t>Legal/Pension</t>
  </si>
  <si>
    <t>10.19.6030600</t>
  </si>
  <si>
    <t>Legal/OASDI</t>
  </si>
  <si>
    <t>10.19.6100000</t>
  </si>
  <si>
    <t>Purchased Water</t>
  </si>
  <si>
    <t>10.19.6150000</t>
  </si>
  <si>
    <t>Utilities</t>
  </si>
  <si>
    <t>10.19.6200000</t>
  </si>
  <si>
    <t>10.19.6200101</t>
  </si>
  <si>
    <t>10.19.6310000</t>
  </si>
  <si>
    <t>Professional Services - Engineering</t>
  </si>
  <si>
    <t>10.19.6320000</t>
  </si>
  <si>
    <t>Professional Services - Accounting</t>
  </si>
  <si>
    <t>10.19.6330000</t>
  </si>
  <si>
    <t>Professional Services - Legal</t>
  </si>
  <si>
    <t>10.19.6350000</t>
  </si>
  <si>
    <t>10.19.6350101</t>
  </si>
  <si>
    <t>Uniform Expense</t>
  </si>
  <si>
    <t>10.19.6408100</t>
  </si>
  <si>
    <t>10.19.6428000</t>
  </si>
  <si>
    <t>Amortizaton of Debt Disc. &amp; Expense</t>
  </si>
  <si>
    <t>10.19.6500000</t>
  </si>
  <si>
    <t>10.19.6570000</t>
  </si>
  <si>
    <t>Fleet Insurance</t>
  </si>
  <si>
    <t>10.19.6570100</t>
  </si>
  <si>
    <t>Insurance Deductible Payments</t>
  </si>
  <si>
    <t>10.19.6580500</t>
  </si>
  <si>
    <t>10.19.6590000</t>
  </si>
  <si>
    <t>Unemployment Insurance</t>
  </si>
  <si>
    <t>10.19.6600000</t>
  </si>
  <si>
    <t>Advertising Expense</t>
  </si>
  <si>
    <t>10.19.6700000</t>
  </si>
  <si>
    <t>Bad Debt Write Off</t>
  </si>
  <si>
    <t>10.19.6750000</t>
  </si>
  <si>
    <t>Miscellaneous Expense</t>
  </si>
  <si>
    <t>10.19.6750100</t>
  </si>
  <si>
    <t>10.19.6750300</t>
  </si>
  <si>
    <t>Dues &amp; Subscriptions</t>
  </si>
  <si>
    <t>10.19.6750400</t>
  </si>
  <si>
    <t>10.19.6750501</t>
  </si>
  <si>
    <t>Safety Committee</t>
  </si>
  <si>
    <t>10.19.6750600</t>
  </si>
  <si>
    <t>Commission Expense</t>
  </si>
  <si>
    <t>10.19.6750700</t>
  </si>
  <si>
    <t>Certification Training</t>
  </si>
  <si>
    <t>10.19.6750800</t>
  </si>
  <si>
    <t>Travel &amp; Lodging</t>
  </si>
  <si>
    <t>10.19.6750900</t>
  </si>
  <si>
    <t>Education &amp; Conferences</t>
  </si>
  <si>
    <t>Max Day</t>
  </si>
  <si>
    <t>Max Hour</t>
  </si>
  <si>
    <t>Billing</t>
  </si>
  <si>
    <t xml:space="preserve">SCHEDULE C - COST OF SERVICE BY FUNCTION </t>
  </si>
  <si>
    <t>FOR THE TWELVE MONTH PERIOD ENDING DECMBER 31, 2006</t>
  </si>
  <si>
    <t>Meters/</t>
  </si>
  <si>
    <t>Services</t>
  </si>
  <si>
    <t>Customer Service</t>
  </si>
  <si>
    <t>Extra Capacity</t>
  </si>
  <si>
    <t>Meter Reading</t>
  </si>
  <si>
    <t>(10)</t>
  </si>
  <si>
    <t>OPERATIONS AND MAINTENANCE EXPENSES</t>
  </si>
  <si>
    <t>SOURCE OF SUPPLY EXPENSES</t>
  </si>
  <si>
    <t>10.10.6200400</t>
  </si>
  <si>
    <t>TOTAL SOURCE OF SUPPLY</t>
  </si>
  <si>
    <t>Flexible Benefits</t>
  </si>
  <si>
    <t>10.11.6150000</t>
  </si>
  <si>
    <t>10.11.6010801</t>
  </si>
  <si>
    <t>10.11.6200500</t>
  </si>
  <si>
    <t xml:space="preserve">Deferred 03 Clarifier Proj </t>
  </si>
  <si>
    <t xml:space="preserve">TOTAL WATER TREATMENT </t>
  </si>
  <si>
    <t xml:space="preserve">WATER TREATMENT EXPENSES </t>
  </si>
  <si>
    <t xml:space="preserve">TRANSMISSION &amp; DISTRIBUTION </t>
  </si>
  <si>
    <t>10.14.6010801</t>
  </si>
  <si>
    <t>St. Johns PS Power</t>
  </si>
  <si>
    <t>10.14.6150500</t>
  </si>
  <si>
    <t>Supplies and Expenses</t>
  </si>
  <si>
    <t xml:space="preserve">Maintenance &amp; Repair </t>
  </si>
  <si>
    <t xml:space="preserve">TOTAL TRANSMISSION AND DISTRIBUTION </t>
  </si>
  <si>
    <t>10.15.6010801</t>
  </si>
  <si>
    <t>Deposit Interest Expenses</t>
  </si>
  <si>
    <t>10.15.6350200</t>
  </si>
  <si>
    <t>Contracted Security Services</t>
  </si>
  <si>
    <t>TOTAL CUSTOMER SERVICE</t>
  </si>
  <si>
    <t>MAINTENANCE</t>
  </si>
  <si>
    <t>TOTAL MAINTENANCE</t>
  </si>
  <si>
    <t>ADMINISTRATIVE</t>
  </si>
  <si>
    <t>TOTAL ADMINISTRATIVE</t>
  </si>
  <si>
    <t>TOTAL OPERATIONS AND MAINTENANCE EXPENSE</t>
  </si>
  <si>
    <t>Structures &amp; Improvements</t>
  </si>
  <si>
    <t>Wells &amp; Springs</t>
  </si>
  <si>
    <t>Supply Mains</t>
  </si>
  <si>
    <t>Pumping Equipment - Booster Stations</t>
  </si>
  <si>
    <t>Transmission &amp; Distribution Mains</t>
  </si>
  <si>
    <t>Service Lines &amp; Connections</t>
  </si>
  <si>
    <t>Hydrants</t>
  </si>
  <si>
    <t>Office Furniture &amp; Equipment</t>
  </si>
  <si>
    <t>Transportation Equipment</t>
  </si>
  <si>
    <t>Power Operated Equipment</t>
  </si>
  <si>
    <t>Laboratory Equipment</t>
  </si>
  <si>
    <t>Communication Equipment</t>
  </si>
  <si>
    <t>Land &amp; Rights</t>
  </si>
  <si>
    <t>Pumping and Water Treatment Equipment</t>
  </si>
  <si>
    <t>Reservoirs and Storage</t>
  </si>
  <si>
    <t>Other Plant Equipment</t>
  </si>
  <si>
    <t>Stores, Equipment, Tool, Safety Equip</t>
  </si>
  <si>
    <t>Other Tangible Items</t>
  </si>
  <si>
    <t>10.16.6010601</t>
  </si>
  <si>
    <t>Distribution Maintenance Labor</t>
  </si>
  <si>
    <t>C/S Maintenance Labor</t>
  </si>
  <si>
    <t>Pirtle Plant Maintenance Labor</t>
  </si>
  <si>
    <t>10.16.6350000</t>
  </si>
  <si>
    <t>10.19.6010801</t>
  </si>
  <si>
    <t>10.19.6030200</t>
  </si>
  <si>
    <t>Comm/Pension</t>
  </si>
  <si>
    <t>10.19.6200900</t>
  </si>
  <si>
    <t>Investment Fees</t>
  </si>
  <si>
    <t>10.19.6350300</t>
  </si>
  <si>
    <t>10.19.6408200</t>
  </si>
  <si>
    <t>Amortized 2001-211 Rate Case</t>
  </si>
  <si>
    <t>10.19.6427020</t>
  </si>
  <si>
    <t>Interest on Short-Term Debt</t>
  </si>
  <si>
    <t>10.19.6590100</t>
  </si>
  <si>
    <t>Payroll Deductions - Clearing</t>
  </si>
  <si>
    <t>ITEM B1 - Allocation of Base Costs</t>
  </si>
  <si>
    <t>ITEM B2 - Allocation of Maximum Day Extra Capacity Costs</t>
  </si>
  <si>
    <t>ITEM B3 - Allocation of Maximum Hour Extra Capacity Costs</t>
  </si>
  <si>
    <t>ITEM B4 - Allocation of Meter/Service Costs</t>
  </si>
  <si>
    <t>ITEM B5 - Allocation of Billing and Collection Costs</t>
  </si>
  <si>
    <t>ITEM B6 - Allocation of Meter Reading Costs</t>
  </si>
  <si>
    <t>Month</t>
  </si>
  <si>
    <t>ADF</t>
  </si>
  <si>
    <t>J</t>
  </si>
  <si>
    <t>F</t>
  </si>
  <si>
    <t>A</t>
  </si>
  <si>
    <t>S</t>
  </si>
  <si>
    <t>O</t>
  </si>
  <si>
    <t>N</t>
  </si>
  <si>
    <t>D</t>
  </si>
  <si>
    <t>M</t>
  </si>
  <si>
    <t>Average Daily Demand/Max Day Demand/Wholesale Sales 2005</t>
  </si>
  <si>
    <t>Purchased</t>
  </si>
  <si>
    <t>Treated</t>
  </si>
  <si>
    <t>Max/Avg</t>
  </si>
  <si>
    <t>Ratio</t>
  </si>
  <si>
    <t xml:space="preserve">Purchased </t>
  </si>
  <si>
    <t>Avg</t>
  </si>
  <si>
    <t>Total Max</t>
  </si>
  <si>
    <t>Day</t>
  </si>
  <si>
    <t>Calculated</t>
  </si>
  <si>
    <t>Hardinsburg</t>
  </si>
  <si>
    <t>FTK</t>
  </si>
  <si>
    <t>Max/Avg Ratio</t>
  </si>
  <si>
    <t xml:space="preserve">Daily </t>
  </si>
  <si>
    <t>Purchase</t>
  </si>
  <si>
    <t xml:space="preserve">Average Daily Flow (Adjusted for Purchased Water) = </t>
  </si>
  <si>
    <t xml:space="preserve">Maximum Daily Flow (Adjusted for Purchased Water) = </t>
  </si>
  <si>
    <t>Max/Avg Ratio =</t>
  </si>
  <si>
    <t>SCHEDULE C - SUPPORT INFORMATION</t>
  </si>
  <si>
    <t xml:space="preserve">METHODS FOR ALLOCATING COSTS BY FUNCTION </t>
  </si>
  <si>
    <t>ITEM C1 - Allocation of Costs That Vary With Water Consumption</t>
  </si>
  <si>
    <t xml:space="preserve">Cost Function </t>
  </si>
  <si>
    <t xml:space="preserve">ITEM C2 - Allocation of Costs Associated With Facilties Serving Base and Maximum Day Extra Capacity </t>
  </si>
  <si>
    <t>Functions.</t>
  </si>
  <si>
    <t>Costs allocated to Base</t>
  </si>
  <si>
    <t xml:space="preserve"> </t>
  </si>
  <si>
    <t xml:space="preserve">Maximum Day Extra Capacity </t>
  </si>
  <si>
    <t>Day Ratio</t>
  </si>
  <si>
    <t xml:space="preserve">ITEM C3 - Allocation of Costs Associated With Facilities Serving Base, Maximum Day and Maximum Hour </t>
  </si>
  <si>
    <t>Extra Capacity Costs</t>
  </si>
  <si>
    <t>Costs are allocated based on the metered values for average and maximum day shown in Item C2, Max Hour value</t>
  </si>
  <si>
    <t>Average Day (Base)</t>
  </si>
  <si>
    <t>Average Hour (Base)</t>
  </si>
  <si>
    <t>Maximum Day Extra Capacity</t>
  </si>
  <si>
    <t>was determined based on diurnal demand curve value for peak hour (2x average flow)</t>
  </si>
  <si>
    <t>Maximum Hour Extra Capacity</t>
  </si>
  <si>
    <t>Max</t>
  </si>
  <si>
    <t>Rate of Flow</t>
  </si>
  <si>
    <t>(GPD)</t>
  </si>
  <si>
    <t>during the test year as detailed below.</t>
  </si>
  <si>
    <t xml:space="preserve">Costs are allocated based on average and maximum day metered values for produced and purchased water </t>
  </si>
  <si>
    <t>Fire Demand</t>
  </si>
  <si>
    <t xml:space="preserve">Costs are assigned directly to the Meters/Services Cost Function  </t>
  </si>
  <si>
    <t>Meters/Services</t>
  </si>
  <si>
    <t>Customer Service - Meter Reading</t>
  </si>
  <si>
    <t>Fire Hydrants</t>
  </si>
  <si>
    <t xml:space="preserve">Maximum Hour Extra Capacity </t>
  </si>
  <si>
    <t>(4 hour duration) above the maximum daily flow.</t>
  </si>
  <si>
    <t>C1</t>
  </si>
  <si>
    <t>C2</t>
  </si>
  <si>
    <t>C5</t>
  </si>
  <si>
    <t>CUSTOMER SERVICE</t>
  </si>
  <si>
    <t xml:space="preserve">SUBTOTAL </t>
  </si>
  <si>
    <t>C6</t>
  </si>
  <si>
    <t>C8</t>
  </si>
  <si>
    <t>C4</t>
  </si>
  <si>
    <t>C9</t>
  </si>
  <si>
    <t xml:space="preserve">ITEM C4 - Allocation of Costs Associated With Facilities Serving Base, Maximum Hour Extra Capacity and </t>
  </si>
  <si>
    <t>Fire Demand Costs (Storage Costs Also)</t>
  </si>
  <si>
    <t>Costs are allocated based on the metered values for average day shown in Item C2, Max Hour value based on diurnal</t>
  </si>
  <si>
    <t>Maximum Day Hour Capacity</t>
  </si>
  <si>
    <t>ITEM C6 - Allocation of Meters/Services Costs</t>
  </si>
  <si>
    <t>ITEM C8 - Allocation of Fire Hydrant Costs</t>
  </si>
  <si>
    <t>Operations/</t>
  </si>
  <si>
    <t>Maintenance</t>
  </si>
  <si>
    <t xml:space="preserve">Expenses </t>
  </si>
  <si>
    <t>Customer Service - Billing</t>
  </si>
  <si>
    <t xml:space="preserve">ITEM C5 - Allocation of Costs Associated With Facilities Serving Base, Maximum Day Extra Capacity, Maximum </t>
  </si>
  <si>
    <t>Hour Extra Capacity and Fire Demand Costs</t>
  </si>
  <si>
    <t xml:space="preserve">Costs are allocated based on the metered values for average and maximum day shown in Item C2, Max Hourly </t>
  </si>
  <si>
    <t xml:space="preserve"> - Hardinsburg</t>
  </si>
  <si>
    <t>(Sch C)</t>
  </si>
  <si>
    <t>Public</t>
  </si>
  <si>
    <t>Private</t>
  </si>
  <si>
    <t>B1</t>
  </si>
  <si>
    <t>B2</t>
  </si>
  <si>
    <t>B3</t>
  </si>
  <si>
    <t>B4</t>
  </si>
  <si>
    <t>B5</t>
  </si>
  <si>
    <t>B6</t>
  </si>
  <si>
    <t>(11)</t>
  </si>
  <si>
    <t xml:space="preserve">Costs are assigned directly to the Public Fire Service Cost Function  </t>
  </si>
  <si>
    <t xml:space="preserve">Costs are allocated based on relative potential demand as detailed below: </t>
  </si>
  <si>
    <t xml:space="preserve">Public Fire </t>
  </si>
  <si>
    <t>2-Inch Fire Line</t>
  </si>
  <si>
    <t>3-inch Fire Line</t>
  </si>
  <si>
    <t>4-inch Fire Line</t>
  </si>
  <si>
    <t>6-inch Fire Line</t>
  </si>
  <si>
    <t xml:space="preserve"> - Private</t>
  </si>
  <si>
    <t>"(1)</t>
  </si>
  <si>
    <t>Fire Service - Private</t>
  </si>
  <si>
    <t xml:space="preserve">Wholesale </t>
  </si>
  <si>
    <t>Account/Cost Function</t>
  </si>
  <si>
    <t xml:space="preserve"> - Base</t>
  </si>
  <si>
    <t xml:space="preserve"> - Extra Capacity - Max Day</t>
  </si>
  <si>
    <t xml:space="preserve"> - Extra Capacity - Max Hour</t>
  </si>
  <si>
    <t xml:space="preserve"> - Meters and Services</t>
  </si>
  <si>
    <t>B7</t>
  </si>
  <si>
    <t>B8</t>
  </si>
  <si>
    <t>TOTAL OF ADJUSTMENTS TO TEST-YEAR</t>
  </si>
  <si>
    <t xml:space="preserve">TOTAL TEST-YEAR COST OF SERVICE </t>
  </si>
  <si>
    <t xml:space="preserve">ADJUSTMENTS TO TEST-YEAR </t>
  </si>
  <si>
    <t>TOTAL ADJUSTED TEST-YEAR COST-OF-SERVICE</t>
  </si>
  <si>
    <t>C10</t>
  </si>
  <si>
    <t xml:space="preserve">Demand </t>
  </si>
  <si>
    <t xml:space="preserve">Equivalent </t>
  </si>
  <si>
    <t>Connections</t>
  </si>
  <si>
    <t>demand curve (2x Avg Flow) Fire Demand was determined based on 1,500 GPM flow above the maximum day flow.</t>
  </si>
  <si>
    <t xml:space="preserve">value based on diurnal curve max hour (2.0 x ADF), Fire Demand value was determined based on 1,500 GPM flow </t>
  </si>
  <si>
    <t>C3</t>
  </si>
  <si>
    <t>Audit Amount Less Jim Gray/Cecil/John - Meter Reading</t>
  </si>
  <si>
    <t>C7</t>
  </si>
  <si>
    <t xml:space="preserve">Costs are assigned directly to the Customer Service/Billing/Meter Reading Cost Function  </t>
  </si>
  <si>
    <t>Customer Service - Meter Reading/Billing</t>
  </si>
  <si>
    <t>ITEM C7 - Allocation of Customer Service/Billing/Meter Reading Costs</t>
  </si>
  <si>
    <t xml:space="preserve">Meter Reading from Distribution </t>
  </si>
  <si>
    <t>C5/C7</t>
  </si>
  <si>
    <t>ITEM C9 - Allocation of Costs Associated With Maintenance Accounts</t>
  </si>
  <si>
    <t>ITEM C10 - Allocation of Costs Associated With Administrative Accounts</t>
  </si>
  <si>
    <t xml:space="preserve">Costs are allocated based on other operations and maintenance costs (found as Subtotal of Schedule C) </t>
  </si>
  <si>
    <t>N/A</t>
  </si>
  <si>
    <t xml:space="preserve"> - Private (Item C11)</t>
  </si>
  <si>
    <t xml:space="preserve"> - Public (Item C11)</t>
  </si>
  <si>
    <t>ITEM C11 - Allocation of Costs Between Public &amp; Private Fire Costs</t>
  </si>
  <si>
    <t>Number</t>
  </si>
  <si>
    <t>Public Hydrants</t>
  </si>
  <si>
    <t>KY 1882 PS Improvements (NSCR Project)</t>
  </si>
  <si>
    <t>Brizendine Elevated Tank (NSCR Project)</t>
  </si>
  <si>
    <t>6-inch Mains - 31.2 Miles (NSCR Project)</t>
  </si>
  <si>
    <t>8-inch Mains - 5.3 Miles (NSCR Project)</t>
  </si>
  <si>
    <t>12-inch Mains - 1.8 Miles (NSCR Project)</t>
  </si>
  <si>
    <t>Hydrants - 73 (NSCR Project)</t>
  </si>
  <si>
    <t>Chlorine Load Cells</t>
  </si>
  <si>
    <t>Clarifier Variable Speed Drives</t>
  </si>
  <si>
    <t>Misc. Main Extensions</t>
  </si>
  <si>
    <t>AMR Meters</t>
  </si>
  <si>
    <t>Meters &amp; Services</t>
  </si>
  <si>
    <t>Meters Relocated (NSCR Project)</t>
  </si>
  <si>
    <t>Meters Relocated (DeRoche)</t>
  </si>
  <si>
    <t xml:space="preserve">Furniture </t>
  </si>
  <si>
    <t>Software</t>
  </si>
  <si>
    <t>PCs (2)</t>
  </si>
  <si>
    <t>Security Cameras</t>
  </si>
  <si>
    <t>E-mail Server</t>
  </si>
  <si>
    <t>Chevy Colorado</t>
  </si>
  <si>
    <t>Jeep Laredo</t>
  </si>
  <si>
    <t>Case 580-M Backhoe</t>
  </si>
  <si>
    <t>Jar Tester</t>
  </si>
  <si>
    <t>Turbidimeters (2)</t>
  </si>
  <si>
    <t>AMR Communications System</t>
  </si>
  <si>
    <t>Radio Upgrades</t>
  </si>
  <si>
    <t>Service Center Door Openers</t>
  </si>
  <si>
    <r>
      <t xml:space="preserve">Factor </t>
    </r>
    <r>
      <rPr>
        <u val="single"/>
        <vertAlign val="superscript"/>
        <sz val="10"/>
        <rFont val="Arial"/>
        <family val="2"/>
      </rPr>
      <t>1</t>
    </r>
  </si>
  <si>
    <t xml:space="preserve">Pirtle Springs WTP Raw Water Bldg </t>
  </si>
  <si>
    <t>All Accounts</t>
  </si>
  <si>
    <t>All Accounts Less Customer Service</t>
  </si>
  <si>
    <t>C11</t>
  </si>
  <si>
    <t xml:space="preserve"> - Meters &amp; Services</t>
  </si>
  <si>
    <t xml:space="preserve"> - CSV - Billing and Collecting</t>
  </si>
  <si>
    <t xml:space="preserve"> - CSV - Meter Reading</t>
  </si>
  <si>
    <t xml:space="preserve"> - Fire Service - Public</t>
  </si>
  <si>
    <t xml:space="preserve"> - Fire Service - Private</t>
  </si>
  <si>
    <t xml:space="preserve"> - Meters and Service</t>
  </si>
  <si>
    <t xml:space="preserve"> - Fire Service - Private </t>
  </si>
  <si>
    <t xml:space="preserve"> - CSV Billing and Collecting</t>
  </si>
  <si>
    <t xml:space="preserve"> - CSV Meter Reading</t>
  </si>
  <si>
    <t>ITEM B7 - Allocation of Public Fire Service Costs</t>
  </si>
  <si>
    <t>Public Fire Service</t>
  </si>
  <si>
    <t>ITEM B8 - Allocation of Private Fire Service Costs</t>
  </si>
  <si>
    <t xml:space="preserve">Costs are assigned directly to the Private Fire Service Cost Function  </t>
  </si>
  <si>
    <t>Private Fire Service</t>
  </si>
  <si>
    <t>TOTAL TEST-YEAR COST OF SERVICE</t>
  </si>
  <si>
    <t>OPERATIONS AND MAINTENANCE EXPENSE</t>
  </si>
  <si>
    <t>TRANSMISSION &amp; DISTRIBUTION</t>
  </si>
  <si>
    <t>SOURCE OF SUPPLY</t>
  </si>
  <si>
    <t>WATER TREATMENT</t>
  </si>
  <si>
    <t>TOTAL WATER TREATMENT</t>
  </si>
  <si>
    <t>TOTAL TRANSMISSION &amp; DISTRIBUTION</t>
  </si>
  <si>
    <t xml:space="preserve">OPERATION &amp; MAINTENANCE EXPENSE TOTAL </t>
  </si>
  <si>
    <t>DEPRECIATION EXPENSE TOTAL</t>
  </si>
  <si>
    <t>ADJUSTMENTS TO TEST-YEAR (FROM SCH C)</t>
  </si>
  <si>
    <t>ADJUSTMENTS TOTAL</t>
  </si>
  <si>
    <t xml:space="preserve"> - Public</t>
  </si>
  <si>
    <t>TOTALS</t>
  </si>
  <si>
    <t xml:space="preserve"> - Meter Charges</t>
  </si>
  <si>
    <t xml:space="preserve"> - Residential Sales</t>
  </si>
  <si>
    <t xml:space="preserve"> - Commercial Sales</t>
  </si>
  <si>
    <t xml:space="preserve"> - Multi-Family Sales</t>
  </si>
  <si>
    <t>1.    Other Revenue</t>
  </si>
  <si>
    <t>Reconects</t>
  </si>
  <si>
    <t>Radcliff Billing</t>
  </si>
  <si>
    <t>Property/Antenna</t>
  </si>
  <si>
    <t>Construction</t>
  </si>
  <si>
    <t>Admin</t>
  </si>
  <si>
    <t xml:space="preserve">Admin </t>
  </si>
  <si>
    <t>TOTAL MISC INCOME</t>
  </si>
  <si>
    <t xml:space="preserve">Meters/Services </t>
  </si>
  <si>
    <t>this Schedule.</t>
  </si>
  <si>
    <t xml:space="preserve">Costs are allocated based on remaining asset value from Depraciation Schedule and allocations for these functions found previously in </t>
  </si>
  <si>
    <t xml:space="preserve">Source of </t>
  </si>
  <si>
    <t>Supply Assets</t>
  </si>
  <si>
    <t>Treatment</t>
  </si>
  <si>
    <t>Assets</t>
  </si>
  <si>
    <t>Adminstrative</t>
  </si>
  <si>
    <t>Trans/Dist</t>
  </si>
  <si>
    <t>Allocation Method</t>
  </si>
  <si>
    <t>Meters/Service</t>
  </si>
  <si>
    <t>2.    Interest &amp; Dividend Income</t>
  </si>
  <si>
    <t xml:space="preserve">3.    Non-Utility Income </t>
  </si>
  <si>
    <t>SUPPORT DATA FOR SCHEDULE C</t>
  </si>
  <si>
    <t xml:space="preserve">METER CHARGE COSTS </t>
  </si>
  <si>
    <t>ITEM</t>
  </si>
  <si>
    <t>AMOUNT</t>
  </si>
  <si>
    <t>Monthly Cost of Service</t>
  </si>
  <si>
    <t>Option No. 1 Increase</t>
  </si>
  <si>
    <t>Capitalized interest</t>
  </si>
  <si>
    <t>Utility Regulatory Assesment Fees</t>
  </si>
  <si>
    <t xml:space="preserve">% Increase </t>
  </si>
  <si>
    <t>C13</t>
  </si>
  <si>
    <t>ITEM C12 - Allocation of Costs Associated With Depreciation Accounts</t>
  </si>
  <si>
    <t xml:space="preserve">Costs are allocated based on other depreciation costs (found on Schedule C) </t>
  </si>
  <si>
    <t xml:space="preserve">Deprecation </t>
  </si>
  <si>
    <t>ITEM B9 - Allocation of Transmission/Distribution Costs</t>
  </si>
  <si>
    <t xml:space="preserve">Allocation factors are based on inch-miles calculations provided in Appendix _.  The inch-mile </t>
  </si>
  <si>
    <t xml:space="preserve">allocations were determined based on flow distribution for each customer classification found </t>
  </si>
  <si>
    <t>in HCWD1's computer hydraulic model .</t>
  </si>
  <si>
    <t xml:space="preserve">Inch-Miles </t>
  </si>
  <si>
    <t>B9</t>
  </si>
  <si>
    <t>4.    Penalties &amp; Fees</t>
  </si>
  <si>
    <t>5.    Bad Debt Recovered</t>
  </si>
  <si>
    <t>6.    Labor Revenue</t>
  </si>
  <si>
    <t>7.    Vouchers received</t>
  </si>
  <si>
    <t>8.    Rents for Water Property</t>
  </si>
  <si>
    <t>9.    Transfer from Sewer for Services</t>
  </si>
  <si>
    <t>10.    Stormwater Contract</t>
  </si>
  <si>
    <t>1.   Addition of Dental/Vision Insurance Jan 2006</t>
  </si>
  <si>
    <t>Adjustments for 2006 Customer Growth</t>
  </si>
  <si>
    <t>Number of Taps</t>
  </si>
  <si>
    <t>FY 2006</t>
  </si>
  <si>
    <t>Hardin County Water District No. 1</t>
  </si>
  <si>
    <t>FY 2005</t>
  </si>
  <si>
    <t>New 2006 Taps</t>
  </si>
  <si>
    <t>% Increase</t>
  </si>
  <si>
    <t>Customer Increase FY 2006</t>
  </si>
  <si>
    <t>Jan 1 - Sept 30</t>
  </si>
  <si>
    <t>Expenses Associated with New Customers</t>
  </si>
  <si>
    <t>Expenses Item</t>
  </si>
  <si>
    <t>FY 2005 Amount</t>
  </si>
  <si>
    <t>Revenues Associated with New Customers</t>
  </si>
  <si>
    <t xml:space="preserve">Item </t>
  </si>
  <si>
    <t>New Customers</t>
  </si>
  <si>
    <t>Annual Revenue</t>
  </si>
  <si>
    <t>Cost/1,000 Gallons</t>
  </si>
  <si>
    <t xml:space="preserve">Annual Increase </t>
  </si>
  <si>
    <t>in Usage</t>
  </si>
  <si>
    <t xml:space="preserve">Increase in </t>
  </si>
  <si>
    <t xml:space="preserve">FY 2006 Increases </t>
  </si>
  <si>
    <t>Avg. Usage/</t>
  </si>
  <si>
    <t>Increased Expenses</t>
  </si>
  <si>
    <t xml:space="preserve">Projected </t>
  </si>
  <si>
    <t>Total Expenses</t>
  </si>
  <si>
    <r>
      <t xml:space="preserve">Increased Flow </t>
    </r>
    <r>
      <rPr>
        <b/>
        <vertAlign val="superscript"/>
        <sz val="10"/>
        <rFont val="CentSchbook BT"/>
        <family val="1"/>
      </rPr>
      <t>2</t>
    </r>
  </si>
  <si>
    <r>
      <t>Pumping Costs</t>
    </r>
    <r>
      <rPr>
        <vertAlign val="superscript"/>
        <sz val="10"/>
        <rFont val="CentSchbook BT"/>
        <family val="1"/>
      </rPr>
      <t xml:space="preserve"> 1</t>
    </r>
  </si>
  <si>
    <r>
      <t>1</t>
    </r>
    <r>
      <rPr>
        <sz val="8"/>
        <rFont val="CentSchbook BT"/>
        <family val="1"/>
      </rPr>
      <t xml:space="preserve"> Pumping Costs at Ft. Knox = $4,482 (Sch C)/ 22,528,000 Gallons (2005)  = $0.199/1,000 Gallons</t>
    </r>
  </si>
  <si>
    <r>
      <t>2</t>
    </r>
    <r>
      <rPr>
        <sz val="8"/>
        <rFont val="CentSchbook BT"/>
        <family val="1"/>
      </rPr>
      <t xml:space="preserve"> Includes 7.8% water loss per PSC Annual Report </t>
    </r>
  </si>
  <si>
    <r>
      <t xml:space="preserve">Purchased Water </t>
    </r>
    <r>
      <rPr>
        <vertAlign val="superscript"/>
        <sz val="10"/>
        <rFont val="CentSchbook BT"/>
        <family val="1"/>
      </rPr>
      <t>3</t>
    </r>
  </si>
  <si>
    <r>
      <t>3</t>
    </r>
    <r>
      <rPr>
        <sz val="8"/>
        <rFont val="CentSchbook BT"/>
        <family val="1"/>
      </rPr>
      <t xml:space="preserve"> Current Fort Know Wholesale Rate</t>
    </r>
  </si>
  <si>
    <t>Customer/Mo</t>
  </si>
  <si>
    <t>ITEM C13 - Allocation of Costs Associated With Debt Service (P&amp;I) and Depreciation (Audit Value) Based on Remaining Asset Values</t>
  </si>
  <si>
    <t>AMORTIZATION AND DEPRECIATION EXPENSE</t>
  </si>
  <si>
    <t>10.19.6403000</t>
  </si>
  <si>
    <t>Depreciation</t>
  </si>
  <si>
    <t xml:space="preserve">TOTAL AMORT AND DEPRECIATION EXPENSE </t>
  </si>
  <si>
    <t>3.    Interest Expenses</t>
  </si>
  <si>
    <t>LESS MISC (INCOME)/EXPENSES</t>
  </si>
  <si>
    <t>AMORTIZATION &amp; DEPRECIATION EXPENSE</t>
  </si>
  <si>
    <t>MISC (INCOME)/EXPENSES</t>
  </si>
  <si>
    <t>Retail (Total)</t>
  </si>
  <si>
    <t>2.  Increase in Wages for Employees for 2006</t>
  </si>
  <si>
    <t>3.   Addition of Staff Accountant June 2006</t>
  </si>
  <si>
    <t>4.   Addition of Administrative Assistant - Nov 2006</t>
  </si>
  <si>
    <t xml:space="preserve">5.   Addition of Amortized Rate Study Consultation (5 YR) </t>
  </si>
  <si>
    <t>6.   Addition of Revenue from New 2006 Customers</t>
  </si>
  <si>
    <t>7.   Addition of Expenses for 2006 Customers</t>
  </si>
  <si>
    <t>8.   2006 CERS Retirement Contribution Increase</t>
  </si>
  <si>
    <t>9.   Deduction of Health insurance for GM/Commissioners</t>
  </si>
  <si>
    <t>10.   Deduction of Fixed Interest Payment (Acct 6427030)</t>
  </si>
  <si>
    <t>11.   Deduction of Variable Int Payment (Acct 6427040)</t>
  </si>
  <si>
    <t>12.   Addition of 3 YR AVG for Debt Serv Prin/Int/Cov</t>
  </si>
  <si>
    <t>13.   Deduction of Amort of Debt Disc. (Acct 6428000)</t>
  </si>
  <si>
    <t xml:space="preserve">14.   Addition of Full Year Sewer Mgmt Reimbursement </t>
  </si>
  <si>
    <t xml:space="preserve">15.  Deduction of Depreciation (Acct 6403000) </t>
  </si>
  <si>
    <t>16.  Addition of Depreciation From Schedule Below</t>
  </si>
  <si>
    <t>17.  Adjustments to Full Year Depreciation for 2005 Capital Purchases</t>
  </si>
  <si>
    <t>Number of Meters (Sch B, Incl New)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</si>
</sst>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_(* #,##0.0_);_(* \(#,##0.0\);_(* &quot;-&quot;??_);_(@_)"/>
    <numFmt numFmtId="174" formatCode="_(* #,##0_);_(* \(#,##0\);_(* &quot;-&quot;??_);_(@_)"/>
    <numFmt numFmtId="175" formatCode="0.0%"/>
    <numFmt numFmtId="176" formatCode="_(* #,##0.000_);_(* \(#,##0.000\);_(* &quot;-&quot;??_);_(@_)"/>
    <numFmt numFmtId="177" formatCode="_(* #,##0.0_);_(* \(#,##0.0\);_(* &quot;-&quot;?_);_(@_)"/>
    <numFmt numFmtId="178" formatCode="_(* #,##0.0000_);_(* \(#,##0.0000\);_(* &quot;-&quot;??_);_(@_)"/>
    <numFmt numFmtId="179" formatCode="_(* #,##0.00000_);_(* \(#,##0.00000\);_(* &quot;-&quot;??_);_(@_)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</numFmts>
  <fonts count="18">
    <font>
      <sz val="10"/>
      <name val="Arial"/>
      <family val="0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vertAlign val="superscript"/>
      <sz val="10"/>
      <name val="Arial"/>
      <family val="2"/>
    </font>
    <font>
      <b/>
      <sz val="12"/>
      <name val="CentSchbook BT"/>
      <family val="1"/>
    </font>
    <font>
      <sz val="10"/>
      <name val="CentSchbook BT"/>
      <family val="1"/>
    </font>
    <font>
      <b/>
      <sz val="10"/>
      <name val="CentSchbook BT"/>
      <family val="1"/>
    </font>
    <font>
      <sz val="8"/>
      <name val="CentSchbook BT"/>
      <family val="1"/>
    </font>
    <font>
      <b/>
      <vertAlign val="superscript"/>
      <sz val="10"/>
      <name val="CentSchbook BT"/>
      <family val="1"/>
    </font>
    <font>
      <vertAlign val="superscript"/>
      <sz val="10"/>
      <name val="CentSchbook BT"/>
      <family val="1"/>
    </font>
    <font>
      <vertAlign val="superscript"/>
      <sz val="8"/>
      <name val="CentSchbook BT"/>
      <family val="1"/>
    </font>
    <font>
      <i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 horizontal="center"/>
    </xf>
    <xf numFmtId="16" fontId="0" fillId="0" borderId="0" xfId="0" applyNumberFormat="1" applyAlignment="1" quotePrefix="1">
      <alignment/>
    </xf>
    <xf numFmtId="170" fontId="0" fillId="0" borderId="0" xfId="0" applyNumberFormat="1" applyAlignment="1">
      <alignment/>
    </xf>
    <xf numFmtId="12" fontId="0" fillId="0" borderId="0" xfId="0" applyNumberFormat="1" applyAlignment="1">
      <alignment/>
    </xf>
    <xf numFmtId="16" fontId="0" fillId="0" borderId="0" xfId="0" applyNumberFormat="1" applyAlignment="1" quotePrefix="1">
      <alignment horizontal="center"/>
    </xf>
    <xf numFmtId="1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5" fontId="0" fillId="2" borderId="0" xfId="17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 quotePrefix="1">
      <alignment horizontal="center" vertical="top"/>
    </xf>
    <xf numFmtId="0" fontId="0" fillId="0" borderId="0" xfId="0" applyFont="1" applyFill="1" applyBorder="1" applyAlignment="1" quotePrefix="1">
      <alignment horizontal="center" vertical="top"/>
    </xf>
    <xf numFmtId="0" fontId="0" fillId="0" borderId="0" xfId="0" applyFont="1" applyFill="1" applyBorder="1" applyAlignment="1">
      <alignment/>
    </xf>
    <xf numFmtId="5" fontId="0" fillId="2" borderId="1" xfId="17" applyNumberFormat="1" applyFont="1" applyBorder="1" applyAlignment="1">
      <alignment horizontal="right" vertical="top"/>
    </xf>
    <xf numFmtId="5" fontId="0" fillId="2" borderId="2" xfId="17" applyNumberFormat="1" applyFont="1" applyBorder="1" applyAlignment="1">
      <alignment horizontal="right" vertical="top"/>
    </xf>
    <xf numFmtId="5" fontId="0" fillId="0" borderId="0" xfId="17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5" fontId="3" fillId="2" borderId="0" xfId="17" applyNumberFormat="1" applyFont="1" applyBorder="1" applyAlignment="1">
      <alignment horizontal="right" vertical="top"/>
    </xf>
    <xf numFmtId="5" fontId="3" fillId="0" borderId="0" xfId="0" applyNumberFormat="1" applyFont="1" applyBorder="1" applyAlignment="1">
      <alignment/>
    </xf>
    <xf numFmtId="172" fontId="0" fillId="0" borderId="0" xfId="17" applyNumberForma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4" fontId="0" fillId="0" borderId="0" xfId="15" applyNumberFormat="1" applyAlignment="1">
      <alignment/>
    </xf>
    <xf numFmtId="174" fontId="0" fillId="0" borderId="0" xfId="15" applyNumberFormat="1" applyFill="1" applyBorder="1" applyAlignment="1">
      <alignment horizontal="center"/>
    </xf>
    <xf numFmtId="174" fontId="3" fillId="0" borderId="0" xfId="15" applyNumberFormat="1" applyFont="1" applyAlignment="1">
      <alignment/>
    </xf>
    <xf numFmtId="174" fontId="0" fillId="3" borderId="0" xfId="15" applyNumberFormat="1" applyFill="1" applyAlignment="1">
      <alignment/>
    </xf>
    <xf numFmtId="43" fontId="0" fillId="0" borderId="0" xfId="15" applyNumberFormat="1" applyAlignment="1">
      <alignment/>
    </xf>
    <xf numFmtId="174" fontId="2" fillId="0" borderId="0" xfId="0" applyNumberFormat="1" applyFont="1" applyAlignment="1">
      <alignment/>
    </xf>
    <xf numFmtId="43" fontId="0" fillId="0" borderId="1" xfId="0" applyNumberFormat="1" applyBorder="1" applyAlignment="1">
      <alignment/>
    </xf>
    <xf numFmtId="43" fontId="2" fillId="0" borderId="2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2" xfId="0" applyNumberForma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1" xfId="15" applyNumberFormat="1" applyBorder="1" applyAlignment="1">
      <alignment/>
    </xf>
    <xf numFmtId="174" fontId="0" fillId="0" borderId="2" xfId="0" applyNumberFormat="1" applyBorder="1" applyAlignment="1">
      <alignment/>
    </xf>
    <xf numFmtId="43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172" fontId="0" fillId="0" borderId="2" xfId="17" applyNumberFormat="1" applyFont="1" applyBorder="1" applyAlignment="1">
      <alignment/>
    </xf>
    <xf numFmtId="43" fontId="0" fillId="0" borderId="0" xfId="15" applyAlignment="1">
      <alignment/>
    </xf>
    <xf numFmtId="172" fontId="0" fillId="0" borderId="0" xfId="17" applyNumberFormat="1" applyFont="1" applyBorder="1" applyAlignment="1">
      <alignment/>
    </xf>
    <xf numFmtId="172" fontId="0" fillId="0" borderId="0" xfId="17" applyNumberFormat="1" applyFont="1" applyAlignment="1">
      <alignment/>
    </xf>
    <xf numFmtId="172" fontId="0" fillId="0" borderId="1" xfId="17" applyNumberFormat="1" applyFont="1" applyBorder="1" applyAlignment="1">
      <alignment/>
    </xf>
    <xf numFmtId="172" fontId="0" fillId="2" borderId="2" xfId="17" applyNumberFormat="1" applyFont="1" applyBorder="1" applyAlignment="1">
      <alignment horizontal="right" vertical="top"/>
    </xf>
    <xf numFmtId="44" fontId="0" fillId="0" borderId="0" xfId="17" applyAlignment="1">
      <alignment/>
    </xf>
    <xf numFmtId="172" fontId="0" fillId="0" borderId="0" xfId="0" applyNumberFormat="1" applyAlignment="1">
      <alignment/>
    </xf>
    <xf numFmtId="172" fontId="0" fillId="0" borderId="0" xfId="17" applyNumberFormat="1" applyBorder="1" applyAlignment="1">
      <alignment/>
    </xf>
    <xf numFmtId="172" fontId="0" fillId="0" borderId="1" xfId="17" applyNumberFormat="1" applyBorder="1" applyAlignment="1">
      <alignment/>
    </xf>
    <xf numFmtId="172" fontId="0" fillId="0" borderId="2" xfId="17" applyNumberFormat="1" applyBorder="1" applyAlignment="1">
      <alignment/>
    </xf>
    <xf numFmtId="43" fontId="0" fillId="0" borderId="2" xfId="15" applyNumberFormat="1" applyBorder="1" applyAlignment="1">
      <alignment/>
    </xf>
    <xf numFmtId="172" fontId="3" fillId="0" borderId="2" xfId="17" applyNumberFormat="1" applyFont="1" applyBorder="1" applyAlignment="1">
      <alignment/>
    </xf>
    <xf numFmtId="0" fontId="0" fillId="0" borderId="0" xfId="0" applyAlignment="1">
      <alignment horizontal="right"/>
    </xf>
    <xf numFmtId="43" fontId="0" fillId="0" borderId="2" xfId="15" applyBorder="1" applyAlignment="1">
      <alignment/>
    </xf>
    <xf numFmtId="174" fontId="0" fillId="0" borderId="2" xfId="15" applyNumberFormat="1" applyBorder="1" applyAlignment="1">
      <alignment/>
    </xf>
    <xf numFmtId="174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43" fontId="0" fillId="0" borderId="2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43" fontId="0" fillId="0" borderId="0" xfId="15" applyNumberFormat="1" applyBorder="1" applyAlignment="1">
      <alignment/>
    </xf>
    <xf numFmtId="44" fontId="0" fillId="0" borderId="0" xfId="17" applyFont="1" applyAlignment="1">
      <alignment/>
    </xf>
    <xf numFmtId="176" fontId="0" fillId="0" borderId="0" xfId="15" applyNumberFormat="1" applyAlignment="1">
      <alignment/>
    </xf>
    <xf numFmtId="176" fontId="0" fillId="0" borderId="1" xfId="15" applyNumberFormat="1" applyBorder="1" applyAlignment="1">
      <alignment/>
    </xf>
    <xf numFmtId="5" fontId="0" fillId="2" borderId="0" xfId="17" applyNumberFormat="1" applyFont="1" applyBorder="1" applyAlignment="1" quotePrefix="1">
      <alignment horizontal="right" vertical="top"/>
    </xf>
    <xf numFmtId="173" fontId="0" fillId="0" borderId="0" xfId="15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9" fontId="0" fillId="0" borderId="1" xfId="0" applyNumberFormat="1" applyBorder="1" applyAlignment="1">
      <alignment/>
    </xf>
    <xf numFmtId="168" fontId="0" fillId="0" borderId="0" xfId="0" applyNumberFormat="1" applyBorder="1" applyAlignment="1">
      <alignment/>
    </xf>
    <xf numFmtId="172" fontId="0" fillId="0" borderId="0" xfId="17" applyNumberFormat="1" applyFont="1" applyFill="1" applyAlignment="1">
      <alignment/>
    </xf>
    <xf numFmtId="172" fontId="0" fillId="0" borderId="0" xfId="17" applyNumberFormat="1" applyFont="1" applyBorder="1" applyAlignment="1">
      <alignment/>
    </xf>
    <xf numFmtId="173" fontId="0" fillId="0" borderId="0" xfId="15" applyNumberFormat="1" applyFont="1" applyAlignment="1">
      <alignment/>
    </xf>
    <xf numFmtId="172" fontId="0" fillId="0" borderId="0" xfId="17" applyNumberFormat="1" applyFont="1" applyAlignment="1">
      <alignment horizontal="right"/>
    </xf>
    <xf numFmtId="172" fontId="0" fillId="0" borderId="0" xfId="17" applyNumberFormat="1" applyAlignment="1">
      <alignment horizontal="right"/>
    </xf>
    <xf numFmtId="178" fontId="0" fillId="0" borderId="0" xfId="15" applyNumberFormat="1" applyAlignment="1">
      <alignment/>
    </xf>
    <xf numFmtId="178" fontId="0" fillId="0" borderId="1" xfId="15" applyNumberFormat="1" applyBorder="1" applyAlignment="1">
      <alignment/>
    </xf>
    <xf numFmtId="172" fontId="0" fillId="0" borderId="0" xfId="17" applyNumberFormat="1" applyFont="1" applyFill="1" applyBorder="1" applyAlignment="1">
      <alignment/>
    </xf>
    <xf numFmtId="172" fontId="0" fillId="0" borderId="1" xfId="17" applyNumberFormat="1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/>
    </xf>
    <xf numFmtId="172" fontId="0" fillId="0" borderId="0" xfId="17" applyNumberFormat="1" applyFont="1" applyAlignment="1">
      <alignment/>
    </xf>
    <xf numFmtId="0" fontId="0" fillId="0" borderId="0" xfId="0" applyFont="1" applyBorder="1" applyAlignment="1">
      <alignment horizontal="right"/>
    </xf>
    <xf numFmtId="10" fontId="0" fillId="0" borderId="0" xfId="21" applyNumberFormat="1" applyFont="1" applyBorder="1" applyAlignment="1">
      <alignment/>
    </xf>
    <xf numFmtId="175" fontId="0" fillId="0" borderId="0" xfId="21" applyNumberFormat="1" applyFont="1" applyAlignment="1">
      <alignment/>
    </xf>
    <xf numFmtId="10" fontId="0" fillId="0" borderId="0" xfId="21" applyNumberFormat="1" applyFont="1" applyAlignment="1">
      <alignment/>
    </xf>
    <xf numFmtId="168" fontId="0" fillId="0" borderId="2" xfId="0" applyNumberFormat="1" applyBorder="1" applyAlignment="1">
      <alignment/>
    </xf>
    <xf numFmtId="172" fontId="0" fillId="0" borderId="2" xfId="0" applyNumberFormat="1" applyBorder="1" applyAlignment="1">
      <alignment/>
    </xf>
    <xf numFmtId="172" fontId="3" fillId="0" borderId="2" xfId="0" applyNumberFormat="1" applyFont="1" applyBorder="1" applyAlignment="1">
      <alignment/>
    </xf>
    <xf numFmtId="175" fontId="0" fillId="0" borderId="0" xfId="21" applyNumberFormat="1" applyAlignment="1">
      <alignment/>
    </xf>
    <xf numFmtId="9" fontId="0" fillId="0" borderId="2" xfId="21" applyBorder="1" applyAlignment="1">
      <alignment/>
    </xf>
    <xf numFmtId="172" fontId="3" fillId="0" borderId="0" xfId="17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0" fillId="0" borderId="0" xfId="17" applyNumberFormat="1" applyFill="1" applyAlignment="1">
      <alignment/>
    </xf>
    <xf numFmtId="0" fontId="0" fillId="0" borderId="0" xfId="0" applyFont="1" applyAlignment="1">
      <alignment horizontal="right"/>
    </xf>
    <xf numFmtId="175" fontId="0" fillId="0" borderId="2" xfId="0" applyNumberFormat="1" applyBorder="1" applyAlignment="1">
      <alignment/>
    </xf>
    <xf numFmtId="9" fontId="0" fillId="0" borderId="2" xfId="0" applyNumberFormat="1" applyBorder="1" applyAlignment="1">
      <alignment/>
    </xf>
    <xf numFmtId="44" fontId="0" fillId="0" borderId="0" xfId="17" applyNumberFormat="1" applyAlignment="1">
      <alignment/>
    </xf>
    <xf numFmtId="0" fontId="0" fillId="0" borderId="0" xfId="0" applyFont="1" applyBorder="1" applyAlignment="1">
      <alignment horizontal="left" vertical="top"/>
    </xf>
    <xf numFmtId="172" fontId="0" fillId="0" borderId="1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/>
    </xf>
    <xf numFmtId="43" fontId="0" fillId="0" borderId="1" xfId="15" applyNumberFormat="1" applyBorder="1" applyAlignment="1">
      <alignment/>
    </xf>
    <xf numFmtId="0" fontId="8" fillId="0" borderId="0" xfId="0" applyFont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74" fontId="8" fillId="0" borderId="16" xfId="15" applyNumberFormat="1" applyFont="1" applyBorder="1" applyAlignment="1">
      <alignment/>
    </xf>
    <xf numFmtId="0" fontId="10" fillId="0" borderId="0" xfId="0" applyFont="1" applyAlignment="1">
      <alignment/>
    </xf>
    <xf numFmtId="3" fontId="8" fillId="0" borderId="16" xfId="0" applyNumberFormat="1" applyFont="1" applyBorder="1" applyAlignment="1">
      <alignment/>
    </xf>
    <xf numFmtId="0" fontId="9" fillId="0" borderId="3" xfId="0" applyFont="1" applyBorder="1" applyAlignment="1">
      <alignment horizontal="center"/>
    </xf>
    <xf numFmtId="0" fontId="8" fillId="0" borderId="10" xfId="0" applyFont="1" applyBorder="1" applyAlignment="1">
      <alignment/>
    </xf>
    <xf numFmtId="174" fontId="8" fillId="0" borderId="11" xfId="15" applyNumberFormat="1" applyFont="1" applyBorder="1" applyAlignment="1">
      <alignment/>
    </xf>
    <xf numFmtId="0" fontId="8" fillId="0" borderId="19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8" fillId="0" borderId="21" xfId="15" applyNumberFormat="1" applyFont="1" applyBorder="1" applyAlignment="1">
      <alignment/>
    </xf>
    <xf numFmtId="44" fontId="8" fillId="0" borderId="21" xfId="17" applyFont="1" applyBorder="1" applyAlignment="1">
      <alignment/>
    </xf>
    <xf numFmtId="3" fontId="8" fillId="0" borderId="21" xfId="0" applyNumberFormat="1" applyFont="1" applyBorder="1" applyAlignment="1">
      <alignment/>
    </xf>
    <xf numFmtId="44" fontId="8" fillId="0" borderId="16" xfId="17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3" fillId="0" borderId="0" xfId="0" applyFont="1" applyAlignment="1">
      <alignment/>
    </xf>
    <xf numFmtId="172" fontId="8" fillId="0" borderId="25" xfId="17" applyNumberFormat="1" applyFont="1" applyBorder="1" applyAlignment="1">
      <alignment/>
    </xf>
    <xf numFmtId="172" fontId="8" fillId="0" borderId="26" xfId="17" applyNumberFormat="1" applyFont="1" applyBorder="1" applyAlignment="1">
      <alignment/>
    </xf>
    <xf numFmtId="172" fontId="9" fillId="0" borderId="19" xfId="17" applyNumberFormat="1" applyFont="1" applyBorder="1" applyAlignment="1">
      <alignment/>
    </xf>
    <xf numFmtId="0" fontId="0" fillId="0" borderId="0" xfId="0" applyFont="1" applyAlignment="1">
      <alignment horizontal="left"/>
    </xf>
    <xf numFmtId="172" fontId="3" fillId="0" borderId="1" xfId="17" applyNumberFormat="1" applyFont="1" applyBorder="1" applyAlignment="1">
      <alignment/>
    </xf>
    <xf numFmtId="172" fontId="14" fillId="0" borderId="0" xfId="17" applyNumberFormat="1" applyFont="1" applyAlignment="1">
      <alignment/>
    </xf>
    <xf numFmtId="175" fontId="14" fillId="0" borderId="0" xfId="21" applyNumberFormat="1" applyFont="1" applyAlignment="1">
      <alignment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top"/>
    </xf>
    <xf numFmtId="0" fontId="0" fillId="0" borderId="0" xfId="0" applyFont="1" applyBorder="1" applyAlignment="1" quotePrefix="1">
      <alignment horizontal="center" vertical="top"/>
    </xf>
    <xf numFmtId="0" fontId="0" fillId="0" borderId="0" xfId="0" applyAlignment="1">
      <alignment/>
    </xf>
    <xf numFmtId="0" fontId="0" fillId="0" borderId="2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7" fillId="0" borderId="0" xfId="0" applyFont="1" applyAlignment="1">
      <alignment/>
    </xf>
    <xf numFmtId="172" fontId="15" fillId="0" borderId="1" xfId="17" applyNumberFormat="1" applyFont="1" applyBorder="1" applyAlignment="1">
      <alignment/>
    </xf>
    <xf numFmtId="172" fontId="15" fillId="0" borderId="0" xfId="17" applyNumberFormat="1" applyFont="1" applyBorder="1" applyAlignment="1">
      <alignment/>
    </xf>
    <xf numFmtId="0" fontId="15" fillId="0" borderId="0" xfId="0" applyFont="1" applyAlignment="1">
      <alignment horizontal="right"/>
    </xf>
    <xf numFmtId="172" fontId="15" fillId="0" borderId="2" xfId="17" applyNumberFormat="1" applyFont="1" applyBorder="1" applyAlignment="1">
      <alignment/>
    </xf>
    <xf numFmtId="172" fontId="15" fillId="0" borderId="0" xfId="17" applyNumberFormat="1" applyFont="1" applyAlignment="1">
      <alignment/>
    </xf>
    <xf numFmtId="172" fontId="17" fillId="0" borderId="2" xfId="17" applyNumberFormat="1" applyFont="1" applyBorder="1" applyAlignment="1">
      <alignment/>
    </xf>
    <xf numFmtId="0" fontId="17" fillId="0" borderId="0" xfId="0" applyFont="1" applyAlignment="1">
      <alignment horizontal="right"/>
    </xf>
    <xf numFmtId="172" fontId="17" fillId="0" borderId="0" xfId="17" applyNumberFormat="1" applyFont="1" applyBorder="1" applyAlignment="1">
      <alignment/>
    </xf>
    <xf numFmtId="172" fontId="15" fillId="0" borderId="0" xfId="17" applyNumberFormat="1" applyFont="1" applyAlignment="1">
      <alignment horizontal="right"/>
    </xf>
    <xf numFmtId="172" fontId="15" fillId="0" borderId="1" xfId="17" applyNumberFormat="1" applyFont="1" applyBorder="1" applyAlignment="1">
      <alignment horizontal="right"/>
    </xf>
    <xf numFmtId="172" fontId="17" fillId="0" borderId="2" xfId="0" applyNumberFormat="1" applyFont="1" applyBorder="1" applyAlignment="1">
      <alignment/>
    </xf>
    <xf numFmtId="0" fontId="15" fillId="0" borderId="0" xfId="0" applyFont="1" applyAlignment="1">
      <alignment/>
    </xf>
    <xf numFmtId="174" fontId="15" fillId="0" borderId="0" xfId="15" applyNumberFormat="1" applyFont="1" applyAlignment="1">
      <alignment/>
    </xf>
    <xf numFmtId="0" fontId="15" fillId="0" borderId="0" xfId="0" applyFont="1" applyFill="1" applyBorder="1" applyAlignment="1">
      <alignment/>
    </xf>
    <xf numFmtId="174" fontId="15" fillId="0" borderId="1" xfId="15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74" fontId="17" fillId="0" borderId="2" xfId="0" applyNumberFormat="1" applyFont="1" applyBorder="1" applyAlignment="1">
      <alignment/>
    </xf>
    <xf numFmtId="0" fontId="15" fillId="0" borderId="3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G36" sqref="G36"/>
    </sheetView>
  </sheetViews>
  <sheetFormatPr defaultColWidth="9.140625" defaultRowHeight="12.75"/>
  <cols>
    <col min="1" max="1" width="18.7109375" style="0" customWidth="1"/>
    <col min="2" max="2" width="13.7109375" style="0" customWidth="1"/>
    <col min="4" max="4" width="12.7109375" style="0" customWidth="1"/>
    <col min="6" max="6" width="12.7109375" style="0" customWidth="1"/>
    <col min="8" max="8" width="14.7109375" style="0" customWidth="1"/>
    <col min="10" max="10" width="9.7109375" style="0" bestFit="1" customWidth="1"/>
  </cols>
  <sheetData>
    <row r="1" spans="1:9" ht="12.75">
      <c r="A1" s="171" t="s">
        <v>33</v>
      </c>
      <c r="B1" s="171"/>
      <c r="C1" s="171"/>
      <c r="D1" s="171"/>
      <c r="E1" s="171"/>
      <c r="F1" s="171"/>
      <c r="G1" s="171"/>
      <c r="H1" s="171"/>
      <c r="I1" s="171"/>
    </row>
    <row r="3" spans="1:9" ht="12.75">
      <c r="A3" s="171" t="s">
        <v>87</v>
      </c>
      <c r="B3" s="171"/>
      <c r="C3" s="171"/>
      <c r="D3" s="171"/>
      <c r="E3" s="171"/>
      <c r="F3" s="171"/>
      <c r="G3" s="171"/>
      <c r="H3" s="171"/>
      <c r="I3" s="171"/>
    </row>
    <row r="4" spans="1:9" ht="12.75">
      <c r="A4" s="171" t="s">
        <v>85</v>
      </c>
      <c r="B4" s="171"/>
      <c r="C4" s="171"/>
      <c r="D4" s="171"/>
      <c r="E4" s="171"/>
      <c r="F4" s="171"/>
      <c r="G4" s="171"/>
      <c r="H4" s="171"/>
      <c r="I4" s="171"/>
    </row>
    <row r="5" spans="1:9" ht="12.75">
      <c r="A5" s="171" t="s">
        <v>86</v>
      </c>
      <c r="B5" s="171"/>
      <c r="C5" s="171"/>
      <c r="D5" s="171"/>
      <c r="E5" s="171"/>
      <c r="F5" s="171"/>
      <c r="G5" s="171"/>
      <c r="H5" s="171"/>
      <c r="I5" s="171"/>
    </row>
    <row r="7" spans="1:10" ht="12.75">
      <c r="A7" s="1"/>
      <c r="B7" s="172" t="s">
        <v>1</v>
      </c>
      <c r="C7" s="172"/>
      <c r="D7" s="1"/>
      <c r="E7" s="1"/>
      <c r="F7" s="1"/>
      <c r="G7" s="1"/>
      <c r="H7" s="1"/>
      <c r="I7" s="1"/>
      <c r="J7" s="1"/>
    </row>
    <row r="8" spans="1:10" ht="12.75">
      <c r="A8" s="1" t="s">
        <v>0</v>
      </c>
      <c r="B8" s="1" t="s">
        <v>2</v>
      </c>
      <c r="C8" s="1"/>
      <c r="D8" s="172" t="s">
        <v>5</v>
      </c>
      <c r="E8" s="172"/>
      <c r="F8" s="172" t="s">
        <v>588</v>
      </c>
      <c r="G8" s="172"/>
      <c r="H8" s="172" t="s">
        <v>6</v>
      </c>
      <c r="I8" s="172"/>
      <c r="J8" s="1"/>
    </row>
    <row r="9" spans="1:10" ht="12.75">
      <c r="A9" s="2" t="s">
        <v>7</v>
      </c>
      <c r="B9" s="2" t="s">
        <v>3</v>
      </c>
      <c r="C9" s="2" t="s">
        <v>4</v>
      </c>
      <c r="D9" s="2" t="s">
        <v>2</v>
      </c>
      <c r="E9" s="2" t="s">
        <v>4</v>
      </c>
      <c r="F9" s="2" t="s">
        <v>2</v>
      </c>
      <c r="G9" s="2" t="s">
        <v>4</v>
      </c>
      <c r="H9" s="2" t="s">
        <v>2</v>
      </c>
      <c r="I9" s="2" t="s">
        <v>4</v>
      </c>
      <c r="J9" s="1"/>
    </row>
    <row r="10" spans="1:10" ht="12.75">
      <c r="A10" s="5" t="s">
        <v>8</v>
      </c>
      <c r="B10" s="5" t="s">
        <v>9</v>
      </c>
      <c r="C10" s="5" t="s">
        <v>10</v>
      </c>
      <c r="D10" s="5" t="s">
        <v>11</v>
      </c>
      <c r="E10" s="5" t="s">
        <v>12</v>
      </c>
      <c r="F10" s="5" t="s">
        <v>13</v>
      </c>
      <c r="G10" s="5" t="s">
        <v>14</v>
      </c>
      <c r="H10" s="5" t="s">
        <v>15</v>
      </c>
      <c r="I10" s="5" t="s">
        <v>16</v>
      </c>
      <c r="J10" s="1"/>
    </row>
    <row r="12" spans="1:9" ht="12.75">
      <c r="A12" t="s">
        <v>651</v>
      </c>
      <c r="B12" s="34">
        <v>2590273</v>
      </c>
      <c r="C12" s="117">
        <f>+B12/$B$28</f>
        <v>0.7314240002078267</v>
      </c>
      <c r="D12" s="34">
        <v>2636307</v>
      </c>
      <c r="E12" s="117">
        <f>+D12/$D$28</f>
        <v>0.8595489132667467</v>
      </c>
      <c r="F12" s="72">
        <f>SUM(F13:F16)</f>
        <v>316038.143</v>
      </c>
      <c r="G12" s="117">
        <f>+F12/D12</f>
        <v>0.11987911233403392</v>
      </c>
      <c r="H12" s="72">
        <f>+D12+F12</f>
        <v>2952345.143</v>
      </c>
      <c r="I12" s="117">
        <f>+H12/$H$28</f>
        <v>0.8337750041768106</v>
      </c>
    </row>
    <row r="13" spans="1:10" ht="12.75">
      <c r="A13" s="169" t="s">
        <v>558</v>
      </c>
      <c r="B13" s="34"/>
      <c r="C13" s="117"/>
      <c r="D13" s="167">
        <v>572723</v>
      </c>
      <c r="E13" s="168">
        <f aca="true" t="shared" si="0" ref="E13:E25">+D13/$D$28</f>
        <v>0.18673220996373752</v>
      </c>
      <c r="F13" s="167">
        <f>+D13*0.069</f>
        <v>39517.887</v>
      </c>
      <c r="G13" s="168">
        <v>0.069</v>
      </c>
      <c r="I13" s="132"/>
      <c r="J13">
        <f>+D13*+I35</f>
        <v>39421.971807264905</v>
      </c>
    </row>
    <row r="14" spans="1:10" ht="12.75">
      <c r="A14" s="169" t="s">
        <v>559</v>
      </c>
      <c r="B14" s="34"/>
      <c r="C14" s="117"/>
      <c r="D14" s="167">
        <v>1684990</v>
      </c>
      <c r="E14" s="168">
        <f t="shared" si="0"/>
        <v>0.5493788558636515</v>
      </c>
      <c r="F14" s="167">
        <f>+D14*0.134</f>
        <v>225788.66</v>
      </c>
      <c r="G14" s="168">
        <v>0.134</v>
      </c>
      <c r="I14" s="132"/>
      <c r="J14">
        <f>+D14*$G$12</f>
        <v>201995.1054917238</v>
      </c>
    </row>
    <row r="15" spans="1:10" ht="12.75">
      <c r="A15" s="169" t="s">
        <v>560</v>
      </c>
      <c r="B15" s="34"/>
      <c r="C15" s="117"/>
      <c r="D15" s="167">
        <v>275136</v>
      </c>
      <c r="E15" s="168">
        <f t="shared" si="0"/>
        <v>0.08970611154184988</v>
      </c>
      <c r="F15" s="167">
        <f>+D15*0.134</f>
        <v>36868.224</v>
      </c>
      <c r="G15" s="168">
        <v>0.134</v>
      </c>
      <c r="I15" s="132"/>
      <c r="J15">
        <f>+D15*$G$12</f>
        <v>32983.05945113676</v>
      </c>
    </row>
    <row r="16" spans="1:10" ht="12.75">
      <c r="A16" s="169" t="s">
        <v>561</v>
      </c>
      <c r="B16" s="34"/>
      <c r="C16" s="117"/>
      <c r="D16" s="167">
        <v>103458</v>
      </c>
      <c r="E16" s="168">
        <f t="shared" si="0"/>
        <v>0.033731735897507796</v>
      </c>
      <c r="F16" s="167">
        <f>+D16*0.134</f>
        <v>13863.372000000001</v>
      </c>
      <c r="G16" s="168">
        <v>0.134</v>
      </c>
      <c r="I16" s="132"/>
      <c r="J16">
        <f>+D16*$G$12</f>
        <v>12402.453203854482</v>
      </c>
    </row>
    <row r="17" spans="2:9" ht="12.75">
      <c r="B17" s="34"/>
      <c r="C17" s="117"/>
      <c r="D17" s="34"/>
      <c r="E17" s="117"/>
      <c r="F17" s="117"/>
      <c r="G17" s="117"/>
      <c r="I17" s="132"/>
    </row>
    <row r="18" spans="1:9" ht="12.75">
      <c r="A18" t="s">
        <v>28</v>
      </c>
      <c r="B18" s="34">
        <v>883378</v>
      </c>
      <c r="C18" s="117">
        <f>+B18/$B$28</f>
        <v>0.24944238327604448</v>
      </c>
      <c r="D18" s="34">
        <f>SUM(D19:D21)</f>
        <v>406884</v>
      </c>
      <c r="E18" s="117">
        <f t="shared" si="0"/>
        <v>0.13266159822267548</v>
      </c>
      <c r="F18" s="72">
        <f>+D18*G18</f>
        <v>154615.92</v>
      </c>
      <c r="G18" s="117">
        <v>0.38</v>
      </c>
      <c r="H18" s="72">
        <f>+F18+D18</f>
        <v>561499.92</v>
      </c>
      <c r="I18" s="117">
        <f>+H18/$H$28</f>
        <v>0.15857380335537513</v>
      </c>
    </row>
    <row r="19" spans="1:10" ht="12.75">
      <c r="A19" s="169" t="s">
        <v>19</v>
      </c>
      <c r="B19" s="167"/>
      <c r="C19" s="168"/>
      <c r="D19" s="167">
        <v>148092</v>
      </c>
      <c r="E19" s="168">
        <f t="shared" si="0"/>
        <v>0.048284330187455045</v>
      </c>
      <c r="F19" s="170">
        <f>+D19*G19</f>
        <v>56274.96</v>
      </c>
      <c r="G19" s="168">
        <v>0.38</v>
      </c>
      <c r="I19" s="132"/>
      <c r="J19" s="72">
        <f>SUM(F19:F21)</f>
        <v>154615.92</v>
      </c>
    </row>
    <row r="20" spans="1:9" ht="12.75">
      <c r="A20" s="169" t="s">
        <v>18</v>
      </c>
      <c r="B20" s="167"/>
      <c r="C20" s="168"/>
      <c r="D20" s="167">
        <v>252872</v>
      </c>
      <c r="E20" s="168">
        <f t="shared" si="0"/>
        <v>0.08244709466522251</v>
      </c>
      <c r="F20" s="170">
        <f>+D20*G20</f>
        <v>96091.36</v>
      </c>
      <c r="G20" s="168">
        <v>0.38</v>
      </c>
      <c r="I20" s="132"/>
    </row>
    <row r="21" spans="1:9" ht="12.75">
      <c r="A21" s="169" t="s">
        <v>444</v>
      </c>
      <c r="B21" s="167"/>
      <c r="C21" s="168"/>
      <c r="D21" s="167">
        <v>5920</v>
      </c>
      <c r="E21" s="168">
        <f t="shared" si="0"/>
        <v>0.001930173369997933</v>
      </c>
      <c r="F21" s="170">
        <f>+D21*G21</f>
        <v>2249.6</v>
      </c>
      <c r="G21" s="168">
        <v>0.38</v>
      </c>
      <c r="I21" s="132"/>
    </row>
    <row r="22" spans="2:9" ht="12.75">
      <c r="B22" s="34"/>
      <c r="C22" s="117"/>
      <c r="D22" s="34"/>
      <c r="E22" s="117"/>
      <c r="F22" s="117"/>
      <c r="G22" s="117"/>
      <c r="I22" s="132"/>
    </row>
    <row r="23" spans="1:9" ht="12.75">
      <c r="A23" t="s">
        <v>20</v>
      </c>
      <c r="B23" s="34"/>
      <c r="C23" s="117"/>
      <c r="D23" s="34"/>
      <c r="E23" s="117"/>
      <c r="F23" s="117"/>
      <c r="G23" s="117"/>
      <c r="I23" s="132"/>
    </row>
    <row r="24" spans="1:9" ht="12.75">
      <c r="A24" t="s">
        <v>462</v>
      </c>
      <c r="B24" s="34">
        <v>16513</v>
      </c>
      <c r="C24" s="117">
        <f>+B24/$B$28</f>
        <v>0.004662830719168151</v>
      </c>
      <c r="D24" s="34">
        <v>23891</v>
      </c>
      <c r="E24" s="117">
        <f t="shared" si="0"/>
        <v>0.007789488510577806</v>
      </c>
      <c r="F24" s="72">
        <f>+D24*G24</f>
        <v>3201.3940000000002</v>
      </c>
      <c r="G24" s="117">
        <v>0.134</v>
      </c>
      <c r="H24" s="72">
        <f>+F24+D24</f>
        <v>27092.394</v>
      </c>
      <c r="I24" s="117">
        <f>+H24/$H$28</f>
        <v>0.007651192467814322</v>
      </c>
    </row>
    <row r="25" spans="1:7" ht="12.75">
      <c r="A25" t="s">
        <v>556</v>
      </c>
      <c r="B25" s="34">
        <v>51247</v>
      </c>
      <c r="C25" s="117">
        <f>+B25/$B$28</f>
        <v>0.01447078579696059</v>
      </c>
      <c r="D25" s="34">
        <v>0</v>
      </c>
      <c r="E25" s="117">
        <f t="shared" si="0"/>
        <v>0</v>
      </c>
      <c r="F25" s="117"/>
      <c r="G25" s="117"/>
    </row>
    <row r="26" spans="2:9" ht="12.75">
      <c r="B26" s="74"/>
      <c r="C26" s="6"/>
      <c r="D26" s="74"/>
      <c r="E26" s="6"/>
      <c r="F26" s="6"/>
      <c r="G26" s="6"/>
      <c r="H26" s="6"/>
      <c r="I26" s="6"/>
    </row>
    <row r="27" ht="12.75">
      <c r="B27" s="34"/>
    </row>
    <row r="28" spans="1:9" ht="13.5" thickBot="1">
      <c r="A28" t="s">
        <v>557</v>
      </c>
      <c r="B28" s="115">
        <f>SUM(B12:B25)</f>
        <v>3541411</v>
      </c>
      <c r="C28" s="118">
        <f>SUM(C12:C25)</f>
        <v>1</v>
      </c>
      <c r="D28" s="75">
        <f>+D12+D18+D24+D25</f>
        <v>3067082</v>
      </c>
      <c r="E28" s="123">
        <f>+E12+E18+E24+E25</f>
        <v>1</v>
      </c>
      <c r="F28" s="75">
        <f>+F12+F18+F24+F25</f>
        <v>473855.45699999994</v>
      </c>
      <c r="G28" s="123">
        <f>+F28/D28</f>
        <v>0.1544971595151352</v>
      </c>
      <c r="H28" s="115">
        <f>SUM(H12:H24)</f>
        <v>3540937.457</v>
      </c>
      <c r="I28" s="124">
        <f>SUM(I12:I24)</f>
        <v>1.0000000000000002</v>
      </c>
    </row>
    <row r="29" ht="13.5" thickTop="1"/>
    <row r="30" spans="1:9" ht="12.75">
      <c r="A30" s="171" t="s">
        <v>584</v>
      </c>
      <c r="B30" s="171"/>
      <c r="C30" s="171"/>
      <c r="D30" s="171"/>
      <c r="E30" s="171"/>
      <c r="F30" s="171"/>
      <c r="G30" s="171"/>
      <c r="H30" s="171"/>
      <c r="I30" s="17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4" ht="12.75">
      <c r="A32" s="6" t="s">
        <v>585</v>
      </c>
      <c r="D32" s="6" t="s">
        <v>586</v>
      </c>
    </row>
    <row r="33" spans="1:9" ht="12.75">
      <c r="A33" t="s">
        <v>570</v>
      </c>
      <c r="D33" s="34">
        <v>161954</v>
      </c>
      <c r="F33" t="s">
        <v>668</v>
      </c>
      <c r="I33" s="60">
        <v>10675</v>
      </c>
    </row>
    <row r="34" spans="1:9" ht="12.75">
      <c r="A34" t="s">
        <v>286</v>
      </c>
      <c r="D34" s="34">
        <v>299707</v>
      </c>
      <c r="F34" t="s">
        <v>587</v>
      </c>
      <c r="I34" s="125">
        <f>+D37/(I33*12)</f>
        <v>5.023512880562061</v>
      </c>
    </row>
    <row r="35" spans="1:9" ht="12.75">
      <c r="A35" t="s">
        <v>293</v>
      </c>
      <c r="B35" s="14"/>
      <c r="D35" s="74">
        <v>181851</v>
      </c>
      <c r="F35" t="s">
        <v>591</v>
      </c>
      <c r="I35" s="117">
        <f>+(I34-4.7)/4.7</f>
        <v>0.06883252777916184</v>
      </c>
    </row>
    <row r="36" spans="2:4" ht="12.75">
      <c r="B36" s="14"/>
      <c r="D36" s="73"/>
    </row>
    <row r="37" spans="1:4" ht="13.5" thickBot="1">
      <c r="A37" s="15" t="s">
        <v>32</v>
      </c>
      <c r="B37" s="16"/>
      <c r="D37" s="75">
        <f>SUM(D33:D35)</f>
        <v>643512</v>
      </c>
    </row>
    <row r="38" ht="13.5" thickTop="1"/>
  </sheetData>
  <mergeCells count="9">
    <mergeCell ref="A30:I30"/>
    <mergeCell ref="F8:G8"/>
    <mergeCell ref="H8:I8"/>
    <mergeCell ref="A1:I1"/>
    <mergeCell ref="B7:C7"/>
    <mergeCell ref="D8:E8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scale="81" r:id="rId1"/>
  <headerFooter alignWithMargins="0">
    <oddFooter>&amp;L&amp;D&amp;CQuest Engineers,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tabSelected="1" view="pageBreakPreview" zoomScale="60" workbookViewId="0" topLeftCell="A4">
      <selection activeCell="K76" sqref="K76"/>
    </sheetView>
  </sheetViews>
  <sheetFormatPr defaultColWidth="9.140625" defaultRowHeight="12.75"/>
  <cols>
    <col min="1" max="1" width="35.7109375" style="0" customWidth="1"/>
    <col min="3" max="7" width="14.7109375" style="0" customWidth="1"/>
    <col min="8" max="8" width="11.57421875" style="0" bestFit="1" customWidth="1"/>
  </cols>
  <sheetData>
    <row r="1" spans="1:7" ht="12.75">
      <c r="A1" s="189" t="s">
        <v>33</v>
      </c>
      <c r="B1" s="189"/>
      <c r="C1" s="189"/>
      <c r="D1" s="189"/>
      <c r="E1" s="189"/>
      <c r="F1" s="189"/>
      <c r="G1" s="189"/>
    </row>
    <row r="2" spans="1:7" ht="12.75">
      <c r="A2" s="190"/>
      <c r="B2" s="190"/>
      <c r="C2" s="190"/>
      <c r="D2" s="190"/>
      <c r="E2" s="190"/>
      <c r="F2" s="190"/>
      <c r="G2" s="190"/>
    </row>
    <row r="3" spans="1:7" ht="12.75">
      <c r="A3" s="189" t="s">
        <v>88</v>
      </c>
      <c r="B3" s="189"/>
      <c r="C3" s="189"/>
      <c r="D3" s="189"/>
      <c r="E3" s="189"/>
      <c r="F3" s="189"/>
      <c r="G3" s="189"/>
    </row>
    <row r="4" spans="1:7" ht="12.75">
      <c r="A4" s="189" t="s">
        <v>84</v>
      </c>
      <c r="B4" s="189"/>
      <c r="C4" s="189"/>
      <c r="D4" s="189"/>
      <c r="E4" s="189"/>
      <c r="F4" s="189"/>
      <c r="G4" s="189"/>
    </row>
    <row r="5" spans="1:7" ht="12.75">
      <c r="A5" s="190"/>
      <c r="B5" s="190"/>
      <c r="C5" s="190"/>
      <c r="D5" s="190"/>
      <c r="E5" s="190"/>
      <c r="F5" s="190"/>
      <c r="G5" s="190"/>
    </row>
    <row r="6" spans="1:7" ht="12.75">
      <c r="A6" s="191"/>
      <c r="B6" s="191"/>
      <c r="C6" s="191" t="s">
        <v>25</v>
      </c>
      <c r="D6" s="191"/>
      <c r="E6" s="191"/>
      <c r="F6" s="190"/>
      <c r="G6" s="190"/>
    </row>
    <row r="7" spans="1:7" ht="12.75">
      <c r="A7" s="191"/>
      <c r="B7" s="191" t="s">
        <v>23</v>
      </c>
      <c r="C7" s="191" t="s">
        <v>26</v>
      </c>
      <c r="D7" s="191"/>
      <c r="E7" s="192"/>
      <c r="F7" s="193" t="s">
        <v>20</v>
      </c>
      <c r="G7" s="193"/>
    </row>
    <row r="8" spans="1:7" ht="12.75">
      <c r="A8" s="192" t="s">
        <v>466</v>
      </c>
      <c r="B8" s="192" t="s">
        <v>24</v>
      </c>
      <c r="C8" s="192" t="s">
        <v>445</v>
      </c>
      <c r="D8" s="192" t="s">
        <v>27</v>
      </c>
      <c r="E8" s="192" t="s">
        <v>28</v>
      </c>
      <c r="F8" s="192" t="s">
        <v>446</v>
      </c>
      <c r="G8" s="192" t="s">
        <v>447</v>
      </c>
    </row>
    <row r="9" spans="1:7" ht="12.75">
      <c r="A9" s="194" t="s">
        <v>8</v>
      </c>
      <c r="B9" s="194" t="s">
        <v>9</v>
      </c>
      <c r="C9" s="194" t="s">
        <v>10</v>
      </c>
      <c r="D9" s="194" t="s">
        <v>11</v>
      </c>
      <c r="E9" s="194" t="s">
        <v>12</v>
      </c>
      <c r="F9" s="194" t="s">
        <v>13</v>
      </c>
      <c r="G9" s="194" t="s">
        <v>14</v>
      </c>
    </row>
    <row r="10" spans="1:7" ht="12.75">
      <c r="A10" s="194"/>
      <c r="B10" s="194"/>
      <c r="C10" s="194"/>
      <c r="D10" s="194"/>
      <c r="E10" s="194"/>
      <c r="F10" s="194"/>
      <c r="G10" s="194"/>
    </row>
    <row r="11" spans="1:7" ht="12.75">
      <c r="A11" s="195" t="s">
        <v>546</v>
      </c>
      <c r="B11" s="190"/>
      <c r="C11" s="190"/>
      <c r="D11" s="190"/>
      <c r="E11" s="190"/>
      <c r="F11" s="190"/>
      <c r="G11" s="190"/>
    </row>
    <row r="12" spans="1:7" ht="12.75">
      <c r="A12" s="195"/>
      <c r="B12" s="190"/>
      <c r="C12" s="190"/>
      <c r="D12" s="190"/>
      <c r="E12" s="190"/>
      <c r="F12" s="190"/>
      <c r="G12" s="190"/>
    </row>
    <row r="13" spans="1:7" ht="12.75">
      <c r="A13" s="190" t="s">
        <v>548</v>
      </c>
      <c r="B13" s="190"/>
      <c r="C13" s="190"/>
      <c r="D13" s="190"/>
      <c r="E13" s="190"/>
      <c r="F13" s="190"/>
      <c r="G13" s="190"/>
    </row>
    <row r="14" spans="1:8" ht="12.75">
      <c r="A14" s="190" t="s">
        <v>467</v>
      </c>
      <c r="B14" s="191" t="s">
        <v>448</v>
      </c>
      <c r="C14" s="196">
        <f>'Sch C'!E16</f>
        <v>13641</v>
      </c>
      <c r="D14" s="196">
        <f>+C14*0.7</f>
        <v>9548.699999999999</v>
      </c>
      <c r="E14" s="196">
        <f>+C14*0.3</f>
        <v>4092.2999999999997</v>
      </c>
      <c r="F14" s="196">
        <v>0</v>
      </c>
      <c r="G14" s="196">
        <v>0</v>
      </c>
      <c r="H14" s="72">
        <f>SUM(D14:G14)</f>
        <v>13640.999999999998</v>
      </c>
    </row>
    <row r="15" spans="1:8" ht="12.75">
      <c r="A15" s="190"/>
      <c r="B15" s="191"/>
      <c r="C15" s="197"/>
      <c r="D15" s="197"/>
      <c r="E15" s="197"/>
      <c r="F15" s="197"/>
      <c r="G15" s="197"/>
      <c r="H15" s="72"/>
    </row>
    <row r="16" spans="1:8" ht="13.5" thickBot="1">
      <c r="A16" s="198" t="s">
        <v>298</v>
      </c>
      <c r="B16" s="191"/>
      <c r="C16" s="199">
        <f>SUM(C14)</f>
        <v>13641</v>
      </c>
      <c r="D16" s="199">
        <f>SUM(D14)</f>
        <v>9548.699999999999</v>
      </c>
      <c r="E16" s="199">
        <f>SUM(E14)</f>
        <v>4092.2999999999997</v>
      </c>
      <c r="F16" s="199">
        <f>SUM(F14)</f>
        <v>0</v>
      </c>
      <c r="G16" s="199">
        <f>SUM(G14)</f>
        <v>0</v>
      </c>
      <c r="H16" s="72">
        <f aca="true" t="shared" si="0" ref="H16:H73">SUM(D16:G16)</f>
        <v>13640.999999999998</v>
      </c>
    </row>
    <row r="17" spans="1:8" ht="13.5" thickTop="1">
      <c r="A17" s="190"/>
      <c r="B17" s="191"/>
      <c r="C17" s="200"/>
      <c r="D17" s="200"/>
      <c r="E17" s="200"/>
      <c r="F17" s="200"/>
      <c r="G17" s="200"/>
      <c r="H17" s="72">
        <f t="shared" si="0"/>
        <v>0</v>
      </c>
    </row>
    <row r="18" spans="1:8" ht="12.75">
      <c r="A18" s="190" t="s">
        <v>549</v>
      </c>
      <c r="B18" s="191"/>
      <c r="C18" s="200"/>
      <c r="D18" s="200"/>
      <c r="E18" s="200"/>
      <c r="F18" s="200"/>
      <c r="G18" s="200"/>
      <c r="H18" s="72">
        <f t="shared" si="0"/>
        <v>0</v>
      </c>
    </row>
    <row r="19" spans="1:8" ht="12.75">
      <c r="A19" s="190" t="s">
        <v>467</v>
      </c>
      <c r="B19" s="191" t="s">
        <v>448</v>
      </c>
      <c r="C19" s="200">
        <v>521582</v>
      </c>
      <c r="D19" s="200">
        <f>+C19*0.7</f>
        <v>365107.39999999997</v>
      </c>
      <c r="E19" s="200">
        <f>+C19*0.3</f>
        <v>156474.6</v>
      </c>
      <c r="F19" s="200">
        <v>0</v>
      </c>
      <c r="G19" s="200">
        <v>0</v>
      </c>
      <c r="H19" s="72">
        <f t="shared" si="0"/>
        <v>521582</v>
      </c>
    </row>
    <row r="20" spans="1:8" ht="12.75">
      <c r="A20" s="190" t="s">
        <v>468</v>
      </c>
      <c r="B20" s="191" t="s">
        <v>449</v>
      </c>
      <c r="C20" s="196">
        <v>114494</v>
      </c>
      <c r="D20" s="196">
        <f>+C20*0.63</f>
        <v>72131.22</v>
      </c>
      <c r="E20" s="196">
        <f>+C20*0.37</f>
        <v>42362.78</v>
      </c>
      <c r="F20" s="196">
        <v>0</v>
      </c>
      <c r="G20" s="196">
        <v>0</v>
      </c>
      <c r="H20" s="72">
        <f t="shared" si="0"/>
        <v>114494</v>
      </c>
    </row>
    <row r="21" spans="1:8" ht="12.75">
      <c r="A21" s="190"/>
      <c r="B21" s="191"/>
      <c r="C21" s="197"/>
      <c r="D21" s="197"/>
      <c r="E21" s="197"/>
      <c r="F21" s="197"/>
      <c r="G21" s="197"/>
      <c r="H21" s="72"/>
    </row>
    <row r="22" spans="1:8" ht="13.5" thickBot="1">
      <c r="A22" s="198" t="s">
        <v>550</v>
      </c>
      <c r="B22" s="191"/>
      <c r="C22" s="199">
        <f>SUM(C19:C21)</f>
        <v>636076</v>
      </c>
      <c r="D22" s="199">
        <f>SUM(D19:D21)</f>
        <v>437238.62</v>
      </c>
      <c r="E22" s="199">
        <f>SUM(E19:E21)</f>
        <v>198837.38</v>
      </c>
      <c r="F22" s="199">
        <f>SUM(F19:F21)</f>
        <v>0</v>
      </c>
      <c r="G22" s="199">
        <f>SUM(G19:G21)</f>
        <v>0</v>
      </c>
      <c r="H22" s="72">
        <f t="shared" si="0"/>
        <v>636076</v>
      </c>
    </row>
    <row r="23" spans="1:8" ht="13.5" thickTop="1">
      <c r="A23" s="190"/>
      <c r="B23" s="191"/>
      <c r="C23" s="200"/>
      <c r="D23" s="200"/>
      <c r="E23" s="200"/>
      <c r="F23" s="200"/>
      <c r="G23" s="200"/>
      <c r="H23" s="72">
        <f t="shared" si="0"/>
        <v>0</v>
      </c>
    </row>
    <row r="24" spans="1:8" ht="12.75">
      <c r="A24" s="190" t="s">
        <v>547</v>
      </c>
      <c r="B24" s="191"/>
      <c r="C24" s="200"/>
      <c r="D24" s="200"/>
      <c r="E24" s="200"/>
      <c r="F24" s="200"/>
      <c r="G24" s="200"/>
      <c r="H24" s="72">
        <f t="shared" si="0"/>
        <v>0</v>
      </c>
    </row>
    <row r="25" spans="1:8" ht="12.75">
      <c r="A25" s="190" t="s">
        <v>467</v>
      </c>
      <c r="B25" s="191" t="s">
        <v>601</v>
      </c>
      <c r="C25" s="200">
        <v>152930</v>
      </c>
      <c r="D25" s="200">
        <f>+C25*0.8355</f>
        <v>127773.015</v>
      </c>
      <c r="E25" s="200">
        <f>+C25*0.1645</f>
        <v>25156.985</v>
      </c>
      <c r="F25" s="200">
        <v>0</v>
      </c>
      <c r="G25" s="200">
        <v>0</v>
      </c>
      <c r="H25" s="72">
        <f t="shared" si="0"/>
        <v>152930</v>
      </c>
    </row>
    <row r="26" spans="1:8" ht="12.75">
      <c r="A26" s="190" t="s">
        <v>468</v>
      </c>
      <c r="B26" s="191" t="s">
        <v>601</v>
      </c>
      <c r="C26" s="200">
        <v>32650</v>
      </c>
      <c r="D26" s="200">
        <f>+C26*0.8355</f>
        <v>27279.075</v>
      </c>
      <c r="E26" s="200">
        <f>+C26*0.1645</f>
        <v>5370.925</v>
      </c>
      <c r="F26" s="200">
        <v>0</v>
      </c>
      <c r="G26" s="200">
        <v>0</v>
      </c>
      <c r="H26" s="72">
        <f t="shared" si="0"/>
        <v>32650</v>
      </c>
    </row>
    <row r="27" spans="1:8" ht="12.75">
      <c r="A27" s="190" t="s">
        <v>469</v>
      </c>
      <c r="B27" s="191" t="s">
        <v>601</v>
      </c>
      <c r="C27" s="200">
        <v>113180</v>
      </c>
      <c r="D27" s="200">
        <f>+C27*0.8355</f>
        <v>94561.89</v>
      </c>
      <c r="E27" s="200">
        <f>+C27*0.1645</f>
        <v>18618.11</v>
      </c>
      <c r="F27" s="200">
        <v>0</v>
      </c>
      <c r="G27" s="200">
        <v>0</v>
      </c>
      <c r="H27" s="72">
        <f t="shared" si="0"/>
        <v>113180</v>
      </c>
    </row>
    <row r="28" spans="1:8" ht="12.75">
      <c r="A28" s="190" t="s">
        <v>531</v>
      </c>
      <c r="B28" s="191" t="s">
        <v>451</v>
      </c>
      <c r="C28" s="200">
        <v>9836</v>
      </c>
      <c r="D28" s="200">
        <f>+C28*0.921</f>
        <v>9058.956</v>
      </c>
      <c r="E28" s="200">
        <f>+C28*0.01</f>
        <v>98.36</v>
      </c>
      <c r="F28" s="200">
        <v>0</v>
      </c>
      <c r="G28" s="200">
        <f>+C28*0.069</f>
        <v>678.6840000000001</v>
      </c>
      <c r="H28" s="72">
        <f t="shared" si="0"/>
        <v>9836</v>
      </c>
    </row>
    <row r="29" spans="1:8" ht="12.75">
      <c r="A29" s="190" t="s">
        <v>532</v>
      </c>
      <c r="B29" s="191" t="s">
        <v>452</v>
      </c>
      <c r="C29" s="200">
        <v>0</v>
      </c>
      <c r="D29" s="200">
        <v>0</v>
      </c>
      <c r="E29" s="200">
        <v>0</v>
      </c>
      <c r="F29" s="200">
        <v>0</v>
      </c>
      <c r="G29" s="200">
        <v>0</v>
      </c>
      <c r="H29" s="72">
        <f t="shared" si="0"/>
        <v>0</v>
      </c>
    </row>
    <row r="30" spans="1:8" ht="12.75">
      <c r="A30" s="190" t="s">
        <v>533</v>
      </c>
      <c r="B30" s="191" t="s">
        <v>453</v>
      </c>
      <c r="C30" s="200">
        <v>125378</v>
      </c>
      <c r="D30" s="200">
        <f>+C30*0.9945</f>
        <v>124688.421</v>
      </c>
      <c r="E30" s="200">
        <f>+C30*0.0003</f>
        <v>37.6134</v>
      </c>
      <c r="F30" s="200">
        <v>0</v>
      </c>
      <c r="G30" s="200">
        <f>+C30*0.0052</f>
        <v>651.9656</v>
      </c>
      <c r="H30" s="72">
        <f t="shared" si="0"/>
        <v>125378</v>
      </c>
    </row>
    <row r="31" spans="1:8" ht="12.75">
      <c r="A31" s="190" t="s">
        <v>534</v>
      </c>
      <c r="B31" s="191" t="s">
        <v>471</v>
      </c>
      <c r="C31" s="200">
        <v>5640</v>
      </c>
      <c r="D31" s="200">
        <v>0</v>
      </c>
      <c r="E31" s="200">
        <v>0</v>
      </c>
      <c r="F31" s="200">
        <v>5640</v>
      </c>
      <c r="G31" s="200">
        <v>0</v>
      </c>
      <c r="H31" s="72">
        <f t="shared" si="0"/>
        <v>5640</v>
      </c>
    </row>
    <row r="32" spans="1:8" ht="12.75">
      <c r="A32" s="190" t="s">
        <v>535</v>
      </c>
      <c r="B32" s="191" t="s">
        <v>472</v>
      </c>
      <c r="C32" s="196">
        <v>424</v>
      </c>
      <c r="D32" s="196">
        <v>0</v>
      </c>
      <c r="E32" s="196">
        <v>0</v>
      </c>
      <c r="F32" s="196">
        <v>0</v>
      </c>
      <c r="G32" s="196">
        <v>424</v>
      </c>
      <c r="H32" s="72">
        <f t="shared" si="0"/>
        <v>424</v>
      </c>
    </row>
    <row r="33" spans="1:8" ht="12.75">
      <c r="A33" s="190"/>
      <c r="B33" s="191"/>
      <c r="C33" s="197"/>
      <c r="D33" s="197"/>
      <c r="E33" s="197"/>
      <c r="F33" s="197"/>
      <c r="G33" s="197"/>
      <c r="H33" s="72"/>
    </row>
    <row r="34" spans="1:8" ht="13.5" thickBot="1">
      <c r="A34" s="190" t="s">
        <v>551</v>
      </c>
      <c r="B34" s="191"/>
      <c r="C34" s="199">
        <f>SUM(C25:C33)</f>
        <v>440038</v>
      </c>
      <c r="D34" s="199">
        <f>SUM(D25:D33)</f>
        <v>383361.35699999996</v>
      </c>
      <c r="E34" s="199">
        <f>SUM(E25:E33)</f>
        <v>49281.99340000001</v>
      </c>
      <c r="F34" s="199">
        <f>SUM(F25:F33)</f>
        <v>5640</v>
      </c>
      <c r="G34" s="199">
        <f>SUM(G25:G33)</f>
        <v>1754.6496000000002</v>
      </c>
      <c r="H34" s="72">
        <f>SUM(D34:G34)</f>
        <v>440038</v>
      </c>
    </row>
    <row r="35" spans="1:8" ht="13.5" thickTop="1">
      <c r="A35" s="190"/>
      <c r="B35" s="191"/>
      <c r="C35" s="200"/>
      <c r="D35" s="200"/>
      <c r="E35" s="200"/>
      <c r="F35" s="200"/>
      <c r="G35" s="200"/>
      <c r="H35" s="72"/>
    </row>
    <row r="36" spans="1:8" ht="12.75">
      <c r="A36" s="190" t="s">
        <v>425</v>
      </c>
      <c r="B36" s="191"/>
      <c r="C36" s="200"/>
      <c r="D36" s="200"/>
      <c r="E36" s="200"/>
      <c r="F36" s="200"/>
      <c r="G36" s="200"/>
      <c r="H36" s="72">
        <f t="shared" si="0"/>
        <v>0</v>
      </c>
    </row>
    <row r="37" spans="1:8" ht="12.75">
      <c r="A37" s="190" t="s">
        <v>532</v>
      </c>
      <c r="B37" s="191" t="s">
        <v>452</v>
      </c>
      <c r="C37" s="196">
        <v>298983</v>
      </c>
      <c r="D37" s="196">
        <f>+C37*0.9945</f>
        <v>297338.5935</v>
      </c>
      <c r="E37" s="196">
        <f>+C37*0.0003</f>
        <v>89.69489999999999</v>
      </c>
      <c r="F37" s="196">
        <v>0</v>
      </c>
      <c r="G37" s="196">
        <f>+C37*0.0052</f>
        <v>1554.7115999999999</v>
      </c>
      <c r="H37" s="72">
        <f t="shared" si="0"/>
        <v>298983</v>
      </c>
    </row>
    <row r="38" spans="1:8" ht="12.75">
      <c r="A38" s="190"/>
      <c r="B38" s="191"/>
      <c r="C38" s="197"/>
      <c r="D38" s="197"/>
      <c r="E38" s="197"/>
      <c r="F38" s="197"/>
      <c r="G38" s="197"/>
      <c r="H38" s="72"/>
    </row>
    <row r="39" spans="1:8" ht="13.5" thickBot="1">
      <c r="A39" s="198" t="s">
        <v>317</v>
      </c>
      <c r="B39" s="191"/>
      <c r="C39" s="199">
        <f>SUM(C37:C38)</f>
        <v>298983</v>
      </c>
      <c r="D39" s="199">
        <f>SUM(D37:D38)</f>
        <v>297338.5935</v>
      </c>
      <c r="E39" s="199">
        <f>SUM(E37:E38)</f>
        <v>89.69489999999999</v>
      </c>
      <c r="F39" s="199">
        <f>SUM(F37:F38)</f>
        <v>0</v>
      </c>
      <c r="G39" s="199">
        <f>SUM(G37:G38)</f>
        <v>1554.7115999999999</v>
      </c>
      <c r="H39" s="72">
        <f t="shared" si="0"/>
        <v>298983</v>
      </c>
    </row>
    <row r="40" spans="1:8" ht="13.5" thickTop="1">
      <c r="A40" s="198"/>
      <c r="B40" s="191"/>
      <c r="C40" s="200"/>
      <c r="D40" s="200"/>
      <c r="E40" s="200"/>
      <c r="F40" s="200"/>
      <c r="G40" s="200"/>
      <c r="H40" s="72"/>
    </row>
    <row r="41" spans="1:8" ht="12.75">
      <c r="A41" s="190" t="s">
        <v>318</v>
      </c>
      <c r="B41" s="191"/>
      <c r="C41" s="200"/>
      <c r="D41" s="200"/>
      <c r="E41" s="200"/>
      <c r="F41" s="200"/>
      <c r="G41" s="200"/>
      <c r="H41" s="72">
        <f t="shared" si="0"/>
        <v>0</v>
      </c>
    </row>
    <row r="42" spans="1:8" ht="12.75">
      <c r="A42" s="190" t="s">
        <v>467</v>
      </c>
      <c r="B42" s="191" t="s">
        <v>448</v>
      </c>
      <c r="C42" s="200">
        <v>40580</v>
      </c>
      <c r="D42" s="200">
        <f>+C42*0.7</f>
        <v>28406</v>
      </c>
      <c r="E42" s="200">
        <f>+C42*0.3</f>
        <v>12174</v>
      </c>
      <c r="F42" s="200">
        <v>0</v>
      </c>
      <c r="G42" s="200">
        <v>0</v>
      </c>
      <c r="H42" s="72">
        <f t="shared" si="0"/>
        <v>40580</v>
      </c>
    </row>
    <row r="43" spans="1:8" ht="12.75">
      <c r="A43" s="190" t="s">
        <v>468</v>
      </c>
      <c r="B43" s="191" t="s">
        <v>449</v>
      </c>
      <c r="C43" s="200">
        <v>8678</v>
      </c>
      <c r="D43" s="200">
        <f>+C43*0.63</f>
        <v>5467.14</v>
      </c>
      <c r="E43" s="200">
        <f>+C43*0.37</f>
        <v>3210.86</v>
      </c>
      <c r="F43" s="200">
        <v>0</v>
      </c>
      <c r="G43" s="200">
        <v>0</v>
      </c>
      <c r="H43" s="72">
        <f t="shared" si="0"/>
        <v>8678</v>
      </c>
    </row>
    <row r="44" spans="1:8" ht="12.75">
      <c r="A44" s="190" t="s">
        <v>469</v>
      </c>
      <c r="B44" s="191" t="s">
        <v>450</v>
      </c>
      <c r="C44" s="200">
        <v>6709</v>
      </c>
      <c r="D44" s="200">
        <f>+C44*0.63</f>
        <v>4226.67</v>
      </c>
      <c r="E44" s="200">
        <f>+C44*0.37</f>
        <v>2482.33</v>
      </c>
      <c r="F44" s="200">
        <v>0</v>
      </c>
      <c r="G44" s="200">
        <v>0</v>
      </c>
      <c r="H44" s="72">
        <f t="shared" si="0"/>
        <v>6709</v>
      </c>
    </row>
    <row r="45" spans="1:8" ht="12.75">
      <c r="A45" s="190" t="s">
        <v>536</v>
      </c>
      <c r="B45" s="191" t="s">
        <v>451</v>
      </c>
      <c r="C45" s="200">
        <v>579</v>
      </c>
      <c r="D45" s="200">
        <f>+C45*0.921</f>
        <v>533.259</v>
      </c>
      <c r="E45" s="200">
        <f>+C45*0.01</f>
        <v>5.79</v>
      </c>
      <c r="F45" s="200">
        <v>0</v>
      </c>
      <c r="G45" s="200">
        <f>+C45*0.069</f>
        <v>39.951</v>
      </c>
      <c r="H45" s="72">
        <f t="shared" si="0"/>
        <v>579</v>
      </c>
    </row>
    <row r="46" spans="1:8" ht="12.75">
      <c r="A46" s="190" t="s">
        <v>534</v>
      </c>
      <c r="B46" s="191" t="s">
        <v>471</v>
      </c>
      <c r="C46" s="200">
        <v>334</v>
      </c>
      <c r="D46" s="200">
        <v>0</v>
      </c>
      <c r="E46" s="200">
        <v>0</v>
      </c>
      <c r="F46" s="200">
        <v>334</v>
      </c>
      <c r="G46" s="200"/>
      <c r="H46" s="72">
        <f t="shared" si="0"/>
        <v>334</v>
      </c>
    </row>
    <row r="47" spans="1:8" ht="12.75">
      <c r="A47" s="190" t="s">
        <v>537</v>
      </c>
      <c r="B47" s="191" t="s">
        <v>472</v>
      </c>
      <c r="C47" s="196">
        <v>25</v>
      </c>
      <c r="D47" s="196">
        <v>0</v>
      </c>
      <c r="E47" s="196">
        <v>0</v>
      </c>
      <c r="F47" s="196">
        <v>0</v>
      </c>
      <c r="G47" s="196">
        <v>25</v>
      </c>
      <c r="H47" s="72">
        <f t="shared" si="0"/>
        <v>25</v>
      </c>
    </row>
    <row r="48" spans="1:8" ht="12.75">
      <c r="A48" s="190"/>
      <c r="B48" s="191"/>
      <c r="C48" s="197"/>
      <c r="D48" s="197"/>
      <c r="E48" s="197"/>
      <c r="F48" s="197"/>
      <c r="G48" s="197"/>
      <c r="H48" s="72"/>
    </row>
    <row r="49" spans="1:8" ht="13.5" thickBot="1">
      <c r="A49" s="198" t="s">
        <v>319</v>
      </c>
      <c r="B49" s="191"/>
      <c r="C49" s="199">
        <f>SUM(C42:C48)</f>
        <v>56905</v>
      </c>
      <c r="D49" s="199">
        <f>SUM(D42:D48)</f>
        <v>38633.068999999996</v>
      </c>
      <c r="E49" s="199">
        <f>SUM(E42:E48)</f>
        <v>17872.980000000003</v>
      </c>
      <c r="F49" s="199">
        <f>SUM(F42:F48)</f>
        <v>334</v>
      </c>
      <c r="G49" s="199">
        <f>SUM(G42:G48)</f>
        <v>64.951</v>
      </c>
      <c r="H49" s="72">
        <f>SUM(D49:G49)</f>
        <v>56905</v>
      </c>
    </row>
    <row r="50" spans="1:8" ht="13.5" thickTop="1">
      <c r="A50" s="190"/>
      <c r="B50" s="191"/>
      <c r="C50" s="200"/>
      <c r="D50" s="200"/>
      <c r="E50" s="200"/>
      <c r="F50" s="200"/>
      <c r="G50" s="200"/>
      <c r="H50" s="72">
        <f t="shared" si="0"/>
        <v>0</v>
      </c>
    </row>
    <row r="51" spans="1:8" ht="12.75">
      <c r="A51" s="190" t="s">
        <v>320</v>
      </c>
      <c r="B51" s="191"/>
      <c r="C51" s="200"/>
      <c r="D51" s="200"/>
      <c r="E51" s="200"/>
      <c r="F51" s="200"/>
      <c r="G51" s="200"/>
      <c r="H51" s="72">
        <f t="shared" si="0"/>
        <v>0</v>
      </c>
    </row>
    <row r="52" spans="1:8" ht="12.75">
      <c r="A52" s="190" t="s">
        <v>467</v>
      </c>
      <c r="B52" s="191" t="s">
        <v>448</v>
      </c>
      <c r="C52" s="200">
        <v>315980</v>
      </c>
      <c r="D52" s="200">
        <f>+C52*0.7</f>
        <v>221186</v>
      </c>
      <c r="E52" s="200">
        <f>+C52*0.3</f>
        <v>94794</v>
      </c>
      <c r="F52" s="200">
        <v>0</v>
      </c>
      <c r="G52" s="200">
        <v>0</v>
      </c>
      <c r="H52" s="72">
        <f t="shared" si="0"/>
        <v>315980</v>
      </c>
    </row>
    <row r="53" spans="1:8" ht="12.75">
      <c r="A53" s="190" t="s">
        <v>468</v>
      </c>
      <c r="B53" s="191" t="s">
        <v>449</v>
      </c>
      <c r="C53" s="200">
        <v>67878</v>
      </c>
      <c r="D53" s="200">
        <f>+C53*0.63</f>
        <v>42763.14</v>
      </c>
      <c r="E53" s="200">
        <f>+C53*0.37</f>
        <v>25114.86</v>
      </c>
      <c r="F53" s="200">
        <v>0</v>
      </c>
      <c r="G53" s="200">
        <v>0</v>
      </c>
      <c r="H53" s="72">
        <f t="shared" si="0"/>
        <v>67878</v>
      </c>
    </row>
    <row r="54" spans="1:8" ht="12.75">
      <c r="A54" s="190" t="s">
        <v>469</v>
      </c>
      <c r="B54" s="191" t="s">
        <v>450</v>
      </c>
      <c r="C54" s="200">
        <v>62051</v>
      </c>
      <c r="D54" s="200">
        <f>+C54*0.63</f>
        <v>39092.13</v>
      </c>
      <c r="E54" s="200">
        <f>+C54*0.37</f>
        <v>22958.87</v>
      </c>
      <c r="F54" s="200">
        <v>0</v>
      </c>
      <c r="G54" s="200">
        <v>0</v>
      </c>
      <c r="H54" s="72">
        <f t="shared" si="0"/>
        <v>62051</v>
      </c>
    </row>
    <row r="55" spans="1:8" ht="12.75">
      <c r="A55" s="190" t="s">
        <v>470</v>
      </c>
      <c r="B55" s="191" t="s">
        <v>451</v>
      </c>
      <c r="C55" s="200">
        <v>5086</v>
      </c>
      <c r="D55" s="200">
        <f>+C55*0.921</f>
        <v>4684.206</v>
      </c>
      <c r="E55" s="200">
        <f>+C55*0.01</f>
        <v>50.86</v>
      </c>
      <c r="F55" s="200">
        <v>0</v>
      </c>
      <c r="G55" s="200">
        <f>+C55*0.069</f>
        <v>350.934</v>
      </c>
      <c r="H55" s="72">
        <f t="shared" si="0"/>
        <v>5086</v>
      </c>
    </row>
    <row r="56" spans="1:8" ht="12.75">
      <c r="A56" s="190" t="s">
        <v>538</v>
      </c>
      <c r="B56" s="191" t="s">
        <v>452</v>
      </c>
      <c r="C56" s="200">
        <v>125514</v>
      </c>
      <c r="D56" s="200">
        <f>+C56*0.9945</f>
        <v>124823.67300000001</v>
      </c>
      <c r="E56" s="200">
        <f>+C56*0.0003</f>
        <v>37.654199999999996</v>
      </c>
      <c r="F56" s="200">
        <v>0</v>
      </c>
      <c r="G56" s="200">
        <f>+C56*0.0052</f>
        <v>652.6727999999999</v>
      </c>
      <c r="H56" s="72">
        <f t="shared" si="0"/>
        <v>125514.00000000001</v>
      </c>
    </row>
    <row r="57" spans="1:8" ht="12.75">
      <c r="A57" s="190" t="s">
        <v>539</v>
      </c>
      <c r="B57" s="191" t="s">
        <v>453</v>
      </c>
      <c r="C57" s="200">
        <v>54878</v>
      </c>
      <c r="D57" s="200">
        <f>+C57*0.9945</f>
        <v>54576.171</v>
      </c>
      <c r="E57" s="200">
        <f>+C57*0.0003</f>
        <v>16.4634</v>
      </c>
      <c r="F57" s="200">
        <v>0</v>
      </c>
      <c r="G57" s="200">
        <f>+C57*0.0052</f>
        <v>285.3656</v>
      </c>
      <c r="H57" s="72">
        <f t="shared" si="0"/>
        <v>54878</v>
      </c>
    </row>
    <row r="58" spans="1:8" ht="12.75">
      <c r="A58" s="190" t="s">
        <v>534</v>
      </c>
      <c r="B58" s="191" t="s">
        <v>471</v>
      </c>
      <c r="C58" s="200">
        <v>2719</v>
      </c>
      <c r="D58" s="200">
        <v>0</v>
      </c>
      <c r="E58" s="200">
        <v>0</v>
      </c>
      <c r="F58" s="200">
        <v>2719</v>
      </c>
      <c r="G58" s="200">
        <v>0</v>
      </c>
      <c r="H58" s="72">
        <f t="shared" si="0"/>
        <v>2719</v>
      </c>
    </row>
    <row r="59" spans="1:8" ht="12.75">
      <c r="A59" s="190" t="s">
        <v>535</v>
      </c>
      <c r="B59" s="191" t="s">
        <v>472</v>
      </c>
      <c r="C59" s="196">
        <v>198</v>
      </c>
      <c r="D59" s="196">
        <v>0</v>
      </c>
      <c r="E59" s="196">
        <v>0</v>
      </c>
      <c r="F59" s="196">
        <v>0</v>
      </c>
      <c r="G59" s="196">
        <v>198</v>
      </c>
      <c r="H59" s="72">
        <f t="shared" si="0"/>
        <v>198</v>
      </c>
    </row>
    <row r="60" spans="1:8" ht="12.75">
      <c r="A60" s="190"/>
      <c r="B60" s="191"/>
      <c r="C60" s="197"/>
      <c r="D60" s="197"/>
      <c r="E60" s="197"/>
      <c r="F60" s="197"/>
      <c r="G60" s="197"/>
      <c r="H60" s="72"/>
    </row>
    <row r="61" spans="1:8" ht="13.5" thickBot="1">
      <c r="A61" s="198" t="s">
        <v>321</v>
      </c>
      <c r="B61" s="191"/>
      <c r="C61" s="199">
        <f>SUM(C52:C60)</f>
        <v>634304</v>
      </c>
      <c r="D61" s="199">
        <f>SUM(D52:D60)</f>
        <v>487125.32000000007</v>
      </c>
      <c r="E61" s="199">
        <f>SUM(E52:E60)</f>
        <v>142972.7076</v>
      </c>
      <c r="F61" s="199">
        <f>SUM(F52:F60)</f>
        <v>2719</v>
      </c>
      <c r="G61" s="199">
        <f>SUM(G52:G60)</f>
        <v>1486.9724</v>
      </c>
      <c r="H61" s="72">
        <f t="shared" si="0"/>
        <v>634304</v>
      </c>
    </row>
    <row r="62" spans="1:8" ht="13.5" thickTop="1">
      <c r="A62" s="198"/>
      <c r="B62" s="191"/>
      <c r="C62" s="200"/>
      <c r="D62" s="200"/>
      <c r="E62" s="200"/>
      <c r="F62" s="200"/>
      <c r="G62" s="200"/>
      <c r="H62" s="72"/>
    </row>
    <row r="63" spans="1:8" ht="13.5" thickBot="1">
      <c r="A63" s="195" t="s">
        <v>552</v>
      </c>
      <c r="B63" s="191"/>
      <c r="C63" s="201">
        <f>+C16+C22+C34+C39+C49+C61</f>
        <v>2079947</v>
      </c>
      <c r="D63" s="201">
        <f>+D16+D22+D34+D39+D49+D61</f>
        <v>1653245.6594999998</v>
      </c>
      <c r="E63" s="201">
        <f>+E16+E22+E34+E39+E49+E61</f>
        <v>413147.05590000004</v>
      </c>
      <c r="F63" s="201">
        <f>+F16+F22+F34+F39+F49+F61</f>
        <v>8693</v>
      </c>
      <c r="G63" s="201">
        <f>+G16+G22+G34+G39+G49+G61</f>
        <v>4861.284600000001</v>
      </c>
      <c r="H63" s="72">
        <f t="shared" si="0"/>
        <v>2079946.9999999998</v>
      </c>
    </row>
    <row r="64" spans="1:8" ht="13.5" thickTop="1">
      <c r="A64" s="190"/>
      <c r="B64" s="191"/>
      <c r="C64" s="200"/>
      <c r="D64" s="200"/>
      <c r="E64" s="200"/>
      <c r="F64" s="200"/>
      <c r="G64" s="200"/>
      <c r="H64" s="72"/>
    </row>
    <row r="65" spans="1:8" ht="12.75">
      <c r="A65" s="195" t="s">
        <v>649</v>
      </c>
      <c r="B65" s="191"/>
      <c r="C65" s="200"/>
      <c r="D65" s="200"/>
      <c r="E65" s="200"/>
      <c r="F65" s="200"/>
      <c r="G65" s="200"/>
      <c r="H65" s="72"/>
    </row>
    <row r="66" spans="1:8" ht="12.75">
      <c r="A66" s="190" t="s">
        <v>467</v>
      </c>
      <c r="B66" s="191" t="s">
        <v>448</v>
      </c>
      <c r="C66" s="200">
        <v>234534</v>
      </c>
      <c r="D66" s="200">
        <f>+C66*0.7</f>
        <v>164173.8</v>
      </c>
      <c r="E66" s="200">
        <f>+C66*0.3</f>
        <v>70360.2</v>
      </c>
      <c r="F66" s="200">
        <v>0</v>
      </c>
      <c r="G66" s="200">
        <v>0</v>
      </c>
      <c r="H66" s="72">
        <f t="shared" si="0"/>
        <v>234534</v>
      </c>
    </row>
    <row r="67" spans="1:8" ht="12.75">
      <c r="A67" s="190" t="s">
        <v>468</v>
      </c>
      <c r="B67" s="191" t="s">
        <v>449</v>
      </c>
      <c r="C67" s="200">
        <v>58633</v>
      </c>
      <c r="D67" s="200">
        <f>+C67*0.63</f>
        <v>36938.79</v>
      </c>
      <c r="E67" s="200">
        <f>+C67*0.37</f>
        <v>21694.21</v>
      </c>
      <c r="F67" s="200">
        <v>0</v>
      </c>
      <c r="G67" s="200">
        <v>0</v>
      </c>
      <c r="H67" s="72">
        <f t="shared" si="0"/>
        <v>58633</v>
      </c>
    </row>
    <row r="68" spans="1:8" ht="12.75">
      <c r="A68" s="190" t="s">
        <v>469</v>
      </c>
      <c r="B68" s="191" t="s">
        <v>450</v>
      </c>
      <c r="C68" s="200">
        <v>141697</v>
      </c>
      <c r="D68" s="200">
        <f>+C68*0.63</f>
        <v>89269.11</v>
      </c>
      <c r="E68" s="200">
        <f>+C68*0.37</f>
        <v>52427.89</v>
      </c>
      <c r="F68" s="200">
        <v>0</v>
      </c>
      <c r="G68" s="200">
        <v>0</v>
      </c>
      <c r="H68" s="72">
        <f t="shared" si="0"/>
        <v>141697</v>
      </c>
    </row>
    <row r="69" spans="1:8" ht="12.75">
      <c r="A69" s="190" t="s">
        <v>470</v>
      </c>
      <c r="B69" s="191" t="s">
        <v>451</v>
      </c>
      <c r="C69" s="200">
        <v>29317</v>
      </c>
      <c r="D69" s="200">
        <f>+C69*0.921</f>
        <v>27000.957000000002</v>
      </c>
      <c r="E69" s="200">
        <f>+C69*0.01</f>
        <v>293.17</v>
      </c>
      <c r="F69" s="200">
        <v>0</v>
      </c>
      <c r="G69" s="200">
        <f>+C69*0.069</f>
        <v>2022.8730000000003</v>
      </c>
      <c r="H69" s="72">
        <f t="shared" si="0"/>
        <v>29317</v>
      </c>
    </row>
    <row r="70" spans="1:8" ht="12.75">
      <c r="A70" s="190" t="s">
        <v>538</v>
      </c>
      <c r="B70" s="191" t="s">
        <v>452</v>
      </c>
      <c r="C70" s="200">
        <v>9772</v>
      </c>
      <c r="D70" s="200">
        <f>+C70*0.9945</f>
        <v>9718.254</v>
      </c>
      <c r="E70" s="200">
        <f>+C70*0.0003</f>
        <v>2.9315999999999995</v>
      </c>
      <c r="F70" s="200">
        <v>0</v>
      </c>
      <c r="G70" s="200">
        <f>+C70*0.0052</f>
        <v>50.8144</v>
      </c>
      <c r="H70" s="72">
        <f t="shared" si="0"/>
        <v>9772</v>
      </c>
    </row>
    <row r="71" spans="1:8" ht="12.75">
      <c r="A71" s="190" t="s">
        <v>539</v>
      </c>
      <c r="B71" s="191" t="s">
        <v>453</v>
      </c>
      <c r="C71" s="200">
        <v>4886</v>
      </c>
      <c r="D71" s="200">
        <f>+C71*0.9945</f>
        <v>4859.127</v>
      </c>
      <c r="E71" s="200">
        <f>+C71*0.0003</f>
        <v>1.4657999999999998</v>
      </c>
      <c r="F71" s="200">
        <v>0</v>
      </c>
      <c r="G71" s="200">
        <f>+C71*0.0052</f>
        <v>25.4072</v>
      </c>
      <c r="H71" s="72">
        <f t="shared" si="0"/>
        <v>4886</v>
      </c>
    </row>
    <row r="72" spans="1:8" ht="12.75">
      <c r="A72" s="190" t="s">
        <v>534</v>
      </c>
      <c r="B72" s="191" t="s">
        <v>471</v>
      </c>
      <c r="C72" s="197">
        <v>9284</v>
      </c>
      <c r="D72" s="197"/>
      <c r="E72" s="197"/>
      <c r="F72" s="197">
        <v>9284</v>
      </c>
      <c r="G72" s="197"/>
      <c r="H72" s="72">
        <f t="shared" si="0"/>
        <v>9284</v>
      </c>
    </row>
    <row r="73" spans="1:8" ht="12.75">
      <c r="A73" s="190" t="s">
        <v>535</v>
      </c>
      <c r="B73" s="191" t="s">
        <v>472</v>
      </c>
      <c r="C73" s="196">
        <v>489</v>
      </c>
      <c r="D73" s="196">
        <v>0</v>
      </c>
      <c r="E73" s="196">
        <v>0</v>
      </c>
      <c r="F73" s="196">
        <v>0</v>
      </c>
      <c r="G73" s="196">
        <v>489</v>
      </c>
      <c r="H73" s="72">
        <f t="shared" si="0"/>
        <v>489</v>
      </c>
    </row>
    <row r="74" spans="1:8" ht="12.75">
      <c r="A74" s="190"/>
      <c r="B74" s="191"/>
      <c r="C74" s="197"/>
      <c r="D74" s="197"/>
      <c r="E74" s="197"/>
      <c r="F74" s="197"/>
      <c r="G74" s="197"/>
      <c r="H74" s="72"/>
    </row>
    <row r="75" spans="1:8" ht="13.5" thickBot="1">
      <c r="A75" s="202" t="s">
        <v>553</v>
      </c>
      <c r="B75" s="190"/>
      <c r="C75" s="201">
        <f>SUM(C66:C74)</f>
        <v>488612</v>
      </c>
      <c r="D75" s="201">
        <f>SUM(D66:D74)</f>
        <v>331960.038</v>
      </c>
      <c r="E75" s="201">
        <f>SUM(E66:E74)</f>
        <v>144779.86740000002</v>
      </c>
      <c r="F75" s="201">
        <f>SUM(F66:F74)</f>
        <v>9284</v>
      </c>
      <c r="G75" s="201">
        <f>SUM(G66:G74)</f>
        <v>2588.0946000000004</v>
      </c>
      <c r="H75" s="72">
        <f>SUM(D75:G75)</f>
        <v>488612.00000000006</v>
      </c>
    </row>
    <row r="76" spans="1:7" ht="13.5" thickTop="1">
      <c r="A76" s="190"/>
      <c r="B76" s="190"/>
      <c r="C76" s="200"/>
      <c r="D76" s="200"/>
      <c r="E76" s="200"/>
      <c r="F76" s="200"/>
      <c r="G76" s="200"/>
    </row>
    <row r="77" spans="1:8" ht="13.5" thickBot="1">
      <c r="A77" s="195" t="s">
        <v>545</v>
      </c>
      <c r="B77" s="195"/>
      <c r="C77" s="201">
        <f>+C63+C75</f>
        <v>2568559</v>
      </c>
      <c r="D77" s="201">
        <f>+D63+D75</f>
        <v>1985205.6974999998</v>
      </c>
      <c r="E77" s="201">
        <f>+E63+E75</f>
        <v>557926.9233</v>
      </c>
      <c r="F77" s="201">
        <f>+F63+F75</f>
        <v>17977</v>
      </c>
      <c r="G77" s="201">
        <f>+G63+G75</f>
        <v>7449.379200000001</v>
      </c>
      <c r="H77" s="72">
        <f>SUM(D77:G77)</f>
        <v>2568558.9999999995</v>
      </c>
    </row>
    <row r="78" spans="1:8" ht="13.5" thickTop="1">
      <c r="A78" s="195"/>
      <c r="B78" s="195"/>
      <c r="C78" s="203"/>
      <c r="D78" s="203"/>
      <c r="E78" s="203"/>
      <c r="F78" s="203"/>
      <c r="G78" s="203"/>
      <c r="H78" s="72"/>
    </row>
    <row r="79" spans="1:8" ht="12.75">
      <c r="A79" s="195" t="s">
        <v>650</v>
      </c>
      <c r="B79" s="195"/>
      <c r="C79" s="203"/>
      <c r="D79" s="203"/>
      <c r="E79" s="203"/>
      <c r="F79" s="203"/>
      <c r="G79" s="203"/>
      <c r="H79" s="72"/>
    </row>
    <row r="80" spans="1:8" ht="12.75">
      <c r="A80" s="190" t="s">
        <v>467</v>
      </c>
      <c r="B80" s="191" t="s">
        <v>448</v>
      </c>
      <c r="C80" s="204">
        <v>-133461</v>
      </c>
      <c r="D80" s="200">
        <f>+C80*0.7</f>
        <v>-93422.7</v>
      </c>
      <c r="E80" s="200">
        <f>+C80*0.3</f>
        <v>-40038.299999999996</v>
      </c>
      <c r="F80" s="200">
        <v>0</v>
      </c>
      <c r="G80" s="200">
        <v>0</v>
      </c>
      <c r="H80" s="72">
        <f aca="true" t="shared" si="1" ref="H80:H87">SUM(D80:G80)</f>
        <v>-133461</v>
      </c>
    </row>
    <row r="81" spans="1:8" ht="12.75">
      <c r="A81" s="190" t="s">
        <v>468</v>
      </c>
      <c r="B81" s="191" t="s">
        <v>449</v>
      </c>
      <c r="C81" s="204">
        <v>-5405</v>
      </c>
      <c r="D81" s="200">
        <f>+C81*0.63</f>
        <v>-3405.15</v>
      </c>
      <c r="E81" s="200">
        <f>+C81*0.37</f>
        <v>-1999.85</v>
      </c>
      <c r="F81" s="200">
        <v>0</v>
      </c>
      <c r="G81" s="200">
        <v>0</v>
      </c>
      <c r="H81" s="72">
        <f t="shared" si="1"/>
        <v>-5405</v>
      </c>
    </row>
    <row r="82" spans="1:8" ht="12.75">
      <c r="A82" s="190" t="s">
        <v>469</v>
      </c>
      <c r="B82" s="191" t="s">
        <v>450</v>
      </c>
      <c r="C82" s="204">
        <v>84990</v>
      </c>
      <c r="D82" s="200">
        <f>+C82*0.63</f>
        <v>53543.7</v>
      </c>
      <c r="E82" s="200">
        <f>+C82*0.37</f>
        <v>31446.3</v>
      </c>
      <c r="F82" s="200">
        <v>0</v>
      </c>
      <c r="G82" s="200">
        <v>0</v>
      </c>
      <c r="H82" s="72">
        <f t="shared" si="1"/>
        <v>84990</v>
      </c>
    </row>
    <row r="83" spans="1:8" ht="12.75">
      <c r="A83" s="190" t="s">
        <v>470</v>
      </c>
      <c r="B83" s="191" t="s">
        <v>451</v>
      </c>
      <c r="C83" s="204">
        <v>23146</v>
      </c>
      <c r="D83" s="200">
        <f>+C83*0.921</f>
        <v>21317.466</v>
      </c>
      <c r="E83" s="200">
        <f>+C83*0.01</f>
        <v>231.46</v>
      </c>
      <c r="F83" s="200">
        <v>0</v>
      </c>
      <c r="G83" s="200">
        <f>+C83*0.069</f>
        <v>1597.074</v>
      </c>
      <c r="H83" s="72">
        <f t="shared" si="1"/>
        <v>23146</v>
      </c>
    </row>
    <row r="84" spans="1:8" ht="12.75">
      <c r="A84" s="190" t="s">
        <v>538</v>
      </c>
      <c r="B84" s="191" t="s">
        <v>452</v>
      </c>
      <c r="C84" s="204">
        <v>-217781</v>
      </c>
      <c r="D84" s="200">
        <f>+C84*0.9945</f>
        <v>-216583.20450000002</v>
      </c>
      <c r="E84" s="200">
        <f>+C84*0.0003</f>
        <v>-65.3343</v>
      </c>
      <c r="F84" s="200">
        <v>0</v>
      </c>
      <c r="G84" s="200">
        <f>+C84*0.0052</f>
        <v>-1132.4612</v>
      </c>
      <c r="H84" s="72">
        <f t="shared" si="1"/>
        <v>-217781</v>
      </c>
    </row>
    <row r="85" spans="1:8" ht="12.75">
      <c r="A85" s="190" t="s">
        <v>539</v>
      </c>
      <c r="B85" s="191" t="s">
        <v>453</v>
      </c>
      <c r="C85" s="204">
        <v>-10361</v>
      </c>
      <c r="D85" s="200">
        <f>+C85*0.9945</f>
        <v>-10304.014500000001</v>
      </c>
      <c r="E85" s="200">
        <f>+C85*0.0003</f>
        <v>-3.1083</v>
      </c>
      <c r="F85" s="200">
        <v>0</v>
      </c>
      <c r="G85" s="200">
        <f>+C85*0.0052</f>
        <v>-53.877199999999995</v>
      </c>
      <c r="H85" s="72">
        <f t="shared" si="1"/>
        <v>-10361.000000000002</v>
      </c>
    </row>
    <row r="86" spans="1:8" ht="12.75">
      <c r="A86" s="190" t="s">
        <v>534</v>
      </c>
      <c r="B86" s="191" t="s">
        <v>471</v>
      </c>
      <c r="C86" s="204">
        <v>6292</v>
      </c>
      <c r="D86" s="197"/>
      <c r="E86" s="197"/>
      <c r="F86" s="197">
        <v>6292</v>
      </c>
      <c r="G86" s="197"/>
      <c r="H86" s="72">
        <f t="shared" si="1"/>
        <v>6292</v>
      </c>
    </row>
    <row r="87" spans="1:8" ht="12.75">
      <c r="A87" s="190" t="s">
        <v>535</v>
      </c>
      <c r="B87" s="191" t="s">
        <v>472</v>
      </c>
      <c r="C87" s="205">
        <v>280</v>
      </c>
      <c r="D87" s="196">
        <v>0</v>
      </c>
      <c r="E87" s="196">
        <v>0</v>
      </c>
      <c r="F87" s="196">
        <v>0</v>
      </c>
      <c r="G87" s="196">
        <v>280</v>
      </c>
      <c r="H87" s="72">
        <f t="shared" si="1"/>
        <v>280</v>
      </c>
    </row>
    <row r="88" spans="1:8" ht="12.75">
      <c r="A88" s="190"/>
      <c r="B88" s="195"/>
      <c r="C88" s="198"/>
      <c r="D88" s="197"/>
      <c r="E88" s="203"/>
      <c r="F88" s="203"/>
      <c r="G88" s="203"/>
      <c r="H88" s="72"/>
    </row>
    <row r="89" spans="1:8" ht="13.5" thickBot="1">
      <c r="A89" s="195" t="s">
        <v>569</v>
      </c>
      <c r="B89" s="195"/>
      <c r="C89" s="206">
        <f>SUM(C80:C88)</f>
        <v>-252300</v>
      </c>
      <c r="D89" s="206">
        <f>SUM(D80:D88)</f>
        <v>-248853.903</v>
      </c>
      <c r="E89" s="206">
        <f>SUM(E80:E88)</f>
        <v>-10428.832599999996</v>
      </c>
      <c r="F89" s="206">
        <f>SUM(F80:F88)</f>
        <v>6292</v>
      </c>
      <c r="G89" s="206">
        <f>SUM(G80:G88)</f>
        <v>690.7356000000001</v>
      </c>
      <c r="H89" s="72">
        <f>SUM(D89:G89)</f>
        <v>-252299.99999999997</v>
      </c>
    </row>
    <row r="90" spans="1:8" ht="13.5" thickTop="1">
      <c r="A90" s="195"/>
      <c r="B90" s="195"/>
      <c r="C90" s="203"/>
      <c r="D90" s="203"/>
      <c r="E90" s="203"/>
      <c r="F90" s="203"/>
      <c r="G90" s="203"/>
      <c r="H90" s="72"/>
    </row>
    <row r="91" spans="1:7" ht="12.75">
      <c r="A91" s="190"/>
      <c r="B91" s="190"/>
      <c r="C91" s="190"/>
      <c r="D91" s="190"/>
      <c r="E91" s="190"/>
      <c r="F91" s="190"/>
      <c r="G91" s="190"/>
    </row>
    <row r="92" spans="1:7" ht="12.75">
      <c r="A92" s="195" t="s">
        <v>554</v>
      </c>
      <c r="B92" s="190"/>
      <c r="C92" s="190"/>
      <c r="D92" s="190"/>
      <c r="E92" s="190"/>
      <c r="F92" s="190"/>
      <c r="G92" s="190"/>
    </row>
    <row r="93" spans="1:8" ht="12.75">
      <c r="A93" s="207" t="s">
        <v>467</v>
      </c>
      <c r="B93" s="191" t="s">
        <v>448</v>
      </c>
      <c r="C93" s="208">
        <v>568178</v>
      </c>
      <c r="D93" s="208">
        <f>+C93*0.7</f>
        <v>397724.6</v>
      </c>
      <c r="E93" s="208">
        <f>+C93*0.3</f>
        <v>170453.4</v>
      </c>
      <c r="F93" s="208">
        <v>0</v>
      </c>
      <c r="G93" s="208">
        <v>0</v>
      </c>
      <c r="H93" s="72">
        <f aca="true" t="shared" si="2" ref="H93:H104">SUM(D93:G93)</f>
        <v>568178</v>
      </c>
    </row>
    <row r="94" spans="1:8" ht="12.75">
      <c r="A94" s="207" t="s">
        <v>468</v>
      </c>
      <c r="B94" s="191" t="s">
        <v>449</v>
      </c>
      <c r="C94" s="208">
        <v>125815</v>
      </c>
      <c r="D94" s="208">
        <f>+C94*0.63</f>
        <v>79263.45</v>
      </c>
      <c r="E94" s="208">
        <f>+C94*0.37</f>
        <v>46551.55</v>
      </c>
      <c r="F94" s="208">
        <v>0</v>
      </c>
      <c r="G94" s="208">
        <v>0</v>
      </c>
      <c r="H94" s="72">
        <f t="shared" si="2"/>
        <v>125815</v>
      </c>
    </row>
    <row r="95" spans="1:8" ht="12.75">
      <c r="A95" s="207" t="s">
        <v>469</v>
      </c>
      <c r="B95" s="191" t="s">
        <v>450</v>
      </c>
      <c r="C95" s="208">
        <v>318669</v>
      </c>
      <c r="D95" s="208">
        <f>+C95*0.63</f>
        <v>200761.47</v>
      </c>
      <c r="E95" s="208">
        <f>+C95*0.37</f>
        <v>117907.53</v>
      </c>
      <c r="F95" s="208">
        <v>0</v>
      </c>
      <c r="G95" s="208">
        <v>0</v>
      </c>
      <c r="H95" s="72">
        <f t="shared" si="2"/>
        <v>318669</v>
      </c>
    </row>
    <row r="96" spans="1:8" ht="12.75">
      <c r="A96" s="209" t="s">
        <v>470</v>
      </c>
      <c r="B96" s="191" t="s">
        <v>451</v>
      </c>
      <c r="C96" s="208">
        <v>93990</v>
      </c>
      <c r="D96" s="208">
        <f>+C96*0.921</f>
        <v>86564.79000000001</v>
      </c>
      <c r="E96" s="208">
        <f>+C96*0.01</f>
        <v>939.9</v>
      </c>
      <c r="F96" s="208">
        <v>0</v>
      </c>
      <c r="G96" s="208">
        <f>+C96*0.069</f>
        <v>6485.31</v>
      </c>
      <c r="H96" s="72">
        <f t="shared" si="2"/>
        <v>93990</v>
      </c>
    </row>
    <row r="97" spans="1:8" ht="12.75">
      <c r="A97" s="207" t="s">
        <v>538</v>
      </c>
      <c r="B97" s="191" t="s">
        <v>452</v>
      </c>
      <c r="C97" s="208">
        <v>83089</v>
      </c>
      <c r="D97" s="208">
        <f>+C97*0.9945</f>
        <v>82632.0105</v>
      </c>
      <c r="E97" s="208">
        <f>+C97*0.0003</f>
        <v>24.926699999999997</v>
      </c>
      <c r="F97" s="208">
        <v>0</v>
      </c>
      <c r="G97" s="208">
        <f>+C97*0.0052</f>
        <v>432.0628</v>
      </c>
      <c r="H97" s="72">
        <f t="shared" si="2"/>
        <v>83089</v>
      </c>
    </row>
    <row r="98" spans="1:8" ht="12.75">
      <c r="A98" s="207" t="s">
        <v>539</v>
      </c>
      <c r="B98" s="191" t="s">
        <v>453</v>
      </c>
      <c r="C98" s="208">
        <v>7013</v>
      </c>
      <c r="D98" s="208">
        <f>+C98*0.9945</f>
        <v>6974.4285</v>
      </c>
      <c r="E98" s="208">
        <f>+C98*0.0003</f>
        <v>2.1039</v>
      </c>
      <c r="F98" s="208">
        <v>0</v>
      </c>
      <c r="G98" s="208">
        <f>+C98*0.0052</f>
        <v>36.4676</v>
      </c>
      <c r="H98" s="72">
        <f t="shared" si="2"/>
        <v>7013</v>
      </c>
    </row>
    <row r="99" spans="1:8" ht="12.75">
      <c r="A99" s="207" t="s">
        <v>534</v>
      </c>
      <c r="B99" s="191" t="s">
        <v>471</v>
      </c>
      <c r="C99" s="208">
        <v>26978</v>
      </c>
      <c r="D99" s="208">
        <v>0</v>
      </c>
      <c r="E99" s="208">
        <v>0</v>
      </c>
      <c r="F99" s="208">
        <v>26978</v>
      </c>
      <c r="G99" s="208">
        <v>0</v>
      </c>
      <c r="H99" s="72">
        <f t="shared" si="2"/>
        <v>26978</v>
      </c>
    </row>
    <row r="100" spans="1:8" ht="12.75">
      <c r="A100" s="207" t="s">
        <v>535</v>
      </c>
      <c r="B100" s="191" t="s">
        <v>472</v>
      </c>
      <c r="C100" s="210">
        <v>1419</v>
      </c>
      <c r="D100" s="210">
        <v>0</v>
      </c>
      <c r="E100" s="210">
        <v>0</v>
      </c>
      <c r="F100" s="210">
        <v>0</v>
      </c>
      <c r="G100" s="210">
        <v>1419</v>
      </c>
      <c r="H100" s="72">
        <f t="shared" si="2"/>
        <v>1419</v>
      </c>
    </row>
    <row r="101" spans="1:8" ht="12.75">
      <c r="A101" s="207"/>
      <c r="B101" s="191"/>
      <c r="C101" s="208"/>
      <c r="D101" s="208"/>
      <c r="E101" s="208"/>
      <c r="F101" s="208"/>
      <c r="G101" s="208"/>
      <c r="H101" s="72">
        <f t="shared" si="2"/>
        <v>0</v>
      </c>
    </row>
    <row r="102" spans="1:8" ht="13.5" thickBot="1">
      <c r="A102" s="211" t="s">
        <v>555</v>
      </c>
      <c r="B102" s="212"/>
      <c r="C102" s="213">
        <f>SUM(C93:C101)</f>
        <v>1225151</v>
      </c>
      <c r="D102" s="213">
        <f>SUM(D93:D100)</f>
        <v>853920.7490000001</v>
      </c>
      <c r="E102" s="213">
        <f>SUM(E93:E100)</f>
        <v>335879.4106</v>
      </c>
      <c r="F102" s="213">
        <f>SUM(F93:F100)</f>
        <v>26978</v>
      </c>
      <c r="G102" s="213">
        <f>SUM(G93:G100)</f>
        <v>8372.840400000001</v>
      </c>
      <c r="H102" s="72">
        <f t="shared" si="2"/>
        <v>1225151.0000000002</v>
      </c>
    </row>
    <row r="103" spans="1:8" ht="13.5" thickTop="1">
      <c r="A103" s="207"/>
      <c r="B103" s="207"/>
      <c r="C103" s="214"/>
      <c r="D103" s="214"/>
      <c r="E103" s="214"/>
      <c r="F103" s="214"/>
      <c r="G103" s="214"/>
      <c r="H103" s="72">
        <f t="shared" si="2"/>
        <v>0</v>
      </c>
    </row>
    <row r="104" spans="1:8" ht="13.5" thickBot="1">
      <c r="A104" s="211" t="s">
        <v>476</v>
      </c>
      <c r="B104" s="207"/>
      <c r="C104" s="206">
        <f>+C102+C77+C89</f>
        <v>3541410</v>
      </c>
      <c r="D104" s="206">
        <f>+D102+D77+D89</f>
        <v>2590272.5434999997</v>
      </c>
      <c r="E104" s="206">
        <f>+E102+E77+E89</f>
        <v>883377.5013</v>
      </c>
      <c r="F104" s="206">
        <f>+F102+F77+F89</f>
        <v>51247</v>
      </c>
      <c r="G104" s="206">
        <f>+G102+G77+G89</f>
        <v>16512.955200000004</v>
      </c>
      <c r="H104" s="72">
        <f t="shared" si="2"/>
        <v>3541410</v>
      </c>
    </row>
    <row r="105" spans="1:7" ht="13.5" thickTop="1">
      <c r="A105" s="207"/>
      <c r="B105" s="207"/>
      <c r="C105" s="190"/>
      <c r="D105" s="190"/>
      <c r="E105" s="190"/>
      <c r="F105" s="190"/>
      <c r="G105" s="190"/>
    </row>
    <row r="106" spans="1:7" ht="12.75">
      <c r="A106" s="207"/>
      <c r="B106" s="207"/>
      <c r="C106" s="190"/>
      <c r="D106" s="190"/>
      <c r="E106" s="190"/>
      <c r="F106" s="190"/>
      <c r="G106" s="190"/>
    </row>
    <row r="107" spans="1:2" ht="12.75">
      <c r="A107" s="107"/>
      <c r="B107" s="107"/>
    </row>
    <row r="108" spans="1:2" ht="12.75">
      <c r="A108" s="107"/>
      <c r="B108" s="107"/>
    </row>
    <row r="109" spans="1:2" ht="12.75">
      <c r="A109" s="107"/>
      <c r="B109" s="107"/>
    </row>
    <row r="110" spans="1:2" ht="12.75">
      <c r="A110" s="107"/>
      <c r="B110" s="107"/>
    </row>
    <row r="111" spans="1:2" ht="12.75">
      <c r="A111" s="107"/>
      <c r="B111" s="107"/>
    </row>
    <row r="112" spans="1:2" ht="12.75">
      <c r="A112" s="107"/>
      <c r="B112" s="107"/>
    </row>
    <row r="113" spans="1:2" ht="12.75">
      <c r="A113" s="107"/>
      <c r="B113" s="107"/>
    </row>
    <row r="114" spans="1:2" ht="12.75">
      <c r="A114" s="107"/>
      <c r="B114" s="107"/>
    </row>
    <row r="115" spans="1:2" ht="12.75">
      <c r="A115" s="107"/>
      <c r="B115" s="107"/>
    </row>
    <row r="116" spans="1:2" ht="12.75">
      <c r="A116" s="107"/>
      <c r="B116" s="107"/>
    </row>
    <row r="117" spans="1:2" ht="12.75">
      <c r="A117" s="107"/>
      <c r="B117" s="107"/>
    </row>
    <row r="118" spans="1:2" ht="12.75">
      <c r="A118" s="107"/>
      <c r="B118" s="107"/>
    </row>
    <row r="119" spans="1:2" ht="12.75">
      <c r="A119" s="107"/>
      <c r="B119" s="107"/>
    </row>
    <row r="120" spans="1:2" ht="12.75">
      <c r="A120" s="107"/>
      <c r="B120" s="107"/>
    </row>
    <row r="121" spans="1:2" ht="12.75">
      <c r="A121" s="107"/>
      <c r="B121" s="107"/>
    </row>
    <row r="122" spans="1:2" ht="12.75">
      <c r="A122" s="107"/>
      <c r="B122" s="107"/>
    </row>
    <row r="123" spans="1:2" ht="12.75">
      <c r="A123" s="107"/>
      <c r="B123" s="107"/>
    </row>
    <row r="124" spans="1:2" ht="12.75">
      <c r="A124" s="107"/>
      <c r="B124" s="107"/>
    </row>
    <row r="125" spans="1:2" ht="12.75">
      <c r="A125" s="107"/>
      <c r="B125" s="107"/>
    </row>
    <row r="126" spans="1:2" ht="12.75">
      <c r="A126" s="107"/>
      <c r="B126" s="107"/>
    </row>
    <row r="128" ht="12.75">
      <c r="A128" s="35" t="s">
        <v>473</v>
      </c>
    </row>
    <row r="130" ht="12.75">
      <c r="A130" s="35" t="s">
        <v>476</v>
      </c>
    </row>
  </sheetData>
  <mergeCells count="4">
    <mergeCell ref="F7:G7"/>
    <mergeCell ref="A3:G3"/>
    <mergeCell ref="A4:G4"/>
    <mergeCell ref="A1:G1"/>
  </mergeCells>
  <printOptions/>
  <pageMargins left="0.75" right="0.75" top="0.5" bottom="0.5" header="0.5" footer="0.5"/>
  <pageSetup fitToHeight="0" fitToWidth="1" horizontalDpi="600" verticalDpi="600" orientation="landscape" r:id="rId1"/>
  <headerFooter alignWithMargins="0">
    <oddFooter>&amp;L&amp;D&amp;CQuest Engineers, Inc</oddFooter>
  </headerFooter>
  <rowBreaks count="2" manualBreakCount="2">
    <brk id="39" max="6" man="1"/>
    <brk id="7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47"/>
  <sheetViews>
    <sheetView view="pageBreakPreview" zoomScale="60" workbookViewId="0" topLeftCell="A1">
      <selection activeCell="A61" sqref="A61"/>
    </sheetView>
  </sheetViews>
  <sheetFormatPr defaultColWidth="9.140625" defaultRowHeight="12.75"/>
  <cols>
    <col min="1" max="1" width="30.7109375" style="0" customWidth="1"/>
    <col min="2" max="5" width="14.7109375" style="0" customWidth="1"/>
  </cols>
  <sheetData>
    <row r="1" spans="1:5" ht="12.75">
      <c r="A1" s="171" t="s">
        <v>33</v>
      </c>
      <c r="B1" s="171"/>
      <c r="C1" s="171"/>
      <c r="D1" s="171"/>
      <c r="E1" s="171"/>
    </row>
    <row r="2" spans="1:5" ht="12.75">
      <c r="A2" s="1"/>
      <c r="B2" s="1"/>
      <c r="C2" s="1"/>
      <c r="D2" s="1"/>
      <c r="E2" s="1"/>
    </row>
    <row r="3" spans="1:5" ht="12.75">
      <c r="A3" s="171" t="s">
        <v>89</v>
      </c>
      <c r="B3" s="171"/>
      <c r="C3" s="171"/>
      <c r="D3" s="171"/>
      <c r="E3" s="171"/>
    </row>
    <row r="4" spans="1:5" ht="12.75">
      <c r="A4" s="171" t="s">
        <v>34</v>
      </c>
      <c r="B4" s="171"/>
      <c r="C4" s="171"/>
      <c r="D4" s="171"/>
      <c r="E4" s="171"/>
    </row>
    <row r="6" ht="12.75">
      <c r="A6" t="s">
        <v>358</v>
      </c>
    </row>
    <row r="8" ht="12.75">
      <c r="A8" t="s">
        <v>37</v>
      </c>
    </row>
    <row r="10" spans="1:5" ht="12.75">
      <c r="A10" s="1"/>
      <c r="B10" s="1"/>
      <c r="C10" s="1" t="s">
        <v>36</v>
      </c>
      <c r="D10" s="1"/>
      <c r="E10" s="1"/>
    </row>
    <row r="11" spans="1:5" ht="12.75">
      <c r="A11" s="1"/>
      <c r="B11" s="1"/>
      <c r="C11" s="1" t="s">
        <v>38</v>
      </c>
      <c r="D11" s="1"/>
      <c r="E11" s="1" t="s">
        <v>41</v>
      </c>
    </row>
    <row r="12" spans="1:5" ht="12.75">
      <c r="A12" s="2" t="s">
        <v>35</v>
      </c>
      <c r="B12" s="1"/>
      <c r="C12" s="2" t="s">
        <v>412</v>
      </c>
      <c r="D12" s="1"/>
      <c r="E12" s="2" t="s">
        <v>40</v>
      </c>
    </row>
    <row r="13" spans="1:5" ht="12.75">
      <c r="A13" s="5" t="s">
        <v>8</v>
      </c>
      <c r="B13" s="1"/>
      <c r="C13" s="5" t="s">
        <v>9</v>
      </c>
      <c r="D13" s="1"/>
      <c r="E13" s="5" t="s">
        <v>10</v>
      </c>
    </row>
    <row r="15" spans="1:5" ht="12.75">
      <c r="A15" t="s">
        <v>27</v>
      </c>
      <c r="C15" s="48">
        <f>+C21-C16</f>
        <v>1828831</v>
      </c>
      <c r="E15" s="52">
        <f>+C15/$C$21</f>
        <v>0.6951449011217992</v>
      </c>
    </row>
    <row r="16" spans="1:5" ht="12.75">
      <c r="A16" t="s">
        <v>28</v>
      </c>
      <c r="C16" s="48">
        <f>SUM(C17:C19)</f>
        <v>802032</v>
      </c>
      <c r="E16" s="52">
        <f>+C16/$C$21</f>
        <v>0.3048550988782008</v>
      </c>
    </row>
    <row r="17" spans="1:5" ht="12.75">
      <c r="A17" t="s">
        <v>18</v>
      </c>
      <c r="C17" s="48">
        <v>500459</v>
      </c>
      <c r="E17" s="90"/>
    </row>
    <row r="18" spans="1:5" ht="12.75">
      <c r="A18" t="s">
        <v>19</v>
      </c>
      <c r="C18" s="48">
        <v>293263</v>
      </c>
      <c r="E18" s="90"/>
    </row>
    <row r="19" spans="1:5" ht="12.75">
      <c r="A19" t="s">
        <v>444</v>
      </c>
      <c r="C19" s="60">
        <v>8310</v>
      </c>
      <c r="E19" s="91"/>
    </row>
    <row r="20" spans="3:5" ht="12.75">
      <c r="C20" s="81"/>
      <c r="E20" s="66"/>
    </row>
    <row r="21" spans="1:5" ht="13.5" thickBot="1">
      <c r="A21" t="s">
        <v>21</v>
      </c>
      <c r="C21" s="80">
        <v>2630863</v>
      </c>
      <c r="E21" s="79">
        <f>SUM(E15:E19)</f>
        <v>1</v>
      </c>
    </row>
    <row r="22" ht="13.5" thickTop="1"/>
    <row r="24" ht="12.75">
      <c r="A24" t="s">
        <v>359</v>
      </c>
    </row>
    <row r="26" ht="12.75">
      <c r="A26" t="s">
        <v>44</v>
      </c>
    </row>
    <row r="27" ht="12.75">
      <c r="A27" t="s">
        <v>42</v>
      </c>
    </row>
    <row r="29" spans="3:5" ht="12.75">
      <c r="C29" s="1" t="s">
        <v>43</v>
      </c>
      <c r="D29" s="1"/>
      <c r="E29" s="1"/>
    </row>
    <row r="30" spans="3:5" ht="12.75">
      <c r="C30" s="1" t="s">
        <v>38</v>
      </c>
      <c r="D30" s="1"/>
      <c r="E30" s="1" t="s">
        <v>41</v>
      </c>
    </row>
    <row r="31" spans="1:5" ht="12.75">
      <c r="A31" s="8" t="s">
        <v>35</v>
      </c>
      <c r="C31" s="2" t="s">
        <v>39</v>
      </c>
      <c r="D31" s="1"/>
      <c r="E31" s="2" t="s">
        <v>40</v>
      </c>
    </row>
    <row r="32" spans="1:5" ht="12.75">
      <c r="A32" s="5" t="s">
        <v>8</v>
      </c>
      <c r="B32" s="1"/>
      <c r="C32" s="5" t="s">
        <v>9</v>
      </c>
      <c r="D32" s="1"/>
      <c r="E32" s="5" t="s">
        <v>10</v>
      </c>
    </row>
    <row r="34" spans="1:5" ht="12.75">
      <c r="A34" t="s">
        <v>27</v>
      </c>
      <c r="C34" s="48">
        <f>+C40-C36-C37-C38</f>
        <v>2013633</v>
      </c>
      <c r="E34" s="52">
        <f>+C34/$C$40</f>
        <v>0.6273945978147484</v>
      </c>
    </row>
    <row r="35" spans="1:5" ht="12.75">
      <c r="A35" t="s">
        <v>28</v>
      </c>
      <c r="C35" s="48">
        <f>SUM(C36:C38)</f>
        <v>1195883</v>
      </c>
      <c r="E35" s="52">
        <f>+C35/$C$40</f>
        <v>0.3726054021852516</v>
      </c>
    </row>
    <row r="36" spans="1:5" ht="12.75">
      <c r="A36" t="s">
        <v>18</v>
      </c>
      <c r="C36" s="48">
        <v>815429</v>
      </c>
      <c r="D36" s="48"/>
      <c r="E36" s="90"/>
    </row>
    <row r="37" spans="1:5" ht="12.75">
      <c r="A37" t="s">
        <v>19</v>
      </c>
      <c r="C37" s="48">
        <v>353035</v>
      </c>
      <c r="D37" s="48"/>
      <c r="E37" s="90"/>
    </row>
    <row r="38" spans="1:5" ht="12.75">
      <c r="A38" t="s">
        <v>444</v>
      </c>
      <c r="C38" s="60">
        <v>27419</v>
      </c>
      <c r="D38" s="81"/>
      <c r="E38" s="91"/>
    </row>
    <row r="39" ht="12.75">
      <c r="C39" s="48"/>
    </row>
    <row r="40" spans="1:5" ht="13.5" thickBot="1">
      <c r="A40" t="s">
        <v>21</v>
      </c>
      <c r="C40" s="80">
        <v>3209516</v>
      </c>
      <c r="E40" s="83">
        <f>SUM(E34:E38)</f>
        <v>1</v>
      </c>
    </row>
    <row r="41" ht="13.5" thickTop="1"/>
    <row r="43" ht="12.75">
      <c r="A43" t="s">
        <v>360</v>
      </c>
    </row>
    <row r="45" ht="12.75">
      <c r="A45" t="s">
        <v>44</v>
      </c>
    </row>
    <row r="46" ht="12.75">
      <c r="A46" t="s">
        <v>42</v>
      </c>
    </row>
    <row r="48" spans="2:5" ht="12.75">
      <c r="B48" s="56" t="s">
        <v>36</v>
      </c>
      <c r="C48" s="1" t="s">
        <v>45</v>
      </c>
      <c r="D48" s="1" t="s">
        <v>45</v>
      </c>
      <c r="E48" s="1"/>
    </row>
    <row r="49" spans="2:5" ht="12.75">
      <c r="B49" s="56" t="s">
        <v>38</v>
      </c>
      <c r="C49" s="1" t="s">
        <v>46</v>
      </c>
      <c r="D49" s="1" t="s">
        <v>47</v>
      </c>
      <c r="E49" s="1" t="s">
        <v>41</v>
      </c>
    </row>
    <row r="50" spans="1:5" ht="12.75">
      <c r="A50" s="8" t="s">
        <v>35</v>
      </c>
      <c r="B50" s="8" t="s">
        <v>48</v>
      </c>
      <c r="C50" s="8" t="s">
        <v>40</v>
      </c>
      <c r="D50" s="8" t="s">
        <v>49</v>
      </c>
      <c r="E50" s="2" t="s">
        <v>40</v>
      </c>
    </row>
    <row r="51" spans="1:5" ht="12.75">
      <c r="A51" s="5" t="s">
        <v>8</v>
      </c>
      <c r="B51" s="5" t="s">
        <v>9</v>
      </c>
      <c r="C51" s="5" t="s">
        <v>10</v>
      </c>
      <c r="D51" s="5" t="s">
        <v>11</v>
      </c>
      <c r="E51" s="5" t="s">
        <v>12</v>
      </c>
    </row>
    <row r="53" spans="1:5" ht="12.75">
      <c r="A53" t="s">
        <v>27</v>
      </c>
      <c r="B53" s="93">
        <v>1270</v>
      </c>
      <c r="C53" s="10">
        <v>2</v>
      </c>
      <c r="D53" s="48">
        <f>+B53*C53*60</f>
        <v>152400</v>
      </c>
      <c r="E53" s="57">
        <f>+D53/$D$59</f>
        <v>0.6951666757895889</v>
      </c>
    </row>
    <row r="54" spans="1:5" ht="12.75">
      <c r="A54" t="s">
        <v>28</v>
      </c>
      <c r="B54" s="93">
        <v>556.9</v>
      </c>
      <c r="C54" s="10">
        <v>2</v>
      </c>
      <c r="D54" s="48">
        <f>+B54*C54*60</f>
        <v>66828</v>
      </c>
      <c r="E54" s="57">
        <f>+D54/$D$59</f>
        <v>0.3048333242104111</v>
      </c>
    </row>
    <row r="55" spans="1:2" ht="12.75">
      <c r="A55" t="s">
        <v>18</v>
      </c>
      <c r="B55" s="93">
        <v>347.5</v>
      </c>
    </row>
    <row r="56" spans="1:2" ht="12.75">
      <c r="A56" t="s">
        <v>19</v>
      </c>
      <c r="B56" s="93">
        <v>203.6</v>
      </c>
    </row>
    <row r="57" spans="1:5" ht="12.75">
      <c r="A57" t="s">
        <v>444</v>
      </c>
      <c r="B57" s="93">
        <v>5.8</v>
      </c>
      <c r="C57" s="14"/>
      <c r="D57" s="6"/>
      <c r="E57" s="6"/>
    </row>
    <row r="59" spans="1:5" ht="13.5" thickBot="1">
      <c r="A59" t="s">
        <v>21</v>
      </c>
      <c r="C59" s="14"/>
      <c r="D59" s="61">
        <f>SUM(D53:D58)</f>
        <v>219228</v>
      </c>
      <c r="E59" s="58">
        <v>1</v>
      </c>
    </row>
    <row r="60" ht="13.5" thickTop="1"/>
    <row r="62" ht="12.75">
      <c r="A62" t="s">
        <v>361</v>
      </c>
    </row>
    <row r="64" ht="12.75">
      <c r="A64" t="s">
        <v>91</v>
      </c>
    </row>
    <row r="66" spans="3:5" ht="12.75">
      <c r="C66" s="1" t="s">
        <v>69</v>
      </c>
      <c r="D66" s="1"/>
      <c r="E66" s="1" t="s">
        <v>41</v>
      </c>
    </row>
    <row r="67" spans="1:5" ht="12.75">
      <c r="A67" s="8" t="s">
        <v>35</v>
      </c>
      <c r="C67" s="2" t="s">
        <v>68</v>
      </c>
      <c r="D67" s="1"/>
      <c r="E67" s="2" t="s">
        <v>40</v>
      </c>
    </row>
    <row r="68" spans="1:5" ht="12.75">
      <c r="A68" s="5" t="s">
        <v>8</v>
      </c>
      <c r="B68" s="1"/>
      <c r="C68" s="5" t="s">
        <v>9</v>
      </c>
      <c r="D68" s="1"/>
      <c r="E68" s="5" t="s">
        <v>10</v>
      </c>
    </row>
    <row r="70" spans="1:5" ht="12.75">
      <c r="A70" t="s">
        <v>27</v>
      </c>
      <c r="C70" s="48">
        <v>9509</v>
      </c>
      <c r="E70" s="86">
        <f>+C70/$C$77</f>
        <v>0.9209685230024213</v>
      </c>
    </row>
    <row r="71" spans="1:5" ht="12.75">
      <c r="A71" t="s">
        <v>465</v>
      </c>
      <c r="C71" s="48">
        <f>SUM(C72:C74)</f>
        <v>102</v>
      </c>
      <c r="E71" s="86">
        <f>+C71/$C$77</f>
        <v>0.009878934624697336</v>
      </c>
    </row>
    <row r="72" spans="1:5" ht="12.75">
      <c r="A72" t="s">
        <v>18</v>
      </c>
      <c r="C72" s="48">
        <v>53</v>
      </c>
      <c r="E72" s="86"/>
    </row>
    <row r="73" spans="1:5" ht="12.75">
      <c r="A73" t="s">
        <v>19</v>
      </c>
      <c r="C73" s="48">
        <v>35</v>
      </c>
      <c r="E73" s="86"/>
    </row>
    <row r="74" spans="1:5" ht="12.75">
      <c r="A74" t="s">
        <v>444</v>
      </c>
      <c r="C74" s="48">
        <v>14</v>
      </c>
      <c r="E74" s="86"/>
    </row>
    <row r="75" spans="1:5" ht="12.75">
      <c r="A75" t="s">
        <v>464</v>
      </c>
      <c r="C75" s="48">
        <v>714</v>
      </c>
      <c r="E75" s="86">
        <f>+C75/$C$77</f>
        <v>0.06915254237288136</v>
      </c>
    </row>
    <row r="76" spans="3:5" ht="12.75">
      <c r="C76" s="48"/>
      <c r="E76" s="57"/>
    </row>
    <row r="77" spans="1:5" ht="13.5" thickBot="1">
      <c r="A77" t="s">
        <v>21</v>
      </c>
      <c r="C77" s="80">
        <f>SUM(C70+C71+C75)</f>
        <v>10325</v>
      </c>
      <c r="E77" s="114">
        <f>SUM(E70:E75)</f>
        <v>1</v>
      </c>
    </row>
    <row r="78" ht="13.5" thickTop="1"/>
    <row r="80" ht="12.75">
      <c r="A80" t="s">
        <v>362</v>
      </c>
    </row>
    <row r="82" ht="12.75">
      <c r="A82" t="s">
        <v>83</v>
      </c>
    </row>
    <row r="83" spans="3:5" ht="12.75">
      <c r="C83" s="1"/>
      <c r="D83" s="1"/>
      <c r="E83" s="1"/>
    </row>
    <row r="84" spans="3:5" ht="12.75">
      <c r="C84" s="1" t="s">
        <v>79</v>
      </c>
      <c r="D84" s="1"/>
      <c r="E84" s="1" t="s">
        <v>41</v>
      </c>
    </row>
    <row r="85" spans="1:5" ht="12.75">
      <c r="A85" s="8" t="s">
        <v>35</v>
      </c>
      <c r="C85" s="2" t="s">
        <v>80</v>
      </c>
      <c r="D85" s="1"/>
      <c r="E85" s="2" t="s">
        <v>40</v>
      </c>
    </row>
    <row r="86" spans="1:5" ht="12.75">
      <c r="A86" s="5" t="s">
        <v>8</v>
      </c>
      <c r="B86" s="1"/>
      <c r="C86" s="5" t="s">
        <v>9</v>
      </c>
      <c r="D86" s="1"/>
      <c r="E86" s="5" t="s">
        <v>10</v>
      </c>
    </row>
    <row r="88" spans="1:5" ht="12.75">
      <c r="A88" t="s">
        <v>27</v>
      </c>
      <c r="C88">
        <v>9509</v>
      </c>
      <c r="E88" s="84">
        <f>+C88/$C$92</f>
        <v>0.9944572265216481</v>
      </c>
    </row>
    <row r="89" spans="1:5" ht="12.75">
      <c r="A89" t="s">
        <v>28</v>
      </c>
      <c r="C89">
        <v>3</v>
      </c>
      <c r="E89" s="84">
        <f>+C89/$C$92</f>
        <v>0.0003137418950010458</v>
      </c>
    </row>
    <row r="90" spans="1:5" ht="12.75">
      <c r="A90" t="s">
        <v>464</v>
      </c>
      <c r="C90" s="6">
        <v>50</v>
      </c>
      <c r="E90" s="85">
        <f>+C90/$C$92</f>
        <v>0.005229031583350764</v>
      </c>
    </row>
    <row r="92" spans="1:5" ht="13.5" thickBot="1">
      <c r="A92" t="s">
        <v>21</v>
      </c>
      <c r="C92" s="7">
        <f>SUM(C88:C90)</f>
        <v>9562</v>
      </c>
      <c r="E92" s="58">
        <f>SUM(E88:E90)</f>
        <v>0.9999999999999999</v>
      </c>
    </row>
    <row r="93" ht="13.5" thickTop="1"/>
    <row r="95" ht="12.75">
      <c r="A95" t="s">
        <v>363</v>
      </c>
    </row>
    <row r="97" ht="12.75">
      <c r="A97" t="s">
        <v>82</v>
      </c>
    </row>
    <row r="98" spans="3:5" ht="12.75">
      <c r="C98" s="1"/>
      <c r="D98" s="1"/>
      <c r="E98" s="1"/>
    </row>
    <row r="99" spans="3:5" ht="12.75">
      <c r="C99" s="1" t="s">
        <v>79</v>
      </c>
      <c r="D99" s="1"/>
      <c r="E99" s="1" t="s">
        <v>41</v>
      </c>
    </row>
    <row r="100" spans="1:5" ht="12.75">
      <c r="A100" s="8" t="s">
        <v>35</v>
      </c>
      <c r="C100" s="2" t="s">
        <v>80</v>
      </c>
      <c r="D100" s="1"/>
      <c r="E100" s="2" t="s">
        <v>40</v>
      </c>
    </row>
    <row r="101" spans="1:5" ht="12.75">
      <c r="A101" s="5" t="s">
        <v>8</v>
      </c>
      <c r="B101" s="1"/>
      <c r="C101" s="5" t="s">
        <v>9</v>
      </c>
      <c r="D101" s="1"/>
      <c r="E101" s="5" t="s">
        <v>10</v>
      </c>
    </row>
    <row r="103" spans="1:5" ht="12.75">
      <c r="A103" t="s">
        <v>27</v>
      </c>
      <c r="C103">
        <v>9509</v>
      </c>
      <c r="E103" s="84">
        <f>+C103/$C$92</f>
        <v>0.9944572265216481</v>
      </c>
    </row>
    <row r="104" spans="1:5" ht="12.75">
      <c r="A104" t="s">
        <v>28</v>
      </c>
      <c r="C104">
        <v>3</v>
      </c>
      <c r="E104" s="84">
        <f>+C104/$C$92</f>
        <v>0.0003137418950010458</v>
      </c>
    </row>
    <row r="105" spans="1:5" ht="12.75">
      <c r="A105" t="s">
        <v>464</v>
      </c>
      <c r="C105" s="6">
        <v>50</v>
      </c>
      <c r="E105" s="85">
        <f>+C105/$C$92</f>
        <v>0.005229031583350764</v>
      </c>
    </row>
    <row r="107" spans="1:5" ht="13.5" thickBot="1">
      <c r="A107" t="s">
        <v>21</v>
      </c>
      <c r="C107" s="7">
        <f>SUM(C103:C105)</f>
        <v>9562</v>
      </c>
      <c r="E107" s="58">
        <f>SUM(E103:E105)</f>
        <v>0.9999999999999999</v>
      </c>
    </row>
    <row r="108" ht="13.5" thickTop="1"/>
    <row r="110" spans="1:5" ht="12.75">
      <c r="A110" t="s">
        <v>540</v>
      </c>
      <c r="B110" s="59"/>
      <c r="C110" s="64"/>
      <c r="E110" s="64"/>
    </row>
    <row r="112" ht="12.75">
      <c r="A112" t="s">
        <v>455</v>
      </c>
    </row>
    <row r="114" spans="3:5" ht="12.75">
      <c r="C114" s="1"/>
      <c r="D114" s="1"/>
      <c r="E114" s="1"/>
    </row>
    <row r="115" spans="1:5" ht="12.75">
      <c r="A115" s="8" t="s">
        <v>22</v>
      </c>
      <c r="C115" s="1"/>
      <c r="D115" s="1"/>
      <c r="E115" s="1" t="s">
        <v>41</v>
      </c>
    </row>
    <row r="116" spans="1:5" ht="12.75">
      <c r="A116" s="5" t="s">
        <v>8</v>
      </c>
      <c r="C116" s="2"/>
      <c r="D116" s="1"/>
      <c r="E116" s="2" t="s">
        <v>40</v>
      </c>
    </row>
    <row r="117" spans="2:5" ht="12.75">
      <c r="B117" s="1"/>
      <c r="C117" s="5"/>
      <c r="D117" s="1"/>
      <c r="E117" s="5" t="s">
        <v>9</v>
      </c>
    </row>
    <row r="119" spans="1:5" ht="13.5" thickBot="1">
      <c r="A119" t="s">
        <v>541</v>
      </c>
      <c r="E119" s="58">
        <v>1</v>
      </c>
    </row>
    <row r="120" ht="13.5" thickTop="1"/>
    <row r="121" spans="1:5" ht="12.75">
      <c r="A121" t="s">
        <v>542</v>
      </c>
      <c r="B121" s="59"/>
      <c r="C121" s="64"/>
      <c r="E121" s="64"/>
    </row>
    <row r="123" ht="12.75">
      <c r="A123" t="s">
        <v>543</v>
      </c>
    </row>
    <row r="125" spans="1:5" ht="12.75">
      <c r="A125" s="8" t="s">
        <v>22</v>
      </c>
      <c r="C125" s="1"/>
      <c r="D125" s="1"/>
      <c r="E125" s="1" t="s">
        <v>41</v>
      </c>
    </row>
    <row r="126" spans="1:5" ht="12.75">
      <c r="A126" s="5" t="s">
        <v>8</v>
      </c>
      <c r="C126" s="2"/>
      <c r="D126" s="1"/>
      <c r="E126" s="2" t="s">
        <v>40</v>
      </c>
    </row>
    <row r="127" spans="2:5" ht="12.75">
      <c r="B127" s="1"/>
      <c r="C127" s="5"/>
      <c r="D127" s="1"/>
      <c r="E127" s="5" t="s">
        <v>9</v>
      </c>
    </row>
    <row r="129" spans="1:5" ht="13.5" thickBot="1">
      <c r="A129" t="s">
        <v>544</v>
      </c>
      <c r="E129" s="58">
        <v>1</v>
      </c>
    </row>
    <row r="130" ht="13.5" thickTop="1">
      <c r="E130" s="64"/>
    </row>
    <row r="131" ht="12.75">
      <c r="A131" t="s">
        <v>596</v>
      </c>
    </row>
    <row r="133" ht="12.75">
      <c r="A133" t="s">
        <v>597</v>
      </c>
    </row>
    <row r="134" ht="12.75">
      <c r="A134" t="s">
        <v>598</v>
      </c>
    </row>
    <row r="135" spans="1:5" ht="12.75">
      <c r="A135" t="s">
        <v>599</v>
      </c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 t="s">
        <v>79</v>
      </c>
      <c r="D137" s="1"/>
      <c r="E137" s="1" t="s">
        <v>41</v>
      </c>
    </row>
    <row r="138" spans="1:5" ht="12.75">
      <c r="A138" s="8" t="s">
        <v>35</v>
      </c>
      <c r="C138" s="2" t="s">
        <v>600</v>
      </c>
      <c r="D138" s="1"/>
      <c r="E138" s="2" t="s">
        <v>40</v>
      </c>
    </row>
    <row r="139" spans="1:5" ht="12.75">
      <c r="A139" s="5" t="s">
        <v>8</v>
      </c>
      <c r="B139" s="1"/>
      <c r="C139" s="5" t="s">
        <v>9</v>
      </c>
      <c r="D139" s="1"/>
      <c r="E139" s="5" t="s">
        <v>10</v>
      </c>
    </row>
    <row r="141" spans="1:5" ht="12.75">
      <c r="A141" t="s">
        <v>27</v>
      </c>
      <c r="C141">
        <v>1285</v>
      </c>
      <c r="E141" s="84">
        <f>+C141/C147</f>
        <v>0.8355006501950585</v>
      </c>
    </row>
    <row r="142" spans="1:5" ht="12.75">
      <c r="A142" t="s">
        <v>28</v>
      </c>
      <c r="C142">
        <f>SUM(B143:B146)</f>
        <v>253</v>
      </c>
      <c r="E142" s="84">
        <f>+C142/$C$147</f>
        <v>0.1644993498049415</v>
      </c>
    </row>
    <row r="143" spans="1:5" ht="12.75">
      <c r="A143" t="s">
        <v>18</v>
      </c>
      <c r="B143">
        <v>183</v>
      </c>
      <c r="E143" s="84"/>
    </row>
    <row r="144" spans="1:5" ht="12.75">
      <c r="A144" t="s">
        <v>19</v>
      </c>
      <c r="B144">
        <v>69</v>
      </c>
      <c r="E144" s="84"/>
    </row>
    <row r="145" spans="1:5" ht="12.75">
      <c r="A145" t="s">
        <v>444</v>
      </c>
      <c r="B145">
        <v>1</v>
      </c>
      <c r="C145" s="6"/>
      <c r="E145" s="85"/>
    </row>
    <row r="147" spans="1:5" ht="13.5" thickBot="1">
      <c r="A147" t="s">
        <v>21</v>
      </c>
      <c r="C147" s="7">
        <f>SUM(C141:C145)</f>
        <v>1538</v>
      </c>
      <c r="E147" s="58">
        <f>SUM(E141:E145)</f>
        <v>1</v>
      </c>
    </row>
    <row r="148" ht="13.5" thickTop="1"/>
  </sheetData>
  <mergeCells count="3">
    <mergeCell ref="A1:E1"/>
    <mergeCell ref="A4:E4"/>
    <mergeCell ref="A3:E3"/>
  </mergeCells>
  <printOptions/>
  <pageMargins left="0.75" right="0.75" top="1" bottom="1" header="0.5" footer="0.5"/>
  <pageSetup horizontalDpi="600" verticalDpi="600" orientation="portrait" r:id="rId1"/>
  <headerFooter alignWithMargins="0">
    <oddFooter>&amp;L&amp;D&amp;CQuest Engineers, Inc.</oddFooter>
  </headerFooter>
  <rowBreaks count="3" manualBreakCount="3">
    <brk id="41" max="255" man="1"/>
    <brk id="78" max="255" man="1"/>
    <brk id="1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="60" workbookViewId="0" topLeftCell="A1">
      <selection activeCell="H58" sqref="H58"/>
    </sheetView>
  </sheetViews>
  <sheetFormatPr defaultColWidth="9.140625" defaultRowHeight="12.75"/>
  <cols>
    <col min="2" max="2" width="12.7109375" style="0" customWidth="1"/>
    <col min="3" max="4" width="9.28125" style="0" bestFit="1" customWidth="1"/>
    <col min="5" max="8" width="9.28125" style="0" customWidth="1"/>
    <col min="9" max="12" width="9.28125" style="0" bestFit="1" customWidth="1"/>
    <col min="13" max="13" width="9.421875" style="0" bestFit="1" customWidth="1"/>
    <col min="14" max="14" width="10.421875" style="0" bestFit="1" customWidth="1"/>
  </cols>
  <sheetData>
    <row r="1" spans="1:14" ht="12.75">
      <c r="A1" s="171" t="s">
        <v>33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3" spans="1:14" ht="12.75">
      <c r="A3" s="171" t="s">
        <v>90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5" spans="2:10" ht="12.75">
      <c r="B5" s="1" t="s">
        <v>74</v>
      </c>
      <c r="E5" s="171" t="s">
        <v>28</v>
      </c>
      <c r="F5" s="171"/>
      <c r="G5" s="171"/>
      <c r="H5" s="171"/>
      <c r="I5" s="171"/>
      <c r="J5" s="171"/>
    </row>
    <row r="6" spans="1:14" ht="12.75">
      <c r="A6" t="s">
        <v>51</v>
      </c>
      <c r="B6" s="1" t="s">
        <v>75</v>
      </c>
      <c r="C6" s="171" t="s">
        <v>27</v>
      </c>
      <c r="D6" s="171"/>
      <c r="E6" s="171" t="s">
        <v>29</v>
      </c>
      <c r="F6" s="171"/>
      <c r="G6" s="171" t="s">
        <v>30</v>
      </c>
      <c r="H6" s="171"/>
      <c r="I6" s="171" t="s">
        <v>384</v>
      </c>
      <c r="J6" s="171"/>
      <c r="K6" s="171" t="s">
        <v>56</v>
      </c>
      <c r="L6" s="171"/>
      <c r="M6" s="171" t="s">
        <v>32</v>
      </c>
      <c r="N6" s="171"/>
    </row>
    <row r="7" spans="1:14" ht="12.75">
      <c r="A7" s="3" t="s">
        <v>50</v>
      </c>
      <c r="B7" s="2" t="s">
        <v>66</v>
      </c>
      <c r="C7" s="3" t="s">
        <v>53</v>
      </c>
      <c r="D7" s="3" t="s">
        <v>54</v>
      </c>
      <c r="E7" s="3" t="s">
        <v>53</v>
      </c>
      <c r="F7" s="3" t="s">
        <v>54</v>
      </c>
      <c r="G7" s="3" t="s">
        <v>53</v>
      </c>
      <c r="H7" s="3" t="s">
        <v>54</v>
      </c>
      <c r="I7" s="3" t="s">
        <v>53</v>
      </c>
      <c r="J7" s="3" t="s">
        <v>54</v>
      </c>
      <c r="K7" s="3" t="s">
        <v>53</v>
      </c>
      <c r="L7" s="3" t="s">
        <v>54</v>
      </c>
      <c r="M7" s="3" t="s">
        <v>53</v>
      </c>
      <c r="N7" s="3" t="s">
        <v>54</v>
      </c>
    </row>
    <row r="9" spans="1:14" ht="12.75">
      <c r="A9" s="9" t="s">
        <v>61</v>
      </c>
      <c r="B9">
        <v>1</v>
      </c>
      <c r="C9">
        <v>9509</v>
      </c>
      <c r="D9">
        <f>+C9*B9</f>
        <v>9509</v>
      </c>
      <c r="M9" s="48">
        <f>+C9+I9+K9</f>
        <v>9509</v>
      </c>
      <c r="N9" s="48">
        <f>+D9+J9+L9</f>
        <v>9509</v>
      </c>
    </row>
    <row r="10" spans="1:14" ht="12.75">
      <c r="A10">
        <v>1</v>
      </c>
      <c r="B10">
        <v>1.4</v>
      </c>
      <c r="M10" s="48">
        <f aca="true" t="shared" si="0" ref="M10:M15">+C10+I10+K10</f>
        <v>0</v>
      </c>
      <c r="N10" s="48">
        <f aca="true" t="shared" si="1" ref="N10:N15">+D10+J10+L10</f>
        <v>0</v>
      </c>
    </row>
    <row r="11" spans="1:14" ht="12.75">
      <c r="A11" s="11">
        <v>1.5</v>
      </c>
      <c r="B11">
        <v>1.8</v>
      </c>
      <c r="M11" s="48">
        <f t="shared" si="0"/>
        <v>0</v>
      </c>
      <c r="N11" s="48">
        <f t="shared" si="1"/>
        <v>0</v>
      </c>
    </row>
    <row r="12" spans="1:14" ht="12.75">
      <c r="A12">
        <v>2</v>
      </c>
      <c r="B12">
        <v>2.9</v>
      </c>
      <c r="M12" s="48">
        <f t="shared" si="0"/>
        <v>0</v>
      </c>
      <c r="N12" s="48">
        <f t="shared" si="1"/>
        <v>0</v>
      </c>
    </row>
    <row r="13" spans="1:14" ht="12.75">
      <c r="A13">
        <v>3</v>
      </c>
      <c r="B13">
        <v>11</v>
      </c>
      <c r="E13">
        <v>1</v>
      </c>
      <c r="F13">
        <f>+E13*B13</f>
        <v>11</v>
      </c>
      <c r="M13" s="48">
        <f t="shared" si="0"/>
        <v>0</v>
      </c>
      <c r="N13" s="48">
        <f t="shared" si="1"/>
        <v>0</v>
      </c>
    </row>
    <row r="14" spans="1:14" ht="12.75">
      <c r="A14">
        <v>4</v>
      </c>
      <c r="B14">
        <v>14</v>
      </c>
      <c r="G14">
        <v>1</v>
      </c>
      <c r="H14">
        <f>+B14*G14</f>
        <v>14</v>
      </c>
      <c r="I14">
        <v>1</v>
      </c>
      <c r="J14">
        <f>+I14*B14</f>
        <v>14</v>
      </c>
      <c r="K14">
        <v>50</v>
      </c>
      <c r="L14">
        <f>+K14*B14</f>
        <v>700</v>
      </c>
      <c r="M14" s="48">
        <f t="shared" si="0"/>
        <v>51</v>
      </c>
      <c r="N14" s="48">
        <f t="shared" si="1"/>
        <v>714</v>
      </c>
    </row>
    <row r="15" spans="1:14" ht="12.75">
      <c r="A15">
        <v>6</v>
      </c>
      <c r="B15">
        <v>21</v>
      </c>
      <c r="E15">
        <v>2</v>
      </c>
      <c r="F15">
        <f>+E15*B15</f>
        <v>42</v>
      </c>
      <c r="G15">
        <v>1</v>
      </c>
      <c r="H15">
        <f>+G15*B15</f>
        <v>21</v>
      </c>
      <c r="M15" s="48">
        <f t="shared" si="0"/>
        <v>0</v>
      </c>
      <c r="N15" s="48">
        <f t="shared" si="1"/>
        <v>0</v>
      </c>
    </row>
    <row r="16" spans="1:14" ht="12.75">
      <c r="A16">
        <v>8</v>
      </c>
      <c r="B16">
        <v>29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0"/>
      <c r="N16" s="60"/>
    </row>
    <row r="17" spans="13:14" ht="12.75">
      <c r="M17" s="48"/>
      <c r="N17" s="48"/>
    </row>
    <row r="18" spans="1:14" ht="13.5" thickBot="1">
      <c r="A18" t="s">
        <v>21</v>
      </c>
      <c r="C18" s="80">
        <f>SUM(C9:C16)</f>
        <v>9509</v>
      </c>
      <c r="D18" s="80">
        <f aca="true" t="shared" si="2" ref="D18:L18">SUM(D9:D16)</f>
        <v>9509</v>
      </c>
      <c r="E18" s="80">
        <f>SUM(E9:E16)</f>
        <v>3</v>
      </c>
      <c r="F18" s="80">
        <f t="shared" si="2"/>
        <v>53</v>
      </c>
      <c r="G18" s="80">
        <f>SUM(G9:G16)</f>
        <v>2</v>
      </c>
      <c r="H18" s="80">
        <f t="shared" si="2"/>
        <v>35</v>
      </c>
      <c r="I18" s="80">
        <f t="shared" si="2"/>
        <v>1</v>
      </c>
      <c r="J18" s="80">
        <f t="shared" si="2"/>
        <v>14</v>
      </c>
      <c r="K18" s="80">
        <f t="shared" si="2"/>
        <v>50</v>
      </c>
      <c r="L18" s="80">
        <f t="shared" si="2"/>
        <v>700</v>
      </c>
      <c r="M18" s="80">
        <f>SUM(M9:M15)</f>
        <v>9560</v>
      </c>
      <c r="N18" s="80">
        <f>SUM(N9:N15)</f>
        <v>10223</v>
      </c>
    </row>
    <row r="19" spans="3:14" ht="13.5" thickTop="1"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3:14" ht="12.75">
      <c r="C20" s="81"/>
      <c r="D20" s="82"/>
      <c r="E20" s="82"/>
      <c r="F20" s="82"/>
      <c r="G20" s="82"/>
      <c r="H20" s="82"/>
      <c r="I20" s="82"/>
      <c r="J20" s="82"/>
      <c r="K20" s="82"/>
      <c r="L20" s="82"/>
      <c r="M20" s="81"/>
      <c r="N20" s="81"/>
    </row>
    <row r="21" spans="1:14" ht="12.75">
      <c r="A21" t="s">
        <v>77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ht="12.75">
      <c r="A22" t="s">
        <v>78</v>
      </c>
    </row>
    <row r="23" ht="12.75">
      <c r="A23" t="s">
        <v>76</v>
      </c>
    </row>
  </sheetData>
  <mergeCells count="9">
    <mergeCell ref="A1:N1"/>
    <mergeCell ref="A3:N3"/>
    <mergeCell ref="C6:D6"/>
    <mergeCell ref="I6:J6"/>
    <mergeCell ref="K6:L6"/>
    <mergeCell ref="M6:N6"/>
    <mergeCell ref="E5:J5"/>
    <mergeCell ref="E6:F6"/>
    <mergeCell ref="G6:H6"/>
  </mergeCells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Footer>&amp;L&amp;D&amp;CQuest Engineers,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4"/>
  <sheetViews>
    <sheetView view="pageBreakPreview" zoomScale="60" workbookViewId="0" topLeftCell="A1">
      <pane ySplit="8" topLeftCell="BM9" activePane="bottomLeft" state="frozen"/>
      <selection pane="topLeft" activeCell="A1" sqref="A1"/>
      <selection pane="bottomLeft" activeCell="G209" sqref="G209"/>
    </sheetView>
  </sheetViews>
  <sheetFormatPr defaultColWidth="9.140625" defaultRowHeight="12.75"/>
  <cols>
    <col min="1" max="1" width="14.7109375" style="0" customWidth="1"/>
    <col min="2" max="2" width="35.7109375" style="0" customWidth="1"/>
    <col min="4" max="4" width="14.7109375" style="0" customWidth="1"/>
    <col min="5" max="13" width="12.7109375" style="0" customWidth="1"/>
    <col min="14" max="14" width="13.28125" style="0" bestFit="1" customWidth="1"/>
  </cols>
  <sheetData>
    <row r="1" spans="1:16" ht="12.75">
      <c r="A1" s="173" t="s">
        <v>33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8"/>
      <c r="N1" s="15"/>
      <c r="O1" s="15"/>
      <c r="P1" s="15"/>
    </row>
    <row r="2" spans="1:16" ht="12.75">
      <c r="A2" s="173"/>
      <c r="B2" s="173"/>
      <c r="C2" s="173"/>
      <c r="D2" s="173"/>
      <c r="E2" s="173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2.75">
      <c r="A3" s="173" t="s">
        <v>287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8"/>
      <c r="N3" s="15"/>
      <c r="O3" s="15"/>
      <c r="P3" s="15"/>
    </row>
    <row r="4" spans="1:16" ht="12.75">
      <c r="A4" s="173" t="s">
        <v>288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8"/>
      <c r="N4" s="15"/>
      <c r="O4" s="15"/>
      <c r="P4" s="15"/>
    </row>
    <row r="5" spans="1:16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5"/>
      <c r="O5" s="15"/>
      <c r="P5" s="15"/>
    </row>
    <row r="6" spans="1:16" ht="12.75">
      <c r="A6" s="16"/>
      <c r="B6" s="16"/>
      <c r="C6" s="16" t="s">
        <v>41</v>
      </c>
      <c r="D6" s="21" t="s">
        <v>25</v>
      </c>
      <c r="E6" s="20"/>
      <c r="F6" s="172" t="s">
        <v>292</v>
      </c>
      <c r="G6" s="172"/>
      <c r="H6" s="20" t="s">
        <v>289</v>
      </c>
      <c r="I6" s="172" t="s">
        <v>291</v>
      </c>
      <c r="J6" s="172"/>
      <c r="K6" s="2" t="s">
        <v>56</v>
      </c>
      <c r="L6" s="15"/>
      <c r="M6" s="15"/>
      <c r="N6" s="15"/>
      <c r="O6" s="15"/>
      <c r="P6" s="15"/>
    </row>
    <row r="7" spans="1:16" ht="12.75">
      <c r="A7" s="174" t="s">
        <v>94</v>
      </c>
      <c r="B7" s="174"/>
      <c r="C7" s="22" t="s">
        <v>24</v>
      </c>
      <c r="D7" s="22" t="s">
        <v>26</v>
      </c>
      <c r="E7" s="22" t="s">
        <v>31</v>
      </c>
      <c r="F7" s="23" t="s">
        <v>284</v>
      </c>
      <c r="G7" s="23" t="s">
        <v>285</v>
      </c>
      <c r="H7" s="23" t="s">
        <v>290</v>
      </c>
      <c r="I7" s="2" t="s">
        <v>286</v>
      </c>
      <c r="J7" s="23" t="s">
        <v>293</v>
      </c>
      <c r="K7" s="23" t="s">
        <v>446</v>
      </c>
      <c r="L7" s="23" t="s">
        <v>447</v>
      </c>
      <c r="M7" s="23"/>
      <c r="N7" s="15"/>
      <c r="O7" s="18" t="s">
        <v>92</v>
      </c>
      <c r="P7" s="18" t="s">
        <v>93</v>
      </c>
    </row>
    <row r="8" spans="1:16" ht="12.75">
      <c r="A8" s="178" t="s">
        <v>8</v>
      </c>
      <c r="B8" s="173"/>
      <c r="C8" s="24" t="s">
        <v>9</v>
      </c>
      <c r="D8" s="24" t="s">
        <v>10</v>
      </c>
      <c r="E8" s="24" t="s">
        <v>11</v>
      </c>
      <c r="F8" s="25" t="s">
        <v>12</v>
      </c>
      <c r="G8" s="25" t="s">
        <v>13</v>
      </c>
      <c r="H8" s="25" t="s">
        <v>14</v>
      </c>
      <c r="I8" s="25" t="s">
        <v>15</v>
      </c>
      <c r="J8" s="25" t="s">
        <v>16</v>
      </c>
      <c r="K8" s="25" t="s">
        <v>294</v>
      </c>
      <c r="L8" s="25" t="s">
        <v>454</v>
      </c>
      <c r="M8" s="25"/>
      <c r="N8" s="18" t="s">
        <v>95</v>
      </c>
      <c r="O8" s="18" t="s">
        <v>96</v>
      </c>
      <c r="P8" s="18" t="s">
        <v>97</v>
      </c>
    </row>
    <row r="9" spans="1:16" ht="12.75">
      <c r="A9" s="18"/>
      <c r="B9" s="18"/>
      <c r="C9" s="18"/>
      <c r="D9" s="18"/>
      <c r="E9" s="18"/>
      <c r="F9" s="19"/>
      <c r="G9" s="19"/>
      <c r="H9" s="19"/>
      <c r="I9" s="19"/>
      <c r="J9" s="19"/>
      <c r="K9" s="19"/>
      <c r="L9" s="19"/>
      <c r="M9" s="19"/>
      <c r="N9" s="18"/>
      <c r="O9" s="18"/>
      <c r="P9" s="18"/>
    </row>
    <row r="10" spans="1:16" ht="12.75">
      <c r="A10" s="177" t="s">
        <v>295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08"/>
      <c r="N10" s="18"/>
      <c r="O10" s="18"/>
      <c r="P10" s="18"/>
    </row>
    <row r="11" spans="1:16" ht="12.75">
      <c r="A11" s="18"/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8"/>
      <c r="O11" s="18"/>
      <c r="P11" s="18"/>
    </row>
    <row r="12" spans="1:16" ht="12.75">
      <c r="A12" s="126" t="s">
        <v>296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</row>
    <row r="13" spans="1:16" ht="12.75">
      <c r="A13" s="16" t="s">
        <v>100</v>
      </c>
      <c r="B13" s="16" t="s">
        <v>101</v>
      </c>
      <c r="C13" s="17" t="s">
        <v>422</v>
      </c>
      <c r="D13" s="17">
        <v>3336</v>
      </c>
      <c r="E13" s="67">
        <f>+(D13*1)</f>
        <v>3336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f>SUM(E13:L13)</f>
        <v>3336</v>
      </c>
      <c r="N13" s="16" t="s">
        <v>98</v>
      </c>
      <c r="O13" s="16" t="s">
        <v>98</v>
      </c>
      <c r="P13" s="16" t="s">
        <v>99</v>
      </c>
    </row>
    <row r="14" spans="1:16" ht="12.75">
      <c r="A14" s="16" t="s">
        <v>297</v>
      </c>
      <c r="B14" s="16" t="s">
        <v>129</v>
      </c>
      <c r="C14" s="17" t="s">
        <v>422</v>
      </c>
      <c r="D14" s="27">
        <v>10305</v>
      </c>
      <c r="E14" s="69">
        <f>+(D14*1)</f>
        <v>10305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8">
        <f aca="true" t="shared" si="0" ref="M14:M77">SUM(E14:L14)</f>
        <v>10305</v>
      </c>
      <c r="N14" s="16" t="s">
        <v>98</v>
      </c>
      <c r="O14" s="16" t="s">
        <v>98</v>
      </c>
      <c r="P14" s="16" t="s">
        <v>102</v>
      </c>
    </row>
    <row r="15" spans="1:16" ht="12.75">
      <c r="A15" s="16"/>
      <c r="B15" s="16"/>
      <c r="C15" s="17"/>
      <c r="D15" s="17"/>
      <c r="E15" s="67"/>
      <c r="F15" s="68"/>
      <c r="G15" s="68"/>
      <c r="H15" s="68"/>
      <c r="I15" s="68"/>
      <c r="J15" s="68"/>
      <c r="K15" s="68"/>
      <c r="L15" s="68"/>
      <c r="M15" s="68">
        <f t="shared" si="0"/>
        <v>0</v>
      </c>
      <c r="N15" s="16"/>
      <c r="O15" s="16"/>
      <c r="P15" s="16"/>
    </row>
    <row r="16" spans="1:16" ht="13.5" thickBot="1">
      <c r="A16" s="26" t="s">
        <v>298</v>
      </c>
      <c r="B16" s="16"/>
      <c r="C16" s="17"/>
      <c r="D16" s="28">
        <f>SUM(D13:D15)</f>
        <v>13641</v>
      </c>
      <c r="E16" s="70">
        <v>13641</v>
      </c>
      <c r="F16" s="70">
        <f aca="true" t="shared" si="1" ref="F16:L16">SUM(F13:F15)</f>
        <v>0</v>
      </c>
      <c r="G16" s="70">
        <f t="shared" si="1"/>
        <v>0</v>
      </c>
      <c r="H16" s="70">
        <f t="shared" si="1"/>
        <v>0</v>
      </c>
      <c r="I16" s="70">
        <f t="shared" si="1"/>
        <v>0</v>
      </c>
      <c r="J16" s="70">
        <f t="shared" si="1"/>
        <v>0</v>
      </c>
      <c r="K16" s="70">
        <v>0</v>
      </c>
      <c r="L16" s="70">
        <f t="shared" si="1"/>
        <v>0</v>
      </c>
      <c r="M16" s="68">
        <f t="shared" si="0"/>
        <v>13641</v>
      </c>
      <c r="N16" s="16"/>
      <c r="O16" s="16"/>
      <c r="P16" s="16"/>
    </row>
    <row r="17" spans="1:16" ht="13.5" thickTop="1">
      <c r="A17" s="26"/>
      <c r="B17" s="16"/>
      <c r="C17" s="17"/>
      <c r="D17" s="17"/>
      <c r="E17" s="67"/>
      <c r="F17" s="68"/>
      <c r="G17" s="68"/>
      <c r="H17" s="68"/>
      <c r="I17" s="68"/>
      <c r="J17" s="68"/>
      <c r="K17" s="68"/>
      <c r="L17" s="68"/>
      <c r="M17" s="68">
        <f t="shared" si="0"/>
        <v>0</v>
      </c>
      <c r="N17" s="16"/>
      <c r="O17" s="16"/>
      <c r="P17" s="16"/>
    </row>
    <row r="18" spans="1:16" ht="12.75">
      <c r="A18" s="26"/>
      <c r="B18" s="16"/>
      <c r="C18" s="17"/>
      <c r="D18" s="17"/>
      <c r="E18" s="67"/>
      <c r="F18" s="68"/>
      <c r="G18" s="68"/>
      <c r="H18" s="68"/>
      <c r="I18" s="68"/>
      <c r="J18" s="68"/>
      <c r="K18" s="68"/>
      <c r="L18" s="68"/>
      <c r="M18" s="68">
        <f t="shared" si="0"/>
        <v>0</v>
      </c>
      <c r="N18" s="16"/>
      <c r="O18" s="16"/>
      <c r="P18" s="16"/>
    </row>
    <row r="19" spans="1:16" ht="12.75">
      <c r="A19" s="26" t="s">
        <v>305</v>
      </c>
      <c r="B19" s="16"/>
      <c r="C19" s="17"/>
      <c r="D19" s="17"/>
      <c r="E19" s="67"/>
      <c r="F19" s="68"/>
      <c r="G19" s="68"/>
      <c r="H19" s="68"/>
      <c r="I19" s="68"/>
      <c r="J19" s="68"/>
      <c r="K19" s="68"/>
      <c r="L19" s="68"/>
      <c r="M19" s="68">
        <f t="shared" si="0"/>
        <v>0</v>
      </c>
      <c r="N19" s="16"/>
      <c r="O19" s="16"/>
      <c r="P19" s="16"/>
    </row>
    <row r="20" spans="1:16" ht="12.75">
      <c r="A20" s="16"/>
      <c r="B20" s="16"/>
      <c r="C20" s="17"/>
      <c r="D20" s="17"/>
      <c r="E20" s="67"/>
      <c r="F20" s="68"/>
      <c r="G20" s="68"/>
      <c r="H20" s="68"/>
      <c r="I20" s="68"/>
      <c r="J20" s="68"/>
      <c r="K20" s="68"/>
      <c r="L20" s="68"/>
      <c r="M20" s="68">
        <f t="shared" si="0"/>
        <v>0</v>
      </c>
      <c r="N20" s="16"/>
      <c r="O20" s="16"/>
      <c r="P20" s="16"/>
    </row>
    <row r="21" spans="1:16" ht="12.75">
      <c r="A21" s="16" t="s">
        <v>107</v>
      </c>
      <c r="B21" s="16" t="s">
        <v>108</v>
      </c>
      <c r="C21" s="17" t="s">
        <v>423</v>
      </c>
      <c r="D21" s="17">
        <v>204930</v>
      </c>
      <c r="E21" s="67">
        <f>+D21*0.82</f>
        <v>168042.59999999998</v>
      </c>
      <c r="F21" s="68">
        <f>+D21*0.18</f>
        <v>36887.4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f t="shared" si="0"/>
        <v>204929.99999999997</v>
      </c>
      <c r="N21" s="16" t="s">
        <v>104</v>
      </c>
      <c r="O21" s="16" t="s">
        <v>105</v>
      </c>
      <c r="P21" s="16" t="s">
        <v>106</v>
      </c>
    </row>
    <row r="22" spans="1:16" ht="12.75">
      <c r="A22" s="16" t="s">
        <v>109</v>
      </c>
      <c r="B22" s="16" t="s">
        <v>110</v>
      </c>
      <c r="C22" s="17" t="s">
        <v>423</v>
      </c>
      <c r="D22" s="17">
        <v>15470</v>
      </c>
      <c r="E22" s="67">
        <f aca="true" t="shared" si="2" ref="E22:E40">+D22*0.82</f>
        <v>12685.4</v>
      </c>
      <c r="F22" s="68">
        <f aca="true" t="shared" si="3" ref="F22:F40">+D22*0.18</f>
        <v>2784.6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f t="shared" si="0"/>
        <v>15470</v>
      </c>
      <c r="N22" s="16" t="s">
        <v>104</v>
      </c>
      <c r="O22" s="16" t="s">
        <v>105</v>
      </c>
      <c r="P22" s="16" t="s">
        <v>106</v>
      </c>
    </row>
    <row r="23" spans="1:16" ht="12.75">
      <c r="A23" s="16" t="s">
        <v>111</v>
      </c>
      <c r="B23" s="16" t="s">
        <v>112</v>
      </c>
      <c r="C23" s="17" t="s">
        <v>423</v>
      </c>
      <c r="D23" s="17">
        <v>21040</v>
      </c>
      <c r="E23" s="67">
        <f t="shared" si="2"/>
        <v>17252.8</v>
      </c>
      <c r="F23" s="68">
        <f t="shared" si="3"/>
        <v>3787.2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f t="shared" si="0"/>
        <v>21040</v>
      </c>
      <c r="N23" s="16" t="s">
        <v>104</v>
      </c>
      <c r="O23" s="16" t="s">
        <v>105</v>
      </c>
      <c r="P23" s="16" t="s">
        <v>106</v>
      </c>
    </row>
    <row r="24" spans="1:16" ht="12.75">
      <c r="A24" s="16" t="s">
        <v>113</v>
      </c>
      <c r="B24" s="16" t="s">
        <v>114</v>
      </c>
      <c r="C24" s="17" t="s">
        <v>423</v>
      </c>
      <c r="D24" s="17">
        <v>21995</v>
      </c>
      <c r="E24" s="67">
        <f t="shared" si="2"/>
        <v>18035.899999999998</v>
      </c>
      <c r="F24" s="68">
        <f t="shared" si="3"/>
        <v>3959.1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f t="shared" si="0"/>
        <v>21994.999999999996</v>
      </c>
      <c r="N24" s="16" t="s">
        <v>104</v>
      </c>
      <c r="O24" s="16" t="s">
        <v>105</v>
      </c>
      <c r="P24" s="16" t="s">
        <v>106</v>
      </c>
    </row>
    <row r="25" spans="1:16" ht="12.75">
      <c r="A25" s="16" t="s">
        <v>115</v>
      </c>
      <c r="B25" s="16" t="s">
        <v>116</v>
      </c>
      <c r="C25" s="17" t="s">
        <v>423</v>
      </c>
      <c r="D25" s="17">
        <v>1775</v>
      </c>
      <c r="E25" s="67">
        <f t="shared" si="2"/>
        <v>1455.5</v>
      </c>
      <c r="F25" s="68">
        <f t="shared" si="3"/>
        <v>319.5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f t="shared" si="0"/>
        <v>1775</v>
      </c>
      <c r="N25" s="16" t="s">
        <v>104</v>
      </c>
      <c r="O25" s="16" t="s">
        <v>105</v>
      </c>
      <c r="P25" s="16" t="s">
        <v>106</v>
      </c>
    </row>
    <row r="26" spans="1:16" ht="12.75">
      <c r="A26" s="16" t="s">
        <v>117</v>
      </c>
      <c r="B26" s="16" t="s">
        <v>118</v>
      </c>
      <c r="C26" s="17" t="s">
        <v>423</v>
      </c>
      <c r="D26" s="17">
        <v>4832</v>
      </c>
      <c r="E26" s="67">
        <f t="shared" si="2"/>
        <v>3962.24</v>
      </c>
      <c r="F26" s="68">
        <f t="shared" si="3"/>
        <v>869.76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f t="shared" si="0"/>
        <v>4832</v>
      </c>
      <c r="N26" s="16" t="s">
        <v>104</v>
      </c>
      <c r="O26" s="16" t="s">
        <v>105</v>
      </c>
      <c r="P26" s="16" t="s">
        <v>106</v>
      </c>
    </row>
    <row r="27" spans="1:16" ht="12.75">
      <c r="A27" s="26" t="s">
        <v>301</v>
      </c>
      <c r="B27" s="26" t="s">
        <v>299</v>
      </c>
      <c r="C27" s="17" t="s">
        <v>423</v>
      </c>
      <c r="D27" s="17">
        <v>8153</v>
      </c>
      <c r="E27" s="67">
        <f t="shared" si="2"/>
        <v>6685.46</v>
      </c>
      <c r="F27" s="68">
        <f t="shared" si="3"/>
        <v>1467.54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f t="shared" si="0"/>
        <v>8153</v>
      </c>
      <c r="N27" s="16"/>
      <c r="O27" s="16"/>
      <c r="P27" s="16"/>
    </row>
    <row r="28" spans="1:16" ht="12.75">
      <c r="A28" s="26" t="s">
        <v>300</v>
      </c>
      <c r="B28" s="26" t="s">
        <v>241</v>
      </c>
      <c r="C28" s="17" t="s">
        <v>423</v>
      </c>
      <c r="D28" s="17">
        <v>33130</v>
      </c>
      <c r="E28" s="67">
        <f t="shared" si="2"/>
        <v>27166.6</v>
      </c>
      <c r="F28" s="68">
        <f t="shared" si="3"/>
        <v>5963.4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f t="shared" si="0"/>
        <v>33130</v>
      </c>
      <c r="N28" s="16"/>
      <c r="O28" s="16"/>
      <c r="P28" s="16"/>
    </row>
    <row r="29" spans="1:16" ht="12.75">
      <c r="A29" s="16" t="s">
        <v>119</v>
      </c>
      <c r="B29" s="16" t="s">
        <v>120</v>
      </c>
      <c r="C29" s="17" t="s">
        <v>423</v>
      </c>
      <c r="D29" s="17">
        <v>154631</v>
      </c>
      <c r="E29" s="67">
        <f t="shared" si="2"/>
        <v>126797.42</v>
      </c>
      <c r="F29" s="68">
        <f t="shared" si="3"/>
        <v>27833.579999999998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f t="shared" si="0"/>
        <v>154631</v>
      </c>
      <c r="N29" s="16" t="s">
        <v>104</v>
      </c>
      <c r="O29" s="16" t="s">
        <v>105</v>
      </c>
      <c r="P29" s="16" t="s">
        <v>99</v>
      </c>
    </row>
    <row r="30" spans="1:16" ht="12.75">
      <c r="A30" s="16" t="s">
        <v>122</v>
      </c>
      <c r="B30" s="16" t="s">
        <v>123</v>
      </c>
      <c r="C30" s="17" t="s">
        <v>423</v>
      </c>
      <c r="D30" s="17">
        <v>91609</v>
      </c>
      <c r="E30" s="67">
        <f t="shared" si="2"/>
        <v>75119.37999999999</v>
      </c>
      <c r="F30" s="68">
        <f t="shared" si="3"/>
        <v>16489.62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f t="shared" si="0"/>
        <v>91608.99999999999</v>
      </c>
      <c r="N30" s="16" t="s">
        <v>104</v>
      </c>
      <c r="O30" s="16" t="s">
        <v>105</v>
      </c>
      <c r="P30" s="16" t="s">
        <v>121</v>
      </c>
    </row>
    <row r="31" spans="1:16" ht="12.75">
      <c r="A31" s="16" t="s">
        <v>124</v>
      </c>
      <c r="B31" s="16" t="s">
        <v>125</v>
      </c>
      <c r="C31" s="17" t="s">
        <v>423</v>
      </c>
      <c r="D31" s="17">
        <v>112</v>
      </c>
      <c r="E31" s="67">
        <f t="shared" si="2"/>
        <v>91.83999999999999</v>
      </c>
      <c r="F31" s="68">
        <f t="shared" si="3"/>
        <v>20.16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f t="shared" si="0"/>
        <v>111.99999999999999</v>
      </c>
      <c r="N31" s="16" t="s">
        <v>104</v>
      </c>
      <c r="O31" s="16" t="s">
        <v>105</v>
      </c>
      <c r="P31" s="16" t="s">
        <v>106</v>
      </c>
    </row>
    <row r="32" spans="1:16" ht="12.75">
      <c r="A32" s="16" t="s">
        <v>126</v>
      </c>
      <c r="B32" s="16" t="s">
        <v>127</v>
      </c>
      <c r="C32" s="17" t="s">
        <v>423</v>
      </c>
      <c r="D32" s="17">
        <v>4724</v>
      </c>
      <c r="E32" s="67">
        <f t="shared" si="2"/>
        <v>3873.68</v>
      </c>
      <c r="F32" s="68">
        <f t="shared" si="3"/>
        <v>850.3199999999999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f t="shared" si="0"/>
        <v>4724</v>
      </c>
      <c r="N32" s="16" t="s">
        <v>104</v>
      </c>
      <c r="O32" s="16" t="s">
        <v>105</v>
      </c>
      <c r="P32" s="16" t="s">
        <v>106</v>
      </c>
    </row>
    <row r="33" spans="1:16" ht="12.75">
      <c r="A33" s="16" t="s">
        <v>128</v>
      </c>
      <c r="B33" s="16" t="s">
        <v>129</v>
      </c>
      <c r="C33" s="17" t="s">
        <v>423</v>
      </c>
      <c r="D33" s="17">
        <v>5408</v>
      </c>
      <c r="E33" s="67">
        <f t="shared" si="2"/>
        <v>4434.5599999999995</v>
      </c>
      <c r="F33" s="68">
        <f t="shared" si="3"/>
        <v>973.4399999999999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f t="shared" si="0"/>
        <v>5407.999999999999</v>
      </c>
      <c r="N33" s="16" t="s">
        <v>104</v>
      </c>
      <c r="O33" s="16" t="s">
        <v>105</v>
      </c>
      <c r="P33" s="16" t="s">
        <v>106</v>
      </c>
    </row>
    <row r="34" spans="1:16" ht="12.75">
      <c r="A34" s="26" t="s">
        <v>302</v>
      </c>
      <c r="B34" s="26" t="s">
        <v>303</v>
      </c>
      <c r="C34" s="17" t="s">
        <v>423</v>
      </c>
      <c r="D34" s="29">
        <v>20492</v>
      </c>
      <c r="E34" s="67">
        <f t="shared" si="2"/>
        <v>16803.44</v>
      </c>
      <c r="F34" s="68">
        <f t="shared" si="3"/>
        <v>3688.56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f t="shared" si="0"/>
        <v>20492</v>
      </c>
      <c r="N34" s="16"/>
      <c r="O34" s="16"/>
      <c r="P34" s="16"/>
    </row>
    <row r="35" spans="1:16" ht="12.75">
      <c r="A35" s="16" t="s">
        <v>130</v>
      </c>
      <c r="B35" s="16" t="s">
        <v>131</v>
      </c>
      <c r="C35" s="17" t="s">
        <v>423</v>
      </c>
      <c r="D35" s="17">
        <v>1039</v>
      </c>
      <c r="E35" s="67">
        <f t="shared" si="2"/>
        <v>851.9799999999999</v>
      </c>
      <c r="F35" s="68">
        <f t="shared" si="3"/>
        <v>187.01999999999998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f t="shared" si="0"/>
        <v>1039</v>
      </c>
      <c r="N35" s="16" t="s">
        <v>104</v>
      </c>
      <c r="O35" s="16" t="s">
        <v>105</v>
      </c>
      <c r="P35" s="16" t="s">
        <v>106</v>
      </c>
    </row>
    <row r="36" spans="1:16" ht="12.75">
      <c r="A36" s="16" t="s">
        <v>132</v>
      </c>
      <c r="B36" s="16" t="s">
        <v>103</v>
      </c>
      <c r="C36" s="17" t="s">
        <v>423</v>
      </c>
      <c r="D36" s="17">
        <v>2064</v>
      </c>
      <c r="E36" s="67">
        <f t="shared" si="2"/>
        <v>1692.4799999999998</v>
      </c>
      <c r="F36" s="68">
        <f t="shared" si="3"/>
        <v>371.52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f t="shared" si="0"/>
        <v>2064</v>
      </c>
      <c r="N36" s="16" t="s">
        <v>104</v>
      </c>
      <c r="O36" s="16" t="s">
        <v>105</v>
      </c>
      <c r="P36" s="16" t="s">
        <v>106</v>
      </c>
    </row>
    <row r="37" spans="1:16" ht="12.75">
      <c r="A37" s="16" t="s">
        <v>133</v>
      </c>
      <c r="B37" s="16" t="s">
        <v>134</v>
      </c>
      <c r="C37" s="17" t="s">
        <v>423</v>
      </c>
      <c r="D37" s="17">
        <v>28167</v>
      </c>
      <c r="E37" s="67">
        <f t="shared" si="2"/>
        <v>23096.94</v>
      </c>
      <c r="F37" s="68">
        <f t="shared" si="3"/>
        <v>5070.0599999999995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f t="shared" si="0"/>
        <v>28167</v>
      </c>
      <c r="N37" s="16" t="s">
        <v>104</v>
      </c>
      <c r="O37" s="16" t="s">
        <v>105</v>
      </c>
      <c r="P37" s="16" t="s">
        <v>106</v>
      </c>
    </row>
    <row r="38" spans="1:16" ht="12.75">
      <c r="A38" s="16" t="s">
        <v>135</v>
      </c>
      <c r="B38" s="16" t="s">
        <v>136</v>
      </c>
      <c r="C38" s="17" t="s">
        <v>423</v>
      </c>
      <c r="D38" s="17">
        <v>2888</v>
      </c>
      <c r="E38" s="67">
        <f t="shared" si="2"/>
        <v>2368.16</v>
      </c>
      <c r="F38" s="68">
        <f t="shared" si="3"/>
        <v>519.84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f t="shared" si="0"/>
        <v>2888</v>
      </c>
      <c r="N38" s="16" t="s">
        <v>104</v>
      </c>
      <c r="O38" s="16" t="s">
        <v>105</v>
      </c>
      <c r="P38" s="16" t="s">
        <v>106</v>
      </c>
    </row>
    <row r="39" spans="1:16" ht="12.75">
      <c r="A39" s="16" t="s">
        <v>137</v>
      </c>
      <c r="B39" s="16" t="s">
        <v>138</v>
      </c>
      <c r="C39" s="17" t="s">
        <v>423</v>
      </c>
      <c r="D39" s="17">
        <v>11365</v>
      </c>
      <c r="E39" s="67">
        <f t="shared" si="2"/>
        <v>9319.3</v>
      </c>
      <c r="F39" s="68">
        <f t="shared" si="3"/>
        <v>2045.6999999999998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f t="shared" si="0"/>
        <v>11365</v>
      </c>
      <c r="N39" s="16" t="s">
        <v>104</v>
      </c>
      <c r="O39" s="16" t="s">
        <v>105</v>
      </c>
      <c r="P39" s="16" t="s">
        <v>106</v>
      </c>
    </row>
    <row r="40" spans="1:16" ht="12.75">
      <c r="A40" s="16" t="s">
        <v>139</v>
      </c>
      <c r="B40" s="16" t="s">
        <v>140</v>
      </c>
      <c r="C40" s="17" t="s">
        <v>423</v>
      </c>
      <c r="D40" s="27">
        <v>2251</v>
      </c>
      <c r="E40" s="69">
        <f t="shared" si="2"/>
        <v>1845.82</v>
      </c>
      <c r="F40" s="69">
        <f t="shared" si="3"/>
        <v>405.18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8">
        <f t="shared" si="0"/>
        <v>2251</v>
      </c>
      <c r="N40" s="16" t="s">
        <v>104</v>
      </c>
      <c r="O40" s="16" t="s">
        <v>105</v>
      </c>
      <c r="P40" s="16" t="s">
        <v>106</v>
      </c>
    </row>
    <row r="41" spans="1:16" ht="12.75">
      <c r="A41" s="16"/>
      <c r="B41" s="16"/>
      <c r="C41" s="17"/>
      <c r="D41" s="17"/>
      <c r="E41" s="67"/>
      <c r="F41" s="68"/>
      <c r="G41" s="68"/>
      <c r="H41" s="68"/>
      <c r="I41" s="68"/>
      <c r="J41" s="68"/>
      <c r="K41" s="68"/>
      <c r="L41" s="68"/>
      <c r="M41" s="68">
        <f t="shared" si="0"/>
        <v>0</v>
      </c>
      <c r="N41" s="16"/>
      <c r="O41" s="16"/>
      <c r="P41" s="16"/>
    </row>
    <row r="42" spans="1:16" ht="13.5" thickBot="1">
      <c r="A42" s="26" t="s">
        <v>304</v>
      </c>
      <c r="B42" s="16"/>
      <c r="C42" s="17"/>
      <c r="D42" s="28">
        <f>SUM(D21:D40)</f>
        <v>636075</v>
      </c>
      <c r="E42" s="65">
        <f>SUM(E21:E41)</f>
        <v>521581.4999999999</v>
      </c>
      <c r="F42" s="65">
        <f>SUM(F21:F40)</f>
        <v>114493.5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8">
        <f t="shared" si="0"/>
        <v>636074.9999999999</v>
      </c>
      <c r="N42" s="16"/>
      <c r="O42" s="16"/>
      <c r="P42" s="16"/>
    </row>
    <row r="43" spans="1:16" ht="13.5" thickTop="1">
      <c r="A43" s="16"/>
      <c r="B43" s="16"/>
      <c r="C43" s="17"/>
      <c r="D43" s="17"/>
      <c r="E43" s="67"/>
      <c r="F43" s="68"/>
      <c r="G43" s="68"/>
      <c r="H43" s="68"/>
      <c r="I43" s="68"/>
      <c r="J43" s="68"/>
      <c r="K43" s="68"/>
      <c r="L43" s="68"/>
      <c r="M43" s="68">
        <f t="shared" si="0"/>
        <v>0</v>
      </c>
      <c r="N43" s="16"/>
      <c r="O43" s="16"/>
      <c r="P43" s="16"/>
    </row>
    <row r="44" spans="1:16" ht="12.75">
      <c r="A44" s="16"/>
      <c r="B44" s="16"/>
      <c r="C44" s="17"/>
      <c r="D44" s="17"/>
      <c r="E44" s="67"/>
      <c r="F44" s="68"/>
      <c r="G44" s="68"/>
      <c r="H44" s="68"/>
      <c r="I44" s="68"/>
      <c r="J44" s="68"/>
      <c r="K44" s="68"/>
      <c r="L44" s="68"/>
      <c r="M44" s="68">
        <f t="shared" si="0"/>
        <v>0</v>
      </c>
      <c r="N44" s="16"/>
      <c r="O44" s="16"/>
      <c r="P44" s="16"/>
    </row>
    <row r="45" spans="1:16" ht="12.75">
      <c r="A45" s="16" t="s">
        <v>306</v>
      </c>
      <c r="B45" s="16"/>
      <c r="C45" s="17"/>
      <c r="D45" s="17"/>
      <c r="E45" s="67"/>
      <c r="F45" s="68"/>
      <c r="G45" s="68"/>
      <c r="H45" s="68"/>
      <c r="I45" s="68"/>
      <c r="J45" s="68"/>
      <c r="K45" s="68"/>
      <c r="L45" s="68"/>
      <c r="M45" s="68">
        <f t="shared" si="0"/>
        <v>0</v>
      </c>
      <c r="N45" s="16"/>
      <c r="O45" s="16"/>
      <c r="P45" s="16"/>
    </row>
    <row r="46" spans="1:16" ht="12.75">
      <c r="A46" s="16"/>
      <c r="B46" s="16"/>
      <c r="C46" s="17"/>
      <c r="D46" s="17"/>
      <c r="E46" s="67"/>
      <c r="F46" s="68"/>
      <c r="G46" s="68"/>
      <c r="H46" s="68"/>
      <c r="I46" s="68"/>
      <c r="J46" s="68"/>
      <c r="K46" s="68"/>
      <c r="L46" s="68"/>
      <c r="M46" s="68">
        <f t="shared" si="0"/>
        <v>0</v>
      </c>
      <c r="N46" s="16"/>
      <c r="O46" s="16"/>
      <c r="P46" s="16"/>
    </row>
    <row r="47" spans="1:17" ht="12.75">
      <c r="A47" s="16" t="s">
        <v>142</v>
      </c>
      <c r="B47" s="16" t="s">
        <v>108</v>
      </c>
      <c r="C47" s="92" t="s">
        <v>490</v>
      </c>
      <c r="D47" s="17">
        <v>210766</v>
      </c>
      <c r="E47" s="105">
        <f>+(D47-(H47+I47+J47))*0.49</f>
        <v>61824.77</v>
      </c>
      <c r="F47" s="105">
        <f>+(D47-(H47+I47+J47))*0.11</f>
        <v>13879.03</v>
      </c>
      <c r="G47" s="105">
        <f>+(D47-(H47+I47+J47))*0.38</f>
        <v>47945.74</v>
      </c>
      <c r="H47" s="68">
        <v>0</v>
      </c>
      <c r="I47" s="68">
        <v>0</v>
      </c>
      <c r="J47" s="68">
        <v>84593</v>
      </c>
      <c r="K47" s="105">
        <f>+(D47-(H47+I47+J47))*0.019</f>
        <v>2397.287</v>
      </c>
      <c r="L47" s="105">
        <f>+(D47-(H47+I47+J47))*0.001</f>
        <v>126.173</v>
      </c>
      <c r="M47" s="68">
        <f t="shared" si="0"/>
        <v>210766.00000000003</v>
      </c>
      <c r="N47" s="16" t="s">
        <v>141</v>
      </c>
      <c r="O47" s="16" t="s">
        <v>141</v>
      </c>
      <c r="P47" s="16" t="s">
        <v>106</v>
      </c>
      <c r="Q47" s="26" t="s">
        <v>484</v>
      </c>
    </row>
    <row r="48" spans="1:16" ht="12.75">
      <c r="A48" s="16" t="s">
        <v>143</v>
      </c>
      <c r="B48" s="16" t="s">
        <v>110</v>
      </c>
      <c r="C48" s="92" t="s">
        <v>490</v>
      </c>
      <c r="D48" s="17">
        <v>27285</v>
      </c>
      <c r="E48" s="105">
        <f aca="true" t="shared" si="4" ref="E48:E60">+(D48-(H48+I48+J48))*0.49</f>
        <v>8850.38</v>
      </c>
      <c r="F48" s="105">
        <f aca="true" t="shared" si="5" ref="F48:F60">+(D48-(H48+I48+J48))*0.11</f>
        <v>1986.82</v>
      </c>
      <c r="G48" s="105">
        <f aca="true" t="shared" si="6" ref="G48:G60">+(D48-(H48+I48+J48))*0.38</f>
        <v>6863.56</v>
      </c>
      <c r="H48" s="68">
        <v>0</v>
      </c>
      <c r="I48" s="68">
        <v>0</v>
      </c>
      <c r="J48" s="68">
        <v>9223</v>
      </c>
      <c r="K48" s="105">
        <f aca="true" t="shared" si="7" ref="K48:K60">+(D48-(H48+I48+J48))*0.019</f>
        <v>343.178</v>
      </c>
      <c r="L48" s="105">
        <f aca="true" t="shared" si="8" ref="L48:L60">+(D48-(H48+I48+J48))*0.001</f>
        <v>18.062</v>
      </c>
      <c r="M48" s="68">
        <f t="shared" si="0"/>
        <v>27285</v>
      </c>
      <c r="N48" s="16" t="s">
        <v>141</v>
      </c>
      <c r="O48" s="16" t="s">
        <v>141</v>
      </c>
      <c r="P48" s="16" t="s">
        <v>106</v>
      </c>
    </row>
    <row r="49" spans="1:16" ht="12.75">
      <c r="A49" s="16" t="s">
        <v>144</v>
      </c>
      <c r="B49" s="16" t="s">
        <v>112</v>
      </c>
      <c r="C49" s="92" t="s">
        <v>490</v>
      </c>
      <c r="D49" s="17">
        <v>36403</v>
      </c>
      <c r="E49" s="105">
        <f t="shared" si="4"/>
        <v>11808.51</v>
      </c>
      <c r="F49" s="105">
        <f t="shared" si="5"/>
        <v>2650.89</v>
      </c>
      <c r="G49" s="105">
        <f t="shared" si="6"/>
        <v>9157.62</v>
      </c>
      <c r="H49" s="68">
        <v>0</v>
      </c>
      <c r="I49" s="68">
        <v>0</v>
      </c>
      <c r="J49" s="68">
        <v>12304</v>
      </c>
      <c r="K49" s="105">
        <f t="shared" si="7"/>
        <v>457.881</v>
      </c>
      <c r="L49" s="105">
        <f t="shared" si="8"/>
        <v>24.099</v>
      </c>
      <c r="M49" s="68">
        <f t="shared" si="0"/>
        <v>36403.00000000001</v>
      </c>
      <c r="N49" s="16" t="s">
        <v>141</v>
      </c>
      <c r="O49" s="16" t="s">
        <v>141</v>
      </c>
      <c r="P49" s="16" t="s">
        <v>106</v>
      </c>
    </row>
    <row r="50" spans="1:16" ht="12.75">
      <c r="A50" s="16" t="s">
        <v>145</v>
      </c>
      <c r="B50" s="16" t="s">
        <v>114</v>
      </c>
      <c r="C50" s="92" t="s">
        <v>490</v>
      </c>
      <c r="D50" s="17">
        <v>41814</v>
      </c>
      <c r="E50" s="105">
        <f t="shared" si="4"/>
        <v>13563.69</v>
      </c>
      <c r="F50" s="105">
        <f t="shared" si="5"/>
        <v>3044.91</v>
      </c>
      <c r="G50" s="105">
        <f t="shared" si="6"/>
        <v>10518.78</v>
      </c>
      <c r="H50" s="68">
        <v>0</v>
      </c>
      <c r="I50" s="68">
        <v>0</v>
      </c>
      <c r="J50" s="68">
        <v>14133</v>
      </c>
      <c r="K50" s="105">
        <f t="shared" si="7"/>
        <v>525.939</v>
      </c>
      <c r="L50" s="105">
        <f t="shared" si="8"/>
        <v>27.681</v>
      </c>
      <c r="M50" s="68">
        <f t="shared" si="0"/>
        <v>41813.99999999999</v>
      </c>
      <c r="N50" s="16" t="s">
        <v>141</v>
      </c>
      <c r="O50" s="16" t="s">
        <v>141</v>
      </c>
      <c r="P50" s="16" t="s">
        <v>106</v>
      </c>
    </row>
    <row r="51" spans="1:16" ht="12.75">
      <c r="A51" s="16" t="s">
        <v>146</v>
      </c>
      <c r="B51" s="16" t="s">
        <v>116</v>
      </c>
      <c r="C51" s="17" t="s">
        <v>424</v>
      </c>
      <c r="D51" s="17">
        <v>16124</v>
      </c>
      <c r="E51" s="105">
        <f t="shared" si="4"/>
        <v>7900.76</v>
      </c>
      <c r="F51" s="105">
        <f t="shared" si="5"/>
        <v>1773.64</v>
      </c>
      <c r="G51" s="105">
        <f t="shared" si="6"/>
        <v>6127.12</v>
      </c>
      <c r="H51" s="68">
        <v>0</v>
      </c>
      <c r="I51" s="68">
        <v>0</v>
      </c>
      <c r="J51" s="68">
        <v>0</v>
      </c>
      <c r="K51" s="105">
        <f t="shared" si="7"/>
        <v>306.356</v>
      </c>
      <c r="L51" s="105">
        <f t="shared" si="8"/>
        <v>16.124</v>
      </c>
      <c r="M51" s="68">
        <f t="shared" si="0"/>
        <v>16124</v>
      </c>
      <c r="N51" s="16" t="s">
        <v>141</v>
      </c>
      <c r="O51" s="16" t="s">
        <v>141</v>
      </c>
      <c r="P51" s="16" t="s">
        <v>106</v>
      </c>
    </row>
    <row r="52" spans="1:16" ht="12.75">
      <c r="A52" s="16" t="s">
        <v>147</v>
      </c>
      <c r="B52" s="16" t="s">
        <v>118</v>
      </c>
      <c r="C52" s="17" t="s">
        <v>424</v>
      </c>
      <c r="D52" s="17">
        <v>3705</v>
      </c>
      <c r="E52" s="105">
        <f t="shared" si="4"/>
        <v>1815.45</v>
      </c>
      <c r="F52" s="105">
        <f t="shared" si="5"/>
        <v>407.55</v>
      </c>
      <c r="G52" s="105">
        <f t="shared" si="6"/>
        <v>1407.9</v>
      </c>
      <c r="H52" s="68">
        <v>0</v>
      </c>
      <c r="I52" s="68">
        <v>0</v>
      </c>
      <c r="J52" s="68">
        <v>0</v>
      </c>
      <c r="K52" s="105">
        <f t="shared" si="7"/>
        <v>70.395</v>
      </c>
      <c r="L52" s="105">
        <f t="shared" si="8"/>
        <v>3.705</v>
      </c>
      <c r="M52" s="68">
        <f t="shared" si="0"/>
        <v>3705</v>
      </c>
      <c r="N52" s="16" t="s">
        <v>141</v>
      </c>
      <c r="O52" s="16" t="s">
        <v>141</v>
      </c>
      <c r="P52" s="16" t="s">
        <v>106</v>
      </c>
    </row>
    <row r="53" spans="1:16" ht="12.75">
      <c r="A53" s="16" t="s">
        <v>148</v>
      </c>
      <c r="B53" s="16" t="s">
        <v>149</v>
      </c>
      <c r="C53" s="17" t="s">
        <v>424</v>
      </c>
      <c r="D53" s="17">
        <v>5518</v>
      </c>
      <c r="E53" s="105">
        <f t="shared" si="4"/>
        <v>2703.82</v>
      </c>
      <c r="F53" s="105">
        <f t="shared" si="5"/>
        <v>606.98</v>
      </c>
      <c r="G53" s="105">
        <f t="shared" si="6"/>
        <v>2096.84</v>
      </c>
      <c r="H53" s="68">
        <v>0</v>
      </c>
      <c r="I53" s="68">
        <v>0</v>
      </c>
      <c r="J53" s="68">
        <v>0</v>
      </c>
      <c r="K53" s="105">
        <f t="shared" si="7"/>
        <v>104.842</v>
      </c>
      <c r="L53" s="105">
        <f t="shared" si="8"/>
        <v>5.518</v>
      </c>
      <c r="M53" s="68">
        <f t="shared" si="0"/>
        <v>5518</v>
      </c>
      <c r="N53" s="16" t="s">
        <v>141</v>
      </c>
      <c r="O53" s="16" t="s">
        <v>141</v>
      </c>
      <c r="P53" s="16" t="s">
        <v>106</v>
      </c>
    </row>
    <row r="54" spans="1:16" ht="12.75">
      <c r="A54" s="26" t="s">
        <v>307</v>
      </c>
      <c r="B54" s="26" t="s">
        <v>299</v>
      </c>
      <c r="C54" s="92" t="s">
        <v>490</v>
      </c>
      <c r="D54" s="17">
        <v>15164</v>
      </c>
      <c r="E54" s="105">
        <f t="shared" si="4"/>
        <v>4919.11</v>
      </c>
      <c r="F54" s="105">
        <f t="shared" si="5"/>
        <v>1104.29</v>
      </c>
      <c r="G54" s="105">
        <f t="shared" si="6"/>
        <v>3814.82</v>
      </c>
      <c r="H54" s="68">
        <v>0</v>
      </c>
      <c r="I54" s="68">
        <v>0</v>
      </c>
      <c r="J54" s="68">
        <v>5125</v>
      </c>
      <c r="K54" s="105">
        <f t="shared" si="7"/>
        <v>190.74099999999999</v>
      </c>
      <c r="L54" s="105">
        <f t="shared" si="8"/>
        <v>10.039</v>
      </c>
      <c r="M54" s="68">
        <f t="shared" si="0"/>
        <v>15164</v>
      </c>
      <c r="N54" s="16"/>
      <c r="O54" s="16"/>
      <c r="P54" s="16"/>
    </row>
    <row r="55" spans="1:16" ht="12.75">
      <c r="A55" s="26" t="s">
        <v>151</v>
      </c>
      <c r="B55" s="26" t="s">
        <v>152</v>
      </c>
      <c r="C55" s="29" t="s">
        <v>424</v>
      </c>
      <c r="D55" s="29">
        <v>4482</v>
      </c>
      <c r="E55" s="105">
        <f t="shared" si="4"/>
        <v>2196.18</v>
      </c>
      <c r="F55" s="105">
        <f t="shared" si="5"/>
        <v>493.02</v>
      </c>
      <c r="G55" s="105">
        <f t="shared" si="6"/>
        <v>1703.16</v>
      </c>
      <c r="H55" s="68">
        <v>0</v>
      </c>
      <c r="I55" s="68">
        <v>0</v>
      </c>
      <c r="J55" s="68">
        <v>0</v>
      </c>
      <c r="K55" s="105">
        <f t="shared" si="7"/>
        <v>85.158</v>
      </c>
      <c r="L55" s="105">
        <f t="shared" si="8"/>
        <v>4.482</v>
      </c>
      <c r="M55" s="68">
        <f t="shared" si="0"/>
        <v>4482</v>
      </c>
      <c r="N55" s="16" t="s">
        <v>141</v>
      </c>
      <c r="O55" s="16" t="s">
        <v>150</v>
      </c>
      <c r="P55" s="16" t="s">
        <v>150</v>
      </c>
    </row>
    <row r="56" spans="1:16" ht="12.75">
      <c r="A56" s="16" t="s">
        <v>154</v>
      </c>
      <c r="B56" s="16" t="s">
        <v>155</v>
      </c>
      <c r="C56" s="17" t="s">
        <v>424</v>
      </c>
      <c r="D56" s="17">
        <v>1903</v>
      </c>
      <c r="E56" s="105">
        <f t="shared" si="4"/>
        <v>932.47</v>
      </c>
      <c r="F56" s="105">
        <f t="shared" si="5"/>
        <v>209.33</v>
      </c>
      <c r="G56" s="105">
        <f t="shared" si="6"/>
        <v>723.14</v>
      </c>
      <c r="H56" s="68">
        <v>0</v>
      </c>
      <c r="I56" s="68">
        <v>0</v>
      </c>
      <c r="J56" s="68">
        <v>0</v>
      </c>
      <c r="K56" s="105">
        <f t="shared" si="7"/>
        <v>36.157</v>
      </c>
      <c r="L56" s="105">
        <f t="shared" si="8"/>
        <v>1.903</v>
      </c>
      <c r="M56" s="68">
        <f t="shared" si="0"/>
        <v>1903</v>
      </c>
      <c r="N56" s="16" t="s">
        <v>141</v>
      </c>
      <c r="O56" s="16" t="s">
        <v>141</v>
      </c>
      <c r="P56" s="16" t="s">
        <v>153</v>
      </c>
    </row>
    <row r="57" spans="1:16" ht="12.75">
      <c r="A57" s="16" t="s">
        <v>157</v>
      </c>
      <c r="B57" s="16" t="s">
        <v>158</v>
      </c>
      <c r="C57" s="17" t="s">
        <v>424</v>
      </c>
      <c r="D57" s="17">
        <v>3713</v>
      </c>
      <c r="E57" s="105">
        <f t="shared" si="4"/>
        <v>1819.37</v>
      </c>
      <c r="F57" s="105">
        <f t="shared" si="5"/>
        <v>408.43</v>
      </c>
      <c r="G57" s="105">
        <f t="shared" si="6"/>
        <v>1410.94</v>
      </c>
      <c r="H57" s="68">
        <v>0</v>
      </c>
      <c r="I57" s="68">
        <v>0</v>
      </c>
      <c r="J57" s="68">
        <v>0</v>
      </c>
      <c r="K57" s="105">
        <f t="shared" si="7"/>
        <v>70.547</v>
      </c>
      <c r="L57" s="105">
        <f t="shared" si="8"/>
        <v>3.713</v>
      </c>
      <c r="M57" s="68">
        <f t="shared" si="0"/>
        <v>3713</v>
      </c>
      <c r="N57" s="16" t="s">
        <v>141</v>
      </c>
      <c r="O57" s="16" t="s">
        <v>141</v>
      </c>
      <c r="P57" s="16" t="s">
        <v>156</v>
      </c>
    </row>
    <row r="58" spans="1:16" ht="12.75">
      <c r="A58" s="26" t="s">
        <v>309</v>
      </c>
      <c r="B58" s="26" t="s">
        <v>308</v>
      </c>
      <c r="C58" s="17" t="s">
        <v>424</v>
      </c>
      <c r="D58" s="17">
        <v>371</v>
      </c>
      <c r="E58" s="105">
        <f t="shared" si="4"/>
        <v>181.79</v>
      </c>
      <c r="F58" s="105">
        <f t="shared" si="5"/>
        <v>40.81</v>
      </c>
      <c r="G58" s="105">
        <f t="shared" si="6"/>
        <v>140.98</v>
      </c>
      <c r="H58" s="68">
        <v>0</v>
      </c>
      <c r="I58" s="68">
        <v>0</v>
      </c>
      <c r="J58" s="68">
        <v>0</v>
      </c>
      <c r="K58" s="105">
        <f t="shared" si="7"/>
        <v>7.0489999999999995</v>
      </c>
      <c r="L58" s="105">
        <f t="shared" si="8"/>
        <v>0.371</v>
      </c>
      <c r="M58" s="68">
        <f t="shared" si="0"/>
        <v>370.99999999999994</v>
      </c>
      <c r="N58" s="16"/>
      <c r="O58" s="16"/>
      <c r="P58" s="16"/>
    </row>
    <row r="59" spans="1:16" ht="12.75">
      <c r="A59" s="16" t="s">
        <v>160</v>
      </c>
      <c r="B59" s="16" t="s">
        <v>161</v>
      </c>
      <c r="C59" s="17" t="s">
        <v>424</v>
      </c>
      <c r="D59" s="17">
        <v>10854</v>
      </c>
      <c r="E59" s="105">
        <f t="shared" si="4"/>
        <v>5318.46</v>
      </c>
      <c r="F59" s="105">
        <f t="shared" si="5"/>
        <v>1193.94</v>
      </c>
      <c r="G59" s="105">
        <f t="shared" si="6"/>
        <v>4124.52</v>
      </c>
      <c r="H59" s="68">
        <v>0</v>
      </c>
      <c r="I59" s="68">
        <v>0</v>
      </c>
      <c r="J59" s="68">
        <v>0</v>
      </c>
      <c r="K59" s="105">
        <f t="shared" si="7"/>
        <v>206.226</v>
      </c>
      <c r="L59" s="105">
        <f t="shared" si="8"/>
        <v>10.854000000000001</v>
      </c>
      <c r="M59" s="68">
        <f t="shared" si="0"/>
        <v>10854</v>
      </c>
      <c r="N59" s="16" t="s">
        <v>141</v>
      </c>
      <c r="O59" s="16" t="s">
        <v>141</v>
      </c>
      <c r="P59" s="16" t="s">
        <v>159</v>
      </c>
    </row>
    <row r="60" spans="1:16" ht="12.75">
      <c r="A60" s="16" t="s">
        <v>162</v>
      </c>
      <c r="B60" s="16" t="s">
        <v>163</v>
      </c>
      <c r="C60" s="17" t="s">
        <v>424</v>
      </c>
      <c r="D60" s="17">
        <v>19440</v>
      </c>
      <c r="E60" s="105">
        <f t="shared" si="4"/>
        <v>9525.6</v>
      </c>
      <c r="F60" s="105">
        <f t="shared" si="5"/>
        <v>2138.4</v>
      </c>
      <c r="G60" s="105">
        <f t="shared" si="6"/>
        <v>7387.2</v>
      </c>
      <c r="H60" s="68">
        <v>0</v>
      </c>
      <c r="I60" s="68">
        <v>0</v>
      </c>
      <c r="J60" s="68">
        <v>0</v>
      </c>
      <c r="K60" s="105">
        <f t="shared" si="7"/>
        <v>369.36</v>
      </c>
      <c r="L60" s="105">
        <f t="shared" si="8"/>
        <v>19.44</v>
      </c>
      <c r="M60" s="68">
        <f t="shared" si="0"/>
        <v>19440</v>
      </c>
      <c r="N60" s="16" t="s">
        <v>141</v>
      </c>
      <c r="O60" s="16" t="s">
        <v>141</v>
      </c>
      <c r="P60" s="16" t="s">
        <v>106</v>
      </c>
    </row>
    <row r="61" spans="1:16" ht="12.75">
      <c r="A61" s="26" t="s">
        <v>164</v>
      </c>
      <c r="B61" s="26" t="s">
        <v>165</v>
      </c>
      <c r="C61" s="29" t="s">
        <v>427</v>
      </c>
      <c r="D61" s="29">
        <v>8164</v>
      </c>
      <c r="E61" s="67">
        <v>0</v>
      </c>
      <c r="F61" s="68">
        <v>0</v>
      </c>
      <c r="G61" s="68">
        <v>0</v>
      </c>
      <c r="H61" s="68">
        <v>8164</v>
      </c>
      <c r="I61" s="68">
        <v>0</v>
      </c>
      <c r="J61" s="68">
        <v>0</v>
      </c>
      <c r="K61" s="68">
        <v>0</v>
      </c>
      <c r="L61" s="68">
        <v>0</v>
      </c>
      <c r="M61" s="68">
        <f t="shared" si="0"/>
        <v>8164</v>
      </c>
      <c r="N61" s="16" t="s">
        <v>141</v>
      </c>
      <c r="O61" s="16" t="s">
        <v>141</v>
      </c>
      <c r="P61" s="16" t="s">
        <v>159</v>
      </c>
    </row>
    <row r="62" spans="1:16" ht="12.75">
      <c r="A62" s="26" t="s">
        <v>166</v>
      </c>
      <c r="B62" s="26" t="s">
        <v>310</v>
      </c>
      <c r="C62" s="29" t="s">
        <v>427</v>
      </c>
      <c r="D62" s="29">
        <v>1672</v>
      </c>
      <c r="E62" s="67">
        <v>0</v>
      </c>
      <c r="F62" s="68">
        <v>0</v>
      </c>
      <c r="G62" s="68">
        <v>0</v>
      </c>
      <c r="H62" s="68">
        <v>1672</v>
      </c>
      <c r="I62" s="68">
        <v>0</v>
      </c>
      <c r="J62" s="68">
        <v>0</v>
      </c>
      <c r="K62" s="68">
        <v>0</v>
      </c>
      <c r="L62" s="68">
        <v>0</v>
      </c>
      <c r="M62" s="68">
        <f t="shared" si="0"/>
        <v>1672</v>
      </c>
      <c r="N62" s="16" t="s">
        <v>141</v>
      </c>
      <c r="O62" s="16" t="s">
        <v>141</v>
      </c>
      <c r="P62" s="16" t="s">
        <v>159</v>
      </c>
    </row>
    <row r="63" spans="1:16" ht="12.75">
      <c r="A63" s="26" t="s">
        <v>168</v>
      </c>
      <c r="B63" s="26" t="s">
        <v>311</v>
      </c>
      <c r="C63" s="29" t="s">
        <v>424</v>
      </c>
      <c r="D63" s="29">
        <v>757</v>
      </c>
      <c r="E63" s="105">
        <f>+(D63-(H63+I63+J63))*0.49</f>
        <v>370.93</v>
      </c>
      <c r="F63" s="105">
        <f>+(D63-(H63+I63+J63))*0.11</f>
        <v>83.27</v>
      </c>
      <c r="G63" s="105">
        <f>+(D63-(H63+I63+J63))*0.38</f>
        <v>287.66</v>
      </c>
      <c r="H63" s="68">
        <v>0</v>
      </c>
      <c r="I63" s="68">
        <v>0</v>
      </c>
      <c r="J63" s="68">
        <v>0</v>
      </c>
      <c r="K63" s="105">
        <f>+(D63-(H63+I63+J63))*0.019</f>
        <v>14.383</v>
      </c>
      <c r="L63" s="105">
        <f>+(D63-(H63+I63+J63))*0.001</f>
        <v>0.757</v>
      </c>
      <c r="M63" s="68">
        <f t="shared" si="0"/>
        <v>757</v>
      </c>
      <c r="N63" s="16" t="s">
        <v>141</v>
      </c>
      <c r="O63" s="16" t="s">
        <v>141</v>
      </c>
      <c r="P63" s="16" t="s">
        <v>167</v>
      </c>
    </row>
    <row r="64" spans="1:16" ht="12.75">
      <c r="A64" s="16" t="s">
        <v>169</v>
      </c>
      <c r="B64" s="16" t="s">
        <v>170</v>
      </c>
      <c r="C64" s="17" t="s">
        <v>429</v>
      </c>
      <c r="D64" s="17">
        <v>906</v>
      </c>
      <c r="E64" s="67">
        <f>+D64*0.43</f>
        <v>389.58</v>
      </c>
      <c r="F64" s="68">
        <v>0</v>
      </c>
      <c r="G64" s="68">
        <f>+D64*0.43</f>
        <v>389.58</v>
      </c>
      <c r="H64" s="68">
        <v>0</v>
      </c>
      <c r="I64" s="68">
        <v>0</v>
      </c>
      <c r="J64" s="68">
        <v>0</v>
      </c>
      <c r="K64" s="68">
        <v>0</v>
      </c>
      <c r="L64" s="68">
        <f>+D64*0.14</f>
        <v>126.84000000000002</v>
      </c>
      <c r="M64" s="68">
        <f t="shared" si="0"/>
        <v>906</v>
      </c>
      <c r="N64" s="16" t="s">
        <v>141</v>
      </c>
      <c r="O64" s="16" t="s">
        <v>141</v>
      </c>
      <c r="P64" s="16" t="s">
        <v>156</v>
      </c>
    </row>
    <row r="65" spans="1:16" ht="12.75">
      <c r="A65" s="16" t="s">
        <v>171</v>
      </c>
      <c r="B65" s="16" t="s">
        <v>172</v>
      </c>
      <c r="C65" s="17" t="s">
        <v>424</v>
      </c>
      <c r="D65" s="17">
        <v>158</v>
      </c>
      <c r="E65" s="105">
        <f>+(D65-(H65+I65+J65))*0.49</f>
        <v>77.42</v>
      </c>
      <c r="F65" s="105">
        <f>+(D65-(H65+I65+J65))*0.11</f>
        <v>17.38</v>
      </c>
      <c r="G65" s="105">
        <f>+(D65-(H65+I65+J65))*0.38</f>
        <v>60.04</v>
      </c>
      <c r="H65" s="68">
        <v>0</v>
      </c>
      <c r="I65" s="68">
        <v>0</v>
      </c>
      <c r="J65" s="68">
        <v>0</v>
      </c>
      <c r="K65" s="105">
        <f>+(D65-(H65+I65+J65))*0.019</f>
        <v>3.002</v>
      </c>
      <c r="L65" s="105">
        <f>+(D65-(H65+I65+J65))*0.001</f>
        <v>0.158</v>
      </c>
      <c r="M65" s="68">
        <f t="shared" si="0"/>
        <v>158</v>
      </c>
      <c r="N65" s="16" t="s">
        <v>141</v>
      </c>
      <c r="O65" s="16" t="s">
        <v>141</v>
      </c>
      <c r="P65" s="16" t="s">
        <v>153</v>
      </c>
    </row>
    <row r="66" spans="1:16" ht="12.75">
      <c r="A66" s="16" t="s">
        <v>175</v>
      </c>
      <c r="B66" s="16" t="s">
        <v>131</v>
      </c>
      <c r="C66" s="17" t="s">
        <v>424</v>
      </c>
      <c r="D66" s="17">
        <v>3728</v>
      </c>
      <c r="E66" s="105">
        <f>+(D66-(H66+I66+J66))*0.49</f>
        <v>1826.72</v>
      </c>
      <c r="F66" s="105">
        <f>+(D66-(H66+I66+J66))*0.11</f>
        <v>410.08</v>
      </c>
      <c r="G66" s="105">
        <f>+(D66-(H66+I66+J66))*0.38</f>
        <v>1416.64</v>
      </c>
      <c r="H66" s="68">
        <v>0</v>
      </c>
      <c r="I66" s="68">
        <v>0</v>
      </c>
      <c r="J66" s="68">
        <v>0</v>
      </c>
      <c r="K66" s="105">
        <f>+(D66-(H66+I66+J66))*0.019</f>
        <v>70.832</v>
      </c>
      <c r="L66" s="105">
        <f>+(D66-(H66+I66+J66))*0.001</f>
        <v>3.728</v>
      </c>
      <c r="M66" s="68">
        <f t="shared" si="0"/>
        <v>3728.0000000000005</v>
      </c>
      <c r="N66" s="16"/>
      <c r="O66" s="16"/>
      <c r="P66" s="16"/>
    </row>
    <row r="67" spans="1:16" ht="12.75">
      <c r="A67" s="16" t="s">
        <v>173</v>
      </c>
      <c r="B67" s="16" t="s">
        <v>174</v>
      </c>
      <c r="C67" s="17" t="s">
        <v>424</v>
      </c>
      <c r="D67" s="17">
        <v>50</v>
      </c>
      <c r="E67" s="105">
        <f>+(D67-(H67+I67+J67))*0.49</f>
        <v>24.5</v>
      </c>
      <c r="F67" s="105">
        <f>+(D67-(H67+I67+J67))*0.11</f>
        <v>5.5</v>
      </c>
      <c r="G67" s="105">
        <f>+(D67-(H67+I67+J67))*0.38</f>
        <v>19</v>
      </c>
      <c r="H67" s="68">
        <v>0</v>
      </c>
      <c r="I67" s="68">
        <v>0</v>
      </c>
      <c r="J67" s="68">
        <v>0</v>
      </c>
      <c r="K67" s="105">
        <f>+(D67-(H67+I67+J67))*0.019</f>
        <v>0.95</v>
      </c>
      <c r="L67" s="105">
        <f>+(D67-(H67+I67+J67))*0.001</f>
        <v>0.05</v>
      </c>
      <c r="M67" s="68">
        <f t="shared" si="0"/>
        <v>50</v>
      </c>
      <c r="N67" s="16" t="s">
        <v>141</v>
      </c>
      <c r="O67" s="16" t="s">
        <v>141</v>
      </c>
      <c r="P67" s="16" t="s">
        <v>159</v>
      </c>
    </row>
    <row r="68" spans="1:16" ht="12.75">
      <c r="A68" s="26" t="s">
        <v>176</v>
      </c>
      <c r="B68" s="26" t="s">
        <v>177</v>
      </c>
      <c r="C68" s="29" t="s">
        <v>427</v>
      </c>
      <c r="D68" s="29">
        <v>0</v>
      </c>
      <c r="E68" s="67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f t="shared" si="0"/>
        <v>0</v>
      </c>
      <c r="N68" s="16" t="s">
        <v>141</v>
      </c>
      <c r="O68" s="16" t="s">
        <v>141</v>
      </c>
      <c r="P68" s="16" t="s">
        <v>159</v>
      </c>
    </row>
    <row r="69" spans="1:16" ht="12.75">
      <c r="A69" s="26" t="s">
        <v>178</v>
      </c>
      <c r="B69" s="26" t="s">
        <v>179</v>
      </c>
      <c r="C69" s="29" t="s">
        <v>530</v>
      </c>
      <c r="D69" s="29">
        <v>0</v>
      </c>
      <c r="E69" s="67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f t="shared" si="0"/>
        <v>0</v>
      </c>
      <c r="N69" s="16" t="s">
        <v>141</v>
      </c>
      <c r="O69" s="16" t="s">
        <v>141</v>
      </c>
      <c r="P69" s="16" t="s">
        <v>167</v>
      </c>
    </row>
    <row r="70" spans="1:16" ht="12.75">
      <c r="A70" s="16" t="s">
        <v>180</v>
      </c>
      <c r="B70" s="26" t="s">
        <v>103</v>
      </c>
      <c r="C70" s="29" t="s">
        <v>422</v>
      </c>
      <c r="D70" s="29">
        <v>7100</v>
      </c>
      <c r="E70" s="67">
        <v>7100</v>
      </c>
      <c r="F70" s="68">
        <v>0</v>
      </c>
      <c r="G70" s="68">
        <f>-G70</f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f>SUM(E70:L70)</f>
        <v>7100</v>
      </c>
      <c r="N70" s="16" t="s">
        <v>141</v>
      </c>
      <c r="O70" s="16" t="s">
        <v>141</v>
      </c>
      <c r="P70" s="16" t="s">
        <v>106</v>
      </c>
    </row>
    <row r="71" spans="1:16" ht="12.75">
      <c r="A71" s="16" t="s">
        <v>181</v>
      </c>
      <c r="B71" s="16" t="s">
        <v>136</v>
      </c>
      <c r="C71" s="17" t="s">
        <v>424</v>
      </c>
      <c r="D71" s="29">
        <v>-413</v>
      </c>
      <c r="E71" s="105">
        <f>+(D71-(H71+I71+J71))*0.49</f>
        <v>-202.37</v>
      </c>
      <c r="F71" s="105">
        <f>+(D71-(H71+I71+J71))*0.11</f>
        <v>-45.43</v>
      </c>
      <c r="G71" s="105">
        <f>+(D71-(H71+I71+J71))*0.38</f>
        <v>-156.94</v>
      </c>
      <c r="H71" s="68">
        <v>0</v>
      </c>
      <c r="I71" s="68">
        <v>0</v>
      </c>
      <c r="J71" s="68">
        <v>0</v>
      </c>
      <c r="K71" s="105">
        <f>+(D71-(H71+I71+J71))*0.019</f>
        <v>-7.8469999999999995</v>
      </c>
      <c r="L71" s="105">
        <f>+(D71-(H71+I71+J71))*0.001</f>
        <v>-0.41300000000000003</v>
      </c>
      <c r="M71" s="68">
        <f t="shared" si="0"/>
        <v>-413</v>
      </c>
      <c r="N71" s="16" t="s">
        <v>141</v>
      </c>
      <c r="O71" s="16" t="s">
        <v>141</v>
      </c>
      <c r="P71" s="16" t="s">
        <v>106</v>
      </c>
    </row>
    <row r="72" spans="1:16" ht="12.75">
      <c r="A72" s="16" t="s">
        <v>182</v>
      </c>
      <c r="B72" s="16" t="s">
        <v>138</v>
      </c>
      <c r="C72" s="17" t="s">
        <v>424</v>
      </c>
      <c r="D72" s="17">
        <v>17098</v>
      </c>
      <c r="E72" s="105">
        <f>+(D72-(H72+I72+J72))*0.49</f>
        <v>8378.02</v>
      </c>
      <c r="F72" s="105">
        <f>+(D72-(H72+I72+J72))*0.11</f>
        <v>1880.78</v>
      </c>
      <c r="G72" s="105">
        <f>+(D72-(H72+I72+J72))*0.38</f>
        <v>6497.24</v>
      </c>
      <c r="H72" s="68">
        <v>0</v>
      </c>
      <c r="I72" s="68">
        <v>0</v>
      </c>
      <c r="J72" s="68">
        <v>0</v>
      </c>
      <c r="K72" s="105">
        <f>+(D72-(H72+I72+J72))*0.019</f>
        <v>324.86199999999997</v>
      </c>
      <c r="L72" s="105">
        <f>+(D72-(H72+I72+J72))*0.001</f>
        <v>17.098</v>
      </c>
      <c r="M72" s="68">
        <f t="shared" si="0"/>
        <v>17098.000000000004</v>
      </c>
      <c r="N72" s="16" t="s">
        <v>141</v>
      </c>
      <c r="O72" s="16" t="s">
        <v>141</v>
      </c>
      <c r="P72" s="16" t="s">
        <v>106</v>
      </c>
    </row>
    <row r="73" spans="1:16" ht="12.75">
      <c r="A73" s="16" t="s">
        <v>183</v>
      </c>
      <c r="B73" s="16" t="s">
        <v>184</v>
      </c>
      <c r="C73" s="17" t="s">
        <v>424</v>
      </c>
      <c r="D73" s="17">
        <v>0</v>
      </c>
      <c r="E73" s="105">
        <f>+(D73-(H73+I73+J73))*0.49</f>
        <v>0</v>
      </c>
      <c r="F73" s="105">
        <f>+(D73-(H73+I73+J73))*0.11</f>
        <v>0</v>
      </c>
      <c r="G73" s="105">
        <f>+(D73-(H73+I73+J73))*0.38</f>
        <v>0</v>
      </c>
      <c r="H73" s="68">
        <v>0</v>
      </c>
      <c r="I73" s="68">
        <v>0</v>
      </c>
      <c r="J73" s="68">
        <v>0</v>
      </c>
      <c r="K73" s="105">
        <f>+(D73-(H73+I73+J73))*0.019</f>
        <v>0</v>
      </c>
      <c r="L73" s="105">
        <f>+(D73-(H73+I73+J73))*0.001</f>
        <v>0</v>
      </c>
      <c r="M73" s="68">
        <f t="shared" si="0"/>
        <v>0</v>
      </c>
      <c r="N73" s="16" t="s">
        <v>141</v>
      </c>
      <c r="O73" s="16" t="s">
        <v>141</v>
      </c>
      <c r="P73" s="16" t="s">
        <v>106</v>
      </c>
    </row>
    <row r="74" spans="1:16" ht="12.75">
      <c r="A74" s="16" t="s">
        <v>185</v>
      </c>
      <c r="B74" s="16" t="s">
        <v>140</v>
      </c>
      <c r="C74" s="17" t="s">
        <v>424</v>
      </c>
      <c r="D74" s="27">
        <v>3276</v>
      </c>
      <c r="E74" s="106">
        <f>+(D74-(H74+I74+J74))*0.49</f>
        <v>1605.24</v>
      </c>
      <c r="F74" s="106">
        <f>+(D74-(H74+I74+J74))*0.11</f>
        <v>360.36</v>
      </c>
      <c r="G74" s="106">
        <f>+(D74-(H74+I74+J74))*0.38</f>
        <v>1244.88</v>
      </c>
      <c r="H74" s="69">
        <v>0</v>
      </c>
      <c r="I74" s="69">
        <v>0</v>
      </c>
      <c r="J74" s="69">
        <v>0</v>
      </c>
      <c r="K74" s="106">
        <f>+(D74-(H74+I74+J74))*0.019</f>
        <v>62.244</v>
      </c>
      <c r="L74" s="106">
        <f>+(D74-(H74+I74+J74))*0.001</f>
        <v>3.2760000000000002</v>
      </c>
      <c r="M74" s="68">
        <f t="shared" si="0"/>
        <v>3276</v>
      </c>
      <c r="N74" s="16" t="s">
        <v>141</v>
      </c>
      <c r="O74" s="16" t="s">
        <v>141</v>
      </c>
      <c r="P74" s="16" t="s">
        <v>106</v>
      </c>
    </row>
    <row r="75" spans="1:16" ht="12.75">
      <c r="A75" s="16"/>
      <c r="B75" s="16"/>
      <c r="C75" s="17"/>
      <c r="D75" s="17"/>
      <c r="E75" s="67"/>
      <c r="F75" s="68"/>
      <c r="G75" s="68"/>
      <c r="H75" s="68"/>
      <c r="I75" s="68"/>
      <c r="J75" s="68"/>
      <c r="K75" s="68"/>
      <c r="L75" s="68"/>
      <c r="M75" s="68">
        <f t="shared" si="0"/>
        <v>0</v>
      </c>
      <c r="N75" s="16"/>
      <c r="O75" s="16"/>
      <c r="P75" s="16"/>
    </row>
    <row r="76" spans="1:16" ht="13.5" thickBot="1">
      <c r="A76" s="26" t="s">
        <v>312</v>
      </c>
      <c r="B76" s="16"/>
      <c r="C76" s="17"/>
      <c r="D76" s="28">
        <f>SUM(D47:D75)</f>
        <v>440038</v>
      </c>
      <c r="E76" s="28">
        <f aca="true" t="shared" si="9" ref="E76:L76">SUM(E47:E75)</f>
        <v>152930.39999999997</v>
      </c>
      <c r="F76" s="28">
        <f t="shared" si="9"/>
        <v>32649.980000000007</v>
      </c>
      <c r="G76" s="28">
        <f>SUM(G47:G75)</f>
        <v>113180.42</v>
      </c>
      <c r="H76" s="28">
        <f t="shared" si="9"/>
        <v>9836</v>
      </c>
      <c r="I76" s="28">
        <f t="shared" si="9"/>
        <v>0</v>
      </c>
      <c r="J76" s="28">
        <f t="shared" si="9"/>
        <v>125378</v>
      </c>
      <c r="K76" s="70">
        <f>SUM(K47:K74)</f>
        <v>5639.5419999999995</v>
      </c>
      <c r="L76" s="28">
        <f t="shared" si="9"/>
        <v>423.65800000000013</v>
      </c>
      <c r="M76" s="68">
        <f>SUM(E76:L76)</f>
        <v>440038</v>
      </c>
      <c r="N76" s="16"/>
      <c r="O76" s="16"/>
      <c r="P76" s="16"/>
    </row>
    <row r="77" spans="1:16" ht="13.5" thickTop="1">
      <c r="A77" s="16"/>
      <c r="B77" s="16"/>
      <c r="C77" s="17"/>
      <c r="D77" s="17"/>
      <c r="E77" s="67"/>
      <c r="F77" s="68"/>
      <c r="G77" s="68"/>
      <c r="H77" s="68"/>
      <c r="I77" s="68"/>
      <c r="J77" s="68"/>
      <c r="K77" s="68"/>
      <c r="L77" s="68"/>
      <c r="M77" s="68">
        <f t="shared" si="0"/>
        <v>0</v>
      </c>
      <c r="N77" s="16"/>
      <c r="O77" s="16"/>
      <c r="P77" s="16"/>
    </row>
    <row r="78" spans="1:16" ht="12.75">
      <c r="A78" s="26"/>
      <c r="B78" s="16"/>
      <c r="C78" s="17"/>
      <c r="D78" s="17"/>
      <c r="E78" s="67"/>
      <c r="F78" s="68"/>
      <c r="G78" s="68"/>
      <c r="H78" s="68"/>
      <c r="I78" s="68"/>
      <c r="J78" s="68"/>
      <c r="K78" s="68"/>
      <c r="L78" s="68"/>
      <c r="M78" s="68">
        <f aca="true" t="shared" si="10" ref="M78:M131">SUM(E78:L78)</f>
        <v>0</v>
      </c>
      <c r="N78" s="16"/>
      <c r="O78" s="16"/>
      <c r="P78" s="16"/>
    </row>
    <row r="79" spans="1:16" ht="12.75">
      <c r="A79" s="16"/>
      <c r="B79" s="16"/>
      <c r="C79" s="17"/>
      <c r="D79" s="17"/>
      <c r="E79" s="67"/>
      <c r="F79" s="68"/>
      <c r="G79" s="68"/>
      <c r="H79" s="68"/>
      <c r="I79" s="68"/>
      <c r="J79" s="68"/>
      <c r="K79" s="68"/>
      <c r="L79" s="68"/>
      <c r="M79" s="68">
        <f t="shared" si="10"/>
        <v>0</v>
      </c>
      <c r="N79" s="16"/>
      <c r="O79" s="16"/>
      <c r="P79" s="16"/>
    </row>
    <row r="80" spans="1:16" ht="12.75">
      <c r="A80" s="16" t="s">
        <v>425</v>
      </c>
      <c r="B80" s="16"/>
      <c r="C80" s="17"/>
      <c r="D80" s="17"/>
      <c r="E80" s="67"/>
      <c r="F80" s="68"/>
      <c r="G80" s="68"/>
      <c r="H80" s="68"/>
      <c r="I80" s="98"/>
      <c r="J80" s="68"/>
      <c r="K80" s="68"/>
      <c r="L80" s="68"/>
      <c r="M80" s="68">
        <f t="shared" si="10"/>
        <v>0</v>
      </c>
      <c r="N80" s="16"/>
      <c r="O80" s="16"/>
      <c r="P80" s="16"/>
    </row>
    <row r="81" spans="1:16" ht="12.75">
      <c r="A81" s="16"/>
      <c r="B81" s="16"/>
      <c r="C81" s="17"/>
      <c r="D81" s="17"/>
      <c r="E81" s="67"/>
      <c r="F81" s="68"/>
      <c r="G81" s="68"/>
      <c r="H81" s="68"/>
      <c r="I81" s="68"/>
      <c r="J81" s="68"/>
      <c r="K81" s="68"/>
      <c r="L81" s="68"/>
      <c r="M81" s="68">
        <f t="shared" si="10"/>
        <v>0</v>
      </c>
      <c r="N81" s="16"/>
      <c r="O81" s="16"/>
      <c r="P81" s="16"/>
    </row>
    <row r="82" spans="1:17" ht="12.75">
      <c r="A82" s="16" t="s">
        <v>188</v>
      </c>
      <c r="B82" s="16" t="s">
        <v>108</v>
      </c>
      <c r="C82" s="17" t="s">
        <v>485</v>
      </c>
      <c r="D82" s="17">
        <v>145543</v>
      </c>
      <c r="E82" s="67"/>
      <c r="F82" s="68"/>
      <c r="G82" s="68"/>
      <c r="H82" s="68"/>
      <c r="I82" s="68">
        <f>+D82</f>
        <v>145543</v>
      </c>
      <c r="J82" s="68"/>
      <c r="K82" s="68"/>
      <c r="L82" s="68"/>
      <c r="M82" s="68">
        <f t="shared" si="10"/>
        <v>145543</v>
      </c>
      <c r="N82" s="16" t="s">
        <v>186</v>
      </c>
      <c r="O82" s="16" t="s">
        <v>187</v>
      </c>
      <c r="P82" s="16" t="s">
        <v>159</v>
      </c>
      <c r="Q82" s="26" t="s">
        <v>489</v>
      </c>
    </row>
    <row r="83" spans="1:16" ht="12.75">
      <c r="A83" s="16" t="s">
        <v>189</v>
      </c>
      <c r="B83" s="16" t="s">
        <v>110</v>
      </c>
      <c r="C83" s="17" t="s">
        <v>485</v>
      </c>
      <c r="D83" s="17">
        <v>11209</v>
      </c>
      <c r="E83" s="67"/>
      <c r="F83" s="68"/>
      <c r="G83" s="68"/>
      <c r="H83" s="68"/>
      <c r="I83" s="68">
        <f aca="true" t="shared" si="11" ref="I83:I101">+D83</f>
        <v>11209</v>
      </c>
      <c r="J83" s="68"/>
      <c r="K83" s="68"/>
      <c r="L83" s="68"/>
      <c r="M83" s="68">
        <f t="shared" si="10"/>
        <v>11209</v>
      </c>
      <c r="N83" s="16" t="s">
        <v>186</v>
      </c>
      <c r="O83" s="16" t="s">
        <v>187</v>
      </c>
      <c r="P83" s="16" t="s">
        <v>159</v>
      </c>
    </row>
    <row r="84" spans="1:16" ht="12.75">
      <c r="A84" s="16" t="s">
        <v>190</v>
      </c>
      <c r="B84" s="16" t="s">
        <v>112</v>
      </c>
      <c r="C84" s="17" t="s">
        <v>485</v>
      </c>
      <c r="D84" s="17">
        <v>14551</v>
      </c>
      <c r="E84" s="67"/>
      <c r="F84" s="68"/>
      <c r="G84" s="68"/>
      <c r="H84" s="68"/>
      <c r="I84" s="68">
        <f t="shared" si="11"/>
        <v>14551</v>
      </c>
      <c r="J84" s="68"/>
      <c r="K84" s="68"/>
      <c r="L84" s="68"/>
      <c r="M84" s="68">
        <f t="shared" si="10"/>
        <v>14551</v>
      </c>
      <c r="N84" s="16" t="s">
        <v>186</v>
      </c>
      <c r="O84" s="16" t="s">
        <v>187</v>
      </c>
      <c r="P84" s="16" t="s">
        <v>159</v>
      </c>
    </row>
    <row r="85" spans="1:16" ht="12.75">
      <c r="A85" s="16" t="s">
        <v>191</v>
      </c>
      <c r="B85" s="16" t="s">
        <v>114</v>
      </c>
      <c r="C85" s="17" t="s">
        <v>485</v>
      </c>
      <c r="D85" s="17">
        <v>15186</v>
      </c>
      <c r="E85" s="67"/>
      <c r="F85" s="68"/>
      <c r="G85" s="68"/>
      <c r="H85" s="68"/>
      <c r="I85" s="68">
        <f t="shared" si="11"/>
        <v>15186</v>
      </c>
      <c r="J85" s="68"/>
      <c r="K85" s="68"/>
      <c r="L85" s="68"/>
      <c r="M85" s="68">
        <f t="shared" si="10"/>
        <v>15186</v>
      </c>
      <c r="N85" s="16" t="s">
        <v>186</v>
      </c>
      <c r="O85" s="16" t="s">
        <v>187</v>
      </c>
      <c r="P85" s="16" t="s">
        <v>159</v>
      </c>
    </row>
    <row r="86" spans="1:16" ht="12.75">
      <c r="A86" s="16" t="s">
        <v>192</v>
      </c>
      <c r="B86" s="16" t="s">
        <v>116</v>
      </c>
      <c r="C86" s="17" t="s">
        <v>485</v>
      </c>
      <c r="D86" s="17">
        <v>3575</v>
      </c>
      <c r="E86" s="67"/>
      <c r="F86" s="68"/>
      <c r="G86" s="68"/>
      <c r="H86" s="68"/>
      <c r="I86" s="68">
        <f t="shared" si="11"/>
        <v>3575</v>
      </c>
      <c r="J86" s="68"/>
      <c r="K86" s="68"/>
      <c r="L86" s="68"/>
      <c r="M86" s="68">
        <f t="shared" si="10"/>
        <v>3575</v>
      </c>
      <c r="N86" s="16" t="s">
        <v>186</v>
      </c>
      <c r="O86" s="16" t="s">
        <v>187</v>
      </c>
      <c r="P86" s="16" t="s">
        <v>159</v>
      </c>
    </row>
    <row r="87" spans="1:16" ht="12.75">
      <c r="A87" s="16" t="s">
        <v>193</v>
      </c>
      <c r="B87" s="16" t="s">
        <v>118</v>
      </c>
      <c r="C87" s="17" t="s">
        <v>485</v>
      </c>
      <c r="D87" s="17">
        <v>0</v>
      </c>
      <c r="E87" s="67"/>
      <c r="F87" s="68"/>
      <c r="G87" s="68"/>
      <c r="H87" s="68"/>
      <c r="I87" s="68">
        <f t="shared" si="11"/>
        <v>0</v>
      </c>
      <c r="J87" s="68"/>
      <c r="K87" s="68"/>
      <c r="L87" s="68"/>
      <c r="M87" s="68">
        <f t="shared" si="10"/>
        <v>0</v>
      </c>
      <c r="N87" s="16" t="s">
        <v>186</v>
      </c>
      <c r="O87" s="16" t="s">
        <v>187</v>
      </c>
      <c r="P87" s="16" t="s">
        <v>159</v>
      </c>
    </row>
    <row r="88" spans="1:16" ht="12.75">
      <c r="A88" s="16" t="s">
        <v>194</v>
      </c>
      <c r="B88" s="16" t="s">
        <v>149</v>
      </c>
      <c r="C88" s="17" t="s">
        <v>485</v>
      </c>
      <c r="D88" s="17">
        <v>2241</v>
      </c>
      <c r="E88" s="67"/>
      <c r="F88" s="68"/>
      <c r="G88" s="68"/>
      <c r="H88" s="68"/>
      <c r="I88" s="68">
        <f t="shared" si="11"/>
        <v>2241</v>
      </c>
      <c r="J88" s="68"/>
      <c r="K88" s="68"/>
      <c r="L88" s="68"/>
      <c r="M88" s="68">
        <f t="shared" si="10"/>
        <v>2241</v>
      </c>
      <c r="N88" s="16" t="s">
        <v>186</v>
      </c>
      <c r="O88" s="16" t="s">
        <v>187</v>
      </c>
      <c r="P88" s="16" t="s">
        <v>159</v>
      </c>
    </row>
    <row r="89" spans="1:16" ht="12.75">
      <c r="A89" s="26" t="s">
        <v>313</v>
      </c>
      <c r="B89" s="26" t="s">
        <v>299</v>
      </c>
      <c r="C89" s="17" t="s">
        <v>485</v>
      </c>
      <c r="D89" s="17">
        <v>6950</v>
      </c>
      <c r="E89" s="67"/>
      <c r="F89" s="68"/>
      <c r="G89" s="68"/>
      <c r="H89" s="68"/>
      <c r="I89" s="68">
        <f t="shared" si="11"/>
        <v>6950</v>
      </c>
      <c r="J89" s="68"/>
      <c r="K89" s="68"/>
      <c r="L89" s="68"/>
      <c r="M89" s="68">
        <f t="shared" si="10"/>
        <v>6950</v>
      </c>
      <c r="N89" s="16"/>
      <c r="O89" s="16"/>
      <c r="P89" s="16"/>
    </row>
    <row r="90" spans="1:16" ht="12.75">
      <c r="A90" s="16" t="s">
        <v>195</v>
      </c>
      <c r="B90" s="16" t="s">
        <v>314</v>
      </c>
      <c r="C90" s="17" t="s">
        <v>485</v>
      </c>
      <c r="D90" s="17">
        <v>441</v>
      </c>
      <c r="E90" s="67"/>
      <c r="F90" s="68"/>
      <c r="G90" s="68"/>
      <c r="H90" s="68"/>
      <c r="I90" s="68">
        <f t="shared" si="11"/>
        <v>441</v>
      </c>
      <c r="J90" s="68"/>
      <c r="K90" s="68"/>
      <c r="L90" s="68"/>
      <c r="M90" s="68">
        <f t="shared" si="10"/>
        <v>441</v>
      </c>
      <c r="N90" s="16" t="s">
        <v>186</v>
      </c>
      <c r="O90" s="16" t="s">
        <v>187</v>
      </c>
      <c r="P90" s="16" t="s">
        <v>159</v>
      </c>
    </row>
    <row r="91" spans="1:16" ht="12.75">
      <c r="A91" s="16" t="s">
        <v>196</v>
      </c>
      <c r="B91" s="16" t="s">
        <v>161</v>
      </c>
      <c r="C91" s="17" t="s">
        <v>485</v>
      </c>
      <c r="D91" s="17">
        <v>6945</v>
      </c>
      <c r="E91" s="67"/>
      <c r="F91" s="68"/>
      <c r="G91" s="68"/>
      <c r="H91" s="68"/>
      <c r="I91" s="68">
        <f t="shared" si="11"/>
        <v>6945</v>
      </c>
      <c r="J91" s="68"/>
      <c r="K91" s="68"/>
      <c r="L91" s="68"/>
      <c r="M91" s="68">
        <f t="shared" si="10"/>
        <v>6945</v>
      </c>
      <c r="N91" s="16" t="s">
        <v>186</v>
      </c>
      <c r="O91" s="16" t="s">
        <v>187</v>
      </c>
      <c r="P91" s="16" t="s">
        <v>159</v>
      </c>
    </row>
    <row r="92" spans="1:16" ht="12.75">
      <c r="A92" s="16" t="s">
        <v>197</v>
      </c>
      <c r="B92" s="16" t="s">
        <v>198</v>
      </c>
      <c r="C92" s="17" t="s">
        <v>485</v>
      </c>
      <c r="D92" s="17">
        <v>1008</v>
      </c>
      <c r="E92" s="67"/>
      <c r="F92" s="68"/>
      <c r="G92" s="68"/>
      <c r="H92" s="68"/>
      <c r="I92" s="68">
        <f t="shared" si="11"/>
        <v>1008</v>
      </c>
      <c r="J92" s="68"/>
      <c r="K92" s="68"/>
      <c r="L92" s="68"/>
      <c r="M92" s="68">
        <f t="shared" si="10"/>
        <v>1008</v>
      </c>
      <c r="N92" s="16" t="s">
        <v>186</v>
      </c>
      <c r="O92" s="16" t="s">
        <v>187</v>
      </c>
      <c r="P92" s="16" t="s">
        <v>159</v>
      </c>
    </row>
    <row r="93" spans="1:16" ht="12.75">
      <c r="A93" s="16" t="s">
        <v>199</v>
      </c>
      <c r="B93" s="16" t="s">
        <v>127</v>
      </c>
      <c r="C93" s="17" t="s">
        <v>485</v>
      </c>
      <c r="D93" s="17">
        <v>231</v>
      </c>
      <c r="E93" s="67"/>
      <c r="F93" s="68"/>
      <c r="G93" s="68"/>
      <c r="H93" s="68"/>
      <c r="I93" s="68">
        <f t="shared" si="11"/>
        <v>231</v>
      </c>
      <c r="J93" s="68"/>
      <c r="K93" s="68"/>
      <c r="L93" s="68"/>
      <c r="M93" s="68">
        <f t="shared" si="10"/>
        <v>231</v>
      </c>
      <c r="N93" s="16" t="s">
        <v>186</v>
      </c>
      <c r="O93" s="16" t="s">
        <v>187</v>
      </c>
      <c r="P93" s="16" t="s">
        <v>159</v>
      </c>
    </row>
    <row r="94" spans="1:16" ht="12.75">
      <c r="A94" s="16" t="s">
        <v>200</v>
      </c>
      <c r="B94" s="16" t="s">
        <v>131</v>
      </c>
      <c r="C94" s="17" t="s">
        <v>485</v>
      </c>
      <c r="D94" s="17">
        <v>0</v>
      </c>
      <c r="E94" s="67"/>
      <c r="F94" s="68"/>
      <c r="G94" s="68"/>
      <c r="H94" s="68"/>
      <c r="I94" s="68">
        <f t="shared" si="11"/>
        <v>0</v>
      </c>
      <c r="J94" s="68"/>
      <c r="K94" s="68"/>
      <c r="L94" s="68"/>
      <c r="M94" s="68">
        <f t="shared" si="10"/>
        <v>0</v>
      </c>
      <c r="N94" s="16" t="s">
        <v>186</v>
      </c>
      <c r="O94" s="16" t="s">
        <v>187</v>
      </c>
      <c r="P94" s="16" t="s">
        <v>159</v>
      </c>
    </row>
    <row r="95" spans="1:16" ht="12.75">
      <c r="A95" s="16" t="s">
        <v>201</v>
      </c>
      <c r="B95" s="16" t="s">
        <v>103</v>
      </c>
      <c r="C95" s="17" t="s">
        <v>485</v>
      </c>
      <c r="D95" s="17">
        <v>21854</v>
      </c>
      <c r="E95" s="67"/>
      <c r="F95" s="68"/>
      <c r="G95" s="68"/>
      <c r="H95" s="68"/>
      <c r="I95" s="68">
        <f t="shared" si="11"/>
        <v>21854</v>
      </c>
      <c r="J95" s="68"/>
      <c r="K95" s="68"/>
      <c r="L95" s="68"/>
      <c r="M95" s="68">
        <f t="shared" si="10"/>
        <v>21854</v>
      </c>
      <c r="N95" s="16" t="s">
        <v>186</v>
      </c>
      <c r="O95" s="16" t="s">
        <v>187</v>
      </c>
      <c r="P95" s="16" t="s">
        <v>159</v>
      </c>
    </row>
    <row r="96" spans="1:16" ht="12.75">
      <c r="A96" s="16" t="s">
        <v>202</v>
      </c>
      <c r="B96" s="16" t="s">
        <v>203</v>
      </c>
      <c r="C96" s="17" t="s">
        <v>485</v>
      </c>
      <c r="D96" s="17">
        <v>64112</v>
      </c>
      <c r="E96" s="67"/>
      <c r="F96" s="68"/>
      <c r="G96" s="68"/>
      <c r="H96" s="68"/>
      <c r="I96" s="68">
        <f t="shared" si="11"/>
        <v>64112</v>
      </c>
      <c r="J96" s="68"/>
      <c r="K96" s="68"/>
      <c r="L96" s="68"/>
      <c r="M96" s="68">
        <f t="shared" si="10"/>
        <v>64112</v>
      </c>
      <c r="N96" s="16" t="s">
        <v>186</v>
      </c>
      <c r="O96" s="16" t="s">
        <v>187</v>
      </c>
      <c r="P96" s="16" t="s">
        <v>159</v>
      </c>
    </row>
    <row r="97" spans="1:16" ht="12.75">
      <c r="A97" s="26" t="s">
        <v>315</v>
      </c>
      <c r="B97" s="26" t="s">
        <v>316</v>
      </c>
      <c r="C97" s="17" t="s">
        <v>485</v>
      </c>
      <c r="D97" s="29">
        <v>4528</v>
      </c>
      <c r="E97" s="67"/>
      <c r="F97" s="68"/>
      <c r="G97" s="68"/>
      <c r="H97" s="68"/>
      <c r="I97" s="68">
        <f t="shared" si="11"/>
        <v>4528</v>
      </c>
      <c r="J97" s="68"/>
      <c r="K97" s="68"/>
      <c r="L97" s="68"/>
      <c r="M97" s="68">
        <f t="shared" si="10"/>
        <v>4528</v>
      </c>
      <c r="N97" s="16"/>
      <c r="O97" s="16"/>
      <c r="P97" s="16"/>
    </row>
    <row r="98" spans="1:16" ht="12.75">
      <c r="A98" s="16" t="s">
        <v>204</v>
      </c>
      <c r="B98" s="16" t="s">
        <v>136</v>
      </c>
      <c r="C98" s="17" t="s">
        <v>485</v>
      </c>
      <c r="D98" s="17">
        <v>39</v>
      </c>
      <c r="E98" s="67"/>
      <c r="F98" s="68"/>
      <c r="G98" s="68"/>
      <c r="H98" s="68"/>
      <c r="I98" s="68">
        <f t="shared" si="11"/>
        <v>39</v>
      </c>
      <c r="J98" s="68"/>
      <c r="K98" s="68"/>
      <c r="L98" s="68"/>
      <c r="M98" s="68">
        <f t="shared" si="10"/>
        <v>39</v>
      </c>
      <c r="N98" s="16" t="s">
        <v>186</v>
      </c>
      <c r="O98" s="16" t="s">
        <v>187</v>
      </c>
      <c r="P98" s="16" t="s">
        <v>159</v>
      </c>
    </row>
    <row r="99" spans="1:16" ht="12.75">
      <c r="A99" s="16" t="s">
        <v>205</v>
      </c>
      <c r="B99" s="16" t="s">
        <v>138</v>
      </c>
      <c r="C99" s="17" t="s">
        <v>485</v>
      </c>
      <c r="D99" s="17">
        <v>323</v>
      </c>
      <c r="E99" s="67"/>
      <c r="F99" s="68"/>
      <c r="G99" s="68"/>
      <c r="H99" s="68"/>
      <c r="I99" s="68">
        <f t="shared" si="11"/>
        <v>323</v>
      </c>
      <c r="J99" s="68"/>
      <c r="K99" s="68"/>
      <c r="L99" s="68"/>
      <c r="M99" s="68">
        <f t="shared" si="10"/>
        <v>323</v>
      </c>
      <c r="N99" s="16" t="s">
        <v>186</v>
      </c>
      <c r="O99" s="16" t="s">
        <v>187</v>
      </c>
      <c r="P99" s="16" t="s">
        <v>159</v>
      </c>
    </row>
    <row r="100" spans="1:16" ht="12.75">
      <c r="A100" s="16" t="s">
        <v>206</v>
      </c>
      <c r="B100" s="16" t="s">
        <v>207</v>
      </c>
      <c r="C100" s="17" t="s">
        <v>485</v>
      </c>
      <c r="D100" s="17">
        <v>0</v>
      </c>
      <c r="E100" s="67"/>
      <c r="F100" s="68"/>
      <c r="G100" s="68"/>
      <c r="H100" s="68"/>
      <c r="I100" s="68">
        <f t="shared" si="11"/>
        <v>0</v>
      </c>
      <c r="J100" s="68"/>
      <c r="K100" s="68"/>
      <c r="L100" s="68"/>
      <c r="M100" s="68">
        <f t="shared" si="10"/>
        <v>0</v>
      </c>
      <c r="N100" s="16" t="s">
        <v>186</v>
      </c>
      <c r="O100" s="16" t="s">
        <v>187</v>
      </c>
      <c r="P100" s="16" t="s">
        <v>159</v>
      </c>
    </row>
    <row r="101" spans="1:16" ht="12.75">
      <c r="A101" s="16" t="s">
        <v>208</v>
      </c>
      <c r="B101" s="16" t="s">
        <v>209</v>
      </c>
      <c r="C101" s="17" t="s">
        <v>485</v>
      </c>
      <c r="D101" s="27">
        <v>247</v>
      </c>
      <c r="E101" s="69"/>
      <c r="F101" s="69"/>
      <c r="G101" s="69"/>
      <c r="H101" s="69"/>
      <c r="I101" s="69">
        <f t="shared" si="11"/>
        <v>247</v>
      </c>
      <c r="J101" s="69"/>
      <c r="K101" s="69"/>
      <c r="L101" s="69"/>
      <c r="M101" s="68">
        <f t="shared" si="10"/>
        <v>247</v>
      </c>
      <c r="N101" s="16" t="s">
        <v>186</v>
      </c>
      <c r="O101" s="16" t="s">
        <v>187</v>
      </c>
      <c r="P101" s="16" t="s">
        <v>159</v>
      </c>
    </row>
    <row r="102" spans="1:16" ht="12.75">
      <c r="A102" s="16"/>
      <c r="B102" s="16"/>
      <c r="C102" s="17"/>
      <c r="D102" s="17"/>
      <c r="E102" s="67"/>
      <c r="F102" s="68"/>
      <c r="G102" s="68"/>
      <c r="H102" s="68"/>
      <c r="I102" s="68"/>
      <c r="J102" s="68"/>
      <c r="K102" s="68"/>
      <c r="L102" s="68"/>
      <c r="M102" s="68">
        <f t="shared" si="10"/>
        <v>0</v>
      </c>
      <c r="N102" s="16"/>
      <c r="O102" s="16"/>
      <c r="P102" s="16"/>
    </row>
    <row r="103" spans="1:16" ht="13.5" thickBot="1">
      <c r="A103" s="26" t="s">
        <v>317</v>
      </c>
      <c r="B103" s="16"/>
      <c r="C103" s="17"/>
      <c r="D103" s="28">
        <f>SUM(D82:D102)</f>
        <v>298983</v>
      </c>
      <c r="E103" s="65"/>
      <c r="F103" s="65"/>
      <c r="G103" s="65"/>
      <c r="H103" s="65"/>
      <c r="I103" s="65">
        <f>SUM(I82:I102)</f>
        <v>298983</v>
      </c>
      <c r="J103" s="65"/>
      <c r="K103" s="65"/>
      <c r="L103" s="65"/>
      <c r="M103" s="68">
        <f t="shared" si="10"/>
        <v>298983</v>
      </c>
      <c r="N103" s="16"/>
      <c r="O103" s="16"/>
      <c r="P103" s="16"/>
    </row>
    <row r="104" spans="1:16" ht="13.5" thickTop="1">
      <c r="A104" s="16"/>
      <c r="B104" s="16"/>
      <c r="C104" s="17"/>
      <c r="D104" s="17"/>
      <c r="E104" s="67"/>
      <c r="F104" s="68"/>
      <c r="G104" s="68"/>
      <c r="H104" s="68"/>
      <c r="I104" s="68"/>
      <c r="J104" s="68"/>
      <c r="K104" s="68"/>
      <c r="L104" s="68"/>
      <c r="M104" s="68">
        <f t="shared" si="10"/>
        <v>0</v>
      </c>
      <c r="N104" s="16"/>
      <c r="O104" s="16"/>
      <c r="P104" s="16"/>
    </row>
    <row r="105" spans="1:16" ht="12.75">
      <c r="A105" s="26" t="s">
        <v>426</v>
      </c>
      <c r="B105" s="16"/>
      <c r="C105" s="17"/>
      <c r="D105" s="17">
        <f aca="true" t="shared" si="12" ref="D105:L105">+D16+D42+D76+D103</f>
        <v>1388737</v>
      </c>
      <c r="E105" s="17">
        <f t="shared" si="12"/>
        <v>688152.8999999999</v>
      </c>
      <c r="F105" s="17">
        <f t="shared" si="12"/>
        <v>147143.48</v>
      </c>
      <c r="G105" s="17">
        <f>+G16+G42+G76+G103</f>
        <v>113180.42</v>
      </c>
      <c r="H105" s="17">
        <f t="shared" si="12"/>
        <v>9836</v>
      </c>
      <c r="I105" s="17">
        <f t="shared" si="12"/>
        <v>298983</v>
      </c>
      <c r="J105" s="17">
        <f t="shared" si="12"/>
        <v>125378</v>
      </c>
      <c r="K105" s="17">
        <f>+K16+K42+K76+K103</f>
        <v>5639.5419999999995</v>
      </c>
      <c r="L105" s="17">
        <f t="shared" si="12"/>
        <v>423.65800000000013</v>
      </c>
      <c r="M105" s="68">
        <f>SUM(E105:L105)</f>
        <v>1388736.9999999998</v>
      </c>
      <c r="N105" s="16"/>
      <c r="O105" s="16"/>
      <c r="P105" s="16"/>
    </row>
    <row r="106" spans="1:16" ht="12.75">
      <c r="A106" s="16"/>
      <c r="B106" s="110" t="s">
        <v>528</v>
      </c>
      <c r="C106" s="17"/>
      <c r="D106" s="17"/>
      <c r="E106" s="111">
        <f>+E105/D105</f>
        <v>0.4955242785351005</v>
      </c>
      <c r="F106" s="111">
        <f>+F105/D105</f>
        <v>0.10595489282707958</v>
      </c>
      <c r="G106" s="111">
        <f>+G105/D105</f>
        <v>0.08149881511042048</v>
      </c>
      <c r="H106" s="111">
        <f>+H105/D105</f>
        <v>0.007082694563477462</v>
      </c>
      <c r="I106" s="111">
        <f>+I105/D105</f>
        <v>0.21529130425703355</v>
      </c>
      <c r="J106" s="111">
        <f>+J105/D105</f>
        <v>0.09028203324315547</v>
      </c>
      <c r="K106" s="111">
        <f>+K105/D105</f>
        <v>0.004060914341592396</v>
      </c>
      <c r="L106" s="111">
        <f>+L105/D105</f>
        <v>0.0003050671221404774</v>
      </c>
      <c r="M106" s="112">
        <f>SUM(E106:L106)</f>
        <v>0.9999999999999999</v>
      </c>
      <c r="N106" s="16"/>
      <c r="O106" s="16"/>
      <c r="P106" s="16"/>
    </row>
    <row r="107" spans="1:16" ht="12.75">
      <c r="A107" s="16"/>
      <c r="B107" s="110" t="s">
        <v>529</v>
      </c>
      <c r="C107" s="17"/>
      <c r="D107" s="17">
        <f>+D105-I105-J105</f>
        <v>964376</v>
      </c>
      <c r="E107" s="111">
        <f>+E105/$D$107</f>
        <v>0.7135732328469393</v>
      </c>
      <c r="F107" s="111">
        <f>+F105/$D$107</f>
        <v>0.1525789526076966</v>
      </c>
      <c r="G107" s="111">
        <f>+G105/$D$107</f>
        <v>0.11736129891245738</v>
      </c>
      <c r="H107" s="111">
        <f>+H105/$D$107</f>
        <v>0.010199341335744565</v>
      </c>
      <c r="I107" s="113">
        <v>0</v>
      </c>
      <c r="J107" s="113">
        <v>0</v>
      </c>
      <c r="K107" s="111">
        <f>+K105/$D$107</f>
        <v>0.005847866392361485</v>
      </c>
      <c r="L107" s="111">
        <f>+L105/$D$107</f>
        <v>0.0004393079048006173</v>
      </c>
      <c r="M107" s="112">
        <f>SUM(E107:L107)</f>
        <v>0.9999999999999999</v>
      </c>
      <c r="N107" s="16"/>
      <c r="O107" s="16"/>
      <c r="P107" s="16"/>
    </row>
    <row r="108" spans="1:16" ht="12.75">
      <c r="A108" s="16" t="s">
        <v>318</v>
      </c>
      <c r="B108" s="16"/>
      <c r="C108" s="17"/>
      <c r="D108" s="17"/>
      <c r="E108" s="67"/>
      <c r="F108" s="68"/>
      <c r="G108" s="68"/>
      <c r="H108" s="68"/>
      <c r="I108" s="68"/>
      <c r="J108" s="68"/>
      <c r="K108" s="68"/>
      <c r="L108" s="68"/>
      <c r="M108" s="68">
        <f t="shared" si="10"/>
        <v>0</v>
      </c>
      <c r="N108" s="16"/>
      <c r="O108" s="16"/>
      <c r="P108" s="16"/>
    </row>
    <row r="109" spans="1:16" ht="12.75">
      <c r="A109" s="16"/>
      <c r="B109" s="26"/>
      <c r="C109" s="17"/>
      <c r="D109" s="17"/>
      <c r="E109" s="67"/>
      <c r="F109" s="68"/>
      <c r="G109" s="68"/>
      <c r="H109" s="68"/>
      <c r="I109" s="68"/>
      <c r="J109" s="68"/>
      <c r="K109" s="68"/>
      <c r="L109" s="68"/>
      <c r="M109" s="68">
        <f t="shared" si="10"/>
        <v>0</v>
      </c>
      <c r="N109" s="16"/>
      <c r="O109" s="16"/>
      <c r="P109" s="16"/>
    </row>
    <row r="110" spans="1:16" ht="12.75">
      <c r="A110" s="16" t="s">
        <v>210</v>
      </c>
      <c r="B110" s="16" t="s">
        <v>108</v>
      </c>
      <c r="C110" s="17" t="s">
        <v>430</v>
      </c>
      <c r="D110" s="17">
        <v>26201</v>
      </c>
      <c r="E110" s="67">
        <f>+D110*$E$107</f>
        <v>18696.332273822656</v>
      </c>
      <c r="F110" s="67">
        <f>+D110*$F$107</f>
        <v>3997.7211372742586</v>
      </c>
      <c r="G110" s="67">
        <f aca="true" t="shared" si="13" ref="G110:G125">+D110*$G$107</f>
        <v>3074.983392805296</v>
      </c>
      <c r="H110" s="67">
        <f>+D110*$H$107</f>
        <v>267.2329423378433</v>
      </c>
      <c r="I110" s="67">
        <f>+D110*$I$107</f>
        <v>0</v>
      </c>
      <c r="J110" s="67">
        <f>+D110*$I$107</f>
        <v>0</v>
      </c>
      <c r="K110" s="67">
        <f>+D110*$K$107</f>
        <v>153.21994734626327</v>
      </c>
      <c r="L110" s="67">
        <f>+D110*$L$107</f>
        <v>11.510306413680974</v>
      </c>
      <c r="M110" s="68">
        <f aca="true" t="shared" si="14" ref="M110:M125">SUM(E110:L110)</f>
        <v>26201.000000000004</v>
      </c>
      <c r="N110" s="16" t="s">
        <v>102</v>
      </c>
      <c r="O110" s="16" t="s">
        <v>187</v>
      </c>
      <c r="P110" s="16" t="s">
        <v>102</v>
      </c>
    </row>
    <row r="111" spans="1:16" ht="12.75">
      <c r="A111" s="16" t="s">
        <v>211</v>
      </c>
      <c r="B111" s="16" t="s">
        <v>110</v>
      </c>
      <c r="C111" s="17" t="s">
        <v>430</v>
      </c>
      <c r="D111" s="17">
        <v>2609</v>
      </c>
      <c r="E111" s="67">
        <f aca="true" t="shared" si="15" ref="E111:E125">+D111*$E$107</f>
        <v>1861.7125644976645</v>
      </c>
      <c r="F111" s="67">
        <f aca="true" t="shared" si="16" ref="F111:F125">+D111*$F$107</f>
        <v>398.07848735348045</v>
      </c>
      <c r="G111" s="67">
        <f t="shared" si="13"/>
        <v>306.19562886260127</v>
      </c>
      <c r="H111" s="67">
        <f aca="true" t="shared" si="17" ref="H111:H125">+D111*$H$107</f>
        <v>26.61008154495757</v>
      </c>
      <c r="I111" s="67">
        <f aca="true" t="shared" si="18" ref="I111:I125">+D111*$I$107</f>
        <v>0</v>
      </c>
      <c r="J111" s="67">
        <f aca="true" t="shared" si="19" ref="J111:J125">+D111*$I$107</f>
        <v>0</v>
      </c>
      <c r="K111" s="67">
        <f aca="true" t="shared" si="20" ref="K111:K125">+D111*$K$107</f>
        <v>15.257083417671113</v>
      </c>
      <c r="L111" s="67">
        <f aca="true" t="shared" si="21" ref="L111:L125">+D111*$L$107</f>
        <v>1.1461543236248106</v>
      </c>
      <c r="M111" s="68">
        <f t="shared" si="14"/>
        <v>2608.9999999999995</v>
      </c>
      <c r="N111" s="16" t="s">
        <v>102</v>
      </c>
      <c r="O111" s="16" t="s">
        <v>187</v>
      </c>
      <c r="P111" s="16" t="s">
        <v>102</v>
      </c>
    </row>
    <row r="112" spans="1:16" ht="12.75">
      <c r="A112" s="16" t="s">
        <v>212</v>
      </c>
      <c r="B112" s="16" t="s">
        <v>112</v>
      </c>
      <c r="C112" s="17" t="s">
        <v>430</v>
      </c>
      <c r="D112" s="17">
        <v>3831</v>
      </c>
      <c r="E112" s="67">
        <f t="shared" si="15"/>
        <v>2733.6990550366245</v>
      </c>
      <c r="F112" s="67">
        <f t="shared" si="16"/>
        <v>584.5299674400857</v>
      </c>
      <c r="G112" s="67">
        <f t="shared" si="13"/>
        <v>449.6111361336242</v>
      </c>
      <c r="H112" s="67">
        <f t="shared" si="17"/>
        <v>39.07367665723743</v>
      </c>
      <c r="I112" s="67">
        <f t="shared" si="18"/>
        <v>0</v>
      </c>
      <c r="J112" s="67">
        <f t="shared" si="19"/>
        <v>0</v>
      </c>
      <c r="K112" s="67">
        <f t="shared" si="20"/>
        <v>22.403176149136847</v>
      </c>
      <c r="L112" s="67">
        <f t="shared" si="21"/>
        <v>1.6829885832911649</v>
      </c>
      <c r="M112" s="68">
        <f t="shared" si="14"/>
        <v>3831</v>
      </c>
      <c r="N112" s="16" t="s">
        <v>102</v>
      </c>
      <c r="O112" s="16" t="s">
        <v>187</v>
      </c>
      <c r="P112" s="16" t="s">
        <v>102</v>
      </c>
    </row>
    <row r="113" spans="1:16" ht="12.75">
      <c r="A113" s="16" t="s">
        <v>213</v>
      </c>
      <c r="B113" s="16" t="s">
        <v>114</v>
      </c>
      <c r="C113" s="17" t="s">
        <v>430</v>
      </c>
      <c r="D113" s="17">
        <v>8414</v>
      </c>
      <c r="E113" s="67">
        <f t="shared" si="15"/>
        <v>6004.005181174147</v>
      </c>
      <c r="F113" s="67">
        <f t="shared" si="16"/>
        <v>1283.7993072411593</v>
      </c>
      <c r="G113" s="67">
        <f t="shared" si="13"/>
        <v>987.4779690494164</v>
      </c>
      <c r="H113" s="67">
        <f t="shared" si="17"/>
        <v>85.81725799895477</v>
      </c>
      <c r="I113" s="67">
        <f t="shared" si="18"/>
        <v>0</v>
      </c>
      <c r="J113" s="67">
        <f t="shared" si="19"/>
        <v>0</v>
      </c>
      <c r="K113" s="67">
        <f t="shared" si="20"/>
        <v>49.20394782532953</v>
      </c>
      <c r="L113" s="67">
        <f t="shared" si="21"/>
        <v>3.696336710992394</v>
      </c>
      <c r="M113" s="68">
        <f t="shared" si="14"/>
        <v>8414</v>
      </c>
      <c r="N113" s="16" t="s">
        <v>102</v>
      </c>
      <c r="O113" s="16" t="s">
        <v>187</v>
      </c>
      <c r="P113" s="16" t="s">
        <v>102</v>
      </c>
    </row>
    <row r="114" spans="1:16" ht="12.75">
      <c r="A114" s="16" t="s">
        <v>214</v>
      </c>
      <c r="B114" s="16" t="s">
        <v>116</v>
      </c>
      <c r="C114" s="17" t="s">
        <v>430</v>
      </c>
      <c r="D114" s="17">
        <v>266</v>
      </c>
      <c r="E114" s="67">
        <f t="shared" si="15"/>
        <v>189.81047993728586</v>
      </c>
      <c r="F114" s="67">
        <f t="shared" si="16"/>
        <v>40.586001393647294</v>
      </c>
      <c r="G114" s="67">
        <f t="shared" si="13"/>
        <v>31.218105510713663</v>
      </c>
      <c r="H114" s="67">
        <f t="shared" si="17"/>
        <v>2.7130247953080544</v>
      </c>
      <c r="I114" s="67">
        <f t="shared" si="18"/>
        <v>0</v>
      </c>
      <c r="J114" s="67">
        <f t="shared" si="19"/>
        <v>0</v>
      </c>
      <c r="K114" s="67">
        <f t="shared" si="20"/>
        <v>1.5555324603681548</v>
      </c>
      <c r="L114" s="67">
        <f t="shared" si="21"/>
        <v>0.1168559026769642</v>
      </c>
      <c r="M114" s="68">
        <f t="shared" si="14"/>
        <v>266</v>
      </c>
      <c r="N114" s="16" t="s">
        <v>102</v>
      </c>
      <c r="O114" s="16" t="s">
        <v>187</v>
      </c>
      <c r="P114" s="16" t="s">
        <v>102</v>
      </c>
    </row>
    <row r="115" spans="1:16" ht="12.75">
      <c r="A115" s="16" t="s">
        <v>215</v>
      </c>
      <c r="B115" s="16" t="s">
        <v>118</v>
      </c>
      <c r="C115" s="17" t="s">
        <v>430</v>
      </c>
      <c r="D115" s="17">
        <v>0</v>
      </c>
      <c r="E115" s="67">
        <f t="shared" si="15"/>
        <v>0</v>
      </c>
      <c r="F115" s="67">
        <f t="shared" si="16"/>
        <v>0</v>
      </c>
      <c r="G115" s="67">
        <f t="shared" si="13"/>
        <v>0</v>
      </c>
      <c r="H115" s="67">
        <f t="shared" si="17"/>
        <v>0</v>
      </c>
      <c r="I115" s="67">
        <f t="shared" si="18"/>
        <v>0</v>
      </c>
      <c r="J115" s="67">
        <f t="shared" si="19"/>
        <v>0</v>
      </c>
      <c r="K115" s="67">
        <f t="shared" si="20"/>
        <v>0</v>
      </c>
      <c r="L115" s="67">
        <f t="shared" si="21"/>
        <v>0</v>
      </c>
      <c r="M115" s="68">
        <f t="shared" si="14"/>
        <v>0</v>
      </c>
      <c r="N115" s="16" t="s">
        <v>102</v>
      </c>
      <c r="O115" s="16" t="s">
        <v>187</v>
      </c>
      <c r="P115" s="16" t="s">
        <v>102</v>
      </c>
    </row>
    <row r="116" spans="1:16" ht="12.75">
      <c r="A116" s="26" t="s">
        <v>341</v>
      </c>
      <c r="B116" s="26" t="s">
        <v>342</v>
      </c>
      <c r="C116" s="17" t="s">
        <v>430</v>
      </c>
      <c r="D116" s="17">
        <v>2219</v>
      </c>
      <c r="E116" s="67">
        <f t="shared" si="15"/>
        <v>1583.4190036873583</v>
      </c>
      <c r="F116" s="67">
        <f t="shared" si="16"/>
        <v>338.5726958364788</v>
      </c>
      <c r="G116" s="67">
        <f t="shared" si="13"/>
        <v>260.4247222867429</v>
      </c>
      <c r="H116" s="67">
        <f t="shared" si="17"/>
        <v>22.63233842401719</v>
      </c>
      <c r="I116" s="67">
        <f t="shared" si="18"/>
        <v>0</v>
      </c>
      <c r="J116" s="67">
        <f t="shared" si="19"/>
        <v>0</v>
      </c>
      <c r="K116" s="67">
        <f t="shared" si="20"/>
        <v>12.976415524650134</v>
      </c>
      <c r="L116" s="67">
        <f t="shared" si="21"/>
        <v>0.9748242407525698</v>
      </c>
      <c r="M116" s="68">
        <f t="shared" si="14"/>
        <v>2219</v>
      </c>
      <c r="N116" s="16"/>
      <c r="O116" s="16"/>
      <c r="P116" s="16"/>
    </row>
    <row r="117" spans="1:16" ht="12.75">
      <c r="A117" s="26"/>
      <c r="B117" s="26" t="s">
        <v>343</v>
      </c>
      <c r="C117" s="17" t="s">
        <v>430</v>
      </c>
      <c r="D117" s="17">
        <v>1683</v>
      </c>
      <c r="E117" s="67">
        <f t="shared" si="15"/>
        <v>1200.9437508813987</v>
      </c>
      <c r="F117" s="67">
        <f t="shared" si="16"/>
        <v>256.79037723875336</v>
      </c>
      <c r="G117" s="67">
        <f t="shared" si="13"/>
        <v>197.51906606966577</v>
      </c>
      <c r="H117" s="67">
        <f t="shared" si="17"/>
        <v>17.165491468058104</v>
      </c>
      <c r="I117" s="67">
        <f t="shared" si="18"/>
        <v>0</v>
      </c>
      <c r="J117" s="67">
        <f t="shared" si="19"/>
        <v>0</v>
      </c>
      <c r="K117" s="67">
        <f t="shared" si="20"/>
        <v>9.841959138344379</v>
      </c>
      <c r="L117" s="67">
        <f t="shared" si="21"/>
        <v>0.7393552037794389</v>
      </c>
      <c r="M117" s="68">
        <f t="shared" si="14"/>
        <v>1682.9999999999998</v>
      </c>
      <c r="N117" s="16"/>
      <c r="O117" s="16"/>
      <c r="P117" s="16"/>
    </row>
    <row r="118" spans="1:16" ht="12.75">
      <c r="A118" s="26"/>
      <c r="B118" s="26" t="s">
        <v>344</v>
      </c>
      <c r="C118" s="17" t="s">
        <v>430</v>
      </c>
      <c r="D118" s="17">
        <v>3988</v>
      </c>
      <c r="E118" s="67">
        <f t="shared" si="15"/>
        <v>2845.730052593594</v>
      </c>
      <c r="F118" s="67">
        <f t="shared" si="16"/>
        <v>608.4848629994941</v>
      </c>
      <c r="G118" s="67">
        <f t="shared" si="13"/>
        <v>468.03686006288</v>
      </c>
      <c r="H118" s="67">
        <f t="shared" si="17"/>
        <v>40.67497324694932</v>
      </c>
      <c r="I118" s="67">
        <f t="shared" si="18"/>
        <v>0</v>
      </c>
      <c r="J118" s="67">
        <f t="shared" si="19"/>
        <v>0</v>
      </c>
      <c r="K118" s="67">
        <f t="shared" si="20"/>
        <v>23.321291172737602</v>
      </c>
      <c r="L118" s="67">
        <f t="shared" si="21"/>
        <v>1.7519599243448618</v>
      </c>
      <c r="M118" s="68">
        <f t="shared" si="14"/>
        <v>3987.9999999999995</v>
      </c>
      <c r="N118" s="16"/>
      <c r="O118" s="16"/>
      <c r="P118" s="16"/>
    </row>
    <row r="119" spans="1:16" ht="12.75">
      <c r="A119" s="26"/>
      <c r="B119" s="26" t="s">
        <v>299</v>
      </c>
      <c r="C119" s="17" t="s">
        <v>430</v>
      </c>
      <c r="D119" s="17">
        <v>1404</v>
      </c>
      <c r="E119" s="67">
        <f t="shared" si="15"/>
        <v>1001.8568189171028</v>
      </c>
      <c r="F119" s="67">
        <f t="shared" si="16"/>
        <v>214.22084946120603</v>
      </c>
      <c r="G119" s="67">
        <f t="shared" si="13"/>
        <v>164.77526367309017</v>
      </c>
      <c r="H119" s="67">
        <f t="shared" si="17"/>
        <v>14.31987523538537</v>
      </c>
      <c r="I119" s="67">
        <f t="shared" si="18"/>
        <v>0</v>
      </c>
      <c r="J119" s="67">
        <f t="shared" si="19"/>
        <v>0</v>
      </c>
      <c r="K119" s="67">
        <f t="shared" si="20"/>
        <v>8.210404414875525</v>
      </c>
      <c r="L119" s="67">
        <f t="shared" si="21"/>
        <v>0.6167882983400667</v>
      </c>
      <c r="M119" s="68">
        <f t="shared" si="14"/>
        <v>1403.9999999999998</v>
      </c>
      <c r="N119" s="16"/>
      <c r="O119" s="16"/>
      <c r="P119" s="16"/>
    </row>
    <row r="120" spans="1:16" ht="12.75">
      <c r="A120" s="16" t="s">
        <v>216</v>
      </c>
      <c r="B120" s="16" t="s">
        <v>161</v>
      </c>
      <c r="C120" s="17" t="s">
        <v>430</v>
      </c>
      <c r="D120" s="17">
        <v>294</v>
      </c>
      <c r="E120" s="67">
        <f t="shared" si="15"/>
        <v>209.79053045700016</v>
      </c>
      <c r="F120" s="67">
        <f t="shared" si="16"/>
        <v>44.8582120666628</v>
      </c>
      <c r="G120" s="67">
        <f t="shared" si="13"/>
        <v>34.50422188026247</v>
      </c>
      <c r="H120" s="67">
        <f t="shared" si="17"/>
        <v>2.998606352708902</v>
      </c>
      <c r="I120" s="67">
        <f t="shared" si="18"/>
        <v>0</v>
      </c>
      <c r="J120" s="67">
        <f t="shared" si="19"/>
        <v>0</v>
      </c>
      <c r="K120" s="67">
        <f t="shared" si="20"/>
        <v>1.7192727193542765</v>
      </c>
      <c r="L120" s="67">
        <f t="shared" si="21"/>
        <v>0.12915652401138147</v>
      </c>
      <c r="M120" s="68">
        <f t="shared" si="14"/>
        <v>294</v>
      </c>
      <c r="N120" s="16" t="s">
        <v>102</v>
      </c>
      <c r="O120" s="16" t="s">
        <v>187</v>
      </c>
      <c r="P120" s="16" t="s">
        <v>102</v>
      </c>
    </row>
    <row r="121" spans="1:16" ht="12.75">
      <c r="A121" s="16" t="s">
        <v>217</v>
      </c>
      <c r="B121" s="16" t="s">
        <v>131</v>
      </c>
      <c r="C121" s="17" t="s">
        <v>430</v>
      </c>
      <c r="D121" s="17">
        <v>194</v>
      </c>
      <c r="E121" s="67">
        <f t="shared" si="15"/>
        <v>138.43320717230623</v>
      </c>
      <c r="F121" s="67">
        <f t="shared" si="16"/>
        <v>29.60031680589314</v>
      </c>
      <c r="G121" s="67">
        <f t="shared" si="13"/>
        <v>22.76809198901673</v>
      </c>
      <c r="H121" s="67">
        <f t="shared" si="17"/>
        <v>1.9786722191344455</v>
      </c>
      <c r="I121" s="67">
        <f t="shared" si="18"/>
        <v>0</v>
      </c>
      <c r="J121" s="67">
        <f t="shared" si="19"/>
        <v>0</v>
      </c>
      <c r="K121" s="67">
        <f t="shared" si="20"/>
        <v>1.134486080118128</v>
      </c>
      <c r="L121" s="67">
        <f t="shared" si="21"/>
        <v>0.08522573353131975</v>
      </c>
      <c r="M121" s="68">
        <f t="shared" si="14"/>
        <v>194</v>
      </c>
      <c r="N121" s="16" t="s">
        <v>102</v>
      </c>
      <c r="O121" s="16" t="s">
        <v>187</v>
      </c>
      <c r="P121" s="16" t="s">
        <v>102</v>
      </c>
    </row>
    <row r="122" spans="1:16" ht="12.75">
      <c r="A122" s="16" t="s">
        <v>345</v>
      </c>
      <c r="B122" s="16" t="s">
        <v>103</v>
      </c>
      <c r="C122" s="17" t="s">
        <v>430</v>
      </c>
      <c r="D122" s="17">
        <v>39</v>
      </c>
      <c r="E122" s="67">
        <f t="shared" si="15"/>
        <v>27.82935608103063</v>
      </c>
      <c r="F122" s="67">
        <f t="shared" si="16"/>
        <v>5.950579151700167</v>
      </c>
      <c r="G122" s="67">
        <f t="shared" si="13"/>
        <v>4.577090657585837</v>
      </c>
      <c r="H122" s="67">
        <f t="shared" si="17"/>
        <v>0.397774312094038</v>
      </c>
      <c r="I122" s="67">
        <f t="shared" si="18"/>
        <v>0</v>
      </c>
      <c r="J122" s="67">
        <f t="shared" si="19"/>
        <v>0</v>
      </c>
      <c r="K122" s="67">
        <f t="shared" si="20"/>
        <v>0.2280667893020979</v>
      </c>
      <c r="L122" s="67">
        <f t="shared" si="21"/>
        <v>0.017133008287224076</v>
      </c>
      <c r="M122" s="68">
        <f t="shared" si="14"/>
        <v>38.99999999999999</v>
      </c>
      <c r="N122" s="16" t="s">
        <v>102</v>
      </c>
      <c r="O122" s="16" t="s">
        <v>187</v>
      </c>
      <c r="P122" s="16" t="s">
        <v>102</v>
      </c>
    </row>
    <row r="123" spans="1:16" ht="12.75">
      <c r="A123" s="16" t="s">
        <v>218</v>
      </c>
      <c r="B123" s="16" t="s">
        <v>136</v>
      </c>
      <c r="C123" s="17" t="s">
        <v>430</v>
      </c>
      <c r="D123" s="17">
        <v>3209</v>
      </c>
      <c r="E123" s="67">
        <f t="shared" si="15"/>
        <v>2289.856504205828</v>
      </c>
      <c r="F123" s="67">
        <f t="shared" si="16"/>
        <v>489.6258589180984</v>
      </c>
      <c r="G123" s="67">
        <f t="shared" si="13"/>
        <v>376.6124082100757</v>
      </c>
      <c r="H123" s="67">
        <f t="shared" si="17"/>
        <v>32.72968634640431</v>
      </c>
      <c r="I123" s="67">
        <f t="shared" si="18"/>
        <v>0</v>
      </c>
      <c r="J123" s="67">
        <f t="shared" si="19"/>
        <v>0</v>
      </c>
      <c r="K123" s="67">
        <f t="shared" si="20"/>
        <v>18.765803253088006</v>
      </c>
      <c r="L123" s="67">
        <f t="shared" si="21"/>
        <v>1.409739066505181</v>
      </c>
      <c r="M123" s="68">
        <f t="shared" si="14"/>
        <v>3208.9999999999995</v>
      </c>
      <c r="N123" s="16" t="s">
        <v>102</v>
      </c>
      <c r="O123" s="16" t="s">
        <v>187</v>
      </c>
      <c r="P123" s="16" t="s">
        <v>102</v>
      </c>
    </row>
    <row r="124" spans="1:16" ht="12.75">
      <c r="A124" s="16" t="s">
        <v>219</v>
      </c>
      <c r="B124" s="16" t="s">
        <v>138</v>
      </c>
      <c r="C124" s="17" t="s">
        <v>430</v>
      </c>
      <c r="D124" s="17">
        <v>1921</v>
      </c>
      <c r="E124" s="67">
        <f t="shared" si="15"/>
        <v>1370.7741802989704</v>
      </c>
      <c r="F124" s="67">
        <f t="shared" si="16"/>
        <v>293.10416795938517</v>
      </c>
      <c r="G124" s="67">
        <f t="shared" si="13"/>
        <v>225.45105521083062</v>
      </c>
      <c r="H124" s="67">
        <f t="shared" si="17"/>
        <v>19.59293470596531</v>
      </c>
      <c r="I124" s="67">
        <f t="shared" si="18"/>
        <v>0</v>
      </c>
      <c r="J124" s="67">
        <f t="shared" si="19"/>
        <v>0</v>
      </c>
      <c r="K124" s="67">
        <f t="shared" si="20"/>
        <v>11.233751339726412</v>
      </c>
      <c r="L124" s="67">
        <f t="shared" si="21"/>
        <v>0.8439104851219859</v>
      </c>
      <c r="M124" s="68">
        <f t="shared" si="14"/>
        <v>1921</v>
      </c>
      <c r="N124" s="16" t="s">
        <v>102</v>
      </c>
      <c r="O124" s="16" t="s">
        <v>187</v>
      </c>
      <c r="P124" s="16" t="s">
        <v>102</v>
      </c>
    </row>
    <row r="125" spans="1:16" ht="12.75">
      <c r="A125" s="16" t="s">
        <v>220</v>
      </c>
      <c r="B125" s="16" t="s">
        <v>140</v>
      </c>
      <c r="C125" s="17" t="s">
        <v>430</v>
      </c>
      <c r="D125" s="27">
        <v>634</v>
      </c>
      <c r="E125" s="69">
        <f t="shared" si="15"/>
        <v>452.40542962495954</v>
      </c>
      <c r="F125" s="69">
        <f t="shared" si="16"/>
        <v>96.73505595327964</v>
      </c>
      <c r="G125" s="69">
        <f t="shared" si="13"/>
        <v>74.40706351049798</v>
      </c>
      <c r="H125" s="69">
        <f t="shared" si="17"/>
        <v>6.466382406862054</v>
      </c>
      <c r="I125" s="69">
        <f t="shared" si="18"/>
        <v>0</v>
      </c>
      <c r="J125" s="69">
        <f t="shared" si="19"/>
        <v>0</v>
      </c>
      <c r="K125" s="69">
        <f t="shared" si="20"/>
        <v>3.707547292757181</v>
      </c>
      <c r="L125" s="69">
        <f t="shared" si="21"/>
        <v>0.2785212116435914</v>
      </c>
      <c r="M125" s="68">
        <f t="shared" si="14"/>
        <v>634</v>
      </c>
      <c r="N125" s="16" t="s">
        <v>102</v>
      </c>
      <c r="O125" s="16" t="s">
        <v>187</v>
      </c>
      <c r="P125" s="16" t="s">
        <v>102</v>
      </c>
    </row>
    <row r="126" spans="1:16" ht="12.75">
      <c r="A126" s="16"/>
      <c r="B126" s="16"/>
      <c r="C126" s="17"/>
      <c r="D126" s="17"/>
      <c r="E126" s="67"/>
      <c r="F126" s="68"/>
      <c r="G126" s="68"/>
      <c r="H126" s="68"/>
      <c r="I126" s="68"/>
      <c r="J126" s="68"/>
      <c r="K126" s="68"/>
      <c r="L126" s="68"/>
      <c r="M126" s="68">
        <f t="shared" si="10"/>
        <v>0</v>
      </c>
      <c r="N126" s="16"/>
      <c r="O126" s="16"/>
      <c r="P126" s="16"/>
    </row>
    <row r="127" spans="1:16" ht="13.5" thickBot="1">
      <c r="A127" s="26" t="s">
        <v>319</v>
      </c>
      <c r="B127" s="16"/>
      <c r="C127" s="17"/>
      <c r="D127" s="28">
        <f>SUM(D110:D125)</f>
        <v>56906</v>
      </c>
      <c r="E127" s="28">
        <f aca="true" t="shared" si="22" ref="E127:L127">SUM(E110:E125)</f>
        <v>40606.59838838792</v>
      </c>
      <c r="F127" s="28">
        <f t="shared" si="22"/>
        <v>8682.657877093581</v>
      </c>
      <c r="G127" s="28">
        <f>SUM(G110:G125)</f>
        <v>6678.5620759123</v>
      </c>
      <c r="H127" s="28">
        <f t="shared" si="22"/>
        <v>580.40371805188</v>
      </c>
      <c r="I127" s="28">
        <f t="shared" si="22"/>
        <v>0</v>
      </c>
      <c r="J127" s="28">
        <f t="shared" si="22"/>
        <v>0</v>
      </c>
      <c r="K127" s="28">
        <f t="shared" si="22"/>
        <v>332.7786849237226</v>
      </c>
      <c r="L127" s="28">
        <f t="shared" si="22"/>
        <v>24.999255630583928</v>
      </c>
      <c r="M127" s="68">
        <f>SUM(E127:L127)</f>
        <v>56905.999999999985</v>
      </c>
      <c r="N127" s="16"/>
      <c r="O127" s="16"/>
      <c r="P127" s="16"/>
    </row>
    <row r="128" spans="1:16" ht="13.5" thickTop="1">
      <c r="A128" s="16"/>
      <c r="B128" s="16"/>
      <c r="C128" s="17"/>
      <c r="D128" s="17"/>
      <c r="E128" s="67"/>
      <c r="F128" s="68"/>
      <c r="G128" s="68"/>
      <c r="H128" s="68"/>
      <c r="I128" s="68"/>
      <c r="J128" s="68"/>
      <c r="K128" s="68"/>
      <c r="L128" s="68"/>
      <c r="M128" s="68">
        <f t="shared" si="10"/>
        <v>0</v>
      </c>
      <c r="N128" s="16"/>
      <c r="O128" s="16"/>
      <c r="P128" s="16"/>
    </row>
    <row r="129" spans="1:16" ht="12.75">
      <c r="A129" s="16"/>
      <c r="B129" s="16"/>
      <c r="C129" s="17"/>
      <c r="D129" s="17"/>
      <c r="E129" s="67"/>
      <c r="F129" s="68"/>
      <c r="G129" s="68"/>
      <c r="H129" s="68"/>
      <c r="I129" s="68"/>
      <c r="J129" s="68"/>
      <c r="K129" s="68"/>
      <c r="L129" s="68"/>
      <c r="M129" s="68">
        <f t="shared" si="10"/>
        <v>0</v>
      </c>
      <c r="N129" s="16"/>
      <c r="O129" s="16"/>
      <c r="P129" s="16"/>
    </row>
    <row r="130" spans="1:16" ht="12.75">
      <c r="A130" s="16" t="s">
        <v>320</v>
      </c>
      <c r="B130" s="16"/>
      <c r="C130" s="17"/>
      <c r="D130" s="17"/>
      <c r="E130" s="67"/>
      <c r="F130" s="68"/>
      <c r="G130" s="68"/>
      <c r="H130" s="68"/>
      <c r="I130" s="68"/>
      <c r="J130" s="68"/>
      <c r="K130" s="68"/>
      <c r="L130" s="68"/>
      <c r="M130" s="68">
        <f t="shared" si="10"/>
        <v>0</v>
      </c>
      <c r="N130" s="16"/>
      <c r="O130" s="16"/>
      <c r="P130" s="16"/>
    </row>
    <row r="131" spans="1:16" ht="12.75">
      <c r="A131" s="16"/>
      <c r="B131" s="16"/>
      <c r="C131" s="17"/>
      <c r="D131" s="17"/>
      <c r="E131" s="67"/>
      <c r="F131" s="68"/>
      <c r="G131" s="68"/>
      <c r="H131" s="68"/>
      <c r="I131" s="68"/>
      <c r="J131" s="68"/>
      <c r="K131" s="68"/>
      <c r="L131" s="68"/>
      <c r="M131" s="68">
        <f t="shared" si="10"/>
        <v>0</v>
      </c>
      <c r="N131" s="16"/>
      <c r="O131" s="16"/>
      <c r="P131" s="16"/>
    </row>
    <row r="132" spans="1:16" ht="12.75">
      <c r="A132" s="16" t="s">
        <v>221</v>
      </c>
      <c r="B132" s="16" t="s">
        <v>108</v>
      </c>
      <c r="C132" s="17" t="s">
        <v>477</v>
      </c>
      <c r="D132" s="17">
        <v>167144</v>
      </c>
      <c r="E132" s="67">
        <f aca="true" t="shared" si="23" ref="E132:E143">+D132*$E$106</f>
        <v>82823.91001147084</v>
      </c>
      <c r="F132" s="67">
        <f>+D132*$F$106</f>
        <v>17709.72460668939</v>
      </c>
      <c r="G132" s="67">
        <f aca="true" t="shared" si="24" ref="G132:G143">+D132*$G$106</f>
        <v>13622.037952816121</v>
      </c>
      <c r="H132" s="67">
        <f>+D132*$H$106</f>
        <v>1183.829900117877</v>
      </c>
      <c r="I132" s="67">
        <f>+D132*$I$106</f>
        <v>35984.649758737614</v>
      </c>
      <c r="J132" s="67">
        <f>+D132*$J$106</f>
        <v>15090.100164393978</v>
      </c>
      <c r="K132" s="67">
        <f>+D132*$K$106</f>
        <v>678.7574667111195</v>
      </c>
      <c r="L132" s="67">
        <f>+D132*$L$106</f>
        <v>50.99013906304795</v>
      </c>
      <c r="M132" s="68">
        <f aca="true" t="shared" si="25" ref="M132:M160">SUM(E132:L132)</f>
        <v>167144</v>
      </c>
      <c r="N132" s="16" t="s">
        <v>187</v>
      </c>
      <c r="O132" s="16" t="s">
        <v>187</v>
      </c>
      <c r="P132" s="16" t="s">
        <v>106</v>
      </c>
    </row>
    <row r="133" spans="1:16" ht="12.75">
      <c r="A133" s="16" t="s">
        <v>222</v>
      </c>
      <c r="B133" s="16" t="s">
        <v>110</v>
      </c>
      <c r="C133" s="17" t="s">
        <v>477</v>
      </c>
      <c r="D133" s="17">
        <v>13223</v>
      </c>
      <c r="E133" s="67">
        <f t="shared" si="23"/>
        <v>6552.317535069634</v>
      </c>
      <c r="F133" s="67">
        <f aca="true" t="shared" si="26" ref="F133:F143">+D133*$F$106</f>
        <v>1401.0415478524733</v>
      </c>
      <c r="G133" s="67">
        <f t="shared" si="24"/>
        <v>1077.65883220509</v>
      </c>
      <c r="H133" s="67">
        <f aca="true" t="shared" si="27" ref="H133:H143">+D133*$H$106</f>
        <v>93.65447021286248</v>
      </c>
      <c r="I133" s="67">
        <f aca="true" t="shared" si="28" ref="I133:I143">+D133*$I$106</f>
        <v>2846.7969161907545</v>
      </c>
      <c r="J133" s="67">
        <f aca="true" t="shared" si="29" ref="J133:J143">+D133*$J$106</f>
        <v>1193.7993255742447</v>
      </c>
      <c r="K133" s="67">
        <f aca="true" t="shared" si="30" ref="K133:K143">+D133*$K$106</f>
        <v>53.69747033887626</v>
      </c>
      <c r="L133" s="67">
        <f aca="true" t="shared" si="31" ref="L133:L143">+D133*$L$106</f>
        <v>4.033902556063532</v>
      </c>
      <c r="M133" s="68">
        <f t="shared" si="25"/>
        <v>13223</v>
      </c>
      <c r="N133" s="16" t="s">
        <v>187</v>
      </c>
      <c r="O133" s="16" t="s">
        <v>187</v>
      </c>
      <c r="P133" s="16" t="s">
        <v>106</v>
      </c>
    </row>
    <row r="134" spans="1:16" ht="12.75">
      <c r="A134" s="16" t="s">
        <v>223</v>
      </c>
      <c r="B134" s="16" t="s">
        <v>112</v>
      </c>
      <c r="C134" s="17" t="s">
        <v>477</v>
      </c>
      <c r="D134" s="17">
        <v>17719</v>
      </c>
      <c r="E134" s="67">
        <f t="shared" si="23"/>
        <v>8780.194691363446</v>
      </c>
      <c r="F134" s="67">
        <f t="shared" si="26"/>
        <v>1877.414746003023</v>
      </c>
      <c r="G134" s="67">
        <f t="shared" si="24"/>
        <v>1444.0775049415404</v>
      </c>
      <c r="H134" s="67">
        <f t="shared" si="27"/>
        <v>125.49826497025715</v>
      </c>
      <c r="I134" s="67">
        <f t="shared" si="28"/>
        <v>3814.7466201303773</v>
      </c>
      <c r="J134" s="67">
        <f t="shared" si="29"/>
        <v>1599.7073470354717</v>
      </c>
      <c r="K134" s="67">
        <f t="shared" si="30"/>
        <v>71.95534121867567</v>
      </c>
      <c r="L134" s="67">
        <f t="shared" si="31"/>
        <v>5.405484337207119</v>
      </c>
      <c r="M134" s="68">
        <f t="shared" si="25"/>
        <v>17719</v>
      </c>
      <c r="N134" s="16" t="s">
        <v>187</v>
      </c>
      <c r="O134" s="16" t="s">
        <v>187</v>
      </c>
      <c r="P134" s="16" t="s">
        <v>106</v>
      </c>
    </row>
    <row r="135" spans="1:16" ht="12.75">
      <c r="A135" s="16" t="s">
        <v>224</v>
      </c>
      <c r="B135" s="16" t="s">
        <v>114</v>
      </c>
      <c r="C135" s="17" t="s">
        <v>477</v>
      </c>
      <c r="D135" s="17">
        <v>9290</v>
      </c>
      <c r="E135" s="67">
        <f t="shared" si="23"/>
        <v>4603.420547591084</v>
      </c>
      <c r="F135" s="67">
        <f t="shared" si="26"/>
        <v>984.3209543635693</v>
      </c>
      <c r="G135" s="67">
        <f t="shared" si="24"/>
        <v>757.1239923758062</v>
      </c>
      <c r="H135" s="67">
        <f t="shared" si="27"/>
        <v>65.79823249470563</v>
      </c>
      <c r="I135" s="67">
        <f t="shared" si="28"/>
        <v>2000.0562165478416</v>
      </c>
      <c r="J135" s="67">
        <f t="shared" si="29"/>
        <v>838.7200888289143</v>
      </c>
      <c r="K135" s="67">
        <f t="shared" si="30"/>
        <v>37.72589423339336</v>
      </c>
      <c r="L135" s="67">
        <f t="shared" si="31"/>
        <v>2.834073564685035</v>
      </c>
      <c r="M135" s="68">
        <f t="shared" si="25"/>
        <v>9289.999999999998</v>
      </c>
      <c r="N135" s="16" t="s">
        <v>187</v>
      </c>
      <c r="O135" s="16" t="s">
        <v>187</v>
      </c>
      <c r="P135" s="16" t="s">
        <v>106</v>
      </c>
    </row>
    <row r="136" spans="1:16" ht="12.75">
      <c r="A136" s="16" t="s">
        <v>346</v>
      </c>
      <c r="B136" s="16" t="s">
        <v>299</v>
      </c>
      <c r="C136" s="17" t="s">
        <v>477</v>
      </c>
      <c r="D136" s="17">
        <v>5507</v>
      </c>
      <c r="E136" s="67">
        <f t="shared" si="23"/>
        <v>2728.8522018927983</v>
      </c>
      <c r="F136" s="67">
        <f t="shared" si="26"/>
        <v>583.4935947987273</v>
      </c>
      <c r="G136" s="67">
        <f t="shared" si="24"/>
        <v>448.81397481308557</v>
      </c>
      <c r="H136" s="67">
        <f t="shared" si="27"/>
        <v>39.004398961070386</v>
      </c>
      <c r="I136" s="67">
        <f t="shared" si="28"/>
        <v>1185.6092125434839</v>
      </c>
      <c r="J136" s="67">
        <f t="shared" si="29"/>
        <v>497.1831570700572</v>
      </c>
      <c r="K136" s="67">
        <f t="shared" si="30"/>
        <v>22.363455279149328</v>
      </c>
      <c r="L136" s="67">
        <f t="shared" si="31"/>
        <v>1.6800046416276089</v>
      </c>
      <c r="M136" s="68">
        <f t="shared" si="25"/>
        <v>5506.999999999999</v>
      </c>
      <c r="N136" s="16" t="s">
        <v>187</v>
      </c>
      <c r="O136" s="16" t="s">
        <v>187</v>
      </c>
      <c r="P136" s="16" t="s">
        <v>106</v>
      </c>
    </row>
    <row r="137" spans="1:16" ht="12.75">
      <c r="A137" s="16" t="s">
        <v>226</v>
      </c>
      <c r="B137" s="16" t="s">
        <v>227</v>
      </c>
      <c r="C137" s="17" t="s">
        <v>477</v>
      </c>
      <c r="D137" s="17">
        <v>30200</v>
      </c>
      <c r="E137" s="67">
        <f t="shared" si="23"/>
        <v>14964.833211760035</v>
      </c>
      <c r="F137" s="67">
        <f t="shared" si="26"/>
        <v>3199.837763377803</v>
      </c>
      <c r="G137" s="67">
        <f t="shared" si="24"/>
        <v>2461.2642163346986</v>
      </c>
      <c r="H137" s="67">
        <f t="shared" si="27"/>
        <v>213.89737581701937</v>
      </c>
      <c r="I137" s="67">
        <f t="shared" si="28"/>
        <v>6501.797388562413</v>
      </c>
      <c r="J137" s="67">
        <f t="shared" si="29"/>
        <v>2726.517403943295</v>
      </c>
      <c r="K137" s="67">
        <f t="shared" si="30"/>
        <v>122.63961311609037</v>
      </c>
      <c r="L137" s="67">
        <f t="shared" si="31"/>
        <v>9.213027088642416</v>
      </c>
      <c r="M137" s="68">
        <f t="shared" si="25"/>
        <v>30199.99999999999</v>
      </c>
      <c r="N137" s="16" t="s">
        <v>187</v>
      </c>
      <c r="O137" s="16" t="s">
        <v>187</v>
      </c>
      <c r="P137" s="16" t="s">
        <v>225</v>
      </c>
    </row>
    <row r="138" spans="1:16" ht="12.75">
      <c r="A138" s="16" t="s">
        <v>228</v>
      </c>
      <c r="B138" s="16" t="s">
        <v>229</v>
      </c>
      <c r="C138" s="17" t="s">
        <v>477</v>
      </c>
      <c r="D138" s="17">
        <v>2156</v>
      </c>
      <c r="E138" s="67">
        <f t="shared" si="23"/>
        <v>1068.3503445216768</v>
      </c>
      <c r="F138" s="67">
        <f t="shared" si="26"/>
        <v>228.43874893518358</v>
      </c>
      <c r="G138" s="67">
        <f t="shared" si="24"/>
        <v>175.71144537806654</v>
      </c>
      <c r="H138" s="67">
        <f t="shared" si="27"/>
        <v>15.270289478857409</v>
      </c>
      <c r="I138" s="67">
        <f t="shared" si="28"/>
        <v>464.1680519781643</v>
      </c>
      <c r="J138" s="67">
        <f t="shared" si="29"/>
        <v>194.64806367224318</v>
      </c>
      <c r="K138" s="67">
        <f t="shared" si="30"/>
        <v>8.755331320473207</v>
      </c>
      <c r="L138" s="67">
        <f t="shared" si="31"/>
        <v>0.6577247153348692</v>
      </c>
      <c r="M138" s="68">
        <f t="shared" si="25"/>
        <v>2156</v>
      </c>
      <c r="N138" s="16" t="s">
        <v>187</v>
      </c>
      <c r="O138" s="16" t="s">
        <v>187</v>
      </c>
      <c r="P138" s="16" t="s">
        <v>225</v>
      </c>
    </row>
    <row r="139" spans="1:16" ht="12.75">
      <c r="A139" s="26" t="s">
        <v>347</v>
      </c>
      <c r="B139" s="26" t="s">
        <v>348</v>
      </c>
      <c r="C139" s="17" t="s">
        <v>477</v>
      </c>
      <c r="D139" s="17">
        <v>6687</v>
      </c>
      <c r="E139" s="67">
        <f t="shared" si="23"/>
        <v>3313.570850564217</v>
      </c>
      <c r="F139" s="67">
        <f t="shared" si="26"/>
        <v>708.5203683346812</v>
      </c>
      <c r="G139" s="67">
        <f t="shared" si="24"/>
        <v>544.9825766433818</v>
      </c>
      <c r="H139" s="67">
        <f t="shared" si="27"/>
        <v>47.36197854597379</v>
      </c>
      <c r="I139" s="67">
        <f t="shared" si="28"/>
        <v>1439.6529515667833</v>
      </c>
      <c r="J139" s="67">
        <f t="shared" si="29"/>
        <v>603.7159562969806</v>
      </c>
      <c r="K139" s="67">
        <f t="shared" si="30"/>
        <v>27.155334202228353</v>
      </c>
      <c r="L139" s="67">
        <f t="shared" si="31"/>
        <v>2.039983845753372</v>
      </c>
      <c r="M139" s="68">
        <f t="shared" si="25"/>
        <v>6687</v>
      </c>
      <c r="N139" s="16"/>
      <c r="O139" s="16"/>
      <c r="P139" s="16"/>
    </row>
    <row r="140" spans="1:16" ht="12.75">
      <c r="A140" s="16" t="s">
        <v>230</v>
      </c>
      <c r="B140" s="16" t="s">
        <v>231</v>
      </c>
      <c r="C140" s="17" t="s">
        <v>477</v>
      </c>
      <c r="D140" s="17">
        <v>14746</v>
      </c>
      <c r="E140" s="67">
        <f t="shared" si="23"/>
        <v>7307.001011278592</v>
      </c>
      <c r="F140" s="67">
        <f t="shared" si="26"/>
        <v>1562.4108496281156</v>
      </c>
      <c r="G140" s="67">
        <f t="shared" si="24"/>
        <v>1201.7815276182605</v>
      </c>
      <c r="H140" s="67">
        <f t="shared" si="27"/>
        <v>104.44141403303865</v>
      </c>
      <c r="I140" s="67">
        <f t="shared" si="28"/>
        <v>3174.6855725742166</v>
      </c>
      <c r="J140" s="67">
        <f t="shared" si="29"/>
        <v>1331.2988622035705</v>
      </c>
      <c r="K140" s="67">
        <f t="shared" si="30"/>
        <v>59.88224288112148</v>
      </c>
      <c r="L140" s="67">
        <f t="shared" si="31"/>
        <v>4.49851978308348</v>
      </c>
      <c r="M140" s="68">
        <f t="shared" si="25"/>
        <v>14746</v>
      </c>
      <c r="N140" s="16" t="s">
        <v>187</v>
      </c>
      <c r="O140" s="16" t="s">
        <v>187</v>
      </c>
      <c r="P140" s="16" t="s">
        <v>225</v>
      </c>
    </row>
    <row r="141" spans="1:16" ht="12.75">
      <c r="A141" s="16" t="s">
        <v>232</v>
      </c>
      <c r="B141" s="16" t="s">
        <v>233</v>
      </c>
      <c r="C141" s="17" t="s">
        <v>477</v>
      </c>
      <c r="D141" s="17">
        <v>12329</v>
      </c>
      <c r="E141" s="67">
        <f t="shared" si="23"/>
        <v>6109.318830059254</v>
      </c>
      <c r="F141" s="67">
        <f t="shared" si="26"/>
        <v>1306.317873665064</v>
      </c>
      <c r="G141" s="67">
        <f t="shared" si="24"/>
        <v>1004.7988914963742</v>
      </c>
      <c r="H141" s="67">
        <f t="shared" si="27"/>
        <v>87.32254127311363</v>
      </c>
      <c r="I141" s="67">
        <f t="shared" si="28"/>
        <v>2654.3264901849666</v>
      </c>
      <c r="J141" s="67">
        <f t="shared" si="29"/>
        <v>1113.0871878548637</v>
      </c>
      <c r="K141" s="67">
        <f t="shared" si="30"/>
        <v>50.067012917492654</v>
      </c>
      <c r="L141" s="67">
        <f t="shared" si="31"/>
        <v>3.7611725488699457</v>
      </c>
      <c r="M141" s="68">
        <f t="shared" si="25"/>
        <v>12328.999999999998</v>
      </c>
      <c r="N141" s="16" t="s">
        <v>187</v>
      </c>
      <c r="O141" s="16" t="s">
        <v>187</v>
      </c>
      <c r="P141" s="16" t="s">
        <v>106</v>
      </c>
    </row>
    <row r="142" spans="1:16" ht="12.75">
      <c r="A142" s="16" t="s">
        <v>234</v>
      </c>
      <c r="B142" s="16" t="s">
        <v>235</v>
      </c>
      <c r="C142" s="17" t="s">
        <v>477</v>
      </c>
      <c r="D142" s="17">
        <v>1200</v>
      </c>
      <c r="E142" s="67">
        <f t="shared" si="23"/>
        <v>594.6291342421206</v>
      </c>
      <c r="F142" s="67">
        <f t="shared" si="26"/>
        <v>127.1458713924955</v>
      </c>
      <c r="G142" s="67">
        <f t="shared" si="24"/>
        <v>97.79857813250457</v>
      </c>
      <c r="H142" s="67">
        <f t="shared" si="27"/>
        <v>8.499233476172956</v>
      </c>
      <c r="I142" s="67">
        <f t="shared" si="28"/>
        <v>258.3495651084403</v>
      </c>
      <c r="J142" s="67">
        <f t="shared" si="29"/>
        <v>108.33843989178656</v>
      </c>
      <c r="K142" s="67">
        <f t="shared" si="30"/>
        <v>4.873097209910876</v>
      </c>
      <c r="L142" s="67">
        <f t="shared" si="31"/>
        <v>0.36608054656857286</v>
      </c>
      <c r="M142" s="68">
        <f t="shared" si="25"/>
        <v>1199.9999999999998</v>
      </c>
      <c r="N142" s="16" t="s">
        <v>187</v>
      </c>
      <c r="O142" s="16" t="s">
        <v>187</v>
      </c>
      <c r="P142" s="16" t="s">
        <v>106</v>
      </c>
    </row>
    <row r="143" spans="1:16" ht="12.75">
      <c r="A143" s="16" t="s">
        <v>236</v>
      </c>
      <c r="B143" s="16" t="s">
        <v>237</v>
      </c>
      <c r="C143" s="17" t="s">
        <v>477</v>
      </c>
      <c r="D143" s="17">
        <v>224</v>
      </c>
      <c r="E143" s="67">
        <f t="shared" si="23"/>
        <v>110.99743839186252</v>
      </c>
      <c r="F143" s="67">
        <f t="shared" si="26"/>
        <v>23.733895993265826</v>
      </c>
      <c r="G143" s="67">
        <f t="shared" si="24"/>
        <v>18.25573458473419</v>
      </c>
      <c r="H143" s="67">
        <f t="shared" si="27"/>
        <v>1.5865235822189516</v>
      </c>
      <c r="I143" s="67">
        <f t="shared" si="28"/>
        <v>48.22525215357552</v>
      </c>
      <c r="J143" s="67">
        <f t="shared" si="29"/>
        <v>20.223175446466826</v>
      </c>
      <c r="K143" s="67">
        <f t="shared" si="30"/>
        <v>0.9096448125166968</v>
      </c>
      <c r="L143" s="67">
        <f t="shared" si="31"/>
        <v>0.06833503535946693</v>
      </c>
      <c r="M143" s="68">
        <f t="shared" si="25"/>
        <v>224</v>
      </c>
      <c r="N143" s="16" t="s">
        <v>187</v>
      </c>
      <c r="O143" s="16" t="s">
        <v>187</v>
      </c>
      <c r="P143" s="16" t="s">
        <v>106</v>
      </c>
    </row>
    <row r="144" spans="1:16" ht="12.75">
      <c r="A144" s="26" t="s">
        <v>238</v>
      </c>
      <c r="B144" s="26" t="s">
        <v>239</v>
      </c>
      <c r="C144" s="29" t="s">
        <v>483</v>
      </c>
      <c r="D144" s="29">
        <v>24638</v>
      </c>
      <c r="E144" s="67">
        <f>(+D144-J144)*0.5</f>
        <v>11206.815632477568</v>
      </c>
      <c r="F144" s="67">
        <f>(+D144-J144)*0.11</f>
        <v>2465.499439145065</v>
      </c>
      <c r="G144" s="67">
        <f>+(D144-J144)*0.39</f>
        <v>8741.316193332503</v>
      </c>
      <c r="H144" s="67">
        <v>0</v>
      </c>
      <c r="I144" s="67">
        <v>0</v>
      </c>
      <c r="J144" s="67">
        <f>+D144*$J$106</f>
        <v>2224.3687350448645</v>
      </c>
      <c r="K144" s="67">
        <v>0</v>
      </c>
      <c r="L144" s="67">
        <v>0</v>
      </c>
      <c r="M144" s="68">
        <f t="shared" si="25"/>
        <v>24638</v>
      </c>
      <c r="N144" s="16" t="s">
        <v>187</v>
      </c>
      <c r="O144" s="16" t="s">
        <v>150</v>
      </c>
      <c r="P144" s="16" t="s">
        <v>150</v>
      </c>
    </row>
    <row r="145" spans="1:16" ht="12.75">
      <c r="A145" s="165">
        <v>0.67501</v>
      </c>
      <c r="B145" s="15" t="s">
        <v>140</v>
      </c>
      <c r="C145" s="122" t="s">
        <v>477</v>
      </c>
      <c r="D145" s="67">
        <v>-535</v>
      </c>
      <c r="E145" s="67">
        <f>+D145*$E$106</f>
        <v>-265.1054890162788</v>
      </c>
      <c r="F145" s="67">
        <f>+D145*$F$106</f>
        <v>-56.685867662487574</v>
      </c>
      <c r="G145" s="67">
        <f>+D145*$G$106</f>
        <v>-43.601866084074956</v>
      </c>
      <c r="H145" s="67">
        <f>+D145*$H$106</f>
        <v>-3.7892415914604425</v>
      </c>
      <c r="I145" s="67">
        <f>+D145*$I$106</f>
        <v>-115.18084777751295</v>
      </c>
      <c r="J145" s="67">
        <f>+D145*$J$106</f>
        <v>-48.30088778508817</v>
      </c>
      <c r="K145" s="67">
        <f>+D145*$K$106</f>
        <v>-2.172589172751932</v>
      </c>
      <c r="L145" s="67">
        <f>+D145*$L$106</f>
        <v>-0.1632109103451554</v>
      </c>
      <c r="M145" s="68"/>
      <c r="N145" s="16"/>
      <c r="O145" s="16"/>
      <c r="P145" s="16"/>
    </row>
    <row r="146" spans="1:16" ht="12.75">
      <c r="A146" s="16" t="s">
        <v>240</v>
      </c>
      <c r="B146" s="16" t="s">
        <v>241</v>
      </c>
      <c r="C146" s="17" t="s">
        <v>477</v>
      </c>
      <c r="D146" s="17">
        <v>22898</v>
      </c>
      <c r="E146" s="67">
        <f aca="true" t="shared" si="32" ref="E146:E174">+D146*$E$106</f>
        <v>11346.514929896732</v>
      </c>
      <c r="F146" s="67">
        <f aca="true" t="shared" si="33" ref="F146:F173">+D146*$F$106</f>
        <v>2426.1551359544683</v>
      </c>
      <c r="G146" s="67">
        <f aca="true" t="shared" si="34" ref="G146:G174">+D146*$G$106</f>
        <v>1866.1598683984082</v>
      </c>
      <c r="H146" s="67">
        <f aca="true" t="shared" si="35" ref="H146:H173">+D146*$H$106</f>
        <v>162.17954011450692</v>
      </c>
      <c r="I146" s="67">
        <f aca="true" t="shared" si="36" ref="I146:I173">+D146*$I$106</f>
        <v>4929.740284877555</v>
      </c>
      <c r="J146" s="67">
        <f aca="true" t="shared" si="37" ref="J146:J173">+D146*$J$106</f>
        <v>2067.277997201774</v>
      </c>
      <c r="K146" s="67">
        <f aca="true" t="shared" si="38" ref="K146:K173">+D146*$K$106</f>
        <v>92.98681659378269</v>
      </c>
      <c r="L146" s="67">
        <f aca="true" t="shared" si="39" ref="L146:L173">+D146*$L$106</f>
        <v>6.985426962772651</v>
      </c>
      <c r="M146" s="68">
        <f t="shared" si="25"/>
        <v>22898</v>
      </c>
      <c r="N146" s="16" t="s">
        <v>187</v>
      </c>
      <c r="O146" s="16" t="s">
        <v>187</v>
      </c>
      <c r="P146" s="16" t="s">
        <v>106</v>
      </c>
    </row>
    <row r="147" spans="1:16" ht="12.75">
      <c r="A147" s="16" t="s">
        <v>242</v>
      </c>
      <c r="B147" s="16" t="s">
        <v>161</v>
      </c>
      <c r="C147" s="17" t="s">
        <v>477</v>
      </c>
      <c r="D147" s="17">
        <v>9497</v>
      </c>
      <c r="E147" s="67">
        <f t="shared" si="32"/>
        <v>4705.99407324785</v>
      </c>
      <c r="F147" s="67">
        <f t="shared" si="33"/>
        <v>1006.2536171787748</v>
      </c>
      <c r="G147" s="67">
        <f t="shared" si="34"/>
        <v>773.9942471036633</v>
      </c>
      <c r="H147" s="67">
        <f t="shared" si="35"/>
        <v>67.26435026934546</v>
      </c>
      <c r="I147" s="67">
        <f t="shared" si="36"/>
        <v>2044.6215165290475</v>
      </c>
      <c r="J147" s="67">
        <f t="shared" si="37"/>
        <v>857.4084697102475</v>
      </c>
      <c r="K147" s="67">
        <f t="shared" si="38"/>
        <v>38.56650350210299</v>
      </c>
      <c r="L147" s="67">
        <f t="shared" si="39"/>
        <v>2.8972224589681135</v>
      </c>
      <c r="M147" s="68">
        <f t="shared" si="25"/>
        <v>9497</v>
      </c>
      <c r="N147" s="16" t="s">
        <v>187</v>
      </c>
      <c r="O147" s="16" t="s">
        <v>187</v>
      </c>
      <c r="P147" s="16" t="s">
        <v>106</v>
      </c>
    </row>
    <row r="148" spans="1:16" ht="12.75">
      <c r="A148" s="16" t="s">
        <v>243</v>
      </c>
      <c r="B148" s="16" t="s">
        <v>198</v>
      </c>
      <c r="C148" s="17" t="s">
        <v>477</v>
      </c>
      <c r="D148" s="17">
        <v>7705</v>
      </c>
      <c r="E148" s="67">
        <f t="shared" si="32"/>
        <v>3818.0145661129495</v>
      </c>
      <c r="F148" s="67">
        <f t="shared" si="33"/>
        <v>816.3824492326481</v>
      </c>
      <c r="G148" s="67">
        <f t="shared" si="34"/>
        <v>627.9483704257898</v>
      </c>
      <c r="H148" s="67">
        <f t="shared" si="35"/>
        <v>54.57216161159385</v>
      </c>
      <c r="I148" s="67">
        <f t="shared" si="36"/>
        <v>1658.8194993004436</v>
      </c>
      <c r="J148" s="67">
        <f t="shared" si="37"/>
        <v>695.6230661385129</v>
      </c>
      <c r="K148" s="67">
        <f t="shared" si="38"/>
        <v>31.289345001969416</v>
      </c>
      <c r="L148" s="67">
        <f t="shared" si="39"/>
        <v>2.3505421760923784</v>
      </c>
      <c r="M148" s="68">
        <f t="shared" si="25"/>
        <v>7704.999999999998</v>
      </c>
      <c r="N148" s="16" t="s">
        <v>187</v>
      </c>
      <c r="O148" s="16" t="s">
        <v>187</v>
      </c>
      <c r="P148" s="16" t="s">
        <v>106</v>
      </c>
    </row>
    <row r="149" spans="1:16" ht="12.75">
      <c r="A149" s="16" t="s">
        <v>349</v>
      </c>
      <c r="B149" s="16" t="s">
        <v>131</v>
      </c>
      <c r="C149" s="17" t="s">
        <v>477</v>
      </c>
      <c r="D149" s="17">
        <v>56</v>
      </c>
      <c r="E149" s="67">
        <f t="shared" si="32"/>
        <v>27.74935959796563</v>
      </c>
      <c r="F149" s="67">
        <f t="shared" si="33"/>
        <v>5.933473998316456</v>
      </c>
      <c r="G149" s="67">
        <f t="shared" si="34"/>
        <v>4.563933646183547</v>
      </c>
      <c r="H149" s="67">
        <f t="shared" si="35"/>
        <v>0.3966308955547379</v>
      </c>
      <c r="I149" s="67">
        <f t="shared" si="36"/>
        <v>12.05631303839388</v>
      </c>
      <c r="J149" s="67">
        <f t="shared" si="37"/>
        <v>5.055793861616706</v>
      </c>
      <c r="K149" s="67">
        <f t="shared" si="38"/>
        <v>0.2274112031291742</v>
      </c>
      <c r="L149" s="67">
        <f t="shared" si="39"/>
        <v>0.017083758839866733</v>
      </c>
      <c r="M149" s="68">
        <f t="shared" si="25"/>
        <v>56</v>
      </c>
      <c r="N149" s="16" t="s">
        <v>187</v>
      </c>
      <c r="O149" s="16" t="s">
        <v>187</v>
      </c>
      <c r="P149" s="16" t="s">
        <v>106</v>
      </c>
    </row>
    <row r="150" spans="1:16" ht="12.75">
      <c r="A150" s="16" t="s">
        <v>244</v>
      </c>
      <c r="B150" s="16" t="s">
        <v>245</v>
      </c>
      <c r="C150" s="17" t="s">
        <v>477</v>
      </c>
      <c r="D150" s="17">
        <v>8189</v>
      </c>
      <c r="E150" s="67">
        <f t="shared" si="32"/>
        <v>4057.848316923938</v>
      </c>
      <c r="F150" s="67">
        <f t="shared" si="33"/>
        <v>867.6646173609547</v>
      </c>
      <c r="G150" s="67">
        <f t="shared" si="34"/>
        <v>667.3937969392333</v>
      </c>
      <c r="H150" s="67">
        <f t="shared" si="35"/>
        <v>58.00018578031694</v>
      </c>
      <c r="I150" s="67">
        <f t="shared" si="36"/>
        <v>1763.0204905608477</v>
      </c>
      <c r="J150" s="67">
        <f t="shared" si="37"/>
        <v>739.3195702282001</v>
      </c>
      <c r="K150" s="67">
        <f t="shared" si="38"/>
        <v>33.25482754330013</v>
      </c>
      <c r="L150" s="67">
        <f t="shared" si="39"/>
        <v>2.4981946632083694</v>
      </c>
      <c r="M150" s="68">
        <f t="shared" si="25"/>
        <v>8189</v>
      </c>
      <c r="N150" s="16" t="s">
        <v>187</v>
      </c>
      <c r="O150" s="16" t="s">
        <v>187</v>
      </c>
      <c r="P150" s="16" t="s">
        <v>106</v>
      </c>
    </row>
    <row r="151" spans="1:16" ht="12.75">
      <c r="A151" s="16" t="s">
        <v>246</v>
      </c>
      <c r="B151" s="16" t="s">
        <v>247</v>
      </c>
      <c r="C151" s="17" t="s">
        <v>477</v>
      </c>
      <c r="D151" s="17">
        <v>15676</v>
      </c>
      <c r="E151" s="67">
        <f t="shared" si="32"/>
        <v>7767.838590316235</v>
      </c>
      <c r="F151" s="67">
        <f t="shared" si="33"/>
        <v>1660.9488999572995</v>
      </c>
      <c r="G151" s="67">
        <f t="shared" si="34"/>
        <v>1277.5754256709515</v>
      </c>
      <c r="H151" s="67">
        <f t="shared" si="35"/>
        <v>111.0283199770727</v>
      </c>
      <c r="I151" s="67">
        <f t="shared" si="36"/>
        <v>3374.906485533258</v>
      </c>
      <c r="J151" s="67">
        <f t="shared" si="37"/>
        <v>1415.261153119705</v>
      </c>
      <c r="K151" s="67">
        <f t="shared" si="38"/>
        <v>63.658893218802405</v>
      </c>
      <c r="L151" s="67">
        <f t="shared" si="39"/>
        <v>4.782232206674124</v>
      </c>
      <c r="M151" s="68">
        <f t="shared" si="25"/>
        <v>15676</v>
      </c>
      <c r="N151" s="16" t="s">
        <v>187</v>
      </c>
      <c r="O151" s="16" t="s">
        <v>187</v>
      </c>
      <c r="P151" s="16" t="s">
        <v>106</v>
      </c>
    </row>
    <row r="152" spans="1:16" ht="12.75">
      <c r="A152" s="16" t="s">
        <v>248</v>
      </c>
      <c r="B152" s="16" t="s">
        <v>249</v>
      </c>
      <c r="C152" s="17" t="s">
        <v>477</v>
      </c>
      <c r="D152" s="17">
        <v>906</v>
      </c>
      <c r="E152" s="67">
        <f t="shared" si="32"/>
        <v>448.94499635280107</v>
      </c>
      <c r="F152" s="67">
        <f t="shared" si="33"/>
        <v>95.9951329013341</v>
      </c>
      <c r="G152" s="67">
        <f t="shared" si="34"/>
        <v>73.83792649004096</v>
      </c>
      <c r="H152" s="67">
        <f t="shared" si="35"/>
        <v>6.416921274510581</v>
      </c>
      <c r="I152" s="67">
        <f t="shared" si="36"/>
        <v>195.0539216568724</v>
      </c>
      <c r="J152" s="67">
        <f t="shared" si="37"/>
        <v>81.79552211829885</v>
      </c>
      <c r="K152" s="67">
        <f t="shared" si="38"/>
        <v>3.679188393482711</v>
      </c>
      <c r="L152" s="67">
        <f t="shared" si="39"/>
        <v>0.2763908126592725</v>
      </c>
      <c r="M152" s="68">
        <f t="shared" si="25"/>
        <v>906</v>
      </c>
      <c r="N152" s="16" t="s">
        <v>187</v>
      </c>
      <c r="O152" s="16" t="s">
        <v>187</v>
      </c>
      <c r="P152" s="16" t="s">
        <v>106</v>
      </c>
    </row>
    <row r="153" spans="1:16" ht="12.75">
      <c r="A153" s="16" t="s">
        <v>250</v>
      </c>
      <c r="B153" s="16" t="s">
        <v>103</v>
      </c>
      <c r="C153" s="17" t="s">
        <v>477</v>
      </c>
      <c r="D153" s="17">
        <v>43416</v>
      </c>
      <c r="E153" s="67">
        <f t="shared" si="32"/>
        <v>21513.682076879923</v>
      </c>
      <c r="F153" s="67">
        <f t="shared" si="33"/>
        <v>4600.137626980487</v>
      </c>
      <c r="G153" s="67">
        <f t="shared" si="34"/>
        <v>3538.3525568340156</v>
      </c>
      <c r="H153" s="67">
        <f t="shared" si="35"/>
        <v>307.5022671679375</v>
      </c>
      <c r="I153" s="67">
        <f t="shared" si="36"/>
        <v>9347.087265623368</v>
      </c>
      <c r="J153" s="67">
        <f t="shared" si="37"/>
        <v>3919.6847552848376</v>
      </c>
      <c r="K153" s="67">
        <f t="shared" si="38"/>
        <v>176.3086570545755</v>
      </c>
      <c r="L153" s="67">
        <f t="shared" si="39"/>
        <v>13.244794174850966</v>
      </c>
      <c r="M153" s="68">
        <f t="shared" si="25"/>
        <v>43415.99999999999</v>
      </c>
      <c r="N153" s="16" t="s">
        <v>187</v>
      </c>
      <c r="O153" s="16" t="s">
        <v>187</v>
      </c>
      <c r="P153" s="16" t="s">
        <v>106</v>
      </c>
    </row>
    <row r="154" spans="1:16" ht="12.75">
      <c r="A154" s="16" t="s">
        <v>251</v>
      </c>
      <c r="B154" s="16" t="s">
        <v>252</v>
      </c>
      <c r="C154" s="17" t="s">
        <v>477</v>
      </c>
      <c r="D154" s="17">
        <v>14636</v>
      </c>
      <c r="E154" s="67">
        <f t="shared" si="32"/>
        <v>7252.493340639731</v>
      </c>
      <c r="F154" s="67">
        <f t="shared" si="33"/>
        <v>1550.7558114171368</v>
      </c>
      <c r="G154" s="67">
        <f t="shared" si="34"/>
        <v>1192.816657956114</v>
      </c>
      <c r="H154" s="67">
        <f t="shared" si="35"/>
        <v>103.66231763105614</v>
      </c>
      <c r="I154" s="67">
        <f t="shared" si="36"/>
        <v>3151.003529105943</v>
      </c>
      <c r="J154" s="67">
        <f t="shared" si="37"/>
        <v>1321.3678385468234</v>
      </c>
      <c r="K154" s="67">
        <f t="shared" si="38"/>
        <v>59.43554230354631</v>
      </c>
      <c r="L154" s="67">
        <f t="shared" si="39"/>
        <v>4.4649623996480265</v>
      </c>
      <c r="M154" s="68">
        <f t="shared" si="25"/>
        <v>14636</v>
      </c>
      <c r="N154" s="16" t="s">
        <v>187</v>
      </c>
      <c r="O154" s="16" t="s">
        <v>187</v>
      </c>
      <c r="P154" s="16" t="s">
        <v>106</v>
      </c>
    </row>
    <row r="155" spans="1:16" ht="12.75">
      <c r="A155" s="26" t="s">
        <v>351</v>
      </c>
      <c r="B155" s="26" t="s">
        <v>350</v>
      </c>
      <c r="C155" s="17" t="s">
        <v>477</v>
      </c>
      <c r="D155" s="17">
        <v>5566</v>
      </c>
      <c r="E155" s="67">
        <f t="shared" si="32"/>
        <v>2758.0881343263695</v>
      </c>
      <c r="F155" s="67">
        <f t="shared" si="33"/>
        <v>589.7449334755249</v>
      </c>
      <c r="G155" s="67">
        <f t="shared" si="34"/>
        <v>453.6224049046004</v>
      </c>
      <c r="H155" s="67">
        <f t="shared" si="35"/>
        <v>39.42227794031555</v>
      </c>
      <c r="I155" s="67">
        <f t="shared" si="36"/>
        <v>1198.3113994946486</v>
      </c>
      <c r="J155" s="67">
        <f t="shared" si="37"/>
        <v>502.5097970314033</v>
      </c>
      <c r="K155" s="67">
        <f t="shared" si="38"/>
        <v>22.603049225303277</v>
      </c>
      <c r="L155" s="67">
        <f t="shared" si="39"/>
        <v>1.698003601833897</v>
      </c>
      <c r="M155" s="68">
        <f t="shared" si="25"/>
        <v>5566</v>
      </c>
      <c r="N155" s="16"/>
      <c r="O155" s="16"/>
      <c r="P155" s="16"/>
    </row>
    <row r="156" spans="1:16" ht="12.75">
      <c r="A156" s="16" t="s">
        <v>253</v>
      </c>
      <c r="B156" s="16" t="s">
        <v>590</v>
      </c>
      <c r="C156" s="17" t="s">
        <v>477</v>
      </c>
      <c r="D156" s="17">
        <v>5810</v>
      </c>
      <c r="E156" s="67">
        <f t="shared" si="32"/>
        <v>2878.996058288934</v>
      </c>
      <c r="F156" s="67">
        <f t="shared" si="33"/>
        <v>615.5979273253323</v>
      </c>
      <c r="G156" s="67">
        <f t="shared" si="34"/>
        <v>473.508115791543</v>
      </c>
      <c r="H156" s="67">
        <f t="shared" si="35"/>
        <v>41.15045541380405</v>
      </c>
      <c r="I156" s="67">
        <f t="shared" si="36"/>
        <v>1250.8424777333648</v>
      </c>
      <c r="J156" s="67">
        <f t="shared" si="37"/>
        <v>524.5386131427333</v>
      </c>
      <c r="K156" s="67">
        <f t="shared" si="38"/>
        <v>23.59391232465182</v>
      </c>
      <c r="L156" s="67">
        <f t="shared" si="39"/>
        <v>1.7724399796361736</v>
      </c>
      <c r="M156" s="68">
        <f t="shared" si="25"/>
        <v>5809.999999999999</v>
      </c>
      <c r="N156" s="16" t="s">
        <v>187</v>
      </c>
      <c r="O156" s="16" t="s">
        <v>187</v>
      </c>
      <c r="P156" s="16" t="s">
        <v>106</v>
      </c>
    </row>
    <row r="157" spans="1:16" ht="12.75">
      <c r="A157" s="26" t="s">
        <v>352</v>
      </c>
      <c r="B157" s="26" t="s">
        <v>353</v>
      </c>
      <c r="C157" s="17" t="s">
        <v>477</v>
      </c>
      <c r="D157" s="17">
        <v>1958</v>
      </c>
      <c r="E157" s="67">
        <f>+D157*$E$106</f>
        <v>970.2365373717267</v>
      </c>
      <c r="F157" s="67">
        <f>+D157*$F$106</f>
        <v>207.4596801554218</v>
      </c>
      <c r="G157" s="67">
        <f>+D157*$G$106</f>
        <v>159.5746799862033</v>
      </c>
      <c r="H157" s="67">
        <f>+D157*$H$106</f>
        <v>13.86791595528887</v>
      </c>
      <c r="I157" s="67">
        <f>+D157*$I$106</f>
        <v>421.5403737352717</v>
      </c>
      <c r="J157" s="67">
        <f>+D157*$J$106</f>
        <v>176.7722210900984</v>
      </c>
      <c r="K157" s="67">
        <f>+D157*$K$106</f>
        <v>7.951270280837912</v>
      </c>
      <c r="L157" s="67">
        <f>+D157*$L$106</f>
        <v>0.5973214251510547</v>
      </c>
      <c r="M157" s="68">
        <f>SUM(E157:L157)</f>
        <v>1957.9999999999998</v>
      </c>
      <c r="N157" s="16"/>
      <c r="O157" s="16"/>
      <c r="P157" s="16"/>
    </row>
    <row r="158" spans="1:16" ht="12.75">
      <c r="A158" s="26" t="s">
        <v>354</v>
      </c>
      <c r="B158" s="26" t="s">
        <v>355</v>
      </c>
      <c r="C158" s="17" t="s">
        <v>592</v>
      </c>
      <c r="D158" s="17">
        <v>13854</v>
      </c>
      <c r="E158" s="67">
        <f>+D158*0.48</f>
        <v>6649.92</v>
      </c>
      <c r="F158" s="67">
        <f>+D158*0.12</f>
        <v>1662.48</v>
      </c>
      <c r="G158" s="67">
        <f>+D158*0.29</f>
        <v>4017.66</v>
      </c>
      <c r="H158" s="67">
        <f>+D158*0.06</f>
        <v>831.24</v>
      </c>
      <c r="I158" s="67">
        <f>+D158*0.02</f>
        <v>277.08</v>
      </c>
      <c r="J158" s="67">
        <f>+D158*0.01</f>
        <v>138.54</v>
      </c>
      <c r="K158" s="67">
        <f>+D158*0.019</f>
        <v>263.226</v>
      </c>
      <c r="L158" s="67">
        <f>+D158*0.001</f>
        <v>13.854000000000001</v>
      </c>
      <c r="M158" s="68">
        <f t="shared" si="25"/>
        <v>13854</v>
      </c>
      <c r="N158" s="16"/>
      <c r="O158" s="16"/>
      <c r="P158" s="16"/>
    </row>
    <row r="159" spans="1:16" ht="12.75">
      <c r="A159" s="16" t="s">
        <v>256</v>
      </c>
      <c r="B159" s="16" t="s">
        <v>136</v>
      </c>
      <c r="C159" s="17" t="s">
        <v>477</v>
      </c>
      <c r="D159" s="17">
        <v>2956</v>
      </c>
      <c r="E159" s="67">
        <f t="shared" si="32"/>
        <v>1464.769767349757</v>
      </c>
      <c r="F159" s="67">
        <f t="shared" si="33"/>
        <v>313.20266319684725</v>
      </c>
      <c r="G159" s="67">
        <f t="shared" si="34"/>
        <v>240.91049746640294</v>
      </c>
      <c r="H159" s="67">
        <f t="shared" si="35"/>
        <v>20.936445129639377</v>
      </c>
      <c r="I159" s="67">
        <f t="shared" si="36"/>
        <v>636.4010953837911</v>
      </c>
      <c r="J159" s="67">
        <f t="shared" si="37"/>
        <v>266.87369026676754</v>
      </c>
      <c r="K159" s="67">
        <f t="shared" si="38"/>
        <v>12.004062793747124</v>
      </c>
      <c r="L159" s="67">
        <f t="shared" si="39"/>
        <v>0.9017784130472511</v>
      </c>
      <c r="M159" s="68">
        <f t="shared" si="25"/>
        <v>2955.9999999999995</v>
      </c>
      <c r="N159" s="16" t="s">
        <v>187</v>
      </c>
      <c r="O159" s="16" t="s">
        <v>187</v>
      </c>
      <c r="P159" s="16" t="s">
        <v>106</v>
      </c>
    </row>
    <row r="160" spans="1:16" ht="12.75">
      <c r="A160" s="16" t="s">
        <v>257</v>
      </c>
      <c r="B160" s="16" t="s">
        <v>258</v>
      </c>
      <c r="C160" s="17" t="s">
        <v>477</v>
      </c>
      <c r="D160" s="17">
        <v>71291</v>
      </c>
      <c r="E160" s="67">
        <f t="shared" si="32"/>
        <v>35326.42134104585</v>
      </c>
      <c r="F160" s="67">
        <f t="shared" si="33"/>
        <v>7553.630264535331</v>
      </c>
      <c r="G160" s="67">
        <f t="shared" si="34"/>
        <v>5810.132028036986</v>
      </c>
      <c r="H160" s="67">
        <f t="shared" si="35"/>
        <v>504.9323781248718</v>
      </c>
      <c r="I160" s="67">
        <f t="shared" si="36"/>
        <v>15348.33237178818</v>
      </c>
      <c r="J160" s="67">
        <f t="shared" si="37"/>
        <v>6436.296431937796</v>
      </c>
      <c r="K160" s="67">
        <f t="shared" si="38"/>
        <v>289.5066443264635</v>
      </c>
      <c r="L160" s="67">
        <f t="shared" si="39"/>
        <v>21.74854020451677</v>
      </c>
      <c r="M160" s="68">
        <f t="shared" si="25"/>
        <v>71290.99999999999</v>
      </c>
      <c r="N160" s="16" t="s">
        <v>187</v>
      </c>
      <c r="O160" s="16" t="s">
        <v>187</v>
      </c>
      <c r="P160" s="16" t="s">
        <v>106</v>
      </c>
    </row>
    <row r="161" spans="1:16" ht="12.75">
      <c r="A161" s="16" t="s">
        <v>259</v>
      </c>
      <c r="B161" s="16" t="s">
        <v>260</v>
      </c>
      <c r="C161" s="17" t="s">
        <v>477</v>
      </c>
      <c r="D161" s="17">
        <v>557</v>
      </c>
      <c r="E161" s="67">
        <f t="shared" si="32"/>
        <v>276.007023144051</v>
      </c>
      <c r="F161" s="67">
        <f t="shared" si="33"/>
        <v>59.016875304683325</v>
      </c>
      <c r="G161" s="67">
        <f t="shared" si="34"/>
        <v>45.394840016504205</v>
      </c>
      <c r="H161" s="67">
        <f t="shared" si="35"/>
        <v>3.9450608718569464</v>
      </c>
      <c r="I161" s="67">
        <f t="shared" si="36"/>
        <v>119.91725647116769</v>
      </c>
      <c r="J161" s="67">
        <f t="shared" si="37"/>
        <v>50.287092516437596</v>
      </c>
      <c r="K161" s="67">
        <f t="shared" si="38"/>
        <v>2.261929288266965</v>
      </c>
      <c r="L161" s="67">
        <f t="shared" si="39"/>
        <v>0.1699223870322459</v>
      </c>
      <c r="M161" s="68">
        <f aca="true" t="shared" si="40" ref="M161:M181">SUM(E161:L161)</f>
        <v>556.9999999999999</v>
      </c>
      <c r="N161" s="16" t="s">
        <v>187</v>
      </c>
      <c r="O161" s="16" t="s">
        <v>187</v>
      </c>
      <c r="P161" s="16" t="s">
        <v>106</v>
      </c>
    </row>
    <row r="162" spans="1:16" ht="12.75">
      <c r="A162" s="16" t="s">
        <v>261</v>
      </c>
      <c r="B162" s="16" t="s">
        <v>138</v>
      </c>
      <c r="C162" s="17" t="s">
        <v>477</v>
      </c>
      <c r="D162" s="17">
        <v>601</v>
      </c>
      <c r="E162" s="67">
        <f t="shared" si="32"/>
        <v>297.8100913995954</v>
      </c>
      <c r="F162" s="67">
        <f t="shared" si="33"/>
        <v>63.678890589074825</v>
      </c>
      <c r="G162" s="67">
        <f t="shared" si="34"/>
        <v>48.98078788136271</v>
      </c>
      <c r="H162" s="67">
        <f t="shared" si="35"/>
        <v>4.256699432649955</v>
      </c>
      <c r="I162" s="67">
        <f t="shared" si="36"/>
        <v>129.39007385847717</v>
      </c>
      <c r="J162" s="67">
        <f t="shared" si="37"/>
        <v>54.25950197913644</v>
      </c>
      <c r="K162" s="67">
        <f t="shared" si="38"/>
        <v>2.44060951929703</v>
      </c>
      <c r="L162" s="67">
        <f t="shared" si="39"/>
        <v>0.18334534040642692</v>
      </c>
      <c r="M162" s="68">
        <f t="shared" si="40"/>
        <v>600.9999999999999</v>
      </c>
      <c r="N162" s="16" t="s">
        <v>187</v>
      </c>
      <c r="O162" s="16" t="s">
        <v>187</v>
      </c>
      <c r="P162" s="16" t="s">
        <v>106</v>
      </c>
    </row>
    <row r="163" spans="1:16" ht="12.75">
      <c r="A163" s="16" t="s">
        <v>262</v>
      </c>
      <c r="B163" s="16" t="s">
        <v>263</v>
      </c>
      <c r="C163" s="17" t="s">
        <v>477</v>
      </c>
      <c r="D163" s="17">
        <v>578</v>
      </c>
      <c r="E163" s="67">
        <f t="shared" si="32"/>
        <v>286.4130329932881</v>
      </c>
      <c r="F163" s="67">
        <f t="shared" si="33"/>
        <v>61.241928054051996</v>
      </c>
      <c r="G163" s="67">
        <f t="shared" si="34"/>
        <v>47.10631513382304</v>
      </c>
      <c r="H163" s="67">
        <f t="shared" si="35"/>
        <v>4.093797457689973</v>
      </c>
      <c r="I163" s="67">
        <f t="shared" si="36"/>
        <v>124.43837386056539</v>
      </c>
      <c r="J163" s="67">
        <f t="shared" si="37"/>
        <v>52.18301521454386</v>
      </c>
      <c r="K163" s="67">
        <f t="shared" si="38"/>
        <v>2.3472084894404053</v>
      </c>
      <c r="L163" s="67">
        <f t="shared" si="39"/>
        <v>0.1763287965971959</v>
      </c>
      <c r="M163" s="68">
        <f t="shared" si="40"/>
        <v>577.9999999999999</v>
      </c>
      <c r="N163" s="16" t="s">
        <v>187</v>
      </c>
      <c r="O163" s="16" t="s">
        <v>187</v>
      </c>
      <c r="P163" s="16" t="s">
        <v>106</v>
      </c>
    </row>
    <row r="164" spans="1:16" ht="12.75">
      <c r="A164" s="26" t="s">
        <v>356</v>
      </c>
      <c r="B164" s="26" t="s">
        <v>357</v>
      </c>
      <c r="C164" s="17" t="s">
        <v>477</v>
      </c>
      <c r="D164" s="17">
        <v>-65</v>
      </c>
      <c r="E164" s="67">
        <f t="shared" si="32"/>
        <v>-32.20907810478153</v>
      </c>
      <c r="F164" s="67">
        <f t="shared" si="33"/>
        <v>-6.887068033760173</v>
      </c>
      <c r="G164" s="67">
        <f t="shared" si="34"/>
        <v>-5.2974229821773315</v>
      </c>
      <c r="H164" s="67">
        <f t="shared" si="35"/>
        <v>-0.46037514662603507</v>
      </c>
      <c r="I164" s="67">
        <f t="shared" si="36"/>
        <v>-13.993934776707182</v>
      </c>
      <c r="J164" s="67">
        <f t="shared" si="37"/>
        <v>-5.868332160805105</v>
      </c>
      <c r="K164" s="67">
        <f t="shared" si="38"/>
        <v>-0.26395943220350576</v>
      </c>
      <c r="L164" s="67">
        <f t="shared" si="39"/>
        <v>-0.01982936293913103</v>
      </c>
      <c r="M164" s="68">
        <f t="shared" si="40"/>
        <v>-65</v>
      </c>
      <c r="N164" s="16"/>
      <c r="O164" s="16"/>
      <c r="P164" s="16"/>
    </row>
    <row r="165" spans="1:16" ht="12.75">
      <c r="A165" s="16" t="s">
        <v>264</v>
      </c>
      <c r="B165" s="16" t="s">
        <v>265</v>
      </c>
      <c r="C165" s="17" t="s">
        <v>477</v>
      </c>
      <c r="D165" s="17">
        <v>11932</v>
      </c>
      <c r="E165" s="67">
        <f t="shared" si="32"/>
        <v>5912.595691480819</v>
      </c>
      <c r="F165" s="67">
        <f t="shared" si="33"/>
        <v>1264.2537812127136</v>
      </c>
      <c r="G165" s="67">
        <f t="shared" si="34"/>
        <v>972.4438618975372</v>
      </c>
      <c r="H165" s="67">
        <f t="shared" si="35"/>
        <v>84.51071153141308</v>
      </c>
      <c r="I165" s="67">
        <f t="shared" si="36"/>
        <v>2568.8558423949244</v>
      </c>
      <c r="J165" s="67">
        <f t="shared" si="37"/>
        <v>1077.245220657331</v>
      </c>
      <c r="K165" s="67">
        <f t="shared" si="38"/>
        <v>48.454829923880474</v>
      </c>
      <c r="L165" s="67">
        <f t="shared" si="39"/>
        <v>3.640060901380176</v>
      </c>
      <c r="M165" s="68">
        <f t="shared" si="40"/>
        <v>11931.999999999998</v>
      </c>
      <c r="N165" s="16" t="s">
        <v>187</v>
      </c>
      <c r="O165" s="16" t="s">
        <v>187</v>
      </c>
      <c r="P165" s="16" t="s">
        <v>106</v>
      </c>
    </row>
    <row r="166" spans="1:16" ht="12.75">
      <c r="A166" s="16" t="s">
        <v>266</v>
      </c>
      <c r="B166" s="16" t="s">
        <v>267</v>
      </c>
      <c r="C166" s="17" t="s">
        <v>477</v>
      </c>
      <c r="D166" s="17">
        <v>26061</v>
      </c>
      <c r="E166" s="67">
        <f t="shared" si="32"/>
        <v>12913.858222903255</v>
      </c>
      <c r="F166" s="67">
        <f t="shared" si="33"/>
        <v>2761.290461966521</v>
      </c>
      <c r="G166" s="67">
        <f t="shared" si="34"/>
        <v>2123.940620592668</v>
      </c>
      <c r="H166" s="67">
        <f t="shared" si="35"/>
        <v>184.58210301878614</v>
      </c>
      <c r="I166" s="67">
        <f t="shared" si="36"/>
        <v>5610.706680242552</v>
      </c>
      <c r="J166" s="67">
        <f t="shared" si="37"/>
        <v>2352.8400683498744</v>
      </c>
      <c r="K166" s="67">
        <f t="shared" si="38"/>
        <v>105.83148865623944</v>
      </c>
      <c r="L166" s="67">
        <f t="shared" si="39"/>
        <v>7.950354270102981</v>
      </c>
      <c r="M166" s="68">
        <f t="shared" si="40"/>
        <v>26060.999999999996</v>
      </c>
      <c r="N166" s="16" t="s">
        <v>187</v>
      </c>
      <c r="O166" s="16" t="s">
        <v>187</v>
      </c>
      <c r="P166" s="16" t="s">
        <v>159</v>
      </c>
    </row>
    <row r="167" spans="1:16" ht="12.75">
      <c r="A167" s="16" t="s">
        <v>268</v>
      </c>
      <c r="B167" s="16" t="s">
        <v>269</v>
      </c>
      <c r="C167" s="17" t="s">
        <v>477</v>
      </c>
      <c r="D167" s="17">
        <v>17485</v>
      </c>
      <c r="E167" s="67">
        <f t="shared" si="32"/>
        <v>8664.242010186232</v>
      </c>
      <c r="F167" s="67">
        <f t="shared" si="33"/>
        <v>1852.6213010814865</v>
      </c>
      <c r="G167" s="67">
        <f t="shared" si="34"/>
        <v>1425.0067822057022</v>
      </c>
      <c r="H167" s="67">
        <f t="shared" si="35"/>
        <v>123.84091444240343</v>
      </c>
      <c r="I167" s="67">
        <f t="shared" si="36"/>
        <v>3764.3684549342315</v>
      </c>
      <c r="J167" s="67">
        <f t="shared" si="37"/>
        <v>1578.5813512565733</v>
      </c>
      <c r="K167" s="67">
        <f t="shared" si="38"/>
        <v>71.00508726274305</v>
      </c>
      <c r="L167" s="67">
        <f t="shared" si="39"/>
        <v>5.334098630626247</v>
      </c>
      <c r="M167" s="68">
        <f t="shared" si="40"/>
        <v>17484.999999999996</v>
      </c>
      <c r="N167" s="16" t="s">
        <v>187</v>
      </c>
      <c r="O167" s="16" t="s">
        <v>187</v>
      </c>
      <c r="P167" s="16" t="s">
        <v>106</v>
      </c>
    </row>
    <row r="168" spans="1:16" ht="12.75">
      <c r="A168" s="16" t="s">
        <v>270</v>
      </c>
      <c r="B168" s="16" t="s">
        <v>140</v>
      </c>
      <c r="C168" s="17" t="s">
        <v>477</v>
      </c>
      <c r="D168" s="17">
        <v>10499</v>
      </c>
      <c r="E168" s="67">
        <f t="shared" si="32"/>
        <v>5202.50940034002</v>
      </c>
      <c r="F168" s="67">
        <f t="shared" si="33"/>
        <v>1112.4204197915085</v>
      </c>
      <c r="G168" s="67">
        <f t="shared" si="34"/>
        <v>855.6560598443047</v>
      </c>
      <c r="H168" s="67">
        <f t="shared" si="35"/>
        <v>74.36121022194988</v>
      </c>
      <c r="I168" s="67">
        <f t="shared" si="36"/>
        <v>2260.343403394595</v>
      </c>
      <c r="J168" s="67">
        <f t="shared" si="37"/>
        <v>947.8710670198892</v>
      </c>
      <c r="K168" s="67">
        <f t="shared" si="38"/>
        <v>42.63553967237857</v>
      </c>
      <c r="L168" s="67">
        <f t="shared" si="39"/>
        <v>3.202899715352872</v>
      </c>
      <c r="M168" s="68">
        <f t="shared" si="40"/>
        <v>10498.999999999998</v>
      </c>
      <c r="N168" s="16" t="s">
        <v>187</v>
      </c>
      <c r="O168" s="16" t="s">
        <v>187</v>
      </c>
      <c r="P168" s="16" t="s">
        <v>106</v>
      </c>
    </row>
    <row r="169" spans="1:16" ht="12.75">
      <c r="A169" s="16" t="s">
        <v>271</v>
      </c>
      <c r="B169" s="16" t="s">
        <v>272</v>
      </c>
      <c r="C169" s="17" t="s">
        <v>477</v>
      </c>
      <c r="D169" s="17">
        <v>5936</v>
      </c>
      <c r="E169" s="67">
        <f t="shared" si="32"/>
        <v>2941.4321173843564</v>
      </c>
      <c r="F169" s="67">
        <f t="shared" si="33"/>
        <v>628.9482438215443</v>
      </c>
      <c r="G169" s="67">
        <f t="shared" si="34"/>
        <v>483.77696649545595</v>
      </c>
      <c r="H169" s="67">
        <f t="shared" si="35"/>
        <v>42.04287492880221</v>
      </c>
      <c r="I169" s="67">
        <f t="shared" si="36"/>
        <v>1277.9691820697512</v>
      </c>
      <c r="J169" s="67">
        <f t="shared" si="37"/>
        <v>535.9141493313708</v>
      </c>
      <c r="K169" s="67">
        <f t="shared" si="38"/>
        <v>24.105587531692464</v>
      </c>
      <c r="L169" s="67">
        <f t="shared" si="39"/>
        <v>1.8108784370258737</v>
      </c>
      <c r="M169" s="68">
        <f t="shared" si="40"/>
        <v>5935.999999999999</v>
      </c>
      <c r="N169" s="16" t="s">
        <v>187</v>
      </c>
      <c r="O169" s="16" t="s">
        <v>187</v>
      </c>
      <c r="P169" s="16" t="s">
        <v>106</v>
      </c>
    </row>
    <row r="170" spans="1:16" ht="12.75">
      <c r="A170" s="16" t="s">
        <v>273</v>
      </c>
      <c r="B170" s="16" t="s">
        <v>207</v>
      </c>
      <c r="C170" s="17" t="s">
        <v>477</v>
      </c>
      <c r="D170" s="17">
        <v>2675</v>
      </c>
      <c r="E170" s="67">
        <f t="shared" si="32"/>
        <v>1325.5274450813938</v>
      </c>
      <c r="F170" s="67">
        <f t="shared" si="33"/>
        <v>283.4293383124379</v>
      </c>
      <c r="G170" s="67">
        <f t="shared" si="34"/>
        <v>218.0093304203748</v>
      </c>
      <c r="H170" s="67">
        <f t="shared" si="35"/>
        <v>18.94620795730221</v>
      </c>
      <c r="I170" s="67">
        <f t="shared" si="36"/>
        <v>575.9042388875647</v>
      </c>
      <c r="J170" s="67">
        <f t="shared" si="37"/>
        <v>241.50443892544087</v>
      </c>
      <c r="K170" s="67">
        <f t="shared" si="38"/>
        <v>10.862945863759661</v>
      </c>
      <c r="L170" s="67">
        <f t="shared" si="39"/>
        <v>0.816054551725777</v>
      </c>
      <c r="M170" s="68">
        <f t="shared" si="40"/>
        <v>2674.9999999999995</v>
      </c>
      <c r="N170" s="16" t="s">
        <v>187</v>
      </c>
      <c r="O170" s="16" t="s">
        <v>187</v>
      </c>
      <c r="P170" s="16" t="s">
        <v>106</v>
      </c>
    </row>
    <row r="171" spans="1:16" ht="12.75">
      <c r="A171" s="16" t="s">
        <v>274</v>
      </c>
      <c r="B171" s="16" t="s">
        <v>275</v>
      </c>
      <c r="C171" s="17" t="s">
        <v>477</v>
      </c>
      <c r="D171" s="17">
        <v>4052</v>
      </c>
      <c r="E171" s="67">
        <f t="shared" si="32"/>
        <v>2007.8643766242271</v>
      </c>
      <c r="F171" s="67">
        <f t="shared" si="33"/>
        <v>429.3292257353265</v>
      </c>
      <c r="G171" s="67">
        <f t="shared" si="34"/>
        <v>330.2331988274238</v>
      </c>
      <c r="H171" s="67">
        <f t="shared" si="35"/>
        <v>28.69907837121068</v>
      </c>
      <c r="I171" s="67">
        <f t="shared" si="36"/>
        <v>872.3603648494999</v>
      </c>
      <c r="J171" s="67">
        <f t="shared" si="37"/>
        <v>365.8227987012659</v>
      </c>
      <c r="K171" s="67">
        <f t="shared" si="38"/>
        <v>16.45482491213239</v>
      </c>
      <c r="L171" s="67">
        <f t="shared" si="39"/>
        <v>1.2361319789132144</v>
      </c>
      <c r="M171" s="68">
        <f t="shared" si="40"/>
        <v>4052</v>
      </c>
      <c r="N171" s="16" t="s">
        <v>187</v>
      </c>
      <c r="O171" s="16" t="s">
        <v>187</v>
      </c>
      <c r="P171" s="16" t="s">
        <v>106</v>
      </c>
    </row>
    <row r="172" spans="1:16" ht="12.75">
      <c r="A172" s="16" t="s">
        <v>276</v>
      </c>
      <c r="B172" s="16" t="s">
        <v>277</v>
      </c>
      <c r="C172" s="17" t="s">
        <v>477</v>
      </c>
      <c r="D172" s="17">
        <v>5165</v>
      </c>
      <c r="E172" s="67">
        <f t="shared" si="32"/>
        <v>2559.382898633794</v>
      </c>
      <c r="F172" s="67">
        <f t="shared" si="33"/>
        <v>547.2570214518661</v>
      </c>
      <c r="G172" s="67">
        <f t="shared" si="34"/>
        <v>420.9413800453218</v>
      </c>
      <c r="H172" s="67">
        <f t="shared" si="35"/>
        <v>36.582117420361094</v>
      </c>
      <c r="I172" s="67">
        <f t="shared" si="36"/>
        <v>1111.9795864875782</v>
      </c>
      <c r="J172" s="67">
        <f t="shared" si="37"/>
        <v>466.306701700898</v>
      </c>
      <c r="K172" s="67">
        <f t="shared" si="38"/>
        <v>20.974622574324727</v>
      </c>
      <c r="L172" s="67">
        <f t="shared" si="39"/>
        <v>1.5756716858555657</v>
      </c>
      <c r="M172" s="68">
        <f t="shared" si="40"/>
        <v>5164.999999999999</v>
      </c>
      <c r="N172" s="16" t="s">
        <v>187</v>
      </c>
      <c r="O172" s="16" t="s">
        <v>187</v>
      </c>
      <c r="P172" s="16" t="s">
        <v>225</v>
      </c>
    </row>
    <row r="173" spans="1:16" ht="12.75">
      <c r="A173" s="16" t="s">
        <v>278</v>
      </c>
      <c r="B173" s="16" t="s">
        <v>279</v>
      </c>
      <c r="C173" s="17" t="s">
        <v>477</v>
      </c>
      <c r="D173" s="17">
        <v>3036</v>
      </c>
      <c r="E173" s="67">
        <f t="shared" si="32"/>
        <v>1504.4117096325651</v>
      </c>
      <c r="F173" s="67">
        <f t="shared" si="33"/>
        <v>321.6790546230136</v>
      </c>
      <c r="G173" s="67">
        <f t="shared" si="34"/>
        <v>247.4304026752366</v>
      </c>
      <c r="H173" s="67">
        <f t="shared" si="35"/>
        <v>21.503060694717576</v>
      </c>
      <c r="I173" s="67">
        <f t="shared" si="36"/>
        <v>653.6243997243539</v>
      </c>
      <c r="J173" s="67">
        <f t="shared" si="37"/>
        <v>274.09625292622</v>
      </c>
      <c r="K173" s="67">
        <f t="shared" si="38"/>
        <v>12.328935941074516</v>
      </c>
      <c r="L173" s="67">
        <f t="shared" si="39"/>
        <v>0.9261837828184893</v>
      </c>
      <c r="M173" s="68">
        <f t="shared" si="40"/>
        <v>3036</v>
      </c>
      <c r="N173" s="16" t="s">
        <v>187</v>
      </c>
      <c r="O173" s="16" t="s">
        <v>105</v>
      </c>
      <c r="P173" s="16" t="s">
        <v>106</v>
      </c>
    </row>
    <row r="174" spans="1:16" ht="12.75">
      <c r="A174" s="16" t="s">
        <v>280</v>
      </c>
      <c r="B174" s="16" t="s">
        <v>281</v>
      </c>
      <c r="C174" s="17" t="s">
        <v>477</v>
      </c>
      <c r="D174" s="17">
        <v>3587</v>
      </c>
      <c r="E174" s="67">
        <f t="shared" si="32"/>
        <v>1777.4455871054056</v>
      </c>
      <c r="F174" s="67">
        <f>+D174*$F$106</f>
        <v>380.0602005707345</v>
      </c>
      <c r="G174" s="67">
        <f t="shared" si="34"/>
        <v>292.3362498010783</v>
      </c>
      <c r="H174" s="67">
        <f>+D174*$H$106</f>
        <v>25.405625399193656</v>
      </c>
      <c r="I174" s="67">
        <f>+D174*$I$106</f>
        <v>772.2499083699794</v>
      </c>
      <c r="J174" s="67">
        <f>+D174*$J$106</f>
        <v>323.84165324319866</v>
      </c>
      <c r="K174" s="67">
        <f>+D174*$K$106</f>
        <v>14.566499743291926</v>
      </c>
      <c r="L174" s="67">
        <f>+D174*$L$106</f>
        <v>1.0942757671178924</v>
      </c>
      <c r="M174" s="68">
        <f t="shared" si="40"/>
        <v>3587</v>
      </c>
      <c r="N174" s="16" t="s">
        <v>187</v>
      </c>
      <c r="O174" s="16" t="s">
        <v>187</v>
      </c>
      <c r="P174" s="16" t="s">
        <v>106</v>
      </c>
    </row>
    <row r="175" spans="1:16" ht="12.75">
      <c r="A175" s="16" t="s">
        <v>282</v>
      </c>
      <c r="B175" s="16" t="s">
        <v>283</v>
      </c>
      <c r="C175" s="17" t="s">
        <v>430</v>
      </c>
      <c r="D175" s="27">
        <v>13265</v>
      </c>
      <c r="E175" s="69">
        <f>+D175*$E$107</f>
        <v>9465.54893371465</v>
      </c>
      <c r="F175" s="69">
        <f>+D175*$F$107</f>
        <v>2023.9598063410954</v>
      </c>
      <c r="G175" s="69">
        <f>+D175*$G$107</f>
        <v>1556.797630073747</v>
      </c>
      <c r="H175" s="69">
        <f>+D175*$H$107</f>
        <v>135.29426281865165</v>
      </c>
      <c r="I175" s="69">
        <f>+D175*$I$107</f>
        <v>0</v>
      </c>
      <c r="J175" s="69">
        <f>+D175*$I$107</f>
        <v>0</v>
      </c>
      <c r="K175" s="69">
        <f>+D175*$K$107</f>
        <v>77.57194769467509</v>
      </c>
      <c r="L175" s="69">
        <f>+D175*$L$107</f>
        <v>5.827419357180188</v>
      </c>
      <c r="M175" s="68">
        <f t="shared" si="40"/>
        <v>13264.999999999998</v>
      </c>
      <c r="N175" s="16" t="s">
        <v>187</v>
      </c>
      <c r="O175" s="16" t="s">
        <v>187</v>
      </c>
      <c r="P175" s="16" t="s">
        <v>106</v>
      </c>
    </row>
    <row r="176" spans="1:16" ht="12.75">
      <c r="A176" s="16"/>
      <c r="B176" s="16"/>
      <c r="C176" s="17"/>
      <c r="D176" s="17"/>
      <c r="E176" s="16"/>
      <c r="F176" s="15"/>
      <c r="G176" s="15"/>
      <c r="H176" s="15"/>
      <c r="I176" s="15"/>
      <c r="J176" s="15"/>
      <c r="K176" s="15"/>
      <c r="L176" s="15"/>
      <c r="M176" s="68">
        <f t="shared" si="40"/>
        <v>0</v>
      </c>
      <c r="N176" s="16"/>
      <c r="O176" s="16"/>
      <c r="P176" s="16"/>
    </row>
    <row r="177" spans="1:16" ht="13.5" thickBot="1">
      <c r="A177" s="26" t="s">
        <v>321</v>
      </c>
      <c r="B177" s="16"/>
      <c r="C177" s="17"/>
      <c r="D177" s="28">
        <f>SUM(D132:D175)</f>
        <v>634306</v>
      </c>
      <c r="E177" s="28">
        <f aca="true" t="shared" si="41" ref="E177:L177">SUM(E132:E175)</f>
        <v>315989.45750253653</v>
      </c>
      <c r="F177" s="28">
        <f t="shared" si="41"/>
        <v>67875.85610700853</v>
      </c>
      <c r="G177" s="28">
        <f>SUM(G132:G175)</f>
        <v>61792.82706716659</v>
      </c>
      <c r="H177" s="28">
        <f t="shared" si="41"/>
        <v>5092.550898077884</v>
      </c>
      <c r="I177" s="28">
        <f t="shared" si="41"/>
        <v>125694.81400363064</v>
      </c>
      <c r="J177" s="28">
        <f t="shared" si="41"/>
        <v>54956.61691881184</v>
      </c>
      <c r="K177" s="28">
        <f t="shared" si="41"/>
        <v>2706.4795364749834</v>
      </c>
      <c r="L177" s="28">
        <f t="shared" si="41"/>
        <v>197.39796629299317</v>
      </c>
      <c r="M177" s="68">
        <f t="shared" si="40"/>
        <v>634306</v>
      </c>
      <c r="N177" s="16"/>
      <c r="O177" s="16"/>
      <c r="P177" s="16"/>
    </row>
    <row r="178" spans="1:16" ht="13.5" thickTop="1">
      <c r="A178" s="16"/>
      <c r="B178" s="16"/>
      <c r="C178" s="17"/>
      <c r="D178" s="17"/>
      <c r="E178" s="16"/>
      <c r="F178" s="15"/>
      <c r="G178" s="15"/>
      <c r="H178" s="15"/>
      <c r="I178" s="15"/>
      <c r="J178" s="15"/>
      <c r="K178" s="15"/>
      <c r="L178" s="15"/>
      <c r="M178" s="68">
        <f t="shared" si="40"/>
        <v>0</v>
      </c>
      <c r="N178" s="16"/>
      <c r="O178" s="16"/>
      <c r="P178" s="16"/>
    </row>
    <row r="179" spans="1:16" ht="12.75">
      <c r="A179" s="30" t="s">
        <v>322</v>
      </c>
      <c r="B179" s="31"/>
      <c r="C179" s="32"/>
      <c r="D179" s="33">
        <f aca="true" t="shared" si="42" ref="D179:L179">+D16+D42+D76+D103+D127+D177</f>
        <v>2079949</v>
      </c>
      <c r="E179" s="33">
        <f t="shared" si="42"/>
        <v>1044748.9558909244</v>
      </c>
      <c r="F179" s="33">
        <f t="shared" si="42"/>
        <v>223701.99398410213</v>
      </c>
      <c r="G179" s="33">
        <f t="shared" si="42"/>
        <v>181651.8091430789</v>
      </c>
      <c r="H179" s="33">
        <f t="shared" si="42"/>
        <v>15508.954616129766</v>
      </c>
      <c r="I179" s="33">
        <f t="shared" si="42"/>
        <v>424677.81400363066</v>
      </c>
      <c r="J179" s="33">
        <f t="shared" si="42"/>
        <v>180334.61691881184</v>
      </c>
      <c r="K179" s="33">
        <f t="shared" si="42"/>
        <v>8678.800221398706</v>
      </c>
      <c r="L179" s="33">
        <f t="shared" si="42"/>
        <v>646.0552219235773</v>
      </c>
      <c r="M179" s="68">
        <f t="shared" si="40"/>
        <v>2079949</v>
      </c>
      <c r="N179" s="15"/>
      <c r="O179" s="16"/>
      <c r="P179" s="16"/>
    </row>
    <row r="180" spans="1:16" ht="12.75">
      <c r="A180" s="30"/>
      <c r="B180" s="31"/>
      <c r="C180" s="32"/>
      <c r="D180" s="33"/>
      <c r="E180" s="33"/>
      <c r="F180" s="33"/>
      <c r="G180" s="33"/>
      <c r="H180" s="33"/>
      <c r="I180" s="33"/>
      <c r="J180" s="33"/>
      <c r="K180" s="33"/>
      <c r="L180" s="33"/>
      <c r="M180" s="68"/>
      <c r="N180" s="15"/>
      <c r="O180" s="16"/>
      <c r="P180" s="16"/>
    </row>
    <row r="181" spans="1:16" ht="12.75">
      <c r="A181" s="35" t="s">
        <v>643</v>
      </c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68">
        <f t="shared" si="40"/>
        <v>0</v>
      </c>
      <c r="N181" s="15"/>
      <c r="O181" s="15"/>
      <c r="P181" s="15"/>
    </row>
    <row r="182" spans="1:16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68"/>
      <c r="N182" s="15"/>
      <c r="O182" s="15"/>
      <c r="P182" s="15"/>
    </row>
    <row r="183" spans="1:16" ht="12.75">
      <c r="A183" s="16" t="s">
        <v>254</v>
      </c>
      <c r="B183" s="16" t="s">
        <v>255</v>
      </c>
      <c r="C183" s="17" t="s">
        <v>592</v>
      </c>
      <c r="D183" s="17">
        <v>76404</v>
      </c>
      <c r="E183" s="67">
        <f>+D183*0.48</f>
        <v>36673.92</v>
      </c>
      <c r="F183" s="67">
        <f>+D183*0.12</f>
        <v>9168.48</v>
      </c>
      <c r="G183" s="67">
        <f>+D183*0.29</f>
        <v>22157.16</v>
      </c>
      <c r="H183" s="67">
        <f>+D183*0.06</f>
        <v>4584.24</v>
      </c>
      <c r="I183" s="67">
        <f>+D183*0.02</f>
        <v>1528.08</v>
      </c>
      <c r="J183" s="67">
        <f>+D183*0.01</f>
        <v>764.04</v>
      </c>
      <c r="K183" s="67">
        <f>+D183*0.019</f>
        <v>1451.676</v>
      </c>
      <c r="L183" s="67">
        <f>+D183*0.001</f>
        <v>76.404</v>
      </c>
      <c r="M183" s="68">
        <f>SUM(E183:L183)</f>
        <v>76404</v>
      </c>
      <c r="N183" s="15"/>
      <c r="O183" s="15"/>
      <c r="P183" s="15"/>
    </row>
    <row r="184" spans="1:16" ht="12.75">
      <c r="A184" s="15" t="s">
        <v>644</v>
      </c>
      <c r="B184" s="15" t="s">
        <v>645</v>
      </c>
      <c r="C184" s="122" t="s">
        <v>592</v>
      </c>
      <c r="D184" s="69">
        <v>412208</v>
      </c>
      <c r="E184" s="69">
        <f>+D184*0.48</f>
        <v>197859.84</v>
      </c>
      <c r="F184" s="69">
        <f>+D184*0.12</f>
        <v>49464.96</v>
      </c>
      <c r="G184" s="69">
        <f>+D184*0.29</f>
        <v>119540.31999999999</v>
      </c>
      <c r="H184" s="69">
        <f>+D184*0.06</f>
        <v>24732.48</v>
      </c>
      <c r="I184" s="69">
        <f>+D184*0.02</f>
        <v>8244.16</v>
      </c>
      <c r="J184" s="69">
        <f>+D184*0.01</f>
        <v>4122.08</v>
      </c>
      <c r="K184" s="69">
        <f>+D184*0.019</f>
        <v>7831.952</v>
      </c>
      <c r="L184" s="69">
        <f>+D184*0.001</f>
        <v>412.208</v>
      </c>
      <c r="M184" s="68">
        <f>SUM(E184:L184)</f>
        <v>412207.99999999994</v>
      </c>
      <c r="N184" s="15"/>
      <c r="O184" s="15"/>
      <c r="P184" s="15"/>
    </row>
    <row r="185" spans="1:16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68"/>
      <c r="N185" s="15"/>
      <c r="O185" s="15"/>
      <c r="P185" s="15"/>
    </row>
    <row r="186" spans="1:16" ht="13.5" thickBot="1">
      <c r="A186" s="35" t="s">
        <v>646</v>
      </c>
      <c r="B186" s="35"/>
      <c r="C186" s="35"/>
      <c r="D186" s="116">
        <f aca="true" t="shared" si="43" ref="D186:L186">+D183+D184</f>
        <v>488612</v>
      </c>
      <c r="E186" s="116">
        <f t="shared" si="43"/>
        <v>234533.76</v>
      </c>
      <c r="F186" s="116">
        <f t="shared" si="43"/>
        <v>58633.44</v>
      </c>
      <c r="G186" s="116">
        <f t="shared" si="43"/>
        <v>141697.47999999998</v>
      </c>
      <c r="H186" s="116">
        <f t="shared" si="43"/>
        <v>29316.72</v>
      </c>
      <c r="I186" s="116">
        <f t="shared" si="43"/>
        <v>9772.24</v>
      </c>
      <c r="J186" s="116">
        <f t="shared" si="43"/>
        <v>4886.12</v>
      </c>
      <c r="K186" s="116">
        <f t="shared" si="43"/>
        <v>9283.628</v>
      </c>
      <c r="L186" s="116">
        <f t="shared" si="43"/>
        <v>488.612</v>
      </c>
      <c r="M186" s="68"/>
      <c r="N186" s="15"/>
      <c r="O186" s="15"/>
      <c r="P186" s="15"/>
    </row>
    <row r="187" spans="1:16" ht="13.5" thickTop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68"/>
      <c r="N187" s="15"/>
      <c r="O187" s="15"/>
      <c r="P187" s="15"/>
    </row>
    <row r="188" spans="1:14" ht="13.5" thickBot="1">
      <c r="A188" s="35" t="s">
        <v>474</v>
      </c>
      <c r="D188" s="116">
        <f aca="true" t="shared" si="44" ref="D188:M188">+D179+D186</f>
        <v>2568561</v>
      </c>
      <c r="E188" s="116">
        <f t="shared" si="44"/>
        <v>1279282.7158909244</v>
      </c>
      <c r="F188" s="116">
        <f t="shared" si="44"/>
        <v>282335.4339841021</v>
      </c>
      <c r="G188" s="116">
        <f t="shared" si="44"/>
        <v>323349.28914307884</v>
      </c>
      <c r="H188" s="116">
        <f t="shared" si="44"/>
        <v>44825.67461612976</v>
      </c>
      <c r="I188" s="116">
        <f t="shared" si="44"/>
        <v>434450.05400363065</v>
      </c>
      <c r="J188" s="116">
        <f t="shared" si="44"/>
        <v>185220.73691881183</v>
      </c>
      <c r="K188" s="116">
        <f t="shared" si="44"/>
        <v>17962.428221398706</v>
      </c>
      <c r="L188" s="116">
        <f t="shared" si="44"/>
        <v>1134.6672219235772</v>
      </c>
      <c r="M188" s="116">
        <f t="shared" si="44"/>
        <v>2079949</v>
      </c>
      <c r="N188" s="72">
        <f>SUM(E188:L188)</f>
        <v>2568560.9999999995</v>
      </c>
    </row>
    <row r="189" spans="1:14" ht="13.5" thickTop="1">
      <c r="A189" s="35"/>
      <c r="D189" s="120"/>
      <c r="E189" s="120"/>
      <c r="F189" s="120"/>
      <c r="G189" s="120"/>
      <c r="H189" s="120"/>
      <c r="I189" s="120"/>
      <c r="J189" s="120"/>
      <c r="K189" s="120"/>
      <c r="L189" s="120"/>
      <c r="M189" s="68"/>
      <c r="N189" s="72"/>
    </row>
    <row r="190" spans="1:14" ht="12.75">
      <c r="A190" s="35" t="s">
        <v>648</v>
      </c>
      <c r="D190" s="120"/>
      <c r="E190" s="120"/>
      <c r="F190" s="120"/>
      <c r="G190" s="120"/>
      <c r="H190" s="120"/>
      <c r="I190" s="120"/>
      <c r="J190" s="120"/>
      <c r="K190" s="120"/>
      <c r="L190" s="120"/>
      <c r="M190" s="68"/>
      <c r="N190" s="72"/>
    </row>
    <row r="191" spans="1:14" ht="12.75">
      <c r="A191" s="35"/>
      <c r="D191" s="120"/>
      <c r="E191" s="120"/>
      <c r="F191" s="120"/>
      <c r="G191" s="120"/>
      <c r="H191" s="120"/>
      <c r="I191" s="120"/>
      <c r="J191" s="120"/>
      <c r="K191" s="120"/>
      <c r="L191" s="120"/>
      <c r="M191" s="68"/>
      <c r="N191" s="72"/>
    </row>
    <row r="192" spans="1:14" ht="12.75">
      <c r="A192" s="15" t="s">
        <v>562</v>
      </c>
      <c r="B192" s="35"/>
      <c r="C192" s="122" t="s">
        <v>477</v>
      </c>
      <c r="D192" s="67">
        <v>-389</v>
      </c>
      <c r="E192" s="67">
        <f aca="true" t="shared" si="45" ref="E192:E198">+D192*$E$106</f>
        <v>-192.7589443501541</v>
      </c>
      <c r="F192" s="67">
        <f aca="true" t="shared" si="46" ref="F192:F198">+D192*$F$106</f>
        <v>-41.21645330973396</v>
      </c>
      <c r="G192" s="67">
        <f aca="true" t="shared" si="47" ref="G192:G198">+D192*$G$106</f>
        <v>-31.703039077953566</v>
      </c>
      <c r="H192" s="67">
        <f aca="true" t="shared" si="48" ref="H192:H198">+D192*$H$106</f>
        <v>-2.755168185192733</v>
      </c>
      <c r="I192" s="67">
        <f aca="true" t="shared" si="49" ref="I192:I198">+D192*$I$106</f>
        <v>-83.74831735598605</v>
      </c>
      <c r="J192" s="67">
        <f aca="true" t="shared" si="50" ref="J192:J198">+D192*$J$106</f>
        <v>-35.11971093158748</v>
      </c>
      <c r="K192" s="67">
        <f aca="true" t="shared" si="51" ref="K192:K198">+D192*$K$106</f>
        <v>-1.5796956788794423</v>
      </c>
      <c r="L192" s="67">
        <f aca="true" t="shared" si="52" ref="L192:L198">+D192*$L$106</f>
        <v>-0.1186711105126457</v>
      </c>
      <c r="M192" s="68">
        <f aca="true" t="shared" si="53" ref="M192:M202">SUM(E192:L192)</f>
        <v>-389</v>
      </c>
      <c r="N192" s="72"/>
    </row>
    <row r="193" spans="1:14" ht="12.75">
      <c r="A193" s="15" t="s">
        <v>581</v>
      </c>
      <c r="B193" s="35"/>
      <c r="C193" s="122" t="s">
        <v>477</v>
      </c>
      <c r="D193" s="67">
        <v>-126927</v>
      </c>
      <c r="E193" s="67">
        <f t="shared" si="45"/>
        <v>-62895.4101016247</v>
      </c>
      <c r="F193" s="67">
        <f t="shared" si="46"/>
        <v>-13448.53668186273</v>
      </c>
      <c r="G193" s="67">
        <f t="shared" si="47"/>
        <v>-10344.40010552034</v>
      </c>
      <c r="H193" s="67">
        <f t="shared" si="48"/>
        <v>-898.9851728585038</v>
      </c>
      <c r="I193" s="67">
        <f t="shared" si="49"/>
        <v>-27326.279375432496</v>
      </c>
      <c r="J193" s="67">
        <f t="shared" si="50"/>
        <v>-11459.227633453993</v>
      </c>
      <c r="K193" s="67">
        <f t="shared" si="51"/>
        <v>-515.439674635298</v>
      </c>
      <c r="L193" s="67">
        <f t="shared" si="52"/>
        <v>-38.72125461192437</v>
      </c>
      <c r="M193" s="68">
        <f t="shared" si="53"/>
        <v>-126926.99999999999</v>
      </c>
      <c r="N193" s="72"/>
    </row>
    <row r="194" spans="1:14" ht="12.75">
      <c r="A194" s="15" t="s">
        <v>647</v>
      </c>
      <c r="B194" s="15"/>
      <c r="C194" s="122" t="s">
        <v>592</v>
      </c>
      <c r="D194" s="17">
        <v>452136</v>
      </c>
      <c r="E194" s="67">
        <f>+D194*0.48</f>
        <v>217025.28</v>
      </c>
      <c r="F194" s="67">
        <f>+D194*0.12</f>
        <v>54256.32</v>
      </c>
      <c r="G194" s="67">
        <f>+D194*0.29</f>
        <v>131119.44</v>
      </c>
      <c r="H194" s="67">
        <f>+D194*0.06</f>
        <v>27128.16</v>
      </c>
      <c r="I194" s="67">
        <f>+D194*0.02</f>
        <v>9042.72</v>
      </c>
      <c r="J194" s="67">
        <f>+D194*0.01</f>
        <v>4521.36</v>
      </c>
      <c r="K194" s="67">
        <f>+D194*0.019</f>
        <v>8590.583999999999</v>
      </c>
      <c r="L194" s="67">
        <f>+D194*0.001</f>
        <v>452.136</v>
      </c>
      <c r="M194" s="68">
        <f t="shared" si="53"/>
        <v>452135.9999999999</v>
      </c>
      <c r="N194" s="72"/>
    </row>
    <row r="195" spans="1:14" ht="12.75">
      <c r="A195" s="15" t="s">
        <v>582</v>
      </c>
      <c r="B195" s="35"/>
      <c r="C195" s="122" t="s">
        <v>477</v>
      </c>
      <c r="D195" s="67">
        <v>-6419</v>
      </c>
      <c r="E195" s="67">
        <f t="shared" si="45"/>
        <v>-3180.7703439168104</v>
      </c>
      <c r="F195" s="67">
        <f t="shared" si="46"/>
        <v>-680.1244570570238</v>
      </c>
      <c r="G195" s="67">
        <f t="shared" si="47"/>
        <v>-523.1408941937891</v>
      </c>
      <c r="H195" s="67">
        <f t="shared" si="48"/>
        <v>-45.46381640296183</v>
      </c>
      <c r="I195" s="67">
        <f t="shared" si="49"/>
        <v>-1381.9548820258983</v>
      </c>
      <c r="J195" s="67">
        <f t="shared" si="50"/>
        <v>-579.520371387815</v>
      </c>
      <c r="K195" s="67">
        <f t="shared" si="51"/>
        <v>-26.067009158681593</v>
      </c>
      <c r="L195" s="67">
        <f t="shared" si="52"/>
        <v>-1.9582258570197242</v>
      </c>
      <c r="M195" s="68">
        <f t="shared" si="53"/>
        <v>-6418.999999999999</v>
      </c>
      <c r="N195" s="72"/>
    </row>
    <row r="196" spans="1:14" ht="12.75">
      <c r="A196" s="15" t="s">
        <v>602</v>
      </c>
      <c r="B196" s="35"/>
      <c r="C196" s="122" t="s">
        <v>430</v>
      </c>
      <c r="D196" s="67">
        <v>-276537</v>
      </c>
      <c r="E196" s="67">
        <f>+D196*$E$107</f>
        <v>-197329.40109179405</v>
      </c>
      <c r="F196" s="67">
        <f>+D196*$F$107</f>
        <v>-42193.72581727459</v>
      </c>
      <c r="G196" s="67">
        <f>+D196*$G$107</f>
        <v>-32454.741517354225</v>
      </c>
      <c r="H196" s="67">
        <f>+D196*$H$107</f>
        <v>-2820.4952549627947</v>
      </c>
      <c r="I196" s="67">
        <f>+D196*$I$107</f>
        <v>0</v>
      </c>
      <c r="J196" s="67">
        <f>+D196*$I$107</f>
        <v>0</v>
      </c>
      <c r="K196" s="67">
        <f>+D196*$K$107</f>
        <v>-1617.1514285444678</v>
      </c>
      <c r="L196" s="67">
        <f>+D196*$L$107</f>
        <v>-121.4848900698483</v>
      </c>
      <c r="M196" s="68">
        <f t="shared" si="53"/>
        <v>-276537.00000000006</v>
      </c>
      <c r="N196" t="s">
        <v>563</v>
      </c>
    </row>
    <row r="197" spans="1:14" ht="12.75">
      <c r="A197" s="15" t="s">
        <v>603</v>
      </c>
      <c r="B197" s="35"/>
      <c r="C197" s="122" t="s">
        <v>477</v>
      </c>
      <c r="D197" s="67">
        <v>-2734</v>
      </c>
      <c r="E197" s="67">
        <f t="shared" si="45"/>
        <v>-1354.7633775149648</v>
      </c>
      <c r="F197" s="67">
        <f t="shared" si="46"/>
        <v>-289.68067698923556</v>
      </c>
      <c r="G197" s="67">
        <f t="shared" si="47"/>
        <v>-222.8177605118896</v>
      </c>
      <c r="H197" s="67">
        <f t="shared" si="48"/>
        <v>-19.36408693654738</v>
      </c>
      <c r="I197" s="67">
        <f t="shared" si="49"/>
        <v>-588.6064258387297</v>
      </c>
      <c r="J197" s="67">
        <f t="shared" si="50"/>
        <v>-246.83107888678705</v>
      </c>
      <c r="K197" s="67">
        <f t="shared" si="51"/>
        <v>-11.102539809913612</v>
      </c>
      <c r="L197" s="67">
        <f t="shared" si="52"/>
        <v>-0.8340535119320651</v>
      </c>
      <c r="M197" s="68">
        <f t="shared" si="53"/>
        <v>-2733.9999999999995</v>
      </c>
      <c r="N197" t="s">
        <v>567</v>
      </c>
    </row>
    <row r="198" spans="1:14" ht="12.75">
      <c r="A198" s="15" t="s">
        <v>604</v>
      </c>
      <c r="B198" s="35"/>
      <c r="C198" s="122" t="s">
        <v>477</v>
      </c>
      <c r="D198" s="67">
        <v>-28609</v>
      </c>
      <c r="E198" s="67">
        <f t="shared" si="45"/>
        <v>-14176.45408461069</v>
      </c>
      <c r="F198" s="67">
        <f t="shared" si="46"/>
        <v>-3031.2635288899196</v>
      </c>
      <c r="G198" s="67">
        <f t="shared" si="47"/>
        <v>-2331.5996014940197</v>
      </c>
      <c r="H198" s="67">
        <f t="shared" si="48"/>
        <v>-202.6288087665267</v>
      </c>
      <c r="I198" s="67">
        <f t="shared" si="49"/>
        <v>-6159.268923489472</v>
      </c>
      <c r="J198" s="67">
        <f t="shared" si="50"/>
        <v>-2582.8786890534348</v>
      </c>
      <c r="K198" s="67">
        <f t="shared" si="51"/>
        <v>-116.17869839861687</v>
      </c>
      <c r="L198" s="67">
        <f t="shared" si="52"/>
        <v>-8.727665297316918</v>
      </c>
      <c r="M198" s="68">
        <f t="shared" si="53"/>
        <v>-28608.999999999996</v>
      </c>
      <c r="N198" t="s">
        <v>566</v>
      </c>
    </row>
    <row r="199" spans="1:14" ht="12.75">
      <c r="A199" s="15" t="s">
        <v>605</v>
      </c>
      <c r="B199" s="35"/>
      <c r="C199" s="122" t="s">
        <v>485</v>
      </c>
      <c r="D199" s="67">
        <v>-7128</v>
      </c>
      <c r="E199" s="34">
        <v>0</v>
      </c>
      <c r="F199" s="34">
        <v>0</v>
      </c>
      <c r="G199" s="34">
        <v>0</v>
      </c>
      <c r="H199" s="34">
        <v>0</v>
      </c>
      <c r="I199" s="67">
        <v>-7128</v>
      </c>
      <c r="J199" s="119">
        <v>0</v>
      </c>
      <c r="K199" s="119">
        <v>0</v>
      </c>
      <c r="L199" s="119">
        <v>0</v>
      </c>
      <c r="M199" s="68">
        <f t="shared" si="53"/>
        <v>-7128</v>
      </c>
      <c r="N199" t="s">
        <v>568</v>
      </c>
    </row>
    <row r="200" spans="1:14" ht="12.75">
      <c r="A200" s="15" t="s">
        <v>606</v>
      </c>
      <c r="B200" s="35"/>
      <c r="C200" s="122" t="s">
        <v>422</v>
      </c>
      <c r="D200" s="67">
        <v>-71486</v>
      </c>
      <c r="E200" s="34">
        <v>-71486</v>
      </c>
      <c r="F200" s="34">
        <v>0</v>
      </c>
      <c r="G200" s="34">
        <v>0</v>
      </c>
      <c r="H200" s="34">
        <v>0</v>
      </c>
      <c r="I200" s="67">
        <v>0</v>
      </c>
      <c r="J200" s="119">
        <v>0</v>
      </c>
      <c r="K200" s="119">
        <v>0</v>
      </c>
      <c r="L200" s="119">
        <v>0</v>
      </c>
      <c r="M200" s="68">
        <f t="shared" si="53"/>
        <v>-71486</v>
      </c>
      <c r="N200" t="s">
        <v>565</v>
      </c>
    </row>
    <row r="201" spans="1:14" ht="12.75">
      <c r="A201" s="15" t="s">
        <v>607</v>
      </c>
      <c r="B201" s="35"/>
      <c r="C201" s="122" t="s">
        <v>485</v>
      </c>
      <c r="D201" s="67">
        <v>-177105</v>
      </c>
      <c r="E201" s="34">
        <v>0</v>
      </c>
      <c r="F201" s="34">
        <v>0</v>
      </c>
      <c r="G201" s="34">
        <v>0</v>
      </c>
      <c r="H201" s="34">
        <v>0</v>
      </c>
      <c r="I201" s="67">
        <v>-177105</v>
      </c>
      <c r="J201" s="119">
        <v>0</v>
      </c>
      <c r="K201" s="119">
        <v>0</v>
      </c>
      <c r="L201" s="119">
        <v>0</v>
      </c>
      <c r="M201" s="68">
        <f t="shared" si="53"/>
        <v>-177105</v>
      </c>
      <c r="N201" t="s">
        <v>564</v>
      </c>
    </row>
    <row r="202" spans="1:14" ht="12.75">
      <c r="A202" s="15" t="s">
        <v>608</v>
      </c>
      <c r="B202" s="35"/>
      <c r="C202" s="122" t="s">
        <v>485</v>
      </c>
      <c r="D202" s="69">
        <v>-7102</v>
      </c>
      <c r="E202" s="74">
        <v>0</v>
      </c>
      <c r="F202" s="74">
        <v>0</v>
      </c>
      <c r="G202" s="74">
        <v>0</v>
      </c>
      <c r="H202" s="74">
        <v>0</v>
      </c>
      <c r="I202" s="69">
        <v>-7102</v>
      </c>
      <c r="J202" s="166">
        <v>0</v>
      </c>
      <c r="K202" s="166">
        <v>0</v>
      </c>
      <c r="L202" s="166">
        <v>0</v>
      </c>
      <c r="M202" s="68">
        <f t="shared" si="53"/>
        <v>-7102</v>
      </c>
      <c r="N202" t="s">
        <v>564</v>
      </c>
    </row>
    <row r="203" spans="13:14" ht="12.75">
      <c r="M203" s="68">
        <f>SUM(E145:L145)</f>
        <v>-535</v>
      </c>
      <c r="N203" s="72"/>
    </row>
    <row r="204" spans="1:14" ht="13.5" thickBot="1">
      <c r="A204" s="35" t="s">
        <v>569</v>
      </c>
      <c r="B204" s="35"/>
      <c r="C204" s="35"/>
      <c r="D204" s="77">
        <f aca="true" t="shared" si="54" ref="D204:L204">SUM(D192:D203)</f>
        <v>-252300</v>
      </c>
      <c r="E204" s="116">
        <f t="shared" si="54"/>
        <v>-133590.27794381138</v>
      </c>
      <c r="F204" s="116">
        <f t="shared" si="54"/>
        <v>-5428.2276153832445</v>
      </c>
      <c r="G204" s="116">
        <f t="shared" si="54"/>
        <v>85211.0370818478</v>
      </c>
      <c r="H204" s="116">
        <f t="shared" si="54"/>
        <v>23138.467691887472</v>
      </c>
      <c r="I204" s="116">
        <f t="shared" si="54"/>
        <v>-217832.1379241426</v>
      </c>
      <c r="J204" s="116">
        <f t="shared" si="54"/>
        <v>-10382.217483713619</v>
      </c>
      <c r="K204" s="116">
        <f t="shared" si="54"/>
        <v>6303.064953774141</v>
      </c>
      <c r="L204" s="116">
        <f t="shared" si="54"/>
        <v>280.291239541446</v>
      </c>
      <c r="M204" s="68">
        <f>SUM(E204:L204)</f>
        <v>-252300</v>
      </c>
      <c r="N204" s="72"/>
    </row>
    <row r="205" spans="5:13" ht="13.5" thickTop="1">
      <c r="E205" s="34"/>
      <c r="F205" s="34"/>
      <c r="G205" s="34"/>
      <c r="H205" s="34"/>
      <c r="I205" s="34"/>
      <c r="J205" s="34"/>
      <c r="K205" s="34"/>
      <c r="L205" s="34"/>
      <c r="M205" s="68">
        <f aca="true" t="shared" si="55" ref="M205:M257">SUM(E205:L205)</f>
        <v>0</v>
      </c>
    </row>
    <row r="206" spans="1:13" ht="12.75">
      <c r="A206" s="35" t="s">
        <v>475</v>
      </c>
      <c r="E206" s="34"/>
      <c r="F206" s="34"/>
      <c r="G206" s="34"/>
      <c r="H206" s="34"/>
      <c r="I206" s="34"/>
      <c r="J206" s="34"/>
      <c r="K206" s="34"/>
      <c r="L206" s="34"/>
      <c r="M206" s="68">
        <f t="shared" si="55"/>
        <v>0</v>
      </c>
    </row>
    <row r="207" spans="5:13" ht="12.75">
      <c r="E207" s="34"/>
      <c r="F207" s="34"/>
      <c r="G207" s="34"/>
      <c r="H207" s="34"/>
      <c r="I207" s="34"/>
      <c r="J207" s="34"/>
      <c r="K207" s="34"/>
      <c r="L207" s="34"/>
      <c r="M207" s="68">
        <f t="shared" si="55"/>
        <v>0</v>
      </c>
    </row>
    <row r="208" spans="1:13" ht="12.75">
      <c r="A208" s="179" t="s">
        <v>609</v>
      </c>
      <c r="B208" s="179"/>
      <c r="C208" s="78" t="s">
        <v>477</v>
      </c>
      <c r="D208" s="121">
        <v>11792</v>
      </c>
      <c r="E208" s="67">
        <f>+D208*$E$106</f>
        <v>5843.222292485905</v>
      </c>
      <c r="F208" s="67">
        <f>+D208*$F$106</f>
        <v>1249.4200962169225</v>
      </c>
      <c r="G208" s="67">
        <f>+D208*$G$106</f>
        <v>961.0340277820783</v>
      </c>
      <c r="H208" s="67">
        <f>+D208*$H$106</f>
        <v>83.51913429252623</v>
      </c>
      <c r="I208" s="67">
        <f>+D208*$I$106</f>
        <v>2538.71505979894</v>
      </c>
      <c r="J208" s="67">
        <f>+D208*$J$106</f>
        <v>1064.6057360032892</v>
      </c>
      <c r="K208" s="67">
        <f>+D208*$K$106</f>
        <v>47.88630191605754</v>
      </c>
      <c r="L208" s="67">
        <f>+D208*$L$106</f>
        <v>3.597351504280509</v>
      </c>
      <c r="M208" s="68">
        <f t="shared" si="55"/>
        <v>11792</v>
      </c>
    </row>
    <row r="209" spans="1:14" ht="12.75">
      <c r="A209" s="107" t="s">
        <v>652</v>
      </c>
      <c r="B209" s="107"/>
      <c r="C209" s="78" t="s">
        <v>490</v>
      </c>
      <c r="D209" s="121">
        <v>39294</v>
      </c>
      <c r="E209" s="105">
        <f>+(D209-(H209+I209+J209))*0.49</f>
        <v>12566.05</v>
      </c>
      <c r="F209" s="105">
        <f>+(D209-(H209+I209+J209))*0.11</f>
        <v>2820.95</v>
      </c>
      <c r="G209" s="105">
        <f>+(D209-(H209+I209+J209))*0.38</f>
        <v>9745.1</v>
      </c>
      <c r="H209" s="68">
        <v>0</v>
      </c>
      <c r="I209" s="68">
        <v>10009</v>
      </c>
      <c r="J209" s="68">
        <v>3640</v>
      </c>
      <c r="K209" s="105">
        <f>+(D209-(H209+I209+J209))*0.019</f>
        <v>487.255</v>
      </c>
      <c r="L209" s="105">
        <f>+(D209-(H209+I209+J209))*0.001</f>
        <v>25.645</v>
      </c>
      <c r="M209" s="68">
        <f>SUM(E209:L209)</f>
        <v>39293.99999999999</v>
      </c>
      <c r="N209" s="72"/>
    </row>
    <row r="210" spans="1:13" ht="12.75">
      <c r="A210" s="179" t="s">
        <v>653</v>
      </c>
      <c r="B210" s="179"/>
      <c r="C210" s="78" t="s">
        <v>485</v>
      </c>
      <c r="D210" s="34">
        <v>45142.28</v>
      </c>
      <c r="E210" s="34">
        <v>0</v>
      </c>
      <c r="F210" s="34">
        <v>0</v>
      </c>
      <c r="G210" s="34">
        <v>0</v>
      </c>
      <c r="H210" s="34">
        <v>0</v>
      </c>
      <c r="I210" s="34">
        <v>45142</v>
      </c>
      <c r="J210" s="34">
        <v>0</v>
      </c>
      <c r="K210" s="34">
        <v>0</v>
      </c>
      <c r="L210" s="34">
        <v>0</v>
      </c>
      <c r="M210" s="68">
        <f t="shared" si="55"/>
        <v>45142</v>
      </c>
    </row>
    <row r="211" spans="1:13" ht="12.75">
      <c r="A211" s="179" t="s">
        <v>654</v>
      </c>
      <c r="B211" s="179"/>
      <c r="C211" s="78" t="s">
        <v>485</v>
      </c>
      <c r="D211" s="34">
        <v>31605</v>
      </c>
      <c r="E211" s="34">
        <v>0</v>
      </c>
      <c r="F211" s="71">
        <v>0</v>
      </c>
      <c r="G211" s="71">
        <v>0</v>
      </c>
      <c r="H211" s="71">
        <v>0</v>
      </c>
      <c r="I211" s="34">
        <v>31605</v>
      </c>
      <c r="J211" s="71">
        <v>0</v>
      </c>
      <c r="K211" s="71">
        <v>0</v>
      </c>
      <c r="L211" s="71">
        <v>0</v>
      </c>
      <c r="M211" s="68">
        <f t="shared" si="55"/>
        <v>31605</v>
      </c>
    </row>
    <row r="212" spans="1:13" ht="12.75">
      <c r="A212" s="107" t="s">
        <v>655</v>
      </c>
      <c r="B212" s="107"/>
      <c r="C212" s="78" t="s">
        <v>422</v>
      </c>
      <c r="D212" s="34">
        <v>7485</v>
      </c>
      <c r="E212" s="34">
        <v>7485</v>
      </c>
      <c r="F212" s="71">
        <v>0</v>
      </c>
      <c r="G212" s="71">
        <v>0</v>
      </c>
      <c r="H212" s="71">
        <v>0</v>
      </c>
      <c r="I212" s="34">
        <v>0</v>
      </c>
      <c r="J212" s="71">
        <v>0</v>
      </c>
      <c r="K212" s="71">
        <v>0</v>
      </c>
      <c r="L212" s="71">
        <v>0</v>
      </c>
      <c r="M212" s="68">
        <f>SUM(E212:L212)</f>
        <v>7485</v>
      </c>
    </row>
    <row r="213" spans="1:13" ht="12.75">
      <c r="A213" s="107" t="s">
        <v>656</v>
      </c>
      <c r="B213" s="107"/>
      <c r="C213" s="78" t="s">
        <v>477</v>
      </c>
      <c r="D213" s="34">
        <v>-101640</v>
      </c>
      <c r="E213" s="67">
        <f>+D213*$E$106</f>
        <v>-50365.087670307614</v>
      </c>
      <c r="F213" s="67">
        <f>+D213*$F$106</f>
        <v>-10769.25530694437</v>
      </c>
      <c r="G213" s="67">
        <f>+D213*$G$106</f>
        <v>-8283.539567823138</v>
      </c>
      <c r="H213" s="67">
        <f>+D213*$H$106</f>
        <v>-719.8850754318493</v>
      </c>
      <c r="I213" s="67">
        <f>+D213*$I$106</f>
        <v>-21882.20816468489</v>
      </c>
      <c r="J213" s="67">
        <f>+D213*$J$106</f>
        <v>-9176.265858834322</v>
      </c>
      <c r="K213" s="67">
        <f>+D213*$K$106</f>
        <v>-412.7513336794512</v>
      </c>
      <c r="L213" s="67">
        <f>+D213*$L$106</f>
        <v>-31.00702229435812</v>
      </c>
      <c r="M213" s="68">
        <f t="shared" si="55"/>
        <v>-101640</v>
      </c>
    </row>
    <row r="214" spans="1:13" ht="12.75">
      <c r="A214" s="107" t="s">
        <v>657</v>
      </c>
      <c r="B214" s="107"/>
      <c r="C214" s="78" t="s">
        <v>477</v>
      </c>
      <c r="D214" s="34">
        <v>33731</v>
      </c>
      <c r="E214" s="67">
        <f>+D214*$E$106</f>
        <v>16714.529439267477</v>
      </c>
      <c r="F214" s="67">
        <f>+D214*$F$106</f>
        <v>3573.9644899502214</v>
      </c>
      <c r="G214" s="67">
        <f>+D214*$G$106</f>
        <v>2749.0365324895934</v>
      </c>
      <c r="H214" s="67">
        <f>+D214*$H$106</f>
        <v>238.90637032065828</v>
      </c>
      <c r="I214" s="67">
        <f>+D214*$I$106</f>
        <v>7261.990983893998</v>
      </c>
      <c r="J214" s="67">
        <f>+D214*$J$106</f>
        <v>3045.303263324877</v>
      </c>
      <c r="K214" s="67">
        <f>+D214*$K$106</f>
        <v>136.97870165625312</v>
      </c>
      <c r="L214" s="67">
        <f>+D214*$L$106</f>
        <v>10.290219096920442</v>
      </c>
      <c r="M214" s="68">
        <f t="shared" si="55"/>
        <v>33731</v>
      </c>
    </row>
    <row r="215" spans="1:13" ht="12.75">
      <c r="A215" s="107" t="s">
        <v>658</v>
      </c>
      <c r="B215" s="107"/>
      <c r="C215" s="78" t="s">
        <v>477</v>
      </c>
      <c r="D215" s="121">
        <v>25540</v>
      </c>
      <c r="E215" s="67">
        <f>+D215*$E$106</f>
        <v>12655.690073786467</v>
      </c>
      <c r="F215" s="67">
        <f>+D215*$F$106</f>
        <v>2706.0879628036123</v>
      </c>
      <c r="G215" s="67">
        <f>+D215*$G$106</f>
        <v>2081.479737920139</v>
      </c>
      <c r="H215" s="67">
        <f>+D215*$H$106</f>
        <v>180.89201915121438</v>
      </c>
      <c r="I215" s="67">
        <f>+D215*$I$106</f>
        <v>5498.539910724637</v>
      </c>
      <c r="J215" s="67">
        <f>+D215*$J$106</f>
        <v>2305.8031290301906</v>
      </c>
      <c r="K215" s="67">
        <f>+D215*$K$106</f>
        <v>103.7157522842698</v>
      </c>
      <c r="L215" s="67">
        <f>+D215*$L$106</f>
        <v>7.791414299467792</v>
      </c>
      <c r="M215" s="68">
        <f>SUM(E215:L215)</f>
        <v>25539.999999999996</v>
      </c>
    </row>
    <row r="216" spans="1:13" ht="12.75">
      <c r="A216" s="176" t="s">
        <v>659</v>
      </c>
      <c r="B216" s="176"/>
      <c r="C216" s="78" t="s">
        <v>477</v>
      </c>
      <c r="D216" s="121">
        <v>-8121</v>
      </c>
      <c r="E216" s="67">
        <f>+D216*$E$106</f>
        <v>-4024.1526659835513</v>
      </c>
      <c r="F216" s="67">
        <f>+D216*$F$106</f>
        <v>-860.4596846487133</v>
      </c>
      <c r="G216" s="67">
        <f>+D216*$G$106</f>
        <v>-661.8518775117248</v>
      </c>
      <c r="H216" s="67">
        <f>+D216*$H$106</f>
        <v>-57.51856255000047</v>
      </c>
      <c r="I216" s="67">
        <f>+D216*$I$106</f>
        <v>-1748.3806818713695</v>
      </c>
      <c r="J216" s="67">
        <f>+D216*$J$106</f>
        <v>-733.1803919676655</v>
      </c>
      <c r="K216" s="67">
        <f>+D216*$K$106</f>
        <v>-32.97868536807185</v>
      </c>
      <c r="L216" s="67">
        <f>+D216*$L$106</f>
        <v>-2.4774500989028168</v>
      </c>
      <c r="M216" s="68">
        <f>SUM(E216:L242)</f>
        <v>1027150.0000000006</v>
      </c>
    </row>
    <row r="217" spans="1:13" ht="12.75">
      <c r="A217" s="179" t="s">
        <v>660</v>
      </c>
      <c r="B217" s="179"/>
      <c r="C217" s="78" t="s">
        <v>592</v>
      </c>
      <c r="D217" s="121">
        <v>-227125</v>
      </c>
      <c r="E217" s="67">
        <f>+D217*0.48</f>
        <v>-109020</v>
      </c>
      <c r="F217" s="67">
        <f>+D217*0.12</f>
        <v>-27255</v>
      </c>
      <c r="G217" s="67">
        <f>+D217*0.29</f>
        <v>-65866.25</v>
      </c>
      <c r="H217" s="67">
        <f>+D217*0.06</f>
        <v>-13627.5</v>
      </c>
      <c r="I217" s="67">
        <f>+D217*0.02</f>
        <v>-4542.5</v>
      </c>
      <c r="J217" s="67">
        <f>+D217*0.01</f>
        <v>-2271.25</v>
      </c>
      <c r="K217" s="67">
        <f>+D217*0.019</f>
        <v>-4315.375</v>
      </c>
      <c r="L217" s="67">
        <f>+D217*0.001</f>
        <v>-227.125</v>
      </c>
      <c r="M217" s="68">
        <f t="shared" si="55"/>
        <v>-227125</v>
      </c>
    </row>
    <row r="218" spans="1:13" ht="12.75">
      <c r="A218" s="107" t="s">
        <v>661</v>
      </c>
      <c r="B218" s="107"/>
      <c r="C218" s="78" t="s">
        <v>592</v>
      </c>
      <c r="D218" s="121">
        <v>-225011</v>
      </c>
      <c r="E218" s="67">
        <f>+D218*0.48</f>
        <v>-108005.28</v>
      </c>
      <c r="F218" s="67">
        <f>+D218*0.12</f>
        <v>-27001.32</v>
      </c>
      <c r="G218" s="67">
        <f>+D218*0.29</f>
        <v>-65253.189999999995</v>
      </c>
      <c r="H218" s="67">
        <f>+D218*0.06</f>
        <v>-13500.66</v>
      </c>
      <c r="I218" s="67">
        <f>+D218*0.02</f>
        <v>-4500.22</v>
      </c>
      <c r="J218" s="67">
        <f>+D218*0.01</f>
        <v>-2250.11</v>
      </c>
      <c r="K218" s="67">
        <f>+D218*0.019</f>
        <v>-4275.209</v>
      </c>
      <c r="L218" s="67">
        <f>+D218*0.001</f>
        <v>-225.011</v>
      </c>
      <c r="M218" s="68">
        <f t="shared" si="55"/>
        <v>-225011</v>
      </c>
    </row>
    <row r="219" spans="1:13" ht="12.75">
      <c r="A219" s="107" t="s">
        <v>662</v>
      </c>
      <c r="B219" s="107"/>
      <c r="C219" s="78" t="s">
        <v>592</v>
      </c>
      <c r="D219" s="121">
        <v>1461101</v>
      </c>
      <c r="E219" s="67">
        <f>+D219*0.48</f>
        <v>701328.48</v>
      </c>
      <c r="F219" s="67">
        <f>+D219*0.12</f>
        <v>175332.12</v>
      </c>
      <c r="G219" s="67">
        <f>+D219*0.29</f>
        <v>423719.29</v>
      </c>
      <c r="H219" s="67">
        <f>+D219*0.06</f>
        <v>87666.06</v>
      </c>
      <c r="I219" s="67">
        <f>+D219*0.02</f>
        <v>29222.02</v>
      </c>
      <c r="J219" s="67">
        <f>+D219*0.01</f>
        <v>14611.01</v>
      </c>
      <c r="K219" s="67">
        <f>+D219*0.019</f>
        <v>27760.918999999998</v>
      </c>
      <c r="L219" s="67">
        <f>+D219*0.001</f>
        <v>1461.101</v>
      </c>
      <c r="M219" s="68">
        <f>SUM(E219:L219)</f>
        <v>1461101</v>
      </c>
    </row>
    <row r="220" spans="1:13" ht="12.75">
      <c r="A220" s="107" t="s">
        <v>663</v>
      </c>
      <c r="B220" s="107"/>
      <c r="C220" s="78" t="s">
        <v>592</v>
      </c>
      <c r="D220" s="121">
        <v>-76404</v>
      </c>
      <c r="E220" s="67">
        <f>+D220*0.48</f>
        <v>-36673.92</v>
      </c>
      <c r="F220" s="67">
        <f>+D220*0.12</f>
        <v>-9168.48</v>
      </c>
      <c r="G220" s="67">
        <f>+D220*0.29</f>
        <v>-22157.16</v>
      </c>
      <c r="H220" s="67">
        <f>+D220*0.06</f>
        <v>-4584.24</v>
      </c>
      <c r="I220" s="67">
        <f>+D220*0.02</f>
        <v>-1528.08</v>
      </c>
      <c r="J220" s="67">
        <f>+D220*0.01</f>
        <v>-764.04</v>
      </c>
      <c r="K220" s="67">
        <f>+D220*0.019</f>
        <v>-1451.676</v>
      </c>
      <c r="L220" s="67">
        <f>+D220*0.001</f>
        <v>-76.404</v>
      </c>
      <c r="M220" s="68">
        <f>SUM(E220:L220)</f>
        <v>-76404</v>
      </c>
    </row>
    <row r="221" spans="1:13" ht="12.75">
      <c r="A221" s="131" t="s">
        <v>664</v>
      </c>
      <c r="B221" s="131"/>
      <c r="C221" s="78" t="s">
        <v>477</v>
      </c>
      <c r="D221" s="121">
        <v>-69396</v>
      </c>
      <c r="E221" s="67">
        <f>+D221*$E$106</f>
        <v>-34387.40283322184</v>
      </c>
      <c r="F221" s="67">
        <f>+D221*$F$106</f>
        <v>-7352.845742628015</v>
      </c>
      <c r="G221" s="67">
        <f>+D221*$G$106</f>
        <v>-5655.691773402739</v>
      </c>
      <c r="H221" s="67">
        <f>+D221*$H$106</f>
        <v>-491.51067192708194</v>
      </c>
      <c r="I221" s="67">
        <f>+D221*$I$106</f>
        <v>-14940.3553502211</v>
      </c>
      <c r="J221" s="67">
        <f>+D221*$J$106</f>
        <v>-6265.211978942017</v>
      </c>
      <c r="K221" s="67">
        <f>+D221*$K$106</f>
        <v>-281.81121164914595</v>
      </c>
      <c r="L221" s="67">
        <f>+D221*$L$106</f>
        <v>-21.170438008060568</v>
      </c>
      <c r="M221" s="68">
        <f>SUM(E221:L221)</f>
        <v>-69395.99999999999</v>
      </c>
    </row>
    <row r="222" spans="1:13" ht="12.75">
      <c r="A222" s="131" t="s">
        <v>665</v>
      </c>
      <c r="B222" s="131"/>
      <c r="C222" s="78" t="s">
        <v>592</v>
      </c>
      <c r="D222" s="121">
        <v>-412208</v>
      </c>
      <c r="E222" s="67">
        <f>+D222*0.48</f>
        <v>-197859.84</v>
      </c>
      <c r="F222" s="67">
        <f>+D222*0.12</f>
        <v>-49464.96</v>
      </c>
      <c r="G222" s="67">
        <f>+D222*0.29</f>
        <v>-119540.31999999999</v>
      </c>
      <c r="H222" s="67">
        <f>+D222*0.06</f>
        <v>-24732.48</v>
      </c>
      <c r="I222" s="67">
        <f>+D222*0.02</f>
        <v>-8244.16</v>
      </c>
      <c r="J222" s="67">
        <f>+D222*0.01</f>
        <v>-4122.08</v>
      </c>
      <c r="K222" s="67">
        <f>+D222*0.019</f>
        <v>-7831.952</v>
      </c>
      <c r="L222" s="67">
        <f>+D222*0.001</f>
        <v>-412.208</v>
      </c>
      <c r="M222" s="68">
        <f>SUM(E222:L222)</f>
        <v>-412207.99999999994</v>
      </c>
    </row>
    <row r="223" spans="1:13" ht="12.75">
      <c r="A223" s="175" t="s">
        <v>666</v>
      </c>
      <c r="B223" s="17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68"/>
    </row>
    <row r="224" spans="1:13" ht="12.75">
      <c r="A224" s="1">
        <v>303</v>
      </c>
      <c r="B224" t="s">
        <v>335</v>
      </c>
      <c r="D224" s="34">
        <v>0</v>
      </c>
      <c r="M224" s="68">
        <f aca="true" t="shared" si="56" ref="M224:M232">SUM(E224:L224)</f>
        <v>0</v>
      </c>
    </row>
    <row r="225" spans="1:13" ht="12.75">
      <c r="A225" s="1">
        <v>304</v>
      </c>
      <c r="B225" t="s">
        <v>323</v>
      </c>
      <c r="C225" s="78" t="s">
        <v>423</v>
      </c>
      <c r="D225" s="34">
        <v>47017</v>
      </c>
      <c r="E225" s="34">
        <f>+D225*0.82</f>
        <v>38553.939999999995</v>
      </c>
      <c r="F225" s="34">
        <f>+D225*0.18</f>
        <v>8463.06</v>
      </c>
      <c r="G225" s="71">
        <v>0</v>
      </c>
      <c r="H225" s="71">
        <v>0</v>
      </c>
      <c r="I225" s="71">
        <v>0</v>
      </c>
      <c r="J225" s="71">
        <v>0</v>
      </c>
      <c r="K225" s="71">
        <v>0</v>
      </c>
      <c r="L225" s="71">
        <v>0</v>
      </c>
      <c r="M225" s="68">
        <f t="shared" si="56"/>
        <v>47016.99999999999</v>
      </c>
    </row>
    <row r="226" spans="1:13" ht="12.75">
      <c r="A226" s="1">
        <v>307</v>
      </c>
      <c r="B226" t="s">
        <v>324</v>
      </c>
      <c r="C226" s="78" t="s">
        <v>423</v>
      </c>
      <c r="D226" s="34">
        <v>23431</v>
      </c>
      <c r="E226" s="34">
        <f>+D226*0.82</f>
        <v>19213.42</v>
      </c>
      <c r="F226" s="34">
        <f>+D226*0.18</f>
        <v>4217.58</v>
      </c>
      <c r="G226" s="71">
        <v>0</v>
      </c>
      <c r="H226" s="71">
        <v>0</v>
      </c>
      <c r="I226" s="71">
        <v>0</v>
      </c>
      <c r="J226" s="71">
        <v>0</v>
      </c>
      <c r="K226" s="71">
        <v>0</v>
      </c>
      <c r="L226" s="71">
        <v>0</v>
      </c>
      <c r="M226" s="68">
        <f t="shared" si="56"/>
        <v>23431</v>
      </c>
    </row>
    <row r="227" spans="1:13" ht="12.75">
      <c r="A227" s="1">
        <v>309</v>
      </c>
      <c r="B227" t="s">
        <v>325</v>
      </c>
      <c r="C227" s="78" t="s">
        <v>423</v>
      </c>
      <c r="D227" s="34">
        <v>31134</v>
      </c>
      <c r="E227" s="34">
        <f>+D227*0.82</f>
        <v>25529.879999999997</v>
      </c>
      <c r="F227" s="34">
        <f>+D227*0.18</f>
        <v>5604.12</v>
      </c>
      <c r="G227" s="71">
        <v>0</v>
      </c>
      <c r="H227" s="71">
        <v>0</v>
      </c>
      <c r="I227" s="71">
        <v>0</v>
      </c>
      <c r="J227" s="71">
        <v>0</v>
      </c>
      <c r="K227" s="71">
        <v>0</v>
      </c>
      <c r="L227" s="71">
        <v>0</v>
      </c>
      <c r="M227" s="68">
        <f t="shared" si="56"/>
        <v>31133.999999999996</v>
      </c>
    </row>
    <row r="228" spans="1:13" ht="12.75">
      <c r="A228" s="1">
        <v>311</v>
      </c>
      <c r="B228" t="s">
        <v>326</v>
      </c>
      <c r="C228" s="78" t="s">
        <v>424</v>
      </c>
      <c r="D228" s="34">
        <v>45221</v>
      </c>
      <c r="E228" s="67">
        <f>+D228*0.49</f>
        <v>22158.29</v>
      </c>
      <c r="F228" s="68">
        <f>+D228*0.11</f>
        <v>4974.31</v>
      </c>
      <c r="G228" s="68">
        <f>+D228*0.38</f>
        <v>17183.98</v>
      </c>
      <c r="H228" s="68">
        <v>0</v>
      </c>
      <c r="I228" s="68">
        <v>0</v>
      </c>
      <c r="J228" s="68">
        <v>0</v>
      </c>
      <c r="K228" s="68">
        <f>+D228*0.019</f>
        <v>859.199</v>
      </c>
      <c r="L228" s="68">
        <f>+D228*0.001</f>
        <v>45.221000000000004</v>
      </c>
      <c r="M228" s="68">
        <f t="shared" si="56"/>
        <v>45221</v>
      </c>
    </row>
    <row r="229" spans="1:13" ht="12.75">
      <c r="A229" s="1">
        <v>320</v>
      </c>
      <c r="B229" t="s">
        <v>336</v>
      </c>
      <c r="C229" s="78" t="s">
        <v>423</v>
      </c>
      <c r="D229" s="34">
        <v>25137</v>
      </c>
      <c r="E229" s="34">
        <f>+D229*0.82</f>
        <v>20612.34</v>
      </c>
      <c r="F229" s="34">
        <f>+D229*0.18</f>
        <v>4524.66</v>
      </c>
      <c r="G229" s="89">
        <v>0</v>
      </c>
      <c r="H229" s="89">
        <v>0</v>
      </c>
      <c r="I229" s="89">
        <v>0</v>
      </c>
      <c r="J229" s="89">
        <v>0</v>
      </c>
      <c r="K229" s="89">
        <v>0</v>
      </c>
      <c r="L229" s="89">
        <v>0</v>
      </c>
      <c r="M229" s="68">
        <f t="shared" si="56"/>
        <v>25137</v>
      </c>
    </row>
    <row r="230" spans="1:13" ht="12.75">
      <c r="A230" s="1">
        <v>330</v>
      </c>
      <c r="B230" t="s">
        <v>337</v>
      </c>
      <c r="C230" s="78" t="s">
        <v>429</v>
      </c>
      <c r="D230" s="34">
        <v>42023</v>
      </c>
      <c r="E230" s="67">
        <f>+D230*0.49</f>
        <v>20591.27</v>
      </c>
      <c r="F230" s="68">
        <v>0</v>
      </c>
      <c r="G230" s="68">
        <f>+D230*0.49</f>
        <v>20591.27</v>
      </c>
      <c r="H230" s="68">
        <v>0</v>
      </c>
      <c r="I230" s="68">
        <v>0</v>
      </c>
      <c r="J230" s="68">
        <v>0</v>
      </c>
      <c r="K230" s="68">
        <f>+D230*0.019</f>
        <v>798.437</v>
      </c>
      <c r="L230" s="68">
        <f>+D230*0.001</f>
        <v>42.023</v>
      </c>
      <c r="M230" s="68">
        <f t="shared" si="56"/>
        <v>42023</v>
      </c>
    </row>
    <row r="231" spans="1:13" ht="12.75">
      <c r="A231" s="1">
        <v>331</v>
      </c>
      <c r="B231" t="s">
        <v>327</v>
      </c>
      <c r="C231" s="78" t="s">
        <v>424</v>
      </c>
      <c r="D231" s="34">
        <v>233607</v>
      </c>
      <c r="E231" s="67">
        <f>+D231*0.49</f>
        <v>114467.43</v>
      </c>
      <c r="F231" s="68">
        <f>+D231*0.11</f>
        <v>25696.77</v>
      </c>
      <c r="G231" s="68">
        <f>+D231*0.38</f>
        <v>88770.66</v>
      </c>
      <c r="H231" s="68">
        <v>0</v>
      </c>
      <c r="I231" s="68">
        <v>0</v>
      </c>
      <c r="J231" s="68">
        <v>0</v>
      </c>
      <c r="K231" s="68">
        <f>+D231*0.019</f>
        <v>4438.532999999999</v>
      </c>
      <c r="L231" s="68">
        <f>+D231*0.001</f>
        <v>233.607</v>
      </c>
      <c r="M231" s="68">
        <f t="shared" si="56"/>
        <v>233606.99999999997</v>
      </c>
    </row>
    <row r="232" spans="1:13" ht="12.75">
      <c r="A232" s="1">
        <v>333</v>
      </c>
      <c r="B232" t="s">
        <v>328</v>
      </c>
      <c r="C232" s="78" t="s">
        <v>427</v>
      </c>
      <c r="D232" s="34">
        <v>50338</v>
      </c>
      <c r="E232" s="34">
        <v>0</v>
      </c>
      <c r="F232" s="34">
        <v>0</v>
      </c>
      <c r="G232" s="34">
        <v>0</v>
      </c>
      <c r="H232" s="72">
        <f>+D232</f>
        <v>50338</v>
      </c>
      <c r="I232" s="68">
        <v>0</v>
      </c>
      <c r="J232" s="68">
        <v>0</v>
      </c>
      <c r="K232" s="68">
        <v>0</v>
      </c>
      <c r="L232" s="68">
        <v>0</v>
      </c>
      <c r="M232" s="68">
        <f t="shared" si="56"/>
        <v>50338</v>
      </c>
    </row>
    <row r="233" spans="1:13" ht="12.75">
      <c r="A233" s="1">
        <v>335</v>
      </c>
      <c r="B233" t="s">
        <v>329</v>
      </c>
      <c r="C233" s="78" t="s">
        <v>530</v>
      </c>
      <c r="D233" s="34">
        <v>5342</v>
      </c>
      <c r="E233" s="34">
        <v>0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f>+D233*0.95</f>
        <v>5074.9</v>
      </c>
      <c r="L233" s="109">
        <f>+D233*0.05</f>
        <v>267.1</v>
      </c>
      <c r="M233" s="68">
        <f aca="true" t="shared" si="57" ref="M233:M241">SUM(E233:L233)</f>
        <v>5342</v>
      </c>
    </row>
    <row r="234" spans="1:13" ht="12.75">
      <c r="A234" s="1">
        <v>339</v>
      </c>
      <c r="B234" t="s">
        <v>338</v>
      </c>
      <c r="C234" s="78" t="s">
        <v>430</v>
      </c>
      <c r="D234" s="34">
        <v>14221</v>
      </c>
      <c r="E234" s="67">
        <f aca="true" t="shared" si="58" ref="E234:E239">+D234*$E$107</f>
        <v>10147.724944316324</v>
      </c>
      <c r="F234" s="67">
        <f aca="true" t="shared" si="59" ref="F234:F239">+D234*$F$107</f>
        <v>2169.825285034053</v>
      </c>
      <c r="G234" s="67">
        <f aca="true" t="shared" si="60" ref="G234:G239">+D234*$G$107</f>
        <v>1668.9950318340564</v>
      </c>
      <c r="H234" s="67">
        <f aca="true" t="shared" si="61" ref="H234:H239">+D234*$H$107</f>
        <v>145.04483313562346</v>
      </c>
      <c r="I234" s="67">
        <f aca="true" t="shared" si="62" ref="I234:I239">+D234*$I$107</f>
        <v>0</v>
      </c>
      <c r="J234" s="67">
        <f aca="true" t="shared" si="63" ref="J234:J239">+D234*$I$107</f>
        <v>0</v>
      </c>
      <c r="K234" s="67">
        <f aca="true" t="shared" si="64" ref="K234:K239">+D234*$K$107</f>
        <v>83.16250796577268</v>
      </c>
      <c r="L234" s="67">
        <f aca="true" t="shared" si="65" ref="L234:L239">+D234*$L$107</f>
        <v>6.247397714169579</v>
      </c>
      <c r="M234" s="68">
        <f t="shared" si="57"/>
        <v>14221</v>
      </c>
    </row>
    <row r="235" spans="1:13" ht="12.75">
      <c r="A235" s="1">
        <v>340</v>
      </c>
      <c r="B235" t="s">
        <v>330</v>
      </c>
      <c r="C235" s="78" t="s">
        <v>477</v>
      </c>
      <c r="D235" s="34">
        <v>9357</v>
      </c>
      <c r="E235" s="67">
        <f>+D235*$E$106</f>
        <v>4636.620674252936</v>
      </c>
      <c r="F235" s="67">
        <f>+D235*$F$106</f>
        <v>991.4199321829836</v>
      </c>
      <c r="G235" s="67">
        <f>+D235*$G$106</f>
        <v>762.5844129882045</v>
      </c>
      <c r="H235" s="67">
        <f>+D235*$H$106</f>
        <v>66.27277303045861</v>
      </c>
      <c r="I235" s="67">
        <f>+D235*$I$106</f>
        <v>2014.480733933063</v>
      </c>
      <c r="J235" s="67">
        <f>+D235*$J$106</f>
        <v>844.7689850562057</v>
      </c>
      <c r="K235" s="67">
        <f>+D235*$K$106</f>
        <v>37.997975494280055</v>
      </c>
      <c r="L235" s="67">
        <f>+D235*$L$106</f>
        <v>2.8545130618684467</v>
      </c>
      <c r="M235" s="68">
        <f t="shared" si="57"/>
        <v>9356.999999999998</v>
      </c>
    </row>
    <row r="236" spans="1:13" ht="12.75">
      <c r="A236" s="1">
        <v>341</v>
      </c>
      <c r="B236" t="s">
        <v>331</v>
      </c>
      <c r="C236" s="78" t="s">
        <v>477</v>
      </c>
      <c r="D236" s="34">
        <v>24251</v>
      </c>
      <c r="E236" s="67">
        <f>+D236*$E$106</f>
        <v>12016.959278754723</v>
      </c>
      <c r="F236" s="67">
        <f>+D236*$F$106</f>
        <v>2569.512105949507</v>
      </c>
      <c r="G236" s="67">
        <f>+D236*$G$106</f>
        <v>1976.427765242807</v>
      </c>
      <c r="H236" s="67">
        <f>+D236*$H$106</f>
        <v>171.76242585889193</v>
      </c>
      <c r="I236" s="67">
        <f>+D236*$I$106</f>
        <v>5221.029419537321</v>
      </c>
      <c r="J236" s="67">
        <f>+D236*$J$106</f>
        <v>2189.4295881797634</v>
      </c>
      <c r="K236" s="67">
        <f>+D236*$K$106</f>
        <v>98.48123369795721</v>
      </c>
      <c r="L236" s="67">
        <f>+D236*$L$106</f>
        <v>7.3981827790287165</v>
      </c>
      <c r="M236" s="68">
        <f t="shared" si="57"/>
        <v>24250.999999999996</v>
      </c>
    </row>
    <row r="237" spans="1:13" ht="12.75">
      <c r="A237" s="1">
        <v>343</v>
      </c>
      <c r="B237" t="s">
        <v>339</v>
      </c>
      <c r="C237" s="78" t="s">
        <v>430</v>
      </c>
      <c r="D237" s="34">
        <v>3045</v>
      </c>
      <c r="E237" s="67">
        <f t="shared" si="58"/>
        <v>2172.83049401893</v>
      </c>
      <c r="F237" s="67">
        <f t="shared" si="59"/>
        <v>464.60291069043615</v>
      </c>
      <c r="G237" s="67">
        <f t="shared" si="60"/>
        <v>357.3651551884327</v>
      </c>
      <c r="H237" s="67">
        <f t="shared" si="61"/>
        <v>31.0569943673422</v>
      </c>
      <c r="I237" s="67">
        <f t="shared" si="62"/>
        <v>0</v>
      </c>
      <c r="J237" s="67">
        <f t="shared" si="63"/>
        <v>0</v>
      </c>
      <c r="K237" s="67">
        <f t="shared" si="64"/>
        <v>17.80675316474072</v>
      </c>
      <c r="L237" s="67">
        <f t="shared" si="65"/>
        <v>1.3376925701178797</v>
      </c>
      <c r="M237" s="68">
        <f t="shared" si="57"/>
        <v>3044.9999999999995</v>
      </c>
    </row>
    <row r="238" spans="1:13" ht="12.75">
      <c r="A238" s="1">
        <v>345</v>
      </c>
      <c r="B238" t="s">
        <v>332</v>
      </c>
      <c r="C238" s="78" t="s">
        <v>430</v>
      </c>
      <c r="D238" s="34">
        <v>21455</v>
      </c>
      <c r="E238" s="67">
        <f t="shared" si="58"/>
        <v>15309.713710731083</v>
      </c>
      <c r="F238" s="67">
        <f t="shared" si="59"/>
        <v>3273.5814281981307</v>
      </c>
      <c r="G238" s="67">
        <f t="shared" si="60"/>
        <v>2517.986668166773</v>
      </c>
      <c r="H238" s="67">
        <f t="shared" si="61"/>
        <v>218.82686835839965</v>
      </c>
      <c r="I238" s="67">
        <f t="shared" si="62"/>
        <v>0</v>
      </c>
      <c r="J238" s="67">
        <f t="shared" si="63"/>
        <v>0</v>
      </c>
      <c r="K238" s="67">
        <f t="shared" si="64"/>
        <v>125.46597344811565</v>
      </c>
      <c r="L238" s="67">
        <f t="shared" si="65"/>
        <v>9.425351097497245</v>
      </c>
      <c r="M238" s="68">
        <f t="shared" si="57"/>
        <v>21455</v>
      </c>
    </row>
    <row r="239" spans="1:13" ht="12.75">
      <c r="A239" s="1">
        <v>344</v>
      </c>
      <c r="B239" t="s">
        <v>333</v>
      </c>
      <c r="C239" s="78" t="s">
        <v>430</v>
      </c>
      <c r="D239" s="34">
        <v>505</v>
      </c>
      <c r="E239" s="67">
        <f t="shared" si="58"/>
        <v>360.35448258770435</v>
      </c>
      <c r="F239" s="67">
        <f t="shared" si="59"/>
        <v>77.05237106688679</v>
      </c>
      <c r="G239" s="67">
        <f t="shared" si="60"/>
        <v>59.267455950790975</v>
      </c>
      <c r="H239" s="67">
        <f t="shared" si="61"/>
        <v>5.150667374551005</v>
      </c>
      <c r="I239" s="67">
        <f t="shared" si="62"/>
        <v>0</v>
      </c>
      <c r="J239" s="67">
        <f t="shared" si="63"/>
        <v>0</v>
      </c>
      <c r="K239" s="67">
        <f t="shared" si="64"/>
        <v>2.9531725281425496</v>
      </c>
      <c r="L239" s="67">
        <f t="shared" si="65"/>
        <v>0.22185049192431172</v>
      </c>
      <c r="M239" s="68">
        <f t="shared" si="57"/>
        <v>505</v>
      </c>
    </row>
    <row r="240" spans="1:13" ht="12.75">
      <c r="A240" s="1">
        <v>346</v>
      </c>
      <c r="B240" t="s">
        <v>334</v>
      </c>
      <c r="C240" s="78" t="s">
        <v>477</v>
      </c>
      <c r="D240" s="34">
        <v>2259</v>
      </c>
      <c r="E240" s="67">
        <f>+D240*$E$106</f>
        <v>1119.389345210792</v>
      </c>
      <c r="F240" s="67">
        <f>+D240*$F$106</f>
        <v>239.35210289637277</v>
      </c>
      <c r="G240" s="67">
        <f>+D240*$G$106</f>
        <v>184.10582333443986</v>
      </c>
      <c r="H240" s="67">
        <f>+D240*$H$106</f>
        <v>15.999807018895588</v>
      </c>
      <c r="I240" s="67">
        <f>+D240*$I$106</f>
        <v>486.3430563166388</v>
      </c>
      <c r="J240" s="67">
        <f>+D240*$J$106</f>
        <v>203.9471130962882</v>
      </c>
      <c r="K240" s="67">
        <f>+D240*$K$106</f>
        <v>9.173605497657224</v>
      </c>
      <c r="L240" s="67">
        <f>+D240*$L$106</f>
        <v>0.6891466289153384</v>
      </c>
      <c r="M240" s="68">
        <f t="shared" si="57"/>
        <v>2259</v>
      </c>
    </row>
    <row r="241" spans="1:13" ht="12.75">
      <c r="A241" s="1">
        <v>348</v>
      </c>
      <c r="B241" t="s">
        <v>340</v>
      </c>
      <c r="C241" s="78" t="s">
        <v>477</v>
      </c>
      <c r="D241" s="73">
        <v>5971</v>
      </c>
      <c r="E241" s="67">
        <f>+D241*$E$106</f>
        <v>2958.775467133085</v>
      </c>
      <c r="F241" s="67">
        <f>+D241*$F$106</f>
        <v>632.6566650704922</v>
      </c>
      <c r="G241" s="67">
        <f>+D241*$G$106</f>
        <v>486.6294250243207</v>
      </c>
      <c r="H241" s="67">
        <f>+D241*$H$106</f>
        <v>42.29076923852393</v>
      </c>
      <c r="I241" s="67">
        <f>+D241*$I$106</f>
        <v>1285.5043777187473</v>
      </c>
      <c r="J241" s="67">
        <f>+D241*$J$106</f>
        <v>539.0740204948813</v>
      </c>
      <c r="K241" s="67">
        <f>+D241*$K$106</f>
        <v>24.247719533648198</v>
      </c>
      <c r="L241" s="67">
        <f>+D241*$L$106</f>
        <v>1.8215557863007905</v>
      </c>
      <c r="M241" s="68">
        <f t="shared" si="57"/>
        <v>5970.999999999999</v>
      </c>
    </row>
    <row r="242" spans="1:13" ht="12.75">
      <c r="A242" s="107" t="s">
        <v>667</v>
      </c>
      <c r="B242" s="107"/>
      <c r="D242" s="34"/>
      <c r="M242" s="68">
        <f t="shared" si="55"/>
        <v>0</v>
      </c>
    </row>
    <row r="243" spans="1:13" ht="12.75">
      <c r="A243" s="130"/>
      <c r="B243" s="107" t="s">
        <v>527</v>
      </c>
      <c r="C243" s="78" t="s">
        <v>423</v>
      </c>
      <c r="D243" s="34">
        <v>890</v>
      </c>
      <c r="E243" s="34">
        <f>+D243*0.82</f>
        <v>729.8</v>
      </c>
      <c r="F243" s="34">
        <f>+D243*0.18</f>
        <v>160.2</v>
      </c>
      <c r="G243" s="71">
        <v>0</v>
      </c>
      <c r="H243" s="71">
        <v>0</v>
      </c>
      <c r="I243" s="109">
        <v>0</v>
      </c>
      <c r="J243" s="109">
        <v>0</v>
      </c>
      <c r="K243" s="109">
        <v>0</v>
      </c>
      <c r="L243" s="109">
        <v>0</v>
      </c>
      <c r="M243" s="68">
        <f t="shared" si="55"/>
        <v>890</v>
      </c>
    </row>
    <row r="244" spans="1:13" ht="12.75">
      <c r="A244" s="130"/>
      <c r="B244" s="107" t="s">
        <v>500</v>
      </c>
      <c r="C244" s="78" t="s">
        <v>424</v>
      </c>
      <c r="D244" s="34">
        <v>5294</v>
      </c>
      <c r="E244" s="67">
        <f aca="true" t="shared" si="66" ref="E244:E249">+D244*0.49</f>
        <v>2594.06</v>
      </c>
      <c r="F244" s="68">
        <f>+D244*0.11</f>
        <v>582.34</v>
      </c>
      <c r="G244" s="68">
        <f>+D244*0.38</f>
        <v>2011.72</v>
      </c>
      <c r="H244" s="68">
        <v>0</v>
      </c>
      <c r="I244" s="68">
        <v>0</v>
      </c>
      <c r="J244" s="68">
        <v>0</v>
      </c>
      <c r="K244" s="68">
        <f aca="true" t="shared" si="67" ref="K244:K249">+D244*0.019</f>
        <v>100.586</v>
      </c>
      <c r="L244" s="68">
        <f aca="true" t="shared" si="68" ref="L244:L249">+D244*0.001</f>
        <v>5.2940000000000005</v>
      </c>
      <c r="M244" s="68">
        <f t="shared" si="55"/>
        <v>5294</v>
      </c>
    </row>
    <row r="245" spans="1:13" ht="12.75">
      <c r="A245" s="130"/>
      <c r="B245" s="107" t="s">
        <v>501</v>
      </c>
      <c r="C245" s="78" t="s">
        <v>429</v>
      </c>
      <c r="D245" s="34">
        <v>11962</v>
      </c>
      <c r="E245" s="67">
        <f t="shared" si="66"/>
        <v>5861.38</v>
      </c>
      <c r="F245" s="68">
        <v>0</v>
      </c>
      <c r="G245" s="68">
        <f>+D245*0.49</f>
        <v>5861.38</v>
      </c>
      <c r="H245" s="68">
        <v>0</v>
      </c>
      <c r="I245" s="68">
        <v>0</v>
      </c>
      <c r="J245" s="68">
        <v>0</v>
      </c>
      <c r="K245" s="68">
        <f t="shared" si="67"/>
        <v>227.278</v>
      </c>
      <c r="L245" s="68">
        <f t="shared" si="68"/>
        <v>11.962</v>
      </c>
      <c r="M245" s="68">
        <f t="shared" si="55"/>
        <v>11962</v>
      </c>
    </row>
    <row r="246" spans="1:13" ht="12.75">
      <c r="A246" s="130"/>
      <c r="B246" s="107" t="s">
        <v>502</v>
      </c>
      <c r="C246" s="78" t="s">
        <v>424</v>
      </c>
      <c r="D246" s="34">
        <v>38820</v>
      </c>
      <c r="E246" s="67">
        <f t="shared" si="66"/>
        <v>19021.8</v>
      </c>
      <c r="F246" s="68">
        <f>+D246*0.11</f>
        <v>4270.2</v>
      </c>
      <c r="G246" s="68">
        <f>+D246*0.38</f>
        <v>14751.6</v>
      </c>
      <c r="H246" s="68">
        <v>0</v>
      </c>
      <c r="I246" s="68">
        <v>0</v>
      </c>
      <c r="J246" s="68">
        <v>0</v>
      </c>
      <c r="K246" s="68">
        <f t="shared" si="67"/>
        <v>737.5799999999999</v>
      </c>
      <c r="L246" s="68">
        <f t="shared" si="68"/>
        <v>38.82</v>
      </c>
      <c r="M246" s="68">
        <f t="shared" si="55"/>
        <v>38820</v>
      </c>
    </row>
    <row r="247" spans="1:13" ht="12.75">
      <c r="A247" s="130"/>
      <c r="B247" s="107" t="s">
        <v>503</v>
      </c>
      <c r="C247" s="78" t="s">
        <v>424</v>
      </c>
      <c r="D247" s="34">
        <v>10247</v>
      </c>
      <c r="E247" s="67">
        <f t="shared" si="66"/>
        <v>5021.03</v>
      </c>
      <c r="F247" s="68">
        <f>+D247*0.11</f>
        <v>1127.17</v>
      </c>
      <c r="G247" s="68">
        <f>+D247*0.38</f>
        <v>3893.86</v>
      </c>
      <c r="H247" s="68">
        <v>0</v>
      </c>
      <c r="I247" s="68">
        <v>0</v>
      </c>
      <c r="J247" s="68">
        <v>0</v>
      </c>
      <c r="K247" s="68">
        <f t="shared" si="67"/>
        <v>194.69299999999998</v>
      </c>
      <c r="L247" s="68">
        <f t="shared" si="68"/>
        <v>10.247</v>
      </c>
      <c r="M247" s="68">
        <f t="shared" si="55"/>
        <v>10246.999999999998</v>
      </c>
    </row>
    <row r="248" spans="1:13" ht="12.75">
      <c r="A248" s="130"/>
      <c r="B248" s="107" t="s">
        <v>504</v>
      </c>
      <c r="C248" s="78" t="s">
        <v>424</v>
      </c>
      <c r="D248" s="34">
        <v>5649</v>
      </c>
      <c r="E248" s="67">
        <f t="shared" si="66"/>
        <v>2768.0099999999998</v>
      </c>
      <c r="F248" s="68">
        <f>+D248*0.11</f>
        <v>621.39</v>
      </c>
      <c r="G248" s="68">
        <f>+D248*0.38</f>
        <v>2146.62</v>
      </c>
      <c r="H248" s="68">
        <v>0</v>
      </c>
      <c r="I248" s="68">
        <v>0</v>
      </c>
      <c r="J248" s="68">
        <v>0</v>
      </c>
      <c r="K248" s="68">
        <f t="shared" si="67"/>
        <v>107.331</v>
      </c>
      <c r="L248" s="68">
        <f t="shared" si="68"/>
        <v>5.649</v>
      </c>
      <c r="M248" s="68">
        <f t="shared" si="55"/>
        <v>5649</v>
      </c>
    </row>
    <row r="249" spans="1:13" ht="12.75">
      <c r="A249" s="130"/>
      <c r="B249" s="107" t="s">
        <v>589</v>
      </c>
      <c r="C249" s="78" t="s">
        <v>424</v>
      </c>
      <c r="D249" s="34">
        <v>1245</v>
      </c>
      <c r="E249" s="67">
        <f t="shared" si="66"/>
        <v>610.05</v>
      </c>
      <c r="F249" s="68">
        <f>+D249*0.11</f>
        <v>136.95</v>
      </c>
      <c r="G249" s="68">
        <f>+D249*0.38</f>
        <v>473.1</v>
      </c>
      <c r="H249" s="68">
        <v>0</v>
      </c>
      <c r="I249" s="68">
        <v>0</v>
      </c>
      <c r="J249" s="68">
        <v>0</v>
      </c>
      <c r="K249" s="68">
        <f t="shared" si="67"/>
        <v>23.655</v>
      </c>
      <c r="L249" s="68">
        <f t="shared" si="68"/>
        <v>1.245</v>
      </c>
      <c r="M249" s="68">
        <f t="shared" si="55"/>
        <v>1244.9999999999998</v>
      </c>
    </row>
    <row r="250" spans="1:13" ht="12.75">
      <c r="A250" s="130"/>
      <c r="B250" s="107" t="s">
        <v>511</v>
      </c>
      <c r="C250" s="78" t="s">
        <v>427</v>
      </c>
      <c r="D250" s="34">
        <v>2368</v>
      </c>
      <c r="E250" s="109">
        <v>0</v>
      </c>
      <c r="F250" s="71">
        <v>0</v>
      </c>
      <c r="G250" s="71">
        <v>0</v>
      </c>
      <c r="H250" s="68">
        <v>2368</v>
      </c>
      <c r="I250" s="68">
        <v>0</v>
      </c>
      <c r="J250" s="68">
        <v>0</v>
      </c>
      <c r="K250" s="68">
        <v>0</v>
      </c>
      <c r="L250" s="68">
        <v>0</v>
      </c>
      <c r="M250" s="68">
        <f t="shared" si="55"/>
        <v>2368</v>
      </c>
    </row>
    <row r="251" spans="1:13" ht="12.75">
      <c r="A251" s="130"/>
      <c r="B251" s="107" t="s">
        <v>505</v>
      </c>
      <c r="C251" s="78" t="s">
        <v>428</v>
      </c>
      <c r="D251" s="34">
        <v>4131</v>
      </c>
      <c r="E251" s="109">
        <v>0</v>
      </c>
      <c r="F251" s="71">
        <v>0</v>
      </c>
      <c r="G251" s="71">
        <v>0</v>
      </c>
      <c r="H251" s="68">
        <v>0</v>
      </c>
      <c r="I251" s="68">
        <v>0</v>
      </c>
      <c r="J251" s="68">
        <v>0</v>
      </c>
      <c r="K251" s="34">
        <f>+D251*0.95</f>
        <v>3924.45</v>
      </c>
      <c r="L251" s="109">
        <f>+D251*0.05</f>
        <v>206.55</v>
      </c>
      <c r="M251" s="68">
        <f t="shared" si="55"/>
        <v>4131</v>
      </c>
    </row>
    <row r="252" spans="1:13" ht="12.75">
      <c r="A252" s="130"/>
      <c r="B252" s="107" t="s">
        <v>506</v>
      </c>
      <c r="C252" s="78" t="s">
        <v>430</v>
      </c>
      <c r="D252" s="34">
        <v>51</v>
      </c>
      <c r="E252" s="67">
        <f>+D252*$E$107</f>
        <v>36.39223487519391</v>
      </c>
      <c r="F252" s="67">
        <f>+D252*$F$107</f>
        <v>7.781526582992527</v>
      </c>
      <c r="G252" s="67">
        <f>+D252*$G$107</f>
        <v>5.985426244535327</v>
      </c>
      <c r="H252" s="67">
        <f>+D252*$H$107</f>
        <v>0.5201664081229728</v>
      </c>
      <c r="I252" s="67">
        <f>+D252*$I$107</f>
        <v>0</v>
      </c>
      <c r="J252" s="67">
        <f>+D252*$I$107</f>
        <v>0</v>
      </c>
      <c r="K252" s="67">
        <f>+D252*$K$107</f>
        <v>0.2982411860104357</v>
      </c>
      <c r="L252" s="67">
        <f>+D252*$L$107</f>
        <v>0.02240470314483148</v>
      </c>
      <c r="M252" s="68">
        <f t="shared" si="55"/>
        <v>51</v>
      </c>
    </row>
    <row r="253" spans="1:13" ht="12.75">
      <c r="A253" s="130"/>
      <c r="B253" s="107" t="s">
        <v>507</v>
      </c>
      <c r="C253" s="78" t="s">
        <v>430</v>
      </c>
      <c r="D253" s="34">
        <v>131</v>
      </c>
      <c r="E253" s="67">
        <f>+D253*$E$107</f>
        <v>93.47809350294905</v>
      </c>
      <c r="F253" s="67">
        <f>+D253*$F$107</f>
        <v>19.987842791608255</v>
      </c>
      <c r="G253" s="67">
        <f>+D253*$G$107</f>
        <v>15.374330157531917</v>
      </c>
      <c r="H253" s="67">
        <f>+D253*$H$107</f>
        <v>1.336113714982538</v>
      </c>
      <c r="I253" s="67">
        <f>+D253*$I$107</f>
        <v>0</v>
      </c>
      <c r="J253" s="67">
        <f>+D253*$I$107</f>
        <v>0</v>
      </c>
      <c r="K253" s="67">
        <f>+D253*$K$107</f>
        <v>0.7660704973993545</v>
      </c>
      <c r="L253" s="67">
        <f>+D253*$L$107</f>
        <v>0.05754933552888086</v>
      </c>
      <c r="M253" s="68">
        <f t="shared" si="55"/>
        <v>130.99999999999997</v>
      </c>
    </row>
    <row r="254" spans="1:13" ht="12.75">
      <c r="A254" s="130"/>
      <c r="B254" s="107" t="s">
        <v>508</v>
      </c>
      <c r="C254" s="78" t="s">
        <v>424</v>
      </c>
      <c r="D254" s="34">
        <v>7462</v>
      </c>
      <c r="E254" s="67">
        <f>+D254*0.49</f>
        <v>3656.38</v>
      </c>
      <c r="F254" s="68">
        <f>+D254*0.11</f>
        <v>820.82</v>
      </c>
      <c r="G254" s="68">
        <f>+D254*0.38</f>
        <v>2835.56</v>
      </c>
      <c r="H254" s="68">
        <v>0</v>
      </c>
      <c r="I254" s="68">
        <v>0</v>
      </c>
      <c r="J254" s="68">
        <v>0</v>
      </c>
      <c r="K254" s="68">
        <f>+D254*0.019</f>
        <v>141.778</v>
      </c>
      <c r="L254" s="68">
        <f>+D254*0.001</f>
        <v>7.462</v>
      </c>
      <c r="M254" s="68">
        <f t="shared" si="55"/>
        <v>7462.000000000001</v>
      </c>
    </row>
    <row r="255" spans="1:13" ht="12.75">
      <c r="A255" s="130"/>
      <c r="B255" s="107" t="s">
        <v>509</v>
      </c>
      <c r="C255" s="78" t="s">
        <v>427</v>
      </c>
      <c r="D255" s="34">
        <v>3695</v>
      </c>
      <c r="E255" s="109">
        <v>0</v>
      </c>
      <c r="F255" s="71">
        <v>0</v>
      </c>
      <c r="G255" s="71">
        <v>0</v>
      </c>
      <c r="H255">
        <v>3695</v>
      </c>
      <c r="I255" s="68">
        <v>0</v>
      </c>
      <c r="J255" s="68">
        <v>0</v>
      </c>
      <c r="K255" s="71">
        <v>0</v>
      </c>
      <c r="L255" s="71">
        <v>0</v>
      </c>
      <c r="M255" s="68">
        <f t="shared" si="55"/>
        <v>3695</v>
      </c>
    </row>
    <row r="256" spans="1:13" ht="12.75">
      <c r="A256" s="130"/>
      <c r="B256" s="107" t="s">
        <v>510</v>
      </c>
      <c r="C256" s="78" t="s">
        <v>427</v>
      </c>
      <c r="D256" s="34">
        <v>6319</v>
      </c>
      <c r="E256" s="109">
        <v>0</v>
      </c>
      <c r="F256" s="71">
        <v>0</v>
      </c>
      <c r="G256" s="71">
        <v>0</v>
      </c>
      <c r="H256" s="68">
        <v>6319</v>
      </c>
      <c r="I256" s="68">
        <v>0</v>
      </c>
      <c r="J256" s="68">
        <v>0</v>
      </c>
      <c r="K256" s="68">
        <v>0</v>
      </c>
      <c r="L256" s="68">
        <v>0</v>
      </c>
      <c r="M256" s="68">
        <f t="shared" si="55"/>
        <v>6319</v>
      </c>
    </row>
    <row r="257" spans="1:13" ht="12.75">
      <c r="A257" s="130"/>
      <c r="B257" s="107" t="s">
        <v>512</v>
      </c>
      <c r="C257" s="78" t="s">
        <v>427</v>
      </c>
      <c r="D257" s="34">
        <v>92</v>
      </c>
      <c r="E257" s="109">
        <v>0</v>
      </c>
      <c r="F257" s="71">
        <v>0</v>
      </c>
      <c r="G257" s="71">
        <v>0</v>
      </c>
      <c r="H257" s="68">
        <v>92</v>
      </c>
      <c r="I257" s="68">
        <v>0</v>
      </c>
      <c r="J257" s="68">
        <v>0</v>
      </c>
      <c r="K257" s="68">
        <v>0</v>
      </c>
      <c r="L257" s="68">
        <v>0</v>
      </c>
      <c r="M257" s="68">
        <f t="shared" si="55"/>
        <v>92</v>
      </c>
    </row>
    <row r="258" spans="1:13" ht="12.75">
      <c r="A258" s="130"/>
      <c r="B258" s="107" t="s">
        <v>513</v>
      </c>
      <c r="C258" s="78" t="s">
        <v>477</v>
      </c>
      <c r="D258" s="34">
        <v>57</v>
      </c>
      <c r="E258" s="67">
        <f aca="true" t="shared" si="69" ref="E258:E270">+D258*$E$106</f>
        <v>28.24488387650073</v>
      </c>
      <c r="F258" s="67">
        <f>+D258*$F$106</f>
        <v>6.039428891143536</v>
      </c>
      <c r="G258" s="67">
        <f>+D258*$G$106</f>
        <v>4.645432461293967</v>
      </c>
      <c r="H258" s="67">
        <f>+D258*$H$106</f>
        <v>0.40371359011821534</v>
      </c>
      <c r="I258" s="67">
        <f>+D258*$I$106</f>
        <v>12.271604342650912</v>
      </c>
      <c r="J258" s="67">
        <f>+D258*$J$106</f>
        <v>5.1460758948598615</v>
      </c>
      <c r="K258" s="67">
        <f>+D258*$K$106</f>
        <v>0.2314721174707666</v>
      </c>
      <c r="L258" s="67">
        <f>+D258*$L$106</f>
        <v>0.01738882596200721</v>
      </c>
      <c r="M258" s="68">
        <f aca="true" t="shared" si="70" ref="M258:M267">SUM(E258:L258)</f>
        <v>56.99999999999999</v>
      </c>
    </row>
    <row r="259" spans="1:13" ht="12.75">
      <c r="A259" s="130"/>
      <c r="B259" s="107" t="s">
        <v>514</v>
      </c>
      <c r="C259" s="78" t="s">
        <v>477</v>
      </c>
      <c r="D259" s="34">
        <v>164</v>
      </c>
      <c r="E259" s="67">
        <f t="shared" si="69"/>
        <v>81.26598167975648</v>
      </c>
      <c r="F259" s="67">
        <f>+D259*$F$106</f>
        <v>17.37660242364105</v>
      </c>
      <c r="G259" s="67">
        <f>+D259*$G$106</f>
        <v>13.36580567810896</v>
      </c>
      <c r="H259" s="67">
        <f>+D259*$H$106</f>
        <v>1.1615619084103037</v>
      </c>
      <c r="I259" s="67">
        <f>+D259*$I$106</f>
        <v>35.3077738981535</v>
      </c>
      <c r="J259" s="67">
        <f>+D259*$J$106</f>
        <v>14.806253451877497</v>
      </c>
      <c r="K259" s="67">
        <f>+D259*$K$106</f>
        <v>0.665989952021153</v>
      </c>
      <c r="L259" s="67">
        <f>+D259*$L$106</f>
        <v>0.05003100803103829</v>
      </c>
      <c r="M259" s="68">
        <f t="shared" si="70"/>
        <v>163.99999999999997</v>
      </c>
    </row>
    <row r="260" spans="1:13" ht="12.75">
      <c r="A260" s="130"/>
      <c r="B260" s="107" t="s">
        <v>515</v>
      </c>
      <c r="C260" s="78" t="s">
        <v>477</v>
      </c>
      <c r="D260" s="34">
        <v>139</v>
      </c>
      <c r="E260" s="67">
        <f t="shared" si="69"/>
        <v>68.87787471637897</v>
      </c>
      <c r="F260" s="67">
        <f>+D260*$F$106</f>
        <v>14.727730102964061</v>
      </c>
      <c r="G260" s="67">
        <f>+D260*$G$106</f>
        <v>11.328335300348447</v>
      </c>
      <c r="H260" s="67">
        <f>+D260*$H$106</f>
        <v>0.9844945443233672</v>
      </c>
      <c r="I260" s="67">
        <f>+D260*$I$106</f>
        <v>29.925491291727663</v>
      </c>
      <c r="J260" s="67">
        <f>+D260*$J$106</f>
        <v>12.54920262079861</v>
      </c>
      <c r="K260" s="67">
        <f>+D260*$K$106</f>
        <v>0.564467093481343</v>
      </c>
      <c r="L260" s="67">
        <f>+D260*$L$106</f>
        <v>0.042404329977526356</v>
      </c>
      <c r="M260" s="68">
        <f t="shared" si="70"/>
        <v>139</v>
      </c>
    </row>
    <row r="261" spans="1:13" ht="12.75">
      <c r="A261" s="130"/>
      <c r="B261" s="107" t="s">
        <v>516</v>
      </c>
      <c r="C261" s="78" t="s">
        <v>477</v>
      </c>
      <c r="D261" s="34">
        <v>176</v>
      </c>
      <c r="E261" s="67">
        <f t="shared" si="69"/>
        <v>87.21227302217768</v>
      </c>
      <c r="F261" s="67">
        <f>+D261*$F$106</f>
        <v>18.648061137566007</v>
      </c>
      <c r="G261" s="67">
        <f>+D261*$G$106</f>
        <v>14.343791459434005</v>
      </c>
      <c r="H261" s="67">
        <f>+D261*$H$106</f>
        <v>1.2465542431720333</v>
      </c>
      <c r="I261" s="67">
        <f>+D261*$I$106</f>
        <v>37.891269549237904</v>
      </c>
      <c r="J261" s="67">
        <f>+D261*$J$106</f>
        <v>15.889637850795362</v>
      </c>
      <c r="K261" s="67">
        <f>+D261*$K$106</f>
        <v>0.7147209241202618</v>
      </c>
      <c r="L261" s="67">
        <f>+D261*$L$106</f>
        <v>0.05369181349672402</v>
      </c>
      <c r="M261" s="68">
        <f t="shared" si="70"/>
        <v>175.99999999999997</v>
      </c>
    </row>
    <row r="262" spans="1:13" ht="12.75">
      <c r="A262" s="130"/>
      <c r="B262" s="107" t="s">
        <v>517</v>
      </c>
      <c r="C262" s="78" t="s">
        <v>477</v>
      </c>
      <c r="D262" s="34">
        <v>198</v>
      </c>
      <c r="E262" s="67">
        <f t="shared" si="69"/>
        <v>98.1138071499499</v>
      </c>
      <c r="F262" s="67">
        <f>+D262*$F$106</f>
        <v>20.979068779761757</v>
      </c>
      <c r="G262" s="67">
        <f>+D262*$G$106</f>
        <v>16.136765391863253</v>
      </c>
      <c r="H262" s="67">
        <f>+D262*$H$106</f>
        <v>1.4023735235685375</v>
      </c>
      <c r="I262" s="67">
        <f>+D262*$I$106</f>
        <v>42.62767824289264</v>
      </c>
      <c r="J262" s="67">
        <f>+D262*$J$106</f>
        <v>17.87584258214478</v>
      </c>
      <c r="K262" s="67">
        <f>+D262*$K$106</f>
        <v>0.8040610396352945</v>
      </c>
      <c r="L262" s="67">
        <f>+D262*$L$106</f>
        <v>0.06040329018381452</v>
      </c>
      <c r="M262" s="68">
        <f t="shared" si="70"/>
        <v>197.99999999999997</v>
      </c>
    </row>
    <row r="263" spans="1:13" ht="12.75">
      <c r="A263" s="130"/>
      <c r="B263" s="107" t="s">
        <v>518</v>
      </c>
      <c r="C263" s="78" t="s">
        <v>430</v>
      </c>
      <c r="D263" s="34">
        <v>337</v>
      </c>
      <c r="E263" s="67">
        <f>+D263*$E$107</f>
        <v>240.47417946941854</v>
      </c>
      <c r="F263" s="67">
        <f>+D263*$F$107</f>
        <v>51.41910702879375</v>
      </c>
      <c r="G263" s="67">
        <f>+D263*$G$107</f>
        <v>39.55075773349814</v>
      </c>
      <c r="H263" s="67">
        <f>+D263*$H$107</f>
        <v>3.4371780301459185</v>
      </c>
      <c r="I263" s="67">
        <f>+D263*$I$107</f>
        <v>0</v>
      </c>
      <c r="J263" s="67">
        <f>+D263*$I$107</f>
        <v>0</v>
      </c>
      <c r="K263" s="67">
        <f>+D263*$K$107</f>
        <v>1.9707309742258203</v>
      </c>
      <c r="L263" s="67">
        <f>+D263*$L$107</f>
        <v>0.14804676391780802</v>
      </c>
      <c r="M263" s="68">
        <f t="shared" si="70"/>
        <v>337</v>
      </c>
    </row>
    <row r="264" spans="1:13" ht="12.75">
      <c r="A264" s="130"/>
      <c r="B264" s="107" t="s">
        <v>519</v>
      </c>
      <c r="C264" s="78" t="s">
        <v>430</v>
      </c>
      <c r="D264" s="34">
        <v>548</v>
      </c>
      <c r="E264" s="67">
        <f>+D264*$E$107</f>
        <v>391.0381316001227</v>
      </c>
      <c r="F264" s="67">
        <f>+D264*$F$107</f>
        <v>83.61326602901774</v>
      </c>
      <c r="G264" s="67">
        <f>+D264*$G$107</f>
        <v>64.31399180402664</v>
      </c>
      <c r="H264" s="67">
        <f>+D264*$H$107</f>
        <v>5.589239051988021</v>
      </c>
      <c r="I264" s="67">
        <f>+D264*$I$107</f>
        <v>0</v>
      </c>
      <c r="J264" s="67">
        <f>+D264*$I$107</f>
        <v>0</v>
      </c>
      <c r="K264" s="67">
        <f>+D264*$K$107</f>
        <v>3.2046307830140934</v>
      </c>
      <c r="L264" s="67">
        <f>+D264*$L$107</f>
        <v>0.24074073183073827</v>
      </c>
      <c r="M264" s="68">
        <f t="shared" si="70"/>
        <v>547.9999999999999</v>
      </c>
    </row>
    <row r="265" spans="1:13" ht="12.75">
      <c r="A265" s="130"/>
      <c r="B265" s="107" t="s">
        <v>520</v>
      </c>
      <c r="C265" s="78" t="s">
        <v>430</v>
      </c>
      <c r="D265" s="34">
        <v>686</v>
      </c>
      <c r="E265" s="67">
        <f>+D265*$E$107</f>
        <v>489.51123773300037</v>
      </c>
      <c r="F265" s="67">
        <f>+D265*$F$107</f>
        <v>104.66916148887987</v>
      </c>
      <c r="G265" s="67">
        <f>+D265*$G$107</f>
        <v>80.50985105394577</v>
      </c>
      <c r="H265" s="67">
        <f>+D265*$H$107</f>
        <v>6.996748156320772</v>
      </c>
      <c r="I265" s="67">
        <f>+D265*$I$107</f>
        <v>0</v>
      </c>
      <c r="J265" s="67">
        <f>+D265*$I$107</f>
        <v>0</v>
      </c>
      <c r="K265" s="67">
        <f>+D265*$K$107</f>
        <v>4.011636345159978</v>
      </c>
      <c r="L265" s="67">
        <f>+D265*$L$107</f>
        <v>0.30136522269322347</v>
      </c>
      <c r="M265" s="68">
        <f t="shared" si="70"/>
        <v>686</v>
      </c>
    </row>
    <row r="266" spans="1:13" ht="12.75">
      <c r="A266" s="107"/>
      <c r="B266" s="107" t="s">
        <v>521</v>
      </c>
      <c r="C266" s="78" t="s">
        <v>430</v>
      </c>
      <c r="D266" s="34">
        <v>51</v>
      </c>
      <c r="E266" s="67">
        <f>+D266*$E$107</f>
        <v>36.39223487519391</v>
      </c>
      <c r="F266" s="67">
        <f>+D266*$F$107</f>
        <v>7.781526582992527</v>
      </c>
      <c r="G266" s="67">
        <f>+D266*$G$107</f>
        <v>5.985426244535327</v>
      </c>
      <c r="H266" s="67">
        <f>+D266*$H$107</f>
        <v>0.5201664081229728</v>
      </c>
      <c r="I266" s="67">
        <f>+D266*$I$107</f>
        <v>0</v>
      </c>
      <c r="J266" s="67">
        <f>+D266*$I$107</f>
        <v>0</v>
      </c>
      <c r="K266" s="67">
        <f>+D266*$K$107</f>
        <v>0.2982411860104357</v>
      </c>
      <c r="L266" s="67">
        <f>+D266*$L$107</f>
        <v>0.02240470314483148</v>
      </c>
      <c r="M266" s="68">
        <f t="shared" si="70"/>
        <v>51</v>
      </c>
    </row>
    <row r="267" spans="1:13" ht="12.75">
      <c r="A267" s="107"/>
      <c r="B267" s="107" t="s">
        <v>522</v>
      </c>
      <c r="C267" s="78" t="s">
        <v>430</v>
      </c>
      <c r="D267" s="34">
        <v>116</v>
      </c>
      <c r="E267" s="67">
        <f>+D267*$E$107</f>
        <v>82.77449501024496</v>
      </c>
      <c r="F267" s="67">
        <f>+D267*$F$107</f>
        <v>17.699158502492807</v>
      </c>
      <c r="G267" s="67">
        <f>+D267*$G$107</f>
        <v>13.613910673845055</v>
      </c>
      <c r="H267" s="67">
        <f>+D267*$H$107</f>
        <v>1.1831235949463694</v>
      </c>
      <c r="I267" s="67">
        <f>+D267*$I$107</f>
        <v>0</v>
      </c>
      <c r="J267" s="67">
        <f>+D267*$I$107</f>
        <v>0</v>
      </c>
      <c r="K267" s="67">
        <f>+D267*$K$107</f>
        <v>0.6783525015139322</v>
      </c>
      <c r="L267" s="67">
        <f>+D267*$L$107</f>
        <v>0.050959716956871605</v>
      </c>
      <c r="M267" s="68">
        <f t="shared" si="70"/>
        <v>115.99999999999999</v>
      </c>
    </row>
    <row r="268" spans="1:13" ht="12.75">
      <c r="A268" s="107"/>
      <c r="B268" s="107" t="s">
        <v>523</v>
      </c>
      <c r="C268" s="78" t="s">
        <v>427</v>
      </c>
      <c r="D268" s="34">
        <v>4071</v>
      </c>
      <c r="E268" s="109">
        <v>0</v>
      </c>
      <c r="F268" s="34">
        <v>0</v>
      </c>
      <c r="G268" s="34">
        <v>0</v>
      </c>
      <c r="H268" s="34">
        <v>0</v>
      </c>
      <c r="I268" s="34">
        <v>0</v>
      </c>
      <c r="J268" s="34">
        <v>4071</v>
      </c>
      <c r="K268" s="34">
        <v>0</v>
      </c>
      <c r="L268" s="34">
        <v>0</v>
      </c>
      <c r="M268" s="68">
        <f aca="true" t="shared" si="71" ref="M268:M274">SUM(E268:L268)</f>
        <v>4071</v>
      </c>
    </row>
    <row r="269" spans="1:13" ht="12.75">
      <c r="A269" s="107"/>
      <c r="B269" s="107" t="s">
        <v>524</v>
      </c>
      <c r="C269" s="78" t="s">
        <v>477</v>
      </c>
      <c r="D269" s="34">
        <v>104</v>
      </c>
      <c r="E269" s="67">
        <f t="shared" si="69"/>
        <v>51.534524967650455</v>
      </c>
      <c r="F269" s="67">
        <f>+D269*$F$106</f>
        <v>11.019308854016277</v>
      </c>
      <c r="G269" s="67">
        <f>+D269*$G$106</f>
        <v>8.47587677148373</v>
      </c>
      <c r="H269" s="67">
        <f>+D269*$H$106</f>
        <v>0.736600234601656</v>
      </c>
      <c r="I269" s="67">
        <f>+D269*$I$106</f>
        <v>22.390295642731488</v>
      </c>
      <c r="J269" s="67">
        <f>+D269*$J$106</f>
        <v>9.389331457288169</v>
      </c>
      <c r="K269" s="67">
        <f>+D269*$K$106</f>
        <v>0.4223350915256092</v>
      </c>
      <c r="L269" s="67">
        <f>+D269*$L$106</f>
        <v>0.031726980702609646</v>
      </c>
      <c r="M269" s="68">
        <f t="shared" si="71"/>
        <v>103.99999999999999</v>
      </c>
    </row>
    <row r="270" spans="1:14" ht="12.75">
      <c r="A270" s="107"/>
      <c r="B270" s="107" t="s">
        <v>525</v>
      </c>
      <c r="C270" s="78" t="s">
        <v>477</v>
      </c>
      <c r="D270" s="74">
        <v>48</v>
      </c>
      <c r="E270" s="69">
        <f t="shared" si="69"/>
        <v>23.785165369684826</v>
      </c>
      <c r="F270" s="69">
        <f>+D270*$F$106</f>
        <v>5.08583485569982</v>
      </c>
      <c r="G270" s="69">
        <f>+D270*$G$106</f>
        <v>3.911943125300183</v>
      </c>
      <c r="H270" s="69">
        <f>+D270*$H$106</f>
        <v>0.3399693390469182</v>
      </c>
      <c r="I270" s="69">
        <f>+D270*$I$106</f>
        <v>10.33398260433761</v>
      </c>
      <c r="J270" s="69">
        <f>+D270*$J$106</f>
        <v>4.333537595671462</v>
      </c>
      <c r="K270" s="69">
        <f>+D270*$K$106</f>
        <v>0.19492388839643504</v>
      </c>
      <c r="L270" s="69">
        <f>+D270*$L$106</f>
        <v>0.014643221862742913</v>
      </c>
      <c r="M270" s="69">
        <f t="shared" si="71"/>
        <v>47.99999999999999</v>
      </c>
      <c r="N270" s="72"/>
    </row>
    <row r="271" spans="1:13" ht="12.75">
      <c r="A271" s="107"/>
      <c r="B271" s="107"/>
      <c r="D271" s="34"/>
      <c r="E271" s="109"/>
      <c r="M271" s="68"/>
    </row>
    <row r="272" spans="1:14" ht="13.5" thickBot="1">
      <c r="A272" s="35" t="s">
        <v>473</v>
      </c>
      <c r="D272" s="77">
        <f aca="true" t="shared" si="72" ref="D272:L272">SUM(D208:D270)</f>
        <v>1225150.28</v>
      </c>
      <c r="E272" s="77">
        <f t="shared" si="72"/>
        <v>568177.832150881</v>
      </c>
      <c r="F272" s="77">
        <f t="shared" si="72"/>
        <v>125814.6222398901</v>
      </c>
      <c r="G272" s="77">
        <f t="shared" si="72"/>
        <v>318668.59046128375</v>
      </c>
      <c r="H272" s="77">
        <f t="shared" si="72"/>
        <v>93989.846354986</v>
      </c>
      <c r="I272" s="77">
        <f t="shared" si="72"/>
        <v>83089.4674407177</v>
      </c>
      <c r="J272" s="77">
        <f t="shared" si="72"/>
        <v>7012.793486894927</v>
      </c>
      <c r="K272" s="77">
        <f t="shared" si="72"/>
        <v>26977.536340070194</v>
      </c>
      <c r="L272" s="77">
        <f t="shared" si="72"/>
        <v>1419.3115252766027</v>
      </c>
      <c r="M272" s="65">
        <f t="shared" si="71"/>
        <v>1225150.0000000002</v>
      </c>
      <c r="N272" s="72">
        <f>SUM(E272:L272)</f>
        <v>1225150.0000000002</v>
      </c>
    </row>
    <row r="273" ht="13.5" thickTop="1">
      <c r="M273" s="68">
        <f t="shared" si="71"/>
        <v>0</v>
      </c>
    </row>
    <row r="274" spans="1:14" ht="13.5" thickBot="1">
      <c r="A274" s="35" t="s">
        <v>476</v>
      </c>
      <c r="D274" s="116">
        <f aca="true" t="shared" si="73" ref="D274:L274">+D188+D272+D204</f>
        <v>3541411.2800000003</v>
      </c>
      <c r="E274" s="116">
        <f t="shared" si="73"/>
        <v>1713870.270097994</v>
      </c>
      <c r="F274" s="116">
        <f t="shared" si="73"/>
        <v>402721.828608609</v>
      </c>
      <c r="G274" s="116">
        <f t="shared" si="73"/>
        <v>727228.9166862104</v>
      </c>
      <c r="H274" s="116">
        <f t="shared" si="73"/>
        <v>161953.98866300323</v>
      </c>
      <c r="I274" s="116">
        <f t="shared" si="73"/>
        <v>299707.38352020574</v>
      </c>
      <c r="J274" s="116">
        <f t="shared" si="73"/>
        <v>181851.31292199314</v>
      </c>
      <c r="K274" s="116">
        <f t="shared" si="73"/>
        <v>51243.02951524304</v>
      </c>
      <c r="L274" s="116">
        <f t="shared" si="73"/>
        <v>2834.269986741626</v>
      </c>
      <c r="M274" s="68">
        <f t="shared" si="71"/>
        <v>3541411</v>
      </c>
      <c r="N274" s="72">
        <f>SUM(E274:L274)</f>
        <v>3541411</v>
      </c>
    </row>
    <row r="275" ht="13.5" thickTop="1"/>
    <row r="277" spans="1:13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68"/>
    </row>
    <row r="304" spans="1:13" ht="12.75">
      <c r="A304" s="35"/>
      <c r="B304" s="35"/>
      <c r="C304" s="35"/>
      <c r="D304" s="119"/>
      <c r="E304" s="119"/>
      <c r="F304" s="119"/>
      <c r="G304" s="119"/>
      <c r="H304" s="119"/>
      <c r="I304" s="119"/>
      <c r="J304" s="119"/>
      <c r="K304" s="119"/>
      <c r="L304" s="119"/>
      <c r="M304" s="68"/>
    </row>
  </sheetData>
  <mergeCells count="15">
    <mergeCell ref="A223:B223"/>
    <mergeCell ref="A216:B216"/>
    <mergeCell ref="A10:L10"/>
    <mergeCell ref="A2:E2"/>
    <mergeCell ref="A8:B8"/>
    <mergeCell ref="A208:B208"/>
    <mergeCell ref="A210:B210"/>
    <mergeCell ref="A211:B211"/>
    <mergeCell ref="A217:B217"/>
    <mergeCell ref="A1:L1"/>
    <mergeCell ref="A3:L3"/>
    <mergeCell ref="A4:L4"/>
    <mergeCell ref="A7:B7"/>
    <mergeCell ref="I6:J6"/>
    <mergeCell ref="F6:G6"/>
  </mergeCells>
  <printOptions/>
  <pageMargins left="0.75" right="0.75" top="1" bottom="1" header="0.5" footer="0.5"/>
  <pageSetup fitToHeight="0" fitToWidth="1" horizontalDpi="600" verticalDpi="600" orientation="landscape" scale="70" r:id="rId1"/>
  <headerFooter alignWithMargins="0">
    <oddFooter>&amp;L&amp;D&amp;CQuest Engineers, Inc.</oddFooter>
  </headerFooter>
  <rowBreaks count="6" manualBreakCount="6">
    <brk id="43" max="11" man="1"/>
    <brk id="79" max="11" man="1"/>
    <brk id="128" max="11" man="1"/>
    <brk id="171" max="11" man="1"/>
    <brk id="205" max="11" man="1"/>
    <brk id="24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1"/>
  <sheetViews>
    <sheetView workbookViewId="0" topLeftCell="A226">
      <selection activeCell="A219" sqref="A219"/>
    </sheetView>
  </sheetViews>
  <sheetFormatPr defaultColWidth="9.140625" defaultRowHeight="12.75"/>
  <cols>
    <col min="1" max="1" width="30.7109375" style="0" customWidth="1"/>
    <col min="2" max="10" width="14.7109375" style="0" customWidth="1"/>
  </cols>
  <sheetData>
    <row r="1" spans="1:6" ht="12.75">
      <c r="A1" s="171" t="s">
        <v>33</v>
      </c>
      <c r="B1" s="171"/>
      <c r="C1" s="171"/>
      <c r="D1" s="171"/>
      <c r="E1" s="171"/>
      <c r="F1" s="171"/>
    </row>
    <row r="2" spans="1:6" ht="12.75">
      <c r="A2" s="1"/>
      <c r="B2" s="1"/>
      <c r="C2" s="1"/>
      <c r="D2" s="1"/>
      <c r="E2" s="1"/>
      <c r="F2" s="1"/>
    </row>
    <row r="3" spans="1:6" ht="12.75">
      <c r="A3" s="171" t="s">
        <v>392</v>
      </c>
      <c r="B3" s="171"/>
      <c r="C3" s="171"/>
      <c r="D3" s="171"/>
      <c r="E3" s="171"/>
      <c r="F3" s="171"/>
    </row>
    <row r="4" spans="1:6" ht="12.75">
      <c r="A4" s="171" t="s">
        <v>393</v>
      </c>
      <c r="B4" s="171"/>
      <c r="C4" s="171"/>
      <c r="D4" s="171"/>
      <c r="E4" s="171"/>
      <c r="F4" s="171"/>
    </row>
    <row r="6" ht="12.75">
      <c r="A6" t="s">
        <v>394</v>
      </c>
    </row>
    <row r="8" ht="12.75">
      <c r="A8" t="s">
        <v>398</v>
      </c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 t="s">
        <v>41</v>
      </c>
    </row>
    <row r="11" spans="1:6" ht="12.75">
      <c r="A11" s="2" t="s">
        <v>395</v>
      </c>
      <c r="B11" s="1"/>
      <c r="C11" s="2"/>
      <c r="D11" s="1"/>
      <c r="E11" s="1"/>
      <c r="F11" s="2" t="s">
        <v>40</v>
      </c>
    </row>
    <row r="12" spans="1:6" ht="12.75">
      <c r="A12" s="5" t="s">
        <v>8</v>
      </c>
      <c r="B12" s="1"/>
      <c r="C12" s="5"/>
      <c r="D12" s="1"/>
      <c r="E12" s="1"/>
      <c r="F12" s="5" t="s">
        <v>9</v>
      </c>
    </row>
    <row r="14" spans="1:6" ht="12.75">
      <c r="A14" t="s">
        <v>31</v>
      </c>
      <c r="C14" s="14"/>
      <c r="F14" s="63">
        <v>1</v>
      </c>
    </row>
    <row r="15" ht="12.75">
      <c r="C15" s="14"/>
    </row>
    <row r="17" ht="12.75">
      <c r="A17" t="s">
        <v>396</v>
      </c>
    </row>
    <row r="18" ht="12.75">
      <c r="A18" t="s">
        <v>397</v>
      </c>
    </row>
    <row r="20" ht="12.75">
      <c r="A20" t="s">
        <v>414</v>
      </c>
    </row>
    <row r="21" ht="12.75">
      <c r="A21" t="s">
        <v>413</v>
      </c>
    </row>
    <row r="23" spans="2:6" ht="12.75">
      <c r="B23" s="2" t="s">
        <v>411</v>
      </c>
      <c r="C23" s="1" t="s">
        <v>43</v>
      </c>
      <c r="D23" s="1"/>
      <c r="E23" s="1"/>
      <c r="F23" s="1" t="s">
        <v>41</v>
      </c>
    </row>
    <row r="24" spans="1:6" ht="12.75">
      <c r="A24" s="8" t="s">
        <v>22</v>
      </c>
      <c r="B24" s="2" t="s">
        <v>412</v>
      </c>
      <c r="C24" s="2" t="s">
        <v>401</v>
      </c>
      <c r="D24" s="1"/>
      <c r="E24" s="1"/>
      <c r="F24" s="2" t="s">
        <v>40</v>
      </c>
    </row>
    <row r="25" spans="1:6" ht="12.75">
      <c r="A25" s="5" t="s">
        <v>8</v>
      </c>
      <c r="B25" s="5" t="s">
        <v>9</v>
      </c>
      <c r="C25" s="5" t="s">
        <v>10</v>
      </c>
      <c r="D25" s="1"/>
      <c r="E25" s="1"/>
      <c r="F25" s="5" t="s">
        <v>11</v>
      </c>
    </row>
    <row r="27" spans="1:6" ht="12.75">
      <c r="A27" t="s">
        <v>405</v>
      </c>
      <c r="B27" s="48">
        <v>2630863</v>
      </c>
      <c r="C27" s="57">
        <v>1</v>
      </c>
      <c r="F27">
        <v>0.82</v>
      </c>
    </row>
    <row r="28" spans="1:2" ht="12.75">
      <c r="A28" t="s">
        <v>399</v>
      </c>
      <c r="B28" s="48"/>
    </row>
    <row r="29" spans="1:6" ht="12.75">
      <c r="A29" t="s">
        <v>400</v>
      </c>
      <c r="B29" s="60">
        <v>3209516</v>
      </c>
      <c r="C29" s="6">
        <v>0.22</v>
      </c>
      <c r="F29" s="6">
        <v>0.18</v>
      </c>
    </row>
    <row r="30" spans="1:6" ht="12.75">
      <c r="A30" s="14"/>
      <c r="B30" s="14"/>
      <c r="C30" s="14"/>
      <c r="D30" s="14"/>
      <c r="E30" s="14"/>
      <c r="F30" s="14"/>
    </row>
    <row r="31" spans="1:6" ht="13.5" thickBot="1">
      <c r="A31" s="14" t="s">
        <v>21</v>
      </c>
      <c r="B31" s="61">
        <f>SUM(B27:B29)</f>
        <v>5840379</v>
      </c>
      <c r="C31" s="7">
        <v>1.22</v>
      </c>
      <c r="D31" s="14"/>
      <c r="E31" s="14"/>
      <c r="F31" s="58">
        <v>1</v>
      </c>
    </row>
    <row r="32" spans="1:6" ht="13.5" thickTop="1">
      <c r="A32" s="14"/>
      <c r="B32" s="14"/>
      <c r="C32" s="14"/>
      <c r="D32" s="14"/>
      <c r="E32" s="14"/>
      <c r="F32" s="14"/>
    </row>
    <row r="33" spans="1:6" ht="12.75">
      <c r="A33" s="14"/>
      <c r="B33" s="14"/>
      <c r="C33" s="14"/>
      <c r="D33" s="14"/>
      <c r="E33" s="14"/>
      <c r="F33" s="14"/>
    </row>
    <row r="35" ht="12.75">
      <c r="A35" t="s">
        <v>402</v>
      </c>
    </row>
    <row r="36" ht="12.75">
      <c r="A36" t="s">
        <v>403</v>
      </c>
    </row>
    <row r="38" ht="12.75">
      <c r="A38" t="s">
        <v>404</v>
      </c>
    </row>
    <row r="39" ht="12.75">
      <c r="A39" t="s">
        <v>408</v>
      </c>
    </row>
    <row r="42" spans="3:6" ht="12.75">
      <c r="C42" s="1" t="s">
        <v>410</v>
      </c>
      <c r="D42" s="1"/>
      <c r="E42" s="1"/>
      <c r="F42" s="1"/>
    </row>
    <row r="43" spans="2:6" ht="12.75">
      <c r="B43" s="56" t="s">
        <v>411</v>
      </c>
      <c r="C43" s="1" t="s">
        <v>46</v>
      </c>
      <c r="D43" s="1"/>
      <c r="E43" s="1"/>
      <c r="F43" s="1" t="s">
        <v>41</v>
      </c>
    </row>
    <row r="44" spans="1:6" ht="12.75">
      <c r="A44" s="8" t="s">
        <v>22</v>
      </c>
      <c r="B44" s="8" t="s">
        <v>49</v>
      </c>
      <c r="C44" s="2" t="s">
        <v>378</v>
      </c>
      <c r="D44" s="1"/>
      <c r="E44" s="1"/>
      <c r="F44" s="2" t="s">
        <v>40</v>
      </c>
    </row>
    <row r="45" spans="1:6" ht="12.75">
      <c r="A45" s="5" t="s">
        <v>8</v>
      </c>
      <c r="B45" s="5" t="s">
        <v>9</v>
      </c>
      <c r="C45" s="5" t="s">
        <v>10</v>
      </c>
      <c r="D45" s="5"/>
      <c r="E45" s="5"/>
      <c r="F45" s="5" t="s">
        <v>11</v>
      </c>
    </row>
    <row r="47" spans="1:6" ht="12.75">
      <c r="A47" t="s">
        <v>406</v>
      </c>
      <c r="B47" s="48">
        <v>2630863</v>
      </c>
      <c r="C47" s="57">
        <v>1</v>
      </c>
      <c r="F47" s="57">
        <f>+C47/C53</f>
        <v>0.5</v>
      </c>
    </row>
    <row r="48" spans="2:6" ht="12.75">
      <c r="B48" s="48"/>
      <c r="F48" s="57"/>
    </row>
    <row r="49" spans="1:6" ht="12.75">
      <c r="A49" t="s">
        <v>407</v>
      </c>
      <c r="B49" s="48">
        <v>3209516</v>
      </c>
      <c r="C49" s="62">
        <f>+(B49/B47)-1</f>
        <v>0.21994797904717966</v>
      </c>
      <c r="F49" s="57">
        <f>+C49/C53</f>
        <v>0.10997398952358983</v>
      </c>
    </row>
    <row r="50" spans="2:6" ht="12.75">
      <c r="B50" s="48"/>
      <c r="F50" s="57"/>
    </row>
    <row r="51" spans="1:6" ht="12.75">
      <c r="A51" t="s">
        <v>409</v>
      </c>
      <c r="B51" s="60">
        <v>5261726</v>
      </c>
      <c r="C51" s="54">
        <f>+((B51-B49)/B47)</f>
        <v>0.7800520209528204</v>
      </c>
      <c r="F51" s="63">
        <f>+C51/C53</f>
        <v>0.3900260104764102</v>
      </c>
    </row>
    <row r="53" spans="1:6" ht="13.5" thickBot="1">
      <c r="A53" t="s">
        <v>21</v>
      </c>
      <c r="B53" s="59"/>
      <c r="C53" s="58">
        <f>SUM(C47:C51)</f>
        <v>2</v>
      </c>
      <c r="F53" s="58">
        <f>SUM(F47:F51)</f>
        <v>1</v>
      </c>
    </row>
    <row r="54" spans="2:6" ht="13.5" thickTop="1">
      <c r="B54" s="59"/>
      <c r="C54" s="64"/>
      <c r="F54" s="64"/>
    </row>
    <row r="55" spans="2:6" ht="12.75">
      <c r="B55" s="59"/>
      <c r="C55" s="64"/>
      <c r="F55" s="64"/>
    </row>
    <row r="57" ht="12.75">
      <c r="A57" t="s">
        <v>431</v>
      </c>
    </row>
    <row r="58" ht="12.75">
      <c r="A58" t="s">
        <v>432</v>
      </c>
    </row>
    <row r="60" ht="12.75">
      <c r="A60" t="s">
        <v>433</v>
      </c>
    </row>
    <row r="61" ht="12.75">
      <c r="A61" t="s">
        <v>481</v>
      </c>
    </row>
    <row r="64" spans="3:6" ht="12.75">
      <c r="C64" s="1" t="s">
        <v>410</v>
      </c>
      <c r="D64" s="1"/>
      <c r="E64" s="1"/>
      <c r="F64" s="1"/>
    </row>
    <row r="65" spans="2:6" ht="12.75">
      <c r="B65" s="56" t="s">
        <v>411</v>
      </c>
      <c r="C65" s="1" t="s">
        <v>46</v>
      </c>
      <c r="D65" s="1"/>
      <c r="E65" s="1"/>
      <c r="F65" s="1" t="s">
        <v>41</v>
      </c>
    </row>
    <row r="66" spans="1:6" ht="12.75">
      <c r="A66" s="8" t="s">
        <v>22</v>
      </c>
      <c r="B66" s="8" t="s">
        <v>48</v>
      </c>
      <c r="C66" s="2" t="s">
        <v>378</v>
      </c>
      <c r="D66" s="1"/>
      <c r="E66" s="1"/>
      <c r="F66" s="2" t="s">
        <v>40</v>
      </c>
    </row>
    <row r="67" spans="1:6" ht="12.75">
      <c r="A67" s="5" t="s">
        <v>8</v>
      </c>
      <c r="B67" s="5" t="s">
        <v>9</v>
      </c>
      <c r="C67" s="5" t="s">
        <v>10</v>
      </c>
      <c r="D67" s="5"/>
      <c r="E67" s="5"/>
      <c r="F67" s="5" t="s">
        <v>11</v>
      </c>
    </row>
    <row r="69" spans="1:6" ht="12.75">
      <c r="A69" t="s">
        <v>406</v>
      </c>
      <c r="B69" s="48">
        <v>1827</v>
      </c>
      <c r="C69" s="57">
        <v>1</v>
      </c>
      <c r="F69" s="57">
        <f>+C69/C77</f>
        <v>0.48994368463395016</v>
      </c>
    </row>
    <row r="70" spans="2:6" ht="12.75">
      <c r="B70" s="48"/>
      <c r="F70" s="57"/>
    </row>
    <row r="71" spans="1:6" ht="12.75">
      <c r="A71" t="s">
        <v>434</v>
      </c>
      <c r="B71" s="48">
        <v>3654</v>
      </c>
      <c r="C71" s="62">
        <f>+(B71/B69)-1</f>
        <v>1</v>
      </c>
      <c r="F71" s="57">
        <f>+C71/C77</f>
        <v>0.48994368463395016</v>
      </c>
    </row>
    <row r="72" spans="2:6" ht="12.75">
      <c r="B72" s="48"/>
      <c r="F72" s="57"/>
    </row>
    <row r="73" spans="1:6" ht="12.75">
      <c r="A73" t="s">
        <v>415</v>
      </c>
      <c r="B73" s="81">
        <v>3729</v>
      </c>
      <c r="C73" s="87">
        <f>+((B73-B71)/B69)</f>
        <v>0.041050903119868636</v>
      </c>
      <c r="D73" s="14"/>
      <c r="E73" s="14"/>
      <c r="F73" s="64"/>
    </row>
    <row r="74" spans="1:6" ht="12.75">
      <c r="A74" t="s">
        <v>495</v>
      </c>
      <c r="B74" s="81"/>
      <c r="C74" s="87"/>
      <c r="D74">
        <v>0.05</v>
      </c>
      <c r="F74" s="97">
        <v>0.019</v>
      </c>
    </row>
    <row r="75" spans="1:6" ht="12.75">
      <c r="A75" t="s">
        <v>496</v>
      </c>
      <c r="B75" s="81"/>
      <c r="C75" s="54"/>
      <c r="D75">
        <v>0.95</v>
      </c>
      <c r="F75" s="85">
        <v>0.001</v>
      </c>
    </row>
    <row r="76" ht="12.75">
      <c r="A76" t="s">
        <v>21</v>
      </c>
    </row>
    <row r="77" spans="2:6" ht="13.5" thickBot="1">
      <c r="B77" s="59"/>
      <c r="C77" s="58">
        <f>SUM(C69:C73)</f>
        <v>2.0410509031198685</v>
      </c>
      <c r="F77" s="58">
        <f>SUM(F69:F75)</f>
        <v>0.9998873692679003</v>
      </c>
    </row>
    <row r="78" spans="2:6" ht="13.5" thickTop="1">
      <c r="B78" s="59"/>
      <c r="C78" s="64"/>
      <c r="F78" s="64"/>
    </row>
    <row r="79" spans="1:6" ht="12.75">
      <c r="A79" t="s">
        <v>441</v>
      </c>
      <c r="B79" s="59"/>
      <c r="C79" s="64"/>
      <c r="F79" s="64"/>
    </row>
    <row r="80" ht="12.75">
      <c r="A80" t="s">
        <v>442</v>
      </c>
    </row>
    <row r="82" ht="12.75">
      <c r="A82" t="s">
        <v>443</v>
      </c>
    </row>
    <row r="83" ht="12.75">
      <c r="A83" t="s">
        <v>482</v>
      </c>
    </row>
    <row r="84" ht="12.75">
      <c r="A84" t="s">
        <v>421</v>
      </c>
    </row>
    <row r="87" spans="3:6" ht="12.75">
      <c r="C87" s="1" t="s">
        <v>410</v>
      </c>
      <c r="D87" s="1"/>
      <c r="E87" s="1"/>
      <c r="F87" s="1"/>
    </row>
    <row r="88" spans="1:6" ht="12.75">
      <c r="A88" s="8" t="s">
        <v>22</v>
      </c>
      <c r="B88" s="56" t="s">
        <v>411</v>
      </c>
      <c r="C88" s="1" t="s">
        <v>46</v>
      </c>
      <c r="D88" s="1"/>
      <c r="E88" s="1"/>
      <c r="F88" s="1" t="s">
        <v>41</v>
      </c>
    </row>
    <row r="89" spans="1:6" ht="12.75">
      <c r="A89" s="5" t="s">
        <v>8</v>
      </c>
      <c r="B89" s="8" t="s">
        <v>48</v>
      </c>
      <c r="C89" s="2" t="s">
        <v>378</v>
      </c>
      <c r="D89" s="1"/>
      <c r="E89" s="1"/>
      <c r="F89" s="2" t="s">
        <v>40</v>
      </c>
    </row>
    <row r="90" spans="2:6" ht="12.75">
      <c r="B90" s="5" t="s">
        <v>9</v>
      </c>
      <c r="C90" s="5" t="s">
        <v>10</v>
      </c>
      <c r="D90" s="5"/>
      <c r="E90" s="5"/>
      <c r="F90" s="5" t="s">
        <v>11</v>
      </c>
    </row>
    <row r="92" spans="1:6" ht="12.75">
      <c r="A92" t="s">
        <v>406</v>
      </c>
      <c r="B92" s="48">
        <v>1827</v>
      </c>
      <c r="C92" s="57">
        <v>1</v>
      </c>
      <c r="F92" s="57">
        <f>+C92/C102</f>
        <v>0.48993580151566346</v>
      </c>
    </row>
    <row r="93" spans="2:6" ht="12.75">
      <c r="B93" s="48"/>
      <c r="F93" s="57"/>
    </row>
    <row r="94" spans="1:6" ht="12.75">
      <c r="A94" t="s">
        <v>407</v>
      </c>
      <c r="B94" s="48">
        <v>2229</v>
      </c>
      <c r="C94" s="62">
        <f>+(B94/B92)-1</f>
        <v>0.22003284072249585</v>
      </c>
      <c r="F94" s="57">
        <f>+C94/C102</f>
        <v>0.10780196617914432</v>
      </c>
    </row>
    <row r="95" spans="2:6" ht="12.75">
      <c r="B95" s="48"/>
      <c r="C95" s="62"/>
      <c r="F95" s="57"/>
    </row>
    <row r="96" spans="1:6" ht="12.75">
      <c r="A96" t="s">
        <v>420</v>
      </c>
      <c r="B96" s="48">
        <v>3654</v>
      </c>
      <c r="C96" s="62">
        <v>0.78</v>
      </c>
      <c r="F96" s="57">
        <f>+C96/C102</f>
        <v>0.3821499251822175</v>
      </c>
    </row>
    <row r="97" spans="2:6" ht="12.75">
      <c r="B97" s="48"/>
      <c r="F97" s="57"/>
    </row>
    <row r="98" spans="1:6" ht="12.75">
      <c r="A98" t="s">
        <v>415</v>
      </c>
      <c r="B98" s="81">
        <v>3729</v>
      </c>
      <c r="C98" s="87">
        <f>+((B98-B96)/B92)</f>
        <v>0.041050903119868636</v>
      </c>
      <c r="D98" s="14"/>
      <c r="E98" s="14"/>
      <c r="F98" s="64"/>
    </row>
    <row r="99" spans="1:6" ht="12.75">
      <c r="A99" t="s">
        <v>495</v>
      </c>
      <c r="B99" s="81"/>
      <c r="C99" s="87"/>
      <c r="D99">
        <v>0.05</v>
      </c>
      <c r="F99" s="95">
        <v>0.019</v>
      </c>
    </row>
    <row r="100" spans="1:6" ht="12.75">
      <c r="A100" t="s">
        <v>496</v>
      </c>
      <c r="B100" s="81"/>
      <c r="C100" s="54"/>
      <c r="D100">
        <v>0.95</v>
      </c>
      <c r="F100" s="96">
        <v>0.001</v>
      </c>
    </row>
    <row r="101" spans="2:6" ht="12.75">
      <c r="B101" s="81"/>
      <c r="C101" s="87"/>
      <c r="F101" s="64"/>
    </row>
    <row r="102" spans="1:6" ht="13.5" thickBot="1">
      <c r="A102" t="s">
        <v>21</v>
      </c>
      <c r="B102" s="59"/>
      <c r="C102" s="58">
        <f>SUM(C92:C98)</f>
        <v>2.0410837438423646</v>
      </c>
      <c r="F102" s="58">
        <f>SUM(F92:F100)</f>
        <v>0.9998876928770253</v>
      </c>
    </row>
    <row r="103" spans="2:6" ht="13.5" thickTop="1">
      <c r="B103" s="59"/>
      <c r="C103" s="64"/>
      <c r="F103" s="64"/>
    </row>
    <row r="104" spans="1:6" ht="12.75">
      <c r="A104" t="s">
        <v>435</v>
      </c>
      <c r="B104" s="59"/>
      <c r="C104" s="64"/>
      <c r="F104" s="64"/>
    </row>
    <row r="106" ht="12.75">
      <c r="A106" t="s">
        <v>416</v>
      </c>
    </row>
    <row r="108" spans="3:6" ht="12.75">
      <c r="C108" s="1"/>
      <c r="D108" s="1"/>
      <c r="E108" s="1"/>
      <c r="F108" s="1"/>
    </row>
    <row r="109" spans="1:6" ht="12.75">
      <c r="A109" s="8" t="s">
        <v>22</v>
      </c>
      <c r="C109" s="1"/>
      <c r="D109" s="1"/>
      <c r="E109" s="1"/>
      <c r="F109" s="1" t="s">
        <v>41</v>
      </c>
    </row>
    <row r="110" spans="1:6" ht="12.75">
      <c r="A110" s="5" t="s">
        <v>8</v>
      </c>
      <c r="C110" s="2"/>
      <c r="D110" s="1"/>
      <c r="E110" s="1"/>
      <c r="F110" s="2" t="s">
        <v>40</v>
      </c>
    </row>
    <row r="111" spans="2:6" ht="12.75">
      <c r="B111" s="1"/>
      <c r="C111" s="5"/>
      <c r="D111" s="1"/>
      <c r="E111" s="1"/>
      <c r="F111" s="5" t="s">
        <v>9</v>
      </c>
    </row>
    <row r="112" ht="12.75">
      <c r="A112" t="s">
        <v>417</v>
      </c>
    </row>
    <row r="113" ht="13.5" thickBot="1">
      <c r="F113" s="58">
        <v>1</v>
      </c>
    </row>
    <row r="114" ht="13.5" thickTop="1"/>
    <row r="115" ht="12.75">
      <c r="A115" t="s">
        <v>488</v>
      </c>
    </row>
    <row r="117" ht="12.75">
      <c r="A117" t="s">
        <v>486</v>
      </c>
    </row>
    <row r="119" spans="3:6" ht="12.75">
      <c r="C119" s="1"/>
      <c r="D119" s="1"/>
      <c r="E119" s="1"/>
      <c r="F119" s="1"/>
    </row>
    <row r="120" spans="1:6" ht="12.75">
      <c r="A120" s="8" t="s">
        <v>22</v>
      </c>
      <c r="C120" s="1"/>
      <c r="D120" s="1"/>
      <c r="E120" s="1"/>
      <c r="F120" s="1" t="s">
        <v>41</v>
      </c>
    </row>
    <row r="121" spans="1:6" ht="12.75">
      <c r="A121" s="5" t="s">
        <v>8</v>
      </c>
      <c r="C121" s="2"/>
      <c r="D121" s="1"/>
      <c r="E121" s="1"/>
      <c r="F121" s="2" t="s">
        <v>40</v>
      </c>
    </row>
    <row r="122" spans="2:6" ht="12.75">
      <c r="B122" s="1"/>
      <c r="C122" s="5"/>
      <c r="D122" s="1"/>
      <c r="E122" s="1"/>
      <c r="F122" s="5" t="s">
        <v>9</v>
      </c>
    </row>
    <row r="123" ht="12.75">
      <c r="A123" t="s">
        <v>487</v>
      </c>
    </row>
    <row r="124" ht="13.5" thickBot="1">
      <c r="F124" s="58">
        <v>1</v>
      </c>
    </row>
    <row r="125" ht="13.5" thickTop="1"/>
    <row r="126" ht="12.75">
      <c r="A126" t="s">
        <v>436</v>
      </c>
    </row>
    <row r="128" ht="12.75">
      <c r="A128" t="s">
        <v>455</v>
      </c>
    </row>
    <row r="130" spans="3:6" ht="12.75">
      <c r="C130" s="1"/>
      <c r="D130" s="1"/>
      <c r="E130" s="1"/>
      <c r="F130" s="1"/>
    </row>
    <row r="131" spans="1:6" ht="12.75">
      <c r="A131" s="8" t="s">
        <v>22</v>
      </c>
      <c r="C131" s="1"/>
      <c r="D131" s="1"/>
      <c r="E131" s="1"/>
      <c r="F131" s="1" t="s">
        <v>41</v>
      </c>
    </row>
    <row r="132" spans="1:6" ht="12.75">
      <c r="A132" s="5" t="s">
        <v>8</v>
      </c>
      <c r="C132" s="2"/>
      <c r="D132" s="1"/>
      <c r="E132" s="1"/>
      <c r="F132" s="2" t="s">
        <v>40</v>
      </c>
    </row>
    <row r="133" spans="2:6" ht="12.75">
      <c r="B133" s="1"/>
      <c r="C133" s="5"/>
      <c r="D133" s="1"/>
      <c r="E133" s="1"/>
      <c r="F133" s="5" t="s">
        <v>9</v>
      </c>
    </row>
    <row r="134" ht="12.75">
      <c r="A134" t="s">
        <v>419</v>
      </c>
    </row>
    <row r="135" ht="13.5" thickBot="1">
      <c r="F135" s="58">
        <v>1</v>
      </c>
    </row>
    <row r="136" ht="13.5" thickTop="1"/>
    <row r="137" ht="12.75">
      <c r="A137" t="s">
        <v>491</v>
      </c>
    </row>
    <row r="139" ht="12.75">
      <c r="A139" t="s">
        <v>493</v>
      </c>
    </row>
    <row r="142" spans="3:6" ht="12.75">
      <c r="C142" s="1" t="s">
        <v>437</v>
      </c>
      <c r="D142" s="1"/>
      <c r="E142" s="1"/>
      <c r="F142" s="1"/>
    </row>
    <row r="143" spans="1:6" ht="12.75">
      <c r="A143" s="8"/>
      <c r="B143" s="56"/>
      <c r="C143" s="1" t="s">
        <v>438</v>
      </c>
      <c r="D143" s="1"/>
      <c r="E143" s="1"/>
      <c r="F143" s="1" t="s">
        <v>41</v>
      </c>
    </row>
    <row r="144" spans="1:6" ht="12.75">
      <c r="A144" s="2" t="s">
        <v>22</v>
      </c>
      <c r="B144" s="8"/>
      <c r="C144" s="2" t="s">
        <v>439</v>
      </c>
      <c r="D144" s="1"/>
      <c r="E144" s="1"/>
      <c r="F144" s="2" t="s">
        <v>40</v>
      </c>
    </row>
    <row r="145" spans="1:6" ht="12.75">
      <c r="A145" s="1" t="s">
        <v>463</v>
      </c>
      <c r="B145" s="5"/>
      <c r="C145" s="5" t="s">
        <v>9</v>
      </c>
      <c r="D145" s="5"/>
      <c r="E145" s="5"/>
      <c r="F145" s="5" t="s">
        <v>10</v>
      </c>
    </row>
    <row r="147" spans="1:6" ht="12.75">
      <c r="A147" t="s">
        <v>406</v>
      </c>
      <c r="B147" s="48"/>
      <c r="C147" s="17">
        <v>726282</v>
      </c>
      <c r="F147" s="52">
        <f>+C147/C163</f>
        <v>0.7249770413256139</v>
      </c>
    </row>
    <row r="148" spans="2:6" ht="12.75">
      <c r="B148" s="48"/>
      <c r="C148" s="34"/>
      <c r="F148" s="52"/>
    </row>
    <row r="149" spans="1:6" ht="12.75">
      <c r="A149" t="s">
        <v>407</v>
      </c>
      <c r="B149" s="48"/>
      <c r="C149" s="34">
        <v>146940</v>
      </c>
      <c r="F149" s="52">
        <f>+C149/$C$163</f>
        <v>0.14667598323018566</v>
      </c>
    </row>
    <row r="150" spans="2:6" ht="12.75">
      <c r="B150" s="48"/>
      <c r="C150" s="34"/>
      <c r="F150" s="52"/>
    </row>
    <row r="151" spans="1:6" ht="12.75">
      <c r="A151" t="s">
        <v>409</v>
      </c>
      <c r="B151" s="48"/>
      <c r="C151" s="73">
        <v>112704</v>
      </c>
      <c r="F151" s="52">
        <f>+C151/$C$163</f>
        <v>0.11250149730485126</v>
      </c>
    </row>
    <row r="152" spans="2:6" ht="12.75">
      <c r="B152" s="48"/>
      <c r="C152" s="73"/>
      <c r="F152" s="52"/>
    </row>
    <row r="153" spans="1:6" ht="12.75">
      <c r="A153" t="s">
        <v>417</v>
      </c>
      <c r="B153" s="48"/>
      <c r="C153" s="99">
        <v>9836</v>
      </c>
      <c r="F153" s="52">
        <f>+C153/$C$163</f>
        <v>0.009818327011379517</v>
      </c>
    </row>
    <row r="154" spans="2:6" ht="12.75">
      <c r="B154" s="48"/>
      <c r="C154" s="34"/>
      <c r="F154" s="52"/>
    </row>
    <row r="155" spans="1:6" ht="12.75">
      <c r="A155" t="s">
        <v>440</v>
      </c>
      <c r="B155" s="48"/>
      <c r="C155" s="101" t="s">
        <v>494</v>
      </c>
      <c r="F155" s="52">
        <v>0</v>
      </c>
    </row>
    <row r="156" spans="2:6" ht="12.75">
      <c r="B156" s="48"/>
      <c r="C156" s="102"/>
      <c r="F156" s="52"/>
    </row>
    <row r="157" spans="1:6" ht="12.75">
      <c r="A157" t="s">
        <v>418</v>
      </c>
      <c r="B157" s="48"/>
      <c r="C157" s="101" t="s">
        <v>494</v>
      </c>
      <c r="F157" s="52">
        <v>0</v>
      </c>
    </row>
    <row r="158" spans="2:6" ht="12.75">
      <c r="B158" s="48"/>
      <c r="C158" s="34"/>
      <c r="F158" s="52"/>
    </row>
    <row r="159" spans="1:6" ht="12.75">
      <c r="A159" t="s">
        <v>56</v>
      </c>
      <c r="B159" s="81"/>
      <c r="C159" s="73"/>
      <c r="D159" s="14"/>
      <c r="E159" s="14"/>
      <c r="F159" s="88"/>
    </row>
    <row r="160" spans="1:6" ht="12.75">
      <c r="A160" t="s">
        <v>495</v>
      </c>
      <c r="B160" s="81"/>
      <c r="C160" s="73">
        <v>422</v>
      </c>
      <c r="F160" s="103">
        <f>+C160/$C$163</f>
        <v>0.000421241764823318</v>
      </c>
    </row>
    <row r="161" spans="1:6" ht="12.75">
      <c r="A161" t="s">
        <v>496</v>
      </c>
      <c r="B161" s="81"/>
      <c r="C161" s="74">
        <v>5616</v>
      </c>
      <c r="F161" s="104">
        <f>+C161/$C$163</f>
        <v>0.005605909363146337</v>
      </c>
    </row>
    <row r="162" spans="2:6" ht="12.75">
      <c r="B162" s="81"/>
      <c r="C162" s="73"/>
      <c r="F162" s="88"/>
    </row>
    <row r="163" spans="1:6" ht="13.5" thickBot="1">
      <c r="A163" t="s">
        <v>21</v>
      </c>
      <c r="B163" s="59"/>
      <c r="C163" s="75">
        <f>SUM(C147:C161)</f>
        <v>1001800</v>
      </c>
      <c r="F163" s="76">
        <f>SUM(F147:F161)</f>
        <v>1</v>
      </c>
    </row>
    <row r="164" spans="2:6" ht="13.5" thickTop="1">
      <c r="B164" s="59"/>
      <c r="C164" s="64"/>
      <c r="F164" s="64"/>
    </row>
    <row r="165" ht="12.75">
      <c r="A165" t="s">
        <v>492</v>
      </c>
    </row>
    <row r="167" ht="12.75">
      <c r="A167" t="s">
        <v>493</v>
      </c>
    </row>
    <row r="170" spans="3:6" ht="12.75">
      <c r="C170" s="1" t="s">
        <v>437</v>
      </c>
      <c r="D170" s="1"/>
      <c r="E170" s="1"/>
      <c r="F170" s="1"/>
    </row>
    <row r="171" spans="1:6" ht="12.75">
      <c r="A171" s="8"/>
      <c r="B171" s="56"/>
      <c r="C171" s="1" t="s">
        <v>438</v>
      </c>
      <c r="D171" s="1"/>
      <c r="E171" s="1"/>
      <c r="F171" s="1" t="s">
        <v>41</v>
      </c>
    </row>
    <row r="172" spans="1:6" ht="12.75">
      <c r="A172" s="2" t="s">
        <v>22</v>
      </c>
      <c r="B172" s="8"/>
      <c r="C172" s="2" t="s">
        <v>439</v>
      </c>
      <c r="D172" s="1"/>
      <c r="E172" s="1"/>
      <c r="F172" s="2" t="s">
        <v>40</v>
      </c>
    </row>
    <row r="173" spans="1:6" ht="12.75">
      <c r="A173" s="1" t="s">
        <v>463</v>
      </c>
      <c r="B173" s="5"/>
      <c r="C173" s="5" t="s">
        <v>9</v>
      </c>
      <c r="D173" s="5"/>
      <c r="E173" s="5"/>
      <c r="F173" s="5" t="s">
        <v>10</v>
      </c>
    </row>
    <row r="175" spans="1:6" ht="12.75">
      <c r="A175" t="s">
        <v>406</v>
      </c>
      <c r="B175" s="48"/>
      <c r="C175" s="34">
        <v>726282</v>
      </c>
      <c r="F175" s="52">
        <f>+C175/$C$191</f>
        <v>0.5097760383180273</v>
      </c>
    </row>
    <row r="176" spans="2:6" ht="12.75">
      <c r="B176" s="48"/>
      <c r="C176" s="34"/>
      <c r="F176" s="52"/>
    </row>
    <row r="177" spans="1:6" ht="12.75">
      <c r="A177" t="s">
        <v>407</v>
      </c>
      <c r="B177" s="48"/>
      <c r="C177" s="34">
        <v>146940</v>
      </c>
      <c r="F177" s="52">
        <f>+C177/$C$191</f>
        <v>0.10313692349590232</v>
      </c>
    </row>
    <row r="178" spans="2:6" ht="12.75">
      <c r="B178" s="48"/>
      <c r="C178" s="34"/>
      <c r="F178" s="52"/>
    </row>
    <row r="179" spans="1:6" ht="12.75">
      <c r="A179" t="s">
        <v>409</v>
      </c>
      <c r="B179" s="48"/>
      <c r="C179" s="73">
        <v>112740</v>
      </c>
      <c r="F179" s="52">
        <f>+C179/$C$191</f>
        <v>0.07913200459322191</v>
      </c>
    </row>
    <row r="180" spans="2:6" ht="12.75">
      <c r="B180" s="48"/>
      <c r="C180" s="73"/>
      <c r="F180" s="52"/>
    </row>
    <row r="181" spans="1:6" ht="12.75">
      <c r="A181" t="s">
        <v>417</v>
      </c>
      <c r="B181" s="48"/>
      <c r="C181" s="73">
        <v>9836</v>
      </c>
      <c r="F181" s="52">
        <f>+C181/$C$191</f>
        <v>0.0069038708282679676</v>
      </c>
    </row>
    <row r="182" spans="2:6" ht="12.75">
      <c r="B182" s="48"/>
      <c r="C182" s="34"/>
      <c r="F182" s="52"/>
    </row>
    <row r="183" spans="1:6" ht="12.75">
      <c r="A183" t="s">
        <v>440</v>
      </c>
      <c r="B183" s="48"/>
      <c r="C183" s="34">
        <v>297494</v>
      </c>
      <c r="F183" s="52">
        <f>+C183/$C$191</f>
        <v>0.20881050713549723</v>
      </c>
    </row>
    <row r="184" spans="2:8" ht="12.75">
      <c r="B184" s="48"/>
      <c r="C184" s="34"/>
      <c r="F184" s="52"/>
      <c r="H184" s="94">
        <f>SUM(D175:D182)</f>
        <v>0</v>
      </c>
    </row>
    <row r="185" spans="1:6" ht="12.75">
      <c r="A185" t="s">
        <v>418</v>
      </c>
      <c r="B185" s="48"/>
      <c r="C185" s="34">
        <v>125378</v>
      </c>
      <c r="F185" s="52">
        <f>+C185/$C$191</f>
        <v>0.0880025942157972</v>
      </c>
    </row>
    <row r="186" spans="2:6" ht="12.75">
      <c r="B186" s="48"/>
      <c r="C186" s="34"/>
      <c r="F186" s="52"/>
    </row>
    <row r="187" spans="1:6" ht="12.75">
      <c r="A187" t="s">
        <v>56</v>
      </c>
      <c r="B187" s="81"/>
      <c r="C187" s="73"/>
      <c r="D187" s="14"/>
      <c r="E187" s="14"/>
      <c r="F187" s="88"/>
    </row>
    <row r="188" spans="1:6" ht="12.75">
      <c r="A188" t="s">
        <v>495</v>
      </c>
      <c r="B188" s="81"/>
      <c r="C188" s="73">
        <v>422</v>
      </c>
      <c r="F188" s="103">
        <f>+C188/$C$191</f>
        <v>0.00029620104610909745</v>
      </c>
    </row>
    <row r="189" spans="1:6" ht="12.75">
      <c r="A189" t="s">
        <v>496</v>
      </c>
      <c r="B189" s="81"/>
      <c r="C189" s="74">
        <v>5616</v>
      </c>
      <c r="F189" s="104">
        <f>+C189/$C$191</f>
        <v>0.003941860367176994</v>
      </c>
    </row>
    <row r="190" spans="2:6" ht="12.75">
      <c r="B190" s="81"/>
      <c r="C190" s="73"/>
      <c r="F190" s="88"/>
    </row>
    <row r="191" spans="1:6" ht="13.5" thickBot="1">
      <c r="A191" t="s">
        <v>21</v>
      </c>
      <c r="B191" s="59"/>
      <c r="C191" s="75">
        <f>SUM(C175:C189)</f>
        <v>1424708</v>
      </c>
      <c r="F191" s="76">
        <f>SUM(F175:F189)</f>
        <v>0.9999999999999999</v>
      </c>
    </row>
    <row r="192" spans="2:6" ht="13.5" thickTop="1">
      <c r="B192" s="59"/>
      <c r="C192" s="64"/>
      <c r="F192" s="64"/>
    </row>
    <row r="193" spans="1:6" ht="12.75">
      <c r="A193" t="s">
        <v>497</v>
      </c>
      <c r="B193" s="59"/>
      <c r="C193" s="64"/>
      <c r="F193" s="64"/>
    </row>
    <row r="195" ht="12.75">
      <c r="A195" t="s">
        <v>456</v>
      </c>
    </row>
    <row r="198" spans="1:6" ht="12.75">
      <c r="A198" s="8" t="s">
        <v>22</v>
      </c>
      <c r="B198" s="2"/>
      <c r="C198" s="1" t="s">
        <v>478</v>
      </c>
      <c r="D198" s="1" t="s">
        <v>479</v>
      </c>
      <c r="E198" s="1"/>
      <c r="F198" s="1" t="s">
        <v>41</v>
      </c>
    </row>
    <row r="199" spans="1:6" ht="14.25">
      <c r="A199" s="5" t="s">
        <v>8</v>
      </c>
      <c r="B199" s="2" t="s">
        <v>498</v>
      </c>
      <c r="C199" s="2" t="s">
        <v>526</v>
      </c>
      <c r="D199" s="2" t="s">
        <v>480</v>
      </c>
      <c r="E199" s="2"/>
      <c r="F199" s="2" t="s">
        <v>40</v>
      </c>
    </row>
    <row r="200" spans="2:6" ht="12.75">
      <c r="B200" s="5" t="s">
        <v>9</v>
      </c>
      <c r="C200" s="5" t="s">
        <v>10</v>
      </c>
      <c r="D200" s="5" t="s">
        <v>11</v>
      </c>
      <c r="E200" s="5"/>
      <c r="F200" s="5" t="s">
        <v>12</v>
      </c>
    </row>
    <row r="201" ht="12.75">
      <c r="A201" s="3" t="s">
        <v>457</v>
      </c>
    </row>
    <row r="202" spans="1:6" ht="12.75">
      <c r="A202" t="s">
        <v>499</v>
      </c>
      <c r="B202" s="48">
        <v>892</v>
      </c>
      <c r="C202" s="93">
        <v>111.3</v>
      </c>
      <c r="D202" s="48">
        <f>+B202*C202</f>
        <v>99279.59999999999</v>
      </c>
      <c r="E202" s="48"/>
      <c r="F202" s="57">
        <f>+D202/H208</f>
        <v>0.9469214437367304</v>
      </c>
    </row>
    <row r="203" spans="2:6" ht="12.75">
      <c r="B203" s="48"/>
      <c r="C203" s="93"/>
      <c r="D203" s="48"/>
      <c r="E203" s="48"/>
      <c r="F203" s="57"/>
    </row>
    <row r="204" spans="2:6" ht="12.75">
      <c r="B204" s="48"/>
      <c r="C204" s="93"/>
      <c r="D204" s="48"/>
      <c r="E204" s="48"/>
      <c r="F204" s="57"/>
    </row>
    <row r="205" spans="1:6" ht="12.75">
      <c r="A205" s="3" t="s">
        <v>81</v>
      </c>
      <c r="B205" s="48"/>
      <c r="C205" s="93"/>
      <c r="D205" s="48"/>
      <c r="E205" s="48"/>
      <c r="F205" s="57"/>
    </row>
    <row r="206" spans="1:6" ht="12.75">
      <c r="A206" t="s">
        <v>458</v>
      </c>
      <c r="B206" s="48">
        <v>0</v>
      </c>
      <c r="C206" s="93">
        <v>6.2</v>
      </c>
      <c r="D206" s="48">
        <v>0</v>
      </c>
      <c r="E206" s="48"/>
      <c r="F206" s="57">
        <f>+D206/H208</f>
        <v>0</v>
      </c>
    </row>
    <row r="207" spans="1:6" ht="12.75">
      <c r="A207" t="s">
        <v>459</v>
      </c>
      <c r="B207" s="48">
        <v>0</v>
      </c>
      <c r="C207" s="93">
        <v>18</v>
      </c>
      <c r="D207" s="48">
        <v>0</v>
      </c>
      <c r="E207" s="48"/>
      <c r="F207" s="57">
        <f>+D207/H208</f>
        <v>0</v>
      </c>
    </row>
    <row r="208" spans="1:8" ht="12.75">
      <c r="A208" t="s">
        <v>460</v>
      </c>
      <c r="B208" s="48">
        <v>0</v>
      </c>
      <c r="C208" s="100">
        <v>38.3</v>
      </c>
      <c r="D208" s="48">
        <v>0</v>
      </c>
      <c r="E208" s="48"/>
      <c r="F208" s="57">
        <f>+D208/H208</f>
        <v>0</v>
      </c>
      <c r="H208">
        <f>SUM(D202:D210)</f>
        <v>104844.59999999999</v>
      </c>
    </row>
    <row r="209" spans="1:6" ht="12.75">
      <c r="A209" t="s">
        <v>461</v>
      </c>
      <c r="B209" s="48">
        <v>50</v>
      </c>
      <c r="C209" s="93">
        <v>111.3</v>
      </c>
      <c r="D209" s="48">
        <f>+B209*C209</f>
        <v>5565</v>
      </c>
      <c r="E209" s="48"/>
      <c r="F209" s="57">
        <f>+D209/H208</f>
        <v>0.05307855626326964</v>
      </c>
    </row>
    <row r="210" spans="1:6" ht="12.75">
      <c r="A210" s="14"/>
      <c r="B210" s="81"/>
      <c r="C210" s="60"/>
      <c r="D210" s="6"/>
      <c r="E210" s="6"/>
      <c r="F210" s="6"/>
    </row>
    <row r="211" spans="1:6" ht="12.75">
      <c r="A211" s="14" t="s">
        <v>21</v>
      </c>
      <c r="B211" s="14"/>
      <c r="C211" s="14"/>
      <c r="D211" s="14"/>
      <c r="E211" s="14"/>
      <c r="F211" s="14"/>
    </row>
    <row r="212" spans="1:6" ht="13.5" thickBot="1">
      <c r="A212" s="14"/>
      <c r="B212" s="59"/>
      <c r="C212" s="7"/>
      <c r="D212" s="7"/>
      <c r="E212" s="7"/>
      <c r="F212" s="58">
        <v>1</v>
      </c>
    </row>
    <row r="213" spans="2:6" ht="13.5" thickTop="1">
      <c r="B213" s="81"/>
      <c r="C213" s="87"/>
      <c r="F213" s="64"/>
    </row>
    <row r="214" spans="2:6" ht="12.75">
      <c r="B214" s="81"/>
      <c r="C214" s="87"/>
      <c r="F214" s="64"/>
    </row>
    <row r="215" ht="12.75">
      <c r="A215" t="s">
        <v>593</v>
      </c>
    </row>
    <row r="217" ht="12.75">
      <c r="A217" t="s">
        <v>594</v>
      </c>
    </row>
    <row r="220" spans="3:6" ht="12.75">
      <c r="C220" s="1"/>
      <c r="D220" s="1"/>
      <c r="E220" s="1"/>
      <c r="F220" s="1"/>
    </row>
    <row r="221" spans="1:6" ht="12.75">
      <c r="A221" s="8"/>
      <c r="B221" s="56"/>
      <c r="C221" s="1" t="s">
        <v>595</v>
      </c>
      <c r="D221" s="1"/>
      <c r="E221" s="1"/>
      <c r="F221" s="1" t="s">
        <v>41</v>
      </c>
    </row>
    <row r="222" spans="1:6" ht="12.75">
      <c r="A222" s="2" t="s">
        <v>22</v>
      </c>
      <c r="B222" s="8"/>
      <c r="C222" s="2" t="s">
        <v>439</v>
      </c>
      <c r="D222" s="1"/>
      <c r="E222" s="1"/>
      <c r="F222" s="2" t="s">
        <v>40</v>
      </c>
    </row>
    <row r="223" spans="1:6" ht="12.75">
      <c r="A223" s="1" t="s">
        <v>463</v>
      </c>
      <c r="B223" s="5"/>
      <c r="C223" s="5" t="s">
        <v>9</v>
      </c>
      <c r="D223" s="5"/>
      <c r="E223" s="5"/>
      <c r="F223" s="5" t="s">
        <v>10</v>
      </c>
    </row>
    <row r="225" spans="1:6" ht="12.75">
      <c r="A225" t="s">
        <v>406</v>
      </c>
      <c r="B225" s="48"/>
      <c r="C225" s="17">
        <v>309830</v>
      </c>
      <c r="F225" s="52">
        <f>+C225/C241</f>
        <v>0.530246631514274</v>
      </c>
    </row>
    <row r="226" spans="2:6" ht="12.75">
      <c r="B226" s="48"/>
      <c r="C226" s="34"/>
      <c r="F226" s="52"/>
    </row>
    <row r="227" spans="1:6" ht="12.75">
      <c r="A227" t="s">
        <v>407</v>
      </c>
      <c r="B227" s="48"/>
      <c r="C227" s="34">
        <v>63895</v>
      </c>
      <c r="F227" s="52">
        <f>+C227/$C$241</f>
        <v>0.10935063912663247</v>
      </c>
    </row>
    <row r="228" spans="2:6" ht="12.75">
      <c r="B228" s="48"/>
      <c r="C228" s="34"/>
      <c r="F228" s="52"/>
    </row>
    <row r="229" spans="1:6" ht="12.75">
      <c r="A229" t="s">
        <v>409</v>
      </c>
      <c r="B229" s="48"/>
      <c r="C229" s="73">
        <v>134599</v>
      </c>
      <c r="F229" s="52">
        <f>+C229/$C$241</f>
        <v>0.2303542792989374</v>
      </c>
    </row>
    <row r="230" spans="2:6" ht="12.75">
      <c r="B230" s="48"/>
      <c r="C230" s="73"/>
      <c r="F230" s="52"/>
    </row>
    <row r="231" spans="1:6" ht="12.75">
      <c r="A231" t="s">
        <v>417</v>
      </c>
      <c r="B231" s="48"/>
      <c r="C231" s="99">
        <v>51033</v>
      </c>
      <c r="F231" s="52">
        <f>+C231/$C$241</f>
        <v>0.08733846414507293</v>
      </c>
    </row>
    <row r="232" spans="2:6" ht="12.75">
      <c r="B232" s="48"/>
      <c r="C232" s="34"/>
      <c r="F232" s="52"/>
    </row>
    <row r="233" spans="1:6" ht="12.75">
      <c r="A233" t="s">
        <v>440</v>
      </c>
      <c r="B233" s="48"/>
      <c r="C233" s="101">
        <v>8994</v>
      </c>
      <c r="F233" s="52">
        <f>+C233/$C$241</f>
        <v>0.015392435218795407</v>
      </c>
    </row>
    <row r="234" spans="2:6" ht="12.75">
      <c r="B234" s="48"/>
      <c r="C234" s="102"/>
      <c r="F234" s="52"/>
    </row>
    <row r="235" spans="1:6" ht="12.75">
      <c r="A235" t="s">
        <v>418</v>
      </c>
      <c r="B235" s="48"/>
      <c r="C235" s="101">
        <v>3772</v>
      </c>
      <c r="F235" s="52">
        <f>+C235/$C$241</f>
        <v>0.006455444256759648</v>
      </c>
    </row>
    <row r="236" spans="2:6" ht="12.75">
      <c r="B236" s="48"/>
      <c r="C236" s="34"/>
      <c r="F236" s="52"/>
    </row>
    <row r="237" spans="1:6" ht="12.75">
      <c r="A237" t="s">
        <v>56</v>
      </c>
      <c r="B237" s="81"/>
      <c r="C237" s="73"/>
      <c r="D237" s="14"/>
      <c r="E237" s="14"/>
      <c r="F237" s="88"/>
    </row>
    <row r="238" spans="1:6" ht="12.75">
      <c r="A238" t="s">
        <v>495</v>
      </c>
      <c r="B238" s="81"/>
      <c r="C238" s="73">
        <v>618</v>
      </c>
      <c r="F238" s="52">
        <f>+C238/$C$241</f>
        <v>0.001057652319903887</v>
      </c>
    </row>
    <row r="239" spans="1:6" ht="12.75">
      <c r="A239" t="s">
        <v>496</v>
      </c>
      <c r="B239" s="81"/>
      <c r="C239" s="74">
        <v>11572</v>
      </c>
      <c r="F239" s="133">
        <f>+C239/$C$241</f>
        <v>0.019804454119624244</v>
      </c>
    </row>
    <row r="240" spans="2:6" ht="12.75">
      <c r="B240" s="81"/>
      <c r="C240" s="73"/>
      <c r="F240" s="88"/>
    </row>
    <row r="241" spans="1:6" ht="13.5" thickBot="1">
      <c r="A241" t="s">
        <v>21</v>
      </c>
      <c r="B241" s="59"/>
      <c r="C241" s="75">
        <f>SUM(C225:C239)</f>
        <v>584313</v>
      </c>
      <c r="F241" s="76">
        <f>SUM(F225:F239)</f>
        <v>1</v>
      </c>
    </row>
    <row r="242" ht="13.5" thickTop="1"/>
  </sheetData>
  <mergeCells count="3">
    <mergeCell ref="A1:F1"/>
    <mergeCell ref="A3:F3"/>
    <mergeCell ref="A4:F4"/>
  </mergeCells>
  <printOptions/>
  <pageMargins left="0.75" right="0.75" top="1" bottom="1" header="0.5" footer="0.5"/>
  <pageSetup fitToHeight="0" fitToWidth="1" horizontalDpi="600" verticalDpi="600" orientation="portrait" scale="87" r:id="rId1"/>
  <headerFooter alignWithMargins="0">
    <oddFooter>&amp;L&amp;D&amp;CQuest Engineers, Inc.</oddFooter>
  </headerFooter>
  <rowBreaks count="4" manualBreakCount="4">
    <brk id="56" max="5" man="1"/>
    <brk id="103" max="5" man="1"/>
    <brk id="136" max="5" man="1"/>
    <brk id="19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5" sqref="A5"/>
    </sheetView>
  </sheetViews>
  <sheetFormatPr defaultColWidth="9.140625" defaultRowHeight="12.75"/>
  <cols>
    <col min="1" max="1" width="28.7109375" style="0" customWidth="1"/>
    <col min="2" max="10" width="13.7109375" style="0" customWidth="1"/>
  </cols>
  <sheetData>
    <row r="1" ht="12.75">
      <c r="A1" t="s">
        <v>642</v>
      </c>
    </row>
    <row r="3" ht="12.75">
      <c r="A3" t="s">
        <v>572</v>
      </c>
    </row>
    <row r="4" ht="12.75">
      <c r="A4" t="s">
        <v>571</v>
      </c>
    </row>
    <row r="6" spans="3:6" ht="12.75">
      <c r="C6" s="1"/>
      <c r="D6" s="1"/>
      <c r="E6" s="1"/>
      <c r="F6" s="1"/>
    </row>
    <row r="7" spans="1:8" ht="12.75">
      <c r="A7" s="8"/>
      <c r="B7" s="56" t="s">
        <v>573</v>
      </c>
      <c r="C7" s="1" t="s">
        <v>575</v>
      </c>
      <c r="D7" s="1" t="s">
        <v>578</v>
      </c>
      <c r="E7" s="1" t="s">
        <v>580</v>
      </c>
      <c r="F7" s="1" t="s">
        <v>159</v>
      </c>
      <c r="G7" s="1" t="s">
        <v>438</v>
      </c>
      <c r="H7" s="1" t="s">
        <v>577</v>
      </c>
    </row>
    <row r="8" spans="1:10" ht="12.75">
      <c r="A8" s="2" t="s">
        <v>41</v>
      </c>
      <c r="B8" s="8" t="s">
        <v>574</v>
      </c>
      <c r="C8" s="2" t="s">
        <v>576</v>
      </c>
      <c r="D8" s="1" t="s">
        <v>576</v>
      </c>
      <c r="E8" s="1" t="s">
        <v>576</v>
      </c>
      <c r="F8" s="2" t="s">
        <v>576</v>
      </c>
      <c r="G8" s="2" t="s">
        <v>576</v>
      </c>
      <c r="H8" s="2" t="s">
        <v>576</v>
      </c>
      <c r="I8" s="2" t="s">
        <v>21</v>
      </c>
      <c r="J8" s="2" t="s">
        <v>41</v>
      </c>
    </row>
    <row r="9" spans="1:10" ht="12.75">
      <c r="A9" s="1" t="s">
        <v>463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  <c r="G9" s="5" t="s">
        <v>14</v>
      </c>
      <c r="H9" s="5" t="s">
        <v>15</v>
      </c>
      <c r="I9" s="5" t="s">
        <v>16</v>
      </c>
      <c r="J9" s="5" t="s">
        <v>294</v>
      </c>
    </row>
    <row r="10" spans="1:9" ht="12.75">
      <c r="A10" s="1"/>
      <c r="B10" s="5"/>
      <c r="C10" s="5"/>
      <c r="D10" s="5"/>
      <c r="E10" s="5"/>
      <c r="F10" s="5"/>
      <c r="G10" s="5"/>
      <c r="H10" s="5"/>
      <c r="I10" s="5"/>
    </row>
    <row r="11" spans="1:8" ht="12.75">
      <c r="A11" t="s">
        <v>579</v>
      </c>
      <c r="B11" s="1" t="s">
        <v>422</v>
      </c>
      <c r="C11" s="1" t="s">
        <v>423</v>
      </c>
      <c r="D11" s="1" t="s">
        <v>424</v>
      </c>
      <c r="E11" s="1" t="s">
        <v>427</v>
      </c>
      <c r="F11" s="1" t="s">
        <v>485</v>
      </c>
      <c r="G11" s="1" t="s">
        <v>430</v>
      </c>
      <c r="H11" s="1" t="s">
        <v>477</v>
      </c>
    </row>
    <row r="12" spans="2:3" ht="12.75">
      <c r="B12" s="1"/>
      <c r="C12" s="1"/>
    </row>
    <row r="13" spans="1:10" ht="12.75">
      <c r="A13" t="s">
        <v>31</v>
      </c>
      <c r="B13" s="34">
        <v>62260</v>
      </c>
      <c r="C13" s="34">
        <f>+C29*0.82</f>
        <v>1505079.66</v>
      </c>
      <c r="D13" s="34">
        <f>+D29*0.49</f>
        <v>7715255.8</v>
      </c>
      <c r="E13" s="34">
        <v>0</v>
      </c>
      <c r="F13" s="52">
        <v>0</v>
      </c>
      <c r="G13" s="34">
        <f>+G29*0.5491</f>
        <v>182912.3483</v>
      </c>
      <c r="H13" s="34">
        <f>+H29*0.3805</f>
        <v>604616.783</v>
      </c>
      <c r="I13" s="72">
        <f>SUM(B13:H13)</f>
        <v>10070124.5913</v>
      </c>
      <c r="J13" s="62">
        <f>+I13/$I$29</f>
        <v>0.482825578818958</v>
      </c>
    </row>
    <row r="14" spans="2:8" ht="12.75">
      <c r="B14" s="48"/>
      <c r="C14" s="34"/>
      <c r="D14" s="34"/>
      <c r="E14" s="34"/>
      <c r="F14" s="52"/>
      <c r="G14" s="34"/>
      <c r="H14" s="34"/>
    </row>
    <row r="15" spans="1:10" ht="12.75">
      <c r="A15" t="s">
        <v>407</v>
      </c>
      <c r="B15" s="48">
        <v>0</v>
      </c>
      <c r="C15" s="34">
        <f>C29*0.18</f>
        <v>330383.33999999997</v>
      </c>
      <c r="D15" s="34">
        <f>+D29*0.11</f>
        <v>1731996.2</v>
      </c>
      <c r="E15" s="34">
        <v>0</v>
      </c>
      <c r="F15" s="52">
        <v>0</v>
      </c>
      <c r="G15" s="34">
        <f>+G29*0.3157</f>
        <v>105163.7741</v>
      </c>
      <c r="H15" s="34">
        <f>+H29*0.2188</f>
        <v>347674.51279999997</v>
      </c>
      <c r="I15" s="72">
        <f>SUM(B15:H15)</f>
        <v>2515217.8269</v>
      </c>
      <c r="J15" s="62">
        <f>+I15/$I$29</f>
        <v>0.12059547944202548</v>
      </c>
    </row>
    <row r="16" spans="2:8" ht="12.75">
      <c r="B16" s="48"/>
      <c r="C16" s="34"/>
      <c r="D16" s="34"/>
      <c r="E16" s="34"/>
      <c r="F16" s="52"/>
      <c r="G16" s="34"/>
      <c r="H16" s="34"/>
    </row>
    <row r="17" spans="1:10" ht="12.75">
      <c r="A17" t="s">
        <v>409</v>
      </c>
      <c r="B17" s="48">
        <v>0</v>
      </c>
      <c r="C17" s="73">
        <v>0</v>
      </c>
      <c r="D17" s="34">
        <f>+D29*0.38</f>
        <v>5983259.6</v>
      </c>
      <c r="E17" s="34">
        <v>0</v>
      </c>
      <c r="F17" s="52">
        <v>0</v>
      </c>
      <c r="G17" s="34">
        <f>+G29*0.0904</f>
        <v>30113.4152</v>
      </c>
      <c r="H17" s="34">
        <f>+H29*0.0626</f>
        <v>99471.77560000001</v>
      </c>
      <c r="I17" s="72">
        <f>SUM(B17:H17)</f>
        <v>6112844.7908</v>
      </c>
      <c r="J17" s="62">
        <f>+I17/$I$29</f>
        <v>0.29308851122838464</v>
      </c>
    </row>
    <row r="18" spans="2:8" ht="12.75">
      <c r="B18" s="48"/>
      <c r="C18" s="73"/>
      <c r="D18" s="34"/>
      <c r="E18" s="34"/>
      <c r="F18" s="52"/>
      <c r="G18" s="34"/>
      <c r="H18" s="34"/>
    </row>
    <row r="19" spans="1:10" ht="12.75">
      <c r="A19" t="s">
        <v>417</v>
      </c>
      <c r="B19" s="48">
        <v>0</v>
      </c>
      <c r="C19" s="73">
        <v>0</v>
      </c>
      <c r="D19" s="34">
        <v>0</v>
      </c>
      <c r="E19" s="34">
        <v>1291389</v>
      </c>
      <c r="F19" s="52">
        <f>+C19/'Sch C Support'!$C$191</f>
        <v>0</v>
      </c>
      <c r="G19" s="34">
        <f>+G29*0.0102</f>
        <v>3397.7526000000003</v>
      </c>
      <c r="H19" s="34">
        <f>+H29*0.0071</f>
        <v>11281.9426</v>
      </c>
      <c r="I19" s="72">
        <f>SUM(B19:H19)</f>
        <v>1306068.6952</v>
      </c>
      <c r="J19" s="62">
        <f>+I19/$I$29</f>
        <v>0.06262120870699711</v>
      </c>
    </row>
    <row r="20" spans="2:8" ht="12.75">
      <c r="B20" s="48"/>
      <c r="C20" s="34"/>
      <c r="D20" s="34"/>
      <c r="E20" s="34"/>
      <c r="F20" s="52"/>
      <c r="G20" s="34"/>
      <c r="H20" s="34"/>
    </row>
    <row r="21" spans="1:10" ht="12.75">
      <c r="A21" t="s">
        <v>440</v>
      </c>
      <c r="B21" s="48">
        <v>0</v>
      </c>
      <c r="C21" s="34">
        <v>0</v>
      </c>
      <c r="D21" s="34">
        <v>0</v>
      </c>
      <c r="E21" s="34">
        <v>0</v>
      </c>
      <c r="F21" s="52">
        <v>0</v>
      </c>
      <c r="G21" s="34">
        <v>0</v>
      </c>
      <c r="H21" s="34">
        <f>+H29*0.215</f>
        <v>341636.29</v>
      </c>
      <c r="I21" s="72">
        <f>SUM(B21:H21)</f>
        <v>341636.29</v>
      </c>
      <c r="J21" s="62">
        <f>+I21/$I$29</f>
        <v>0.016380208404503674</v>
      </c>
    </row>
    <row r="22" spans="2:8" ht="12.75">
      <c r="B22" s="48"/>
      <c r="C22" s="34"/>
      <c r="D22" s="34"/>
      <c r="E22" s="34"/>
      <c r="F22" s="52"/>
      <c r="G22" s="34"/>
      <c r="H22" s="34"/>
    </row>
    <row r="23" spans="1:10" ht="12.75">
      <c r="A23" t="s">
        <v>418</v>
      </c>
      <c r="B23" s="48">
        <v>0</v>
      </c>
      <c r="C23" s="34">
        <v>0</v>
      </c>
      <c r="D23" s="34">
        <v>0</v>
      </c>
      <c r="E23" s="34">
        <v>0</v>
      </c>
      <c r="F23" s="52">
        <v>0</v>
      </c>
      <c r="G23" s="34">
        <v>0</v>
      </c>
      <c r="H23" s="34">
        <f>+H29*0.0902</f>
        <v>143328.3412</v>
      </c>
      <c r="I23" s="72">
        <f>SUM(B23:H23)</f>
        <v>143328.3412</v>
      </c>
      <c r="J23" s="62">
        <f>+I23/$I$29</f>
        <v>0.0068720688283080535</v>
      </c>
    </row>
    <row r="24" spans="2:8" ht="12.75">
      <c r="B24" s="48"/>
      <c r="C24" s="34"/>
      <c r="D24" s="34"/>
      <c r="E24" s="34"/>
      <c r="F24" s="52"/>
      <c r="G24" s="34"/>
      <c r="H24" s="34"/>
    </row>
    <row r="25" spans="1:8" ht="12.75">
      <c r="A25" t="s">
        <v>56</v>
      </c>
      <c r="B25" s="81">
        <v>0</v>
      </c>
      <c r="C25" s="73">
        <v>0</v>
      </c>
      <c r="D25" s="73">
        <v>0</v>
      </c>
      <c r="E25" s="73">
        <v>0</v>
      </c>
      <c r="F25" s="88"/>
      <c r="G25" s="34"/>
      <c r="H25" s="34"/>
    </row>
    <row r="26" spans="1:10" ht="12.75">
      <c r="A26" t="s">
        <v>495</v>
      </c>
      <c r="B26" s="81"/>
      <c r="C26" s="73"/>
      <c r="D26" s="34">
        <f>+D29*0.019</f>
        <v>299162.98</v>
      </c>
      <c r="E26" s="34">
        <v>0</v>
      </c>
      <c r="F26" s="103">
        <f>+C26/'Sch C Support'!$C$191</f>
        <v>0</v>
      </c>
      <c r="G26" s="34">
        <f>+G29*0.0327</f>
        <v>10892.7951</v>
      </c>
      <c r="H26" s="34">
        <f>+H29*0.0226</f>
        <v>35911.535599999996</v>
      </c>
      <c r="I26" s="72">
        <f>SUM(B26:H26)</f>
        <v>345967.3107</v>
      </c>
      <c r="J26" s="128">
        <f>+I26/$I$29</f>
        <v>0.016587864978898095</v>
      </c>
    </row>
    <row r="27" spans="1:10" ht="12.75">
      <c r="A27" t="s">
        <v>496</v>
      </c>
      <c r="B27" s="60"/>
      <c r="C27" s="74"/>
      <c r="D27" s="74">
        <f>+D29*0.001</f>
        <v>15745.42</v>
      </c>
      <c r="E27" s="74">
        <v>0</v>
      </c>
      <c r="F27" s="104">
        <f>+C27/'Sch C Support'!$C$191</f>
        <v>0</v>
      </c>
      <c r="G27" s="74">
        <f>+G29*0.0019</f>
        <v>632.9147</v>
      </c>
      <c r="H27" s="74">
        <f>+H29*0.0013</f>
        <v>2065.7077999999997</v>
      </c>
      <c r="I27" s="127">
        <f>SUM(B27:H27)</f>
        <v>18444.0425</v>
      </c>
      <c r="J27" s="129">
        <f>+I27/$I$29</f>
        <v>0.0008843242618385857</v>
      </c>
    </row>
    <row r="28" spans="2:6" ht="12.75">
      <c r="B28" s="81"/>
      <c r="C28" s="73"/>
      <c r="F28" s="88"/>
    </row>
    <row r="29" spans="1:10" ht="13.5" thickBot="1">
      <c r="A29" t="s">
        <v>21</v>
      </c>
      <c r="B29" s="75">
        <v>62260</v>
      </c>
      <c r="C29" s="75">
        <v>1835463</v>
      </c>
      <c r="D29" s="75">
        <v>15745420</v>
      </c>
      <c r="E29" s="75">
        <f>SUM(E13:E27)</f>
        <v>1291389</v>
      </c>
      <c r="F29" s="75">
        <v>0</v>
      </c>
      <c r="G29" s="75">
        <v>333113</v>
      </c>
      <c r="H29" s="75">
        <v>1589006</v>
      </c>
      <c r="I29" s="75">
        <f>SUM(B29:H29)</f>
        <v>20856651</v>
      </c>
      <c r="J29" s="83">
        <f>SUM(J13:J27)</f>
        <v>0.9998552446699136</v>
      </c>
    </row>
    <row r="30" ht="13.5" thickTop="1"/>
  </sheetData>
  <printOptions/>
  <pageMargins left="0.75" right="0.75" top="1" bottom="1" header="0.5" footer="0.5"/>
  <pageSetup fitToHeight="1" fitToWidth="1" horizontalDpi="600" verticalDpi="600" orientation="landscape" scale="81" r:id="rId1"/>
  <headerFooter alignWithMargins="0">
    <oddFooter>&amp;L&amp;D&amp;CQuest Engineers, Inc.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="60" workbookViewId="0" topLeftCell="A1">
      <selection activeCell="A2" sqref="A2:K2"/>
    </sheetView>
  </sheetViews>
  <sheetFormatPr defaultColWidth="9.140625" defaultRowHeight="12.75"/>
  <cols>
    <col min="1" max="1" width="9.421875" style="0" bestFit="1" customWidth="1"/>
    <col min="2" max="2" width="14.28125" style="0" bestFit="1" customWidth="1"/>
    <col min="3" max="3" width="12.7109375" style="0" customWidth="1"/>
    <col min="4" max="4" width="13.57421875" style="0" bestFit="1" customWidth="1"/>
    <col min="5" max="5" width="16.57421875" style="0" bestFit="1" customWidth="1"/>
    <col min="6" max="6" width="12.421875" style="0" bestFit="1" customWidth="1"/>
    <col min="7" max="7" width="13.421875" style="0" bestFit="1" customWidth="1"/>
    <col min="8" max="8" width="10.00390625" style="0" bestFit="1" customWidth="1"/>
    <col min="9" max="10" width="9.57421875" style="0" bestFit="1" customWidth="1"/>
    <col min="11" max="11" width="14.8515625" style="0" bestFit="1" customWidth="1"/>
  </cols>
  <sheetData>
    <row r="1" spans="1:11" ht="12.75">
      <c r="A1" s="171" t="s">
        <v>33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.75">
      <c r="A2" s="171" t="s">
        <v>583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4" ht="12.75">
      <c r="A4" t="s">
        <v>57</v>
      </c>
    </row>
    <row r="5" ht="12.75">
      <c r="A5" t="s">
        <v>58</v>
      </c>
    </row>
    <row r="6" ht="12.75">
      <c r="A6" s="4" t="s">
        <v>59</v>
      </c>
    </row>
    <row r="9" spans="1:5" ht="12.75">
      <c r="A9" t="s">
        <v>60</v>
      </c>
      <c r="E9" t="s">
        <v>62</v>
      </c>
    </row>
    <row r="10" spans="1:9" ht="12.75">
      <c r="A10" t="s">
        <v>50</v>
      </c>
      <c r="B10" t="s">
        <v>52</v>
      </c>
      <c r="C10" t="s">
        <v>64</v>
      </c>
      <c r="D10" t="s">
        <v>52</v>
      </c>
      <c r="E10" t="s">
        <v>50</v>
      </c>
      <c r="F10" t="s">
        <v>73</v>
      </c>
      <c r="G10" t="s">
        <v>65</v>
      </c>
      <c r="I10" t="s">
        <v>32</v>
      </c>
    </row>
    <row r="11" spans="1:9" ht="12.75">
      <c r="A11" s="9" t="s">
        <v>61</v>
      </c>
      <c r="B11">
        <v>35</v>
      </c>
      <c r="C11">
        <v>1</v>
      </c>
      <c r="E11" s="9" t="s">
        <v>63</v>
      </c>
      <c r="F11">
        <v>0.22</v>
      </c>
      <c r="G11">
        <v>1</v>
      </c>
      <c r="I11" s="10">
        <f>+(C11+G11)/2</f>
        <v>1</v>
      </c>
    </row>
    <row r="12" spans="1:9" ht="12.75">
      <c r="A12">
        <v>1</v>
      </c>
      <c r="B12">
        <v>98</v>
      </c>
      <c r="C12">
        <f>+B12/$B11</f>
        <v>2.8</v>
      </c>
      <c r="E12">
        <v>1</v>
      </c>
      <c r="F12">
        <v>0.33</v>
      </c>
      <c r="G12">
        <f>+F12/F11</f>
        <v>1.5</v>
      </c>
      <c r="I12" s="10">
        <f aca="true" t="shared" si="0" ref="I12:I18">+(C12+G12)/2</f>
        <v>2.15</v>
      </c>
    </row>
    <row r="13" spans="1:9" ht="12.75">
      <c r="A13">
        <v>1.5</v>
      </c>
      <c r="B13">
        <v>255</v>
      </c>
      <c r="C13" s="10">
        <f>+B13/B11</f>
        <v>7.285714285714286</v>
      </c>
      <c r="E13">
        <v>1.5</v>
      </c>
      <c r="F13">
        <v>0.71</v>
      </c>
      <c r="G13" s="10">
        <f>+F13/F11</f>
        <v>3.227272727272727</v>
      </c>
      <c r="I13" s="10">
        <f t="shared" si="0"/>
        <v>5.2564935064935066</v>
      </c>
    </row>
    <row r="14" spans="1:9" ht="12.75">
      <c r="A14">
        <v>2</v>
      </c>
      <c r="B14">
        <v>375</v>
      </c>
      <c r="C14" s="10">
        <f>+B14/B11</f>
        <v>10.714285714285714</v>
      </c>
      <c r="E14">
        <v>2</v>
      </c>
      <c r="F14">
        <v>1.23</v>
      </c>
      <c r="G14" s="10">
        <f>+F14/F11</f>
        <v>5.590909090909091</v>
      </c>
      <c r="I14" s="10">
        <f t="shared" si="0"/>
        <v>8.152597402597403</v>
      </c>
    </row>
    <row r="15" spans="1:9" ht="12.75">
      <c r="A15">
        <v>3</v>
      </c>
      <c r="B15">
        <v>572</v>
      </c>
      <c r="C15" s="10">
        <f>+B15/B11</f>
        <v>16.34285714285714</v>
      </c>
      <c r="E15">
        <v>3</v>
      </c>
      <c r="F15">
        <v>1.44</v>
      </c>
      <c r="G15" s="10">
        <f>+F15/F11</f>
        <v>6.545454545454545</v>
      </c>
      <c r="I15" s="10">
        <f t="shared" si="0"/>
        <v>11.444155844155844</v>
      </c>
    </row>
    <row r="16" spans="1:9" ht="12.75">
      <c r="A16">
        <v>4</v>
      </c>
      <c r="B16">
        <v>880</v>
      </c>
      <c r="C16" s="10">
        <f>+B16/B11</f>
        <v>25.142857142857142</v>
      </c>
      <c r="E16">
        <v>4</v>
      </c>
      <c r="F16">
        <v>1.65</v>
      </c>
      <c r="G16" s="10">
        <f>+F16/F11</f>
        <v>7.5</v>
      </c>
      <c r="I16" s="10">
        <f t="shared" si="0"/>
        <v>16.32142857142857</v>
      </c>
    </row>
    <row r="17" spans="1:9" ht="12.75">
      <c r="A17">
        <v>6</v>
      </c>
      <c r="B17">
        <v>2216</v>
      </c>
      <c r="C17" s="10">
        <f>+B17/B11</f>
        <v>63.31428571428572</v>
      </c>
      <c r="E17">
        <v>6</v>
      </c>
      <c r="F17">
        <v>3.04</v>
      </c>
      <c r="G17" s="10">
        <f>+F17/F11</f>
        <v>13.818181818181818</v>
      </c>
      <c r="I17" s="10">
        <f t="shared" si="0"/>
        <v>38.566233766233765</v>
      </c>
    </row>
    <row r="18" spans="1:9" ht="12.75">
      <c r="A18">
        <v>8</v>
      </c>
      <c r="B18">
        <v>2438</v>
      </c>
      <c r="C18" s="10">
        <f>+B18/B11</f>
        <v>69.65714285714286</v>
      </c>
      <c r="E18">
        <v>8</v>
      </c>
      <c r="F18">
        <v>5.16</v>
      </c>
      <c r="G18" s="10">
        <f>+F18/F11</f>
        <v>23.454545454545457</v>
      </c>
      <c r="I18" s="10">
        <f t="shared" si="0"/>
        <v>46.555844155844156</v>
      </c>
    </row>
    <row r="22" spans="1:11" ht="12.75">
      <c r="A22" s="171" t="s">
        <v>33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</row>
    <row r="24" spans="1:11" ht="12.75">
      <c r="A24" s="171" t="s">
        <v>70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</row>
    <row r="27" spans="1:11" ht="12.75">
      <c r="A27" t="s">
        <v>26</v>
      </c>
      <c r="B27" t="s">
        <v>71</v>
      </c>
      <c r="C27" s="1" t="s">
        <v>72</v>
      </c>
      <c r="D27" s="171" t="s">
        <v>27</v>
      </c>
      <c r="E27" s="171"/>
      <c r="F27" s="171" t="s">
        <v>28</v>
      </c>
      <c r="G27" s="171"/>
      <c r="H27" s="171" t="s">
        <v>56</v>
      </c>
      <c r="I27" s="171"/>
      <c r="J27" s="171" t="s">
        <v>32</v>
      </c>
      <c r="K27" s="171"/>
    </row>
    <row r="28" spans="1:11" ht="12.75">
      <c r="A28" s="3" t="s">
        <v>50</v>
      </c>
      <c r="B28" s="3" t="s">
        <v>55</v>
      </c>
      <c r="C28" s="2" t="s">
        <v>66</v>
      </c>
      <c r="D28" s="3" t="s">
        <v>53</v>
      </c>
      <c r="E28" s="3" t="s">
        <v>54</v>
      </c>
      <c r="F28" s="3" t="s">
        <v>53</v>
      </c>
      <c r="G28" s="3" t="s">
        <v>54</v>
      </c>
      <c r="H28" s="3" t="s">
        <v>53</v>
      </c>
      <c r="I28" s="3" t="s">
        <v>54</v>
      </c>
      <c r="J28" s="3" t="s">
        <v>53</v>
      </c>
      <c r="K28" s="3" t="s">
        <v>54</v>
      </c>
    </row>
    <row r="30" spans="1:3" ht="12.75">
      <c r="A30" s="12" t="s">
        <v>63</v>
      </c>
      <c r="B30">
        <v>1</v>
      </c>
      <c r="C30">
        <v>1</v>
      </c>
    </row>
    <row r="31" spans="1:3" ht="12.75">
      <c r="A31" s="1">
        <v>1</v>
      </c>
      <c r="B31">
        <v>2.8</v>
      </c>
      <c r="C31">
        <v>2.5</v>
      </c>
    </row>
    <row r="32" spans="1:3" ht="12.75">
      <c r="A32" s="13">
        <v>1.5</v>
      </c>
      <c r="B32">
        <v>7.3</v>
      </c>
      <c r="C32">
        <v>5</v>
      </c>
    </row>
    <row r="33" spans="1:3" ht="12.75">
      <c r="A33" s="1">
        <v>2</v>
      </c>
      <c r="B33">
        <v>10.7</v>
      </c>
      <c r="C33">
        <v>8</v>
      </c>
    </row>
    <row r="34" spans="1:3" ht="12.75">
      <c r="A34" s="1">
        <v>3</v>
      </c>
      <c r="B34">
        <v>16.3</v>
      </c>
      <c r="C34">
        <v>15</v>
      </c>
    </row>
    <row r="35" spans="1:2" ht="12.75">
      <c r="A35" s="1">
        <v>4</v>
      </c>
      <c r="B35">
        <v>25.1</v>
      </c>
    </row>
    <row r="36" spans="1:2" ht="12.75">
      <c r="A36" s="1">
        <v>6</v>
      </c>
      <c r="B36">
        <v>63.3</v>
      </c>
    </row>
    <row r="37" spans="1:11" ht="12.75">
      <c r="A37" s="1">
        <v>8</v>
      </c>
      <c r="B37">
        <v>69.1</v>
      </c>
      <c r="D37" s="6"/>
      <c r="E37" s="6"/>
      <c r="F37" s="6"/>
      <c r="G37" s="6"/>
      <c r="H37" s="6"/>
      <c r="I37" s="6"/>
      <c r="J37" s="6"/>
      <c r="K37" s="6"/>
    </row>
    <row r="39" spans="1:11" ht="13.5" thickBot="1">
      <c r="A39" t="s">
        <v>21</v>
      </c>
      <c r="D39" s="7"/>
      <c r="E39" s="7"/>
      <c r="F39" s="7"/>
      <c r="G39" s="7"/>
      <c r="H39" s="7"/>
      <c r="I39" s="7"/>
      <c r="J39" s="7"/>
      <c r="K39" s="7"/>
    </row>
    <row r="40" ht="13.5" thickTop="1"/>
    <row r="41" ht="12.75">
      <c r="A41" t="s">
        <v>67</v>
      </c>
    </row>
    <row r="43" spans="1:11" ht="12.75">
      <c r="A43" s="171" t="s">
        <v>33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</row>
    <row r="44" spans="1:11" ht="12.75">
      <c r="A44" s="171" t="s">
        <v>583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</row>
    <row r="46" spans="1:11" ht="13.5" thickBot="1">
      <c r="A46" s="183" t="s">
        <v>374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</row>
    <row r="47" spans="1:11" ht="12.75">
      <c r="A47" s="36"/>
      <c r="B47" s="37"/>
      <c r="C47" s="37"/>
      <c r="D47" s="38"/>
      <c r="E47" s="39"/>
      <c r="F47" s="40"/>
      <c r="G47" s="37"/>
      <c r="H47" s="37" t="s">
        <v>387</v>
      </c>
      <c r="I47" s="37" t="s">
        <v>376</v>
      </c>
      <c r="J47" s="37" t="s">
        <v>383</v>
      </c>
      <c r="K47" s="45"/>
    </row>
    <row r="48" spans="1:11" ht="12.75">
      <c r="A48" s="41"/>
      <c r="B48" s="42"/>
      <c r="C48" s="42" t="s">
        <v>376</v>
      </c>
      <c r="D48" s="180" t="s">
        <v>17</v>
      </c>
      <c r="E48" s="181"/>
      <c r="F48" s="182"/>
      <c r="G48" s="42" t="s">
        <v>375</v>
      </c>
      <c r="H48" s="42" t="s">
        <v>36</v>
      </c>
      <c r="I48" s="42" t="s">
        <v>377</v>
      </c>
      <c r="J48" s="42" t="s">
        <v>379</v>
      </c>
      <c r="K48" s="46" t="s">
        <v>381</v>
      </c>
    </row>
    <row r="49" spans="1:11" ht="13.5" thickBot="1">
      <c r="A49" s="43" t="s">
        <v>364</v>
      </c>
      <c r="B49" s="44" t="s">
        <v>365</v>
      </c>
      <c r="C49" s="44" t="s">
        <v>284</v>
      </c>
      <c r="D49" s="44" t="s">
        <v>30</v>
      </c>
      <c r="E49" s="44" t="s">
        <v>29</v>
      </c>
      <c r="F49" s="44" t="s">
        <v>384</v>
      </c>
      <c r="G49" s="44" t="s">
        <v>385</v>
      </c>
      <c r="H49" s="44" t="s">
        <v>388</v>
      </c>
      <c r="I49" s="44" t="s">
        <v>378</v>
      </c>
      <c r="J49" s="44" t="s">
        <v>284</v>
      </c>
      <c r="K49" s="47" t="s">
        <v>382</v>
      </c>
    </row>
    <row r="50" spans="1:11" ht="12.75">
      <c r="A50" t="s">
        <v>366</v>
      </c>
      <c r="B50" s="48">
        <v>2528645</v>
      </c>
      <c r="C50" s="48">
        <v>2829000</v>
      </c>
      <c r="D50" s="48">
        <v>9355000</v>
      </c>
      <c r="E50" s="48">
        <v>11060200</v>
      </c>
      <c r="F50" s="48">
        <v>720000</v>
      </c>
      <c r="G50" s="48">
        <v>784000</v>
      </c>
      <c r="H50" s="48">
        <f>+G50/31</f>
        <v>25290.322580645163</v>
      </c>
      <c r="I50" s="52">
        <v>1.2</v>
      </c>
      <c r="J50" s="48">
        <f>+H50*I50</f>
        <v>30348.387096774193</v>
      </c>
      <c r="K50" s="48">
        <f>+C50+J50</f>
        <v>2859348.3870967743</v>
      </c>
    </row>
    <row r="51" spans="1:11" ht="12.75">
      <c r="A51" t="s">
        <v>367</v>
      </c>
      <c r="B51" s="48">
        <v>2411250</v>
      </c>
      <c r="C51" s="48">
        <v>2668000</v>
      </c>
      <c r="D51" s="48">
        <v>9885000</v>
      </c>
      <c r="E51" s="48">
        <v>11127000</v>
      </c>
      <c r="F51" s="48">
        <v>380000</v>
      </c>
      <c r="G51" s="48">
        <v>1628000</v>
      </c>
      <c r="H51" s="48">
        <f>+G51/28</f>
        <v>58142.857142857145</v>
      </c>
      <c r="I51" s="52">
        <v>1.2</v>
      </c>
      <c r="J51" s="48">
        <f aca="true" t="shared" si="1" ref="J51:J61">+H51*I51</f>
        <v>69771.42857142857</v>
      </c>
      <c r="K51" s="48">
        <f aca="true" t="shared" si="2" ref="K51:K61">+C51+J51</f>
        <v>2737771.4285714286</v>
      </c>
    </row>
    <row r="52" spans="1:11" ht="12.75">
      <c r="A52" t="s">
        <v>373</v>
      </c>
      <c r="B52" s="48">
        <v>2310968</v>
      </c>
      <c r="C52" s="48">
        <v>2645000</v>
      </c>
      <c r="D52" s="48">
        <v>8607000</v>
      </c>
      <c r="E52" s="48">
        <v>12866500</v>
      </c>
      <c r="F52" s="48">
        <v>0</v>
      </c>
      <c r="G52" s="49">
        <v>2578000</v>
      </c>
      <c r="H52" s="48">
        <f>+G52/31</f>
        <v>83161.29032258065</v>
      </c>
      <c r="I52" s="52">
        <v>1.2</v>
      </c>
      <c r="J52" s="48">
        <f t="shared" si="1"/>
        <v>99793.54838709677</v>
      </c>
      <c r="K52" s="48">
        <f t="shared" si="2"/>
        <v>2744793.5483870967</v>
      </c>
    </row>
    <row r="53" spans="1:11" ht="12.75">
      <c r="A53" t="s">
        <v>368</v>
      </c>
      <c r="B53" s="48">
        <v>2503867</v>
      </c>
      <c r="C53" s="48">
        <v>2790000</v>
      </c>
      <c r="D53" s="48">
        <v>9555000</v>
      </c>
      <c r="E53" s="48">
        <v>14880000</v>
      </c>
      <c r="F53" s="48">
        <v>0</v>
      </c>
      <c r="G53" s="49">
        <v>892000</v>
      </c>
      <c r="H53" s="48">
        <f>+G53/30</f>
        <v>29733.333333333332</v>
      </c>
      <c r="I53" s="52">
        <v>1.2</v>
      </c>
      <c r="J53" s="48">
        <f t="shared" si="1"/>
        <v>35680</v>
      </c>
      <c r="K53" s="48">
        <f t="shared" si="2"/>
        <v>2825680</v>
      </c>
    </row>
    <row r="54" spans="1:11" ht="12.75">
      <c r="A54" t="s">
        <v>373</v>
      </c>
      <c r="B54" s="48">
        <v>2675452</v>
      </c>
      <c r="C54" s="48">
        <v>2870000</v>
      </c>
      <c r="D54" s="48">
        <v>8926000</v>
      </c>
      <c r="E54" s="48">
        <v>12970000</v>
      </c>
      <c r="F54" s="48">
        <v>0</v>
      </c>
      <c r="G54" s="49">
        <v>981000</v>
      </c>
      <c r="H54" s="48">
        <f>+G54/31</f>
        <v>31645.16129032258</v>
      </c>
      <c r="I54" s="52">
        <v>1.2</v>
      </c>
      <c r="J54" s="48">
        <f t="shared" si="1"/>
        <v>37974.19354838709</v>
      </c>
      <c r="K54" s="48">
        <f t="shared" si="2"/>
        <v>2907974.193548387</v>
      </c>
    </row>
    <row r="55" spans="1:11" ht="12.75">
      <c r="A55" t="s">
        <v>366</v>
      </c>
      <c r="B55" s="48">
        <v>2655129</v>
      </c>
      <c r="C55" s="48">
        <v>2964000</v>
      </c>
      <c r="D55" s="48">
        <v>9698000</v>
      </c>
      <c r="E55" s="48">
        <v>12897900</v>
      </c>
      <c r="F55" s="48">
        <v>0</v>
      </c>
      <c r="G55" s="49">
        <v>1955000</v>
      </c>
      <c r="H55" s="48">
        <f>+G55/30</f>
        <v>65166.666666666664</v>
      </c>
      <c r="I55" s="52">
        <v>1.2</v>
      </c>
      <c r="J55" s="48">
        <f t="shared" si="1"/>
        <v>78200</v>
      </c>
      <c r="K55" s="48">
        <f t="shared" si="2"/>
        <v>3042200</v>
      </c>
    </row>
    <row r="56" spans="1:11" ht="12.75">
      <c r="A56" t="s">
        <v>366</v>
      </c>
      <c r="B56" s="48">
        <v>2630710</v>
      </c>
      <c r="C56" s="50">
        <v>3075000</v>
      </c>
      <c r="D56" s="48">
        <v>9737000</v>
      </c>
      <c r="E56" s="48">
        <v>9868700</v>
      </c>
      <c r="F56" s="48">
        <v>850000</v>
      </c>
      <c r="G56" s="49">
        <v>3475000</v>
      </c>
      <c r="H56" s="48">
        <f>+G56/31</f>
        <v>112096.7741935484</v>
      </c>
      <c r="I56" s="52">
        <v>1.2</v>
      </c>
      <c r="J56" s="48">
        <f t="shared" si="1"/>
        <v>134516.12903225806</v>
      </c>
      <c r="K56" s="50">
        <f t="shared" si="2"/>
        <v>3209516.129032258</v>
      </c>
    </row>
    <row r="57" spans="1:11" ht="12.75">
      <c r="A57" t="s">
        <v>368</v>
      </c>
      <c r="B57" s="48">
        <v>2699968</v>
      </c>
      <c r="C57" s="48">
        <v>2898000</v>
      </c>
      <c r="D57" s="48">
        <v>9403000</v>
      </c>
      <c r="E57" s="51">
        <v>43798400</v>
      </c>
      <c r="F57" s="48">
        <v>230000</v>
      </c>
      <c r="G57" s="49">
        <v>4538000</v>
      </c>
      <c r="H57" s="48">
        <f>+G57/31</f>
        <v>146387.09677419355</v>
      </c>
      <c r="I57" s="52">
        <v>1.2</v>
      </c>
      <c r="J57" s="48">
        <f t="shared" si="1"/>
        <v>175664.51612903224</v>
      </c>
      <c r="K57" s="48">
        <f t="shared" si="2"/>
        <v>3073664.5161290322</v>
      </c>
    </row>
    <row r="58" spans="1:11" ht="12.75">
      <c r="A58" t="s">
        <v>369</v>
      </c>
      <c r="B58" s="48">
        <v>2757367</v>
      </c>
      <c r="C58" s="48">
        <v>2952000</v>
      </c>
      <c r="D58" s="48">
        <v>9138000</v>
      </c>
      <c r="E58" s="48">
        <v>5238000</v>
      </c>
      <c r="F58" s="48">
        <v>138000</v>
      </c>
      <c r="G58" s="49">
        <v>1259000</v>
      </c>
      <c r="H58" s="48">
        <f>+G58/30</f>
        <v>41966.666666666664</v>
      </c>
      <c r="I58" s="52">
        <v>1.2</v>
      </c>
      <c r="J58" s="48">
        <f t="shared" si="1"/>
        <v>50359.99999999999</v>
      </c>
      <c r="K58" s="48">
        <f t="shared" si="2"/>
        <v>3002360</v>
      </c>
    </row>
    <row r="59" spans="1:11" ht="12.75">
      <c r="A59" t="s">
        <v>370</v>
      </c>
      <c r="B59" s="48">
        <v>2609710</v>
      </c>
      <c r="C59" s="48">
        <v>2794000</v>
      </c>
      <c r="D59" s="48">
        <v>7870000</v>
      </c>
      <c r="E59" s="48">
        <v>25278300</v>
      </c>
      <c r="F59" s="48">
        <v>185000</v>
      </c>
      <c r="G59" s="49">
        <v>511000</v>
      </c>
      <c r="H59" s="48">
        <f>+G59/31</f>
        <v>16483.870967741936</v>
      </c>
      <c r="I59" s="52">
        <v>1.2</v>
      </c>
      <c r="J59" s="48">
        <f t="shared" si="1"/>
        <v>19780.645161290322</v>
      </c>
      <c r="K59" s="48">
        <f t="shared" si="2"/>
        <v>2813780.64516129</v>
      </c>
    </row>
    <row r="60" spans="1:11" ht="12.75">
      <c r="A60" t="s">
        <v>371</v>
      </c>
      <c r="B60" s="48">
        <v>2464900</v>
      </c>
      <c r="C60" s="48">
        <v>2760000</v>
      </c>
      <c r="D60" s="48">
        <v>7216000</v>
      </c>
      <c r="E60" s="48">
        <v>8519500</v>
      </c>
      <c r="F60" s="48">
        <v>205000</v>
      </c>
      <c r="G60" s="49">
        <v>1874000</v>
      </c>
      <c r="H60" s="48">
        <f>+G60/30</f>
        <v>62466.666666666664</v>
      </c>
      <c r="I60" s="52">
        <v>1.2</v>
      </c>
      <c r="J60" s="48">
        <f t="shared" si="1"/>
        <v>74960</v>
      </c>
      <c r="K60" s="48">
        <f t="shared" si="2"/>
        <v>2834960</v>
      </c>
    </row>
    <row r="61" spans="1:11" ht="12.75">
      <c r="A61" t="s">
        <v>372</v>
      </c>
      <c r="B61" s="48">
        <v>2581742</v>
      </c>
      <c r="C61" s="48">
        <v>2736000</v>
      </c>
      <c r="D61" s="48">
        <v>7651000</v>
      </c>
      <c r="E61" s="48">
        <v>14162900</v>
      </c>
      <c r="F61" s="48">
        <v>325000</v>
      </c>
      <c r="G61" s="49">
        <v>2053000</v>
      </c>
      <c r="H61" s="48">
        <f>+G61/31</f>
        <v>66225.80645161291</v>
      </c>
      <c r="I61" s="52">
        <v>1.2</v>
      </c>
      <c r="J61" s="48">
        <f t="shared" si="1"/>
        <v>79470.96774193548</v>
      </c>
      <c r="K61" s="48">
        <f t="shared" si="2"/>
        <v>2815470.9677419355</v>
      </c>
    </row>
    <row r="62" spans="1:11" ht="12.75">
      <c r="A62" t="s">
        <v>32</v>
      </c>
      <c r="B62" s="48">
        <f>SUM(B50:B61)</f>
        <v>30829708</v>
      </c>
      <c r="C62" s="48"/>
      <c r="D62" s="48">
        <f>SUM(D50:D61)</f>
        <v>107041000</v>
      </c>
      <c r="E62" s="48">
        <f>SUM(E50:E61)</f>
        <v>182667400</v>
      </c>
      <c r="F62" s="48">
        <f>SUM(F50:F61)</f>
        <v>3033000</v>
      </c>
      <c r="G62" s="48">
        <f>SUM(G50:G61)</f>
        <v>22528000</v>
      </c>
      <c r="H62" s="48"/>
      <c r="I62" s="48"/>
      <c r="J62" s="48"/>
      <c r="K62" s="48"/>
    </row>
    <row r="63" spans="1:11" ht="12.75">
      <c r="A63" t="s">
        <v>380</v>
      </c>
      <c r="B63" s="48">
        <f>+B62/12</f>
        <v>2569142.3333333335</v>
      </c>
      <c r="C63" s="50">
        <v>3075000</v>
      </c>
      <c r="D63" s="48">
        <f>+D62/365</f>
        <v>293263.01369863015</v>
      </c>
      <c r="E63" s="48">
        <f>+E62/365</f>
        <v>500458.6301369863</v>
      </c>
      <c r="F63" s="48">
        <f>+F62/365</f>
        <v>8309.589041095891</v>
      </c>
      <c r="G63" s="48">
        <f>+G62/365</f>
        <v>61720.54794520548</v>
      </c>
      <c r="H63" s="48"/>
      <c r="I63" s="48"/>
      <c r="J63" s="48"/>
      <c r="K63" s="48"/>
    </row>
    <row r="64" spans="1:11" ht="12.75">
      <c r="A64" s="6" t="s">
        <v>386</v>
      </c>
      <c r="B64" s="6"/>
      <c r="C64" s="54">
        <f>+C63/B63</f>
        <v>1.1968974860222483</v>
      </c>
      <c r="D64" s="6"/>
      <c r="E64" s="6"/>
      <c r="F64" s="6"/>
      <c r="G64" s="6"/>
      <c r="H64" s="6"/>
      <c r="I64" s="6"/>
      <c r="J64" s="6"/>
      <c r="K64" s="6"/>
    </row>
    <row r="66" spans="1:5" ht="12.75">
      <c r="A66" t="s">
        <v>389</v>
      </c>
      <c r="E66" s="53">
        <f>+B63+G63</f>
        <v>2630862.881278539</v>
      </c>
    </row>
    <row r="67" spans="1:5" ht="12.75">
      <c r="A67" t="s">
        <v>390</v>
      </c>
      <c r="E67" s="53">
        <f>+K56</f>
        <v>3209516.129032258</v>
      </c>
    </row>
    <row r="68" spans="1:11" ht="13.5" thickBot="1">
      <c r="A68" s="7" t="s">
        <v>391</v>
      </c>
      <c r="B68" s="7"/>
      <c r="C68" s="55">
        <f>+E67/E66</f>
        <v>1.2199480831446854</v>
      </c>
      <c r="D68" s="7"/>
      <c r="E68" s="7"/>
      <c r="F68" s="7"/>
      <c r="G68" s="7"/>
      <c r="H68" s="7"/>
      <c r="I68" s="7"/>
      <c r="J68" s="7"/>
      <c r="K68" s="7"/>
    </row>
    <row r="69" ht="13.5" thickTop="1"/>
  </sheetData>
  <mergeCells count="12">
    <mergeCell ref="A1:K1"/>
    <mergeCell ref="A2:K2"/>
    <mergeCell ref="A43:K43"/>
    <mergeCell ref="A44:K44"/>
    <mergeCell ref="D48:F48"/>
    <mergeCell ref="A46:K46"/>
    <mergeCell ref="A22:K22"/>
    <mergeCell ref="A24:K24"/>
    <mergeCell ref="D27:E27"/>
    <mergeCell ref="F27:G27"/>
    <mergeCell ref="H27:I27"/>
    <mergeCell ref="J27:K27"/>
  </mergeCells>
  <printOptions/>
  <pageMargins left="0.75" right="0.75" top="1" bottom="1" header="0.5" footer="0.5"/>
  <pageSetup horizontalDpi="600" verticalDpi="600" orientation="landscape" scale="85" r:id="rId1"/>
  <headerFooter alignWithMargins="0">
    <oddFooter>&amp;L&amp;D&amp;CQuest Engineers, Inc.</oddFooter>
  </headerFooter>
  <rowBreaks count="1" manualBreakCount="1">
    <brk id="42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D28" sqref="D28"/>
    </sheetView>
  </sheetViews>
  <sheetFormatPr defaultColWidth="9.140625" defaultRowHeight="12.75"/>
  <cols>
    <col min="1" max="1" width="25.7109375" style="0" customWidth="1"/>
    <col min="2" max="5" width="18.7109375" style="0" customWidth="1"/>
  </cols>
  <sheetData>
    <row r="1" spans="1:5" ht="15.75">
      <c r="A1" s="188" t="s">
        <v>610</v>
      </c>
      <c r="B1" s="188"/>
      <c r="C1" s="188"/>
      <c r="D1" s="188"/>
      <c r="E1" s="188"/>
    </row>
    <row r="2" spans="1:5" ht="15.75">
      <c r="A2" s="188" t="s">
        <v>613</v>
      </c>
      <c r="B2" s="188"/>
      <c r="C2" s="188"/>
      <c r="D2" s="188"/>
      <c r="E2" s="188"/>
    </row>
    <row r="3" spans="1:5" ht="12.75">
      <c r="A3" s="134"/>
      <c r="B3" s="134"/>
      <c r="C3" s="134"/>
      <c r="D3" s="134"/>
      <c r="E3" s="134"/>
    </row>
    <row r="4" spans="1:5" ht="13.5" thickBot="1">
      <c r="A4" s="187" t="s">
        <v>617</v>
      </c>
      <c r="B4" s="187"/>
      <c r="C4" s="187"/>
      <c r="D4" s="187"/>
      <c r="E4" s="187"/>
    </row>
    <row r="5" spans="1:5" ht="12.75">
      <c r="A5" s="138"/>
      <c r="B5" s="139"/>
      <c r="C5" s="139" t="s">
        <v>615</v>
      </c>
      <c r="D5" s="139" t="s">
        <v>633</v>
      </c>
      <c r="E5" s="140" t="s">
        <v>612</v>
      </c>
    </row>
    <row r="6" spans="1:5" ht="13.5" thickBot="1">
      <c r="A6" s="151" t="s">
        <v>24</v>
      </c>
      <c r="B6" s="152" t="s">
        <v>614</v>
      </c>
      <c r="C6" s="152" t="s">
        <v>618</v>
      </c>
      <c r="D6" s="152" t="s">
        <v>612</v>
      </c>
      <c r="E6" s="153" t="s">
        <v>616</v>
      </c>
    </row>
    <row r="7" spans="1:5" ht="13.5" thickBot="1">
      <c r="A7" s="148" t="s">
        <v>611</v>
      </c>
      <c r="B7" s="149">
        <v>9509</v>
      </c>
      <c r="C7" s="149">
        <v>263</v>
      </c>
      <c r="D7" s="149">
        <v>350</v>
      </c>
      <c r="E7" s="150">
        <v>3.7</v>
      </c>
    </row>
    <row r="8" spans="1:5" ht="12.75">
      <c r="A8" s="134"/>
      <c r="B8" s="134"/>
      <c r="C8" s="134"/>
      <c r="D8" s="134"/>
      <c r="E8" s="134"/>
    </row>
    <row r="9" spans="1:5" ht="13.5" thickBot="1">
      <c r="A9" s="187" t="s">
        <v>622</v>
      </c>
      <c r="B9" s="187"/>
      <c r="C9" s="187"/>
      <c r="D9" s="187"/>
      <c r="E9" s="187"/>
    </row>
    <row r="10" spans="1:5" ht="12.75">
      <c r="A10" s="147"/>
      <c r="B10" s="139"/>
      <c r="C10" s="139" t="s">
        <v>631</v>
      </c>
      <c r="D10" s="139" t="s">
        <v>627</v>
      </c>
      <c r="E10" s="140" t="s">
        <v>629</v>
      </c>
    </row>
    <row r="11" spans="1:5" ht="12.75">
      <c r="A11" s="141" t="s">
        <v>623</v>
      </c>
      <c r="B11" s="142" t="s">
        <v>624</v>
      </c>
      <c r="C11" s="142" t="s">
        <v>641</v>
      </c>
      <c r="D11" s="142" t="s">
        <v>628</v>
      </c>
      <c r="E11" s="143" t="s">
        <v>625</v>
      </c>
    </row>
    <row r="12" spans="1:5" ht="13.5" thickBot="1">
      <c r="A12" s="135" t="s">
        <v>630</v>
      </c>
      <c r="B12" s="136">
        <v>350</v>
      </c>
      <c r="C12" s="146">
        <v>5000</v>
      </c>
      <c r="D12" s="146">
        <v>21000000</v>
      </c>
      <c r="E12" s="163">
        <v>101640</v>
      </c>
    </row>
    <row r="13" spans="1:5" ht="12.75">
      <c r="A13" s="134"/>
      <c r="B13" s="134"/>
      <c r="C13" s="134"/>
      <c r="D13" s="134"/>
      <c r="E13" s="134"/>
    </row>
    <row r="14" spans="1:5" ht="12.75">
      <c r="A14" s="134"/>
      <c r="B14" s="134"/>
      <c r="C14" s="134"/>
      <c r="D14" s="134"/>
      <c r="E14" s="134"/>
    </row>
    <row r="15" spans="1:5" ht="13.5" thickBot="1">
      <c r="A15" s="187" t="s">
        <v>619</v>
      </c>
      <c r="B15" s="187"/>
      <c r="C15" s="187"/>
      <c r="D15" s="187"/>
      <c r="E15" s="187"/>
    </row>
    <row r="16" spans="1:5" ht="15" thickBot="1">
      <c r="A16" s="160" t="s">
        <v>620</v>
      </c>
      <c r="B16" s="159" t="s">
        <v>621</v>
      </c>
      <c r="C16" s="159" t="s">
        <v>626</v>
      </c>
      <c r="D16" s="159" t="s">
        <v>635</v>
      </c>
      <c r="E16" s="158" t="s">
        <v>632</v>
      </c>
    </row>
    <row r="17" spans="1:5" ht="14.25">
      <c r="A17" s="137" t="s">
        <v>639</v>
      </c>
      <c r="B17" s="154">
        <v>22528000</v>
      </c>
      <c r="C17" s="155">
        <v>1.29</v>
      </c>
      <c r="D17" s="156">
        <v>22638000</v>
      </c>
      <c r="E17" s="162">
        <v>29203</v>
      </c>
    </row>
    <row r="18" spans="1:5" ht="15" thickBot="1">
      <c r="A18" s="135" t="s">
        <v>636</v>
      </c>
      <c r="B18" s="144">
        <v>4482</v>
      </c>
      <c r="C18" s="157">
        <v>0.2</v>
      </c>
      <c r="D18" s="146">
        <v>22638000</v>
      </c>
      <c r="E18" s="163">
        <v>4528</v>
      </c>
    </row>
    <row r="19" spans="1:5" ht="13.5" thickBot="1">
      <c r="A19" s="184" t="s">
        <v>634</v>
      </c>
      <c r="B19" s="185"/>
      <c r="C19" s="185"/>
      <c r="D19" s="186"/>
      <c r="E19" s="164">
        <f>SUM(E17:E18)</f>
        <v>33731</v>
      </c>
    </row>
    <row r="20" spans="1:5" ht="12.75">
      <c r="A20" s="134" t="s">
        <v>77</v>
      </c>
      <c r="B20" s="134"/>
      <c r="C20" s="134"/>
      <c r="D20" s="134"/>
      <c r="E20" s="134"/>
    </row>
    <row r="21" spans="1:5" ht="12.75">
      <c r="A21" s="161" t="s">
        <v>637</v>
      </c>
      <c r="B21" s="134"/>
      <c r="C21" s="134"/>
      <c r="D21" s="134"/>
      <c r="E21" s="134"/>
    </row>
    <row r="22" spans="1:5" ht="12.75">
      <c r="A22" s="161" t="s">
        <v>638</v>
      </c>
      <c r="B22" s="145"/>
      <c r="C22" s="134"/>
      <c r="D22" s="134"/>
      <c r="E22" s="134"/>
    </row>
    <row r="23" ht="12.75">
      <c r="A23" s="161" t="s">
        <v>640</v>
      </c>
    </row>
  </sheetData>
  <mergeCells count="6">
    <mergeCell ref="A19:D19"/>
    <mergeCell ref="A4:E4"/>
    <mergeCell ref="A1:E1"/>
    <mergeCell ref="A2:E2"/>
    <mergeCell ref="A15:E15"/>
    <mergeCell ref="A9:E9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</dc:creator>
  <cp:keywords/>
  <dc:description/>
  <cp:lastModifiedBy>bat</cp:lastModifiedBy>
  <cp:lastPrinted>2006-11-01T19:43:26Z</cp:lastPrinted>
  <dcterms:created xsi:type="dcterms:W3CDTF">2006-05-02T14:13:26Z</dcterms:created>
  <dcterms:modified xsi:type="dcterms:W3CDTF">2006-11-01T19:56:28Z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